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sset Management\Equipe\Lívia\Rascunhos\Comparação Fundo de Terceiros\Fundo-de-Terceiros\"/>
    </mc:Choice>
  </mc:AlternateContent>
  <xr:revisionPtr revIDLastSave="0" documentId="13_ncr:1_{4D757A74-570F-4901-9B0F-0BC8074B4174}" xr6:coauthVersionLast="47" xr6:coauthVersionMax="47" xr10:uidLastSave="{00000000-0000-0000-0000-000000000000}"/>
  <bookViews>
    <workbookView xWindow="-120" yWindow="-120" windowWidth="20730" windowHeight="11040" tabRatio="654" activeTab="1" xr2:uid="{6495C85E-5695-4ABA-B40A-A33311F960F5}"/>
  </bookViews>
  <sheets>
    <sheet name="Dados" sheetId="38" r:id="rId1"/>
    <sheet name="Abr26" sheetId="44" r:id="rId2"/>
    <sheet name="Mar26" sheetId="43" r:id="rId3"/>
    <sheet name="Fev26" sheetId="42" r:id="rId4"/>
    <sheet name="Jan26" sheetId="41" r:id="rId5"/>
    <sheet name="Dez25" sheetId="40" r:id="rId6"/>
    <sheet name="Nov25" sheetId="39" r:id="rId7"/>
    <sheet name="Out25" sheetId="37" r:id="rId8"/>
    <sheet name="Set25" sheetId="36" r:id="rId9"/>
    <sheet name="Ago25" sheetId="35" r:id="rId10"/>
    <sheet name="Jul25" sheetId="34" r:id="rId11"/>
    <sheet name="Jun25" sheetId="33" r:id="rId12"/>
    <sheet name="Mai25" sheetId="32" r:id="rId13"/>
    <sheet name="Abr25" sheetId="31" r:id="rId14"/>
    <sheet name="Mar25" sheetId="29" r:id="rId15"/>
    <sheet name="Fev25" sheetId="28" r:id="rId16"/>
    <sheet name="Jan25" sheetId="27" r:id="rId17"/>
    <sheet name="Dez24" sheetId="26" r:id="rId18"/>
    <sheet name="Nov24" sheetId="25" r:id="rId19"/>
    <sheet name="Out24" sheetId="24" r:id="rId20"/>
    <sheet name="Set24" sheetId="22" r:id="rId21"/>
    <sheet name="Ago24" sheetId="21" r:id="rId22"/>
    <sheet name="Jul24" sheetId="20" r:id="rId23"/>
    <sheet name="Jun24" sheetId="19" r:id="rId24"/>
    <sheet name="Mai24" sheetId="18" r:id="rId25"/>
    <sheet name="Abr24" sheetId="17" r:id="rId26"/>
    <sheet name="Mar24" sheetId="16" r:id="rId27"/>
    <sheet name="Fev24" sheetId="15" r:id="rId28"/>
    <sheet name="Dez23" sheetId="13" r:id="rId29"/>
    <sheet name="Nov23" sheetId="12" r:id="rId30"/>
    <sheet name="Out23" sheetId="11" r:id="rId31"/>
    <sheet name="Set23" sheetId="10" r:id="rId32"/>
    <sheet name="Ago23" sheetId="9" r:id="rId33"/>
    <sheet name="Jul23" sheetId="8" r:id="rId34"/>
    <sheet name="Jun23" sheetId="7" r:id="rId35"/>
    <sheet name="Mai23" sheetId="6" r:id="rId36"/>
    <sheet name="Abr23" sheetId="5" r:id="rId37"/>
    <sheet name="Mar23" sheetId="4" r:id="rId38"/>
    <sheet name="Fev23" sheetId="3" r:id="rId39"/>
    <sheet name="Jan23" sheetId="2" r:id="rId40"/>
    <sheet name="Dez22" sheetId="1" r:id="rId4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" i="42" l="1"/>
  <c r="T6" i="43" s="1"/>
  <c r="R6" i="42"/>
  <c r="R6" i="43" s="1"/>
  <c r="P6" i="42"/>
  <c r="N6" i="42"/>
  <c r="N6" i="43" s="1"/>
  <c r="L6" i="42"/>
  <c r="L6" i="43" s="1"/>
  <c r="J6" i="42"/>
  <c r="J6" i="43" s="1"/>
  <c r="P6" i="43"/>
  <c r="L40" i="44"/>
  <c r="L41" i="44" s="1"/>
  <c r="N40" i="44"/>
  <c r="P40" i="44"/>
  <c r="P41" i="44" s="1"/>
  <c r="R40" i="44"/>
  <c r="T40" i="44"/>
  <c r="T41" i="44" s="1"/>
  <c r="J40" i="44"/>
  <c r="J41" i="44" s="1"/>
  <c r="R41" i="44"/>
  <c r="N41" i="44"/>
  <c r="AG4" i="43" s="1"/>
  <c r="AH6" i="44"/>
  <c r="AG6" i="42"/>
  <c r="AL36" i="44"/>
  <c r="AK36" i="44"/>
  <c r="AL35" i="44"/>
  <c r="AK35" i="44"/>
  <c r="AI35" i="44"/>
  <c r="AH35" i="44"/>
  <c r="AG35" i="44"/>
  <c r="AF35" i="44"/>
  <c r="AE35" i="44"/>
  <c r="AC35" i="44"/>
  <c r="AB35" i="44"/>
  <c r="AA35" i="44"/>
  <c r="Z35" i="44"/>
  <c r="Y35" i="44"/>
  <c r="AL34" i="44"/>
  <c r="AK34" i="44"/>
  <c r="AI34" i="44"/>
  <c r="AH34" i="44"/>
  <c r="AG34" i="44"/>
  <c r="AF34" i="44"/>
  <c r="AE34" i="44"/>
  <c r="AC34" i="44"/>
  <c r="AB34" i="44"/>
  <c r="AA34" i="44"/>
  <c r="Z34" i="44"/>
  <c r="Y34" i="44"/>
  <c r="AL33" i="44"/>
  <c r="AK33" i="44"/>
  <c r="AI33" i="44"/>
  <c r="AH33" i="44"/>
  <c r="AG33" i="44"/>
  <c r="AF33" i="44"/>
  <c r="AE33" i="44"/>
  <c r="AC33" i="44"/>
  <c r="AB33" i="44"/>
  <c r="AA33" i="44"/>
  <c r="Z33" i="44"/>
  <c r="Y33" i="44"/>
  <c r="AL32" i="44"/>
  <c r="AK32" i="44"/>
  <c r="AI32" i="44"/>
  <c r="AH32" i="44"/>
  <c r="AG32" i="44"/>
  <c r="AF32" i="44"/>
  <c r="AE32" i="44"/>
  <c r="AC32" i="44"/>
  <c r="AB32" i="44"/>
  <c r="AA32" i="44"/>
  <c r="Z32" i="44"/>
  <c r="Y32" i="44"/>
  <c r="AL31" i="44"/>
  <c r="AK31" i="44"/>
  <c r="AI31" i="44"/>
  <c r="AH31" i="44"/>
  <c r="AG31" i="44"/>
  <c r="AF31" i="44"/>
  <c r="AE31" i="44"/>
  <c r="AC31" i="44"/>
  <c r="AB31" i="44"/>
  <c r="AA31" i="44"/>
  <c r="Z31" i="44"/>
  <c r="Y31" i="44"/>
  <c r="AL30" i="44"/>
  <c r="AK30" i="44"/>
  <c r="AI30" i="44"/>
  <c r="AH30" i="44"/>
  <c r="AG30" i="44"/>
  <c r="AF30" i="44"/>
  <c r="AE30" i="44"/>
  <c r="AC30" i="44"/>
  <c r="AB30" i="44"/>
  <c r="AA30" i="44"/>
  <c r="Z30" i="44"/>
  <c r="Y30" i="44"/>
  <c r="AL26" i="44"/>
  <c r="AK26" i="44"/>
  <c r="AI26" i="44"/>
  <c r="AH26" i="44"/>
  <c r="AG26" i="44"/>
  <c r="AF26" i="44"/>
  <c r="AE26" i="44"/>
  <c r="AL25" i="44"/>
  <c r="AK25" i="44"/>
  <c r="AI25" i="44"/>
  <c r="AH25" i="44"/>
  <c r="AG25" i="44"/>
  <c r="AF25" i="44"/>
  <c r="AE25" i="44"/>
  <c r="AL24" i="44"/>
  <c r="AK24" i="44"/>
  <c r="AI24" i="44"/>
  <c r="AH24" i="44"/>
  <c r="AG24" i="44"/>
  <c r="AF24" i="44"/>
  <c r="AE24" i="44"/>
  <c r="AC24" i="44"/>
  <c r="AB24" i="44"/>
  <c r="AA24" i="44"/>
  <c r="Z24" i="44"/>
  <c r="Y24" i="44"/>
  <c r="AL23" i="44"/>
  <c r="AK23" i="44"/>
  <c r="AI23" i="44"/>
  <c r="AH23" i="44"/>
  <c r="AG23" i="44"/>
  <c r="AF23" i="44"/>
  <c r="AE23" i="44"/>
  <c r="AC23" i="44"/>
  <c r="AB23" i="44"/>
  <c r="AA23" i="44"/>
  <c r="Z23" i="44"/>
  <c r="Y23" i="44"/>
  <c r="AL22" i="44"/>
  <c r="AK22" i="44"/>
  <c r="AI22" i="44"/>
  <c r="AH22" i="44"/>
  <c r="AG22" i="44"/>
  <c r="AF22" i="44"/>
  <c r="AE22" i="44"/>
  <c r="AC22" i="44"/>
  <c r="AB22" i="44"/>
  <c r="AA22" i="44"/>
  <c r="Z22" i="44"/>
  <c r="Y22" i="44"/>
  <c r="AL21" i="44"/>
  <c r="AK21" i="44"/>
  <c r="AI21" i="44"/>
  <c r="AH21" i="44"/>
  <c r="AG21" i="44"/>
  <c r="AF21" i="44"/>
  <c r="AE21" i="44"/>
  <c r="AL20" i="44"/>
  <c r="AK20" i="44"/>
  <c r="AI20" i="44"/>
  <c r="AH20" i="44"/>
  <c r="AG20" i="44"/>
  <c r="AF20" i="44"/>
  <c r="AE20" i="44"/>
  <c r="AC20" i="44"/>
  <c r="AB20" i="44"/>
  <c r="AA20" i="44"/>
  <c r="Z20" i="44"/>
  <c r="Y20" i="44"/>
  <c r="AL19" i="44"/>
  <c r="AK19" i="44"/>
  <c r="AI19" i="44"/>
  <c r="AH19" i="44"/>
  <c r="AG19" i="44"/>
  <c r="AF19" i="44"/>
  <c r="AE19" i="44"/>
  <c r="AC19" i="44"/>
  <c r="AB19" i="44"/>
  <c r="AA19" i="44"/>
  <c r="Z19" i="44"/>
  <c r="Y19" i="44"/>
  <c r="AL18" i="44"/>
  <c r="AK18" i="44"/>
  <c r="AI18" i="44"/>
  <c r="AH18" i="44"/>
  <c r="AG18" i="44"/>
  <c r="AF18" i="44"/>
  <c r="AE18" i="44"/>
  <c r="AC18" i="44"/>
  <c r="AB18" i="44"/>
  <c r="AA18" i="44"/>
  <c r="Z18" i="44"/>
  <c r="Y18" i="44"/>
  <c r="AL17" i="44"/>
  <c r="AK17" i="44"/>
  <c r="AI17" i="44"/>
  <c r="AH17" i="44"/>
  <c r="AG17" i="44"/>
  <c r="AF17" i="44"/>
  <c r="AE17" i="44"/>
  <c r="AC17" i="44"/>
  <c r="AB17" i="44"/>
  <c r="AA17" i="44"/>
  <c r="Z17" i="44"/>
  <c r="Y17" i="44"/>
  <c r="AL13" i="44"/>
  <c r="AK13" i="44"/>
  <c r="AI13" i="44"/>
  <c r="AH13" i="44"/>
  <c r="AG13" i="44"/>
  <c r="AF13" i="44"/>
  <c r="AE13" i="44"/>
  <c r="AC13" i="44"/>
  <c r="AB13" i="44"/>
  <c r="AA13" i="44"/>
  <c r="Z13" i="44"/>
  <c r="Y13" i="44"/>
  <c r="AL12" i="44"/>
  <c r="AK12" i="44"/>
  <c r="AI12" i="44"/>
  <c r="AH12" i="44"/>
  <c r="AG12" i="44"/>
  <c r="AF12" i="44"/>
  <c r="AE12" i="44"/>
  <c r="AC12" i="44"/>
  <c r="AB12" i="44"/>
  <c r="AA12" i="44"/>
  <c r="Z12" i="44"/>
  <c r="Y12" i="44"/>
  <c r="AL11" i="44"/>
  <c r="AK11" i="44"/>
  <c r="AI11" i="44"/>
  <c r="AH11" i="44"/>
  <c r="AG11" i="44"/>
  <c r="AF11" i="44"/>
  <c r="AE11" i="44"/>
  <c r="AC11" i="44"/>
  <c r="AB11" i="44"/>
  <c r="AA11" i="44"/>
  <c r="Z11" i="44"/>
  <c r="Y11" i="44"/>
  <c r="AL10" i="44"/>
  <c r="AK10" i="44"/>
  <c r="AI10" i="44"/>
  <c r="AH10" i="44"/>
  <c r="AG10" i="44"/>
  <c r="AF10" i="44"/>
  <c r="AE10" i="44"/>
  <c r="AC10" i="44"/>
  <c r="AB10" i="44"/>
  <c r="AA10" i="44"/>
  <c r="Z10" i="44"/>
  <c r="Y10" i="44"/>
  <c r="AL9" i="44"/>
  <c r="AK9" i="44"/>
  <c r="AI9" i="44"/>
  <c r="AH9" i="44"/>
  <c r="AG9" i="44"/>
  <c r="AF9" i="44"/>
  <c r="AE9" i="44"/>
  <c r="AC9" i="44"/>
  <c r="AL8" i="44"/>
  <c r="AK8" i="44"/>
  <c r="AI8" i="44"/>
  <c r="AH8" i="44"/>
  <c r="AG8" i="44"/>
  <c r="AF8" i="44"/>
  <c r="AE8" i="44"/>
  <c r="AL7" i="44"/>
  <c r="AK7" i="44"/>
  <c r="AI7" i="44"/>
  <c r="AH7" i="44"/>
  <c r="AG7" i="44"/>
  <c r="AF7" i="44"/>
  <c r="AE7" i="44"/>
  <c r="AL6" i="44"/>
  <c r="AK6" i="44"/>
  <c r="AL5" i="44"/>
  <c r="AK5" i="44"/>
  <c r="AI5" i="44"/>
  <c r="AH5" i="44"/>
  <c r="AG5" i="44"/>
  <c r="AF5" i="44"/>
  <c r="AE5" i="44"/>
  <c r="AC5" i="44"/>
  <c r="AB5" i="44"/>
  <c r="AA5" i="44"/>
  <c r="Z5" i="44"/>
  <c r="Y5" i="44"/>
  <c r="AL4" i="44"/>
  <c r="AK4" i="44"/>
  <c r="AL3" i="44"/>
  <c r="AK3" i="44"/>
  <c r="AI3" i="44"/>
  <c r="AH3" i="44"/>
  <c r="AG3" i="44"/>
  <c r="AF3" i="44"/>
  <c r="AE3" i="44"/>
  <c r="AC3" i="44"/>
  <c r="AB3" i="44"/>
  <c r="AA3" i="44"/>
  <c r="Z3" i="44"/>
  <c r="Y3" i="44"/>
  <c r="AI35" i="42"/>
  <c r="AH35" i="42"/>
  <c r="AG35" i="42"/>
  <c r="AF35" i="42"/>
  <c r="AE35" i="42"/>
  <c r="AC35" i="42"/>
  <c r="AB35" i="42"/>
  <c r="AA35" i="42"/>
  <c r="Z35" i="42"/>
  <c r="Y35" i="42"/>
  <c r="AI34" i="42"/>
  <c r="AH34" i="42"/>
  <c r="AG34" i="42"/>
  <c r="AF34" i="42"/>
  <c r="AE34" i="42"/>
  <c r="AC34" i="42"/>
  <c r="AB34" i="42"/>
  <c r="AA34" i="42"/>
  <c r="Z34" i="42"/>
  <c r="Y34" i="42"/>
  <c r="AI33" i="42"/>
  <c r="AH33" i="42"/>
  <c r="AG33" i="42"/>
  <c r="AF33" i="42"/>
  <c r="AE33" i="42"/>
  <c r="AC33" i="42"/>
  <c r="AB33" i="42"/>
  <c r="AA33" i="42"/>
  <c r="Z33" i="42"/>
  <c r="Y33" i="42"/>
  <c r="AI32" i="42"/>
  <c r="AH32" i="42"/>
  <c r="AG32" i="42"/>
  <c r="AF32" i="42"/>
  <c r="AE32" i="42"/>
  <c r="AC32" i="42"/>
  <c r="AB32" i="42"/>
  <c r="AA32" i="42"/>
  <c r="Z32" i="42"/>
  <c r="Y32" i="42"/>
  <c r="AI31" i="42"/>
  <c r="AH31" i="42"/>
  <c r="AG31" i="42"/>
  <c r="AF31" i="42"/>
  <c r="AE31" i="42"/>
  <c r="AC31" i="42"/>
  <c r="AB31" i="42"/>
  <c r="AA31" i="42"/>
  <c r="Z31" i="42"/>
  <c r="Y31" i="42"/>
  <c r="AI30" i="42"/>
  <c r="AH30" i="42"/>
  <c r="AG30" i="42"/>
  <c r="AF30" i="42"/>
  <c r="AE30" i="42"/>
  <c r="AC30" i="42"/>
  <c r="AB30" i="42"/>
  <c r="AA30" i="42"/>
  <c r="Z30" i="42"/>
  <c r="Y30" i="42"/>
  <c r="AI27" i="42"/>
  <c r="AC27" i="42"/>
  <c r="AI26" i="42"/>
  <c r="AH26" i="42"/>
  <c r="AG26" i="42"/>
  <c r="AF26" i="42"/>
  <c r="AE26" i="42"/>
  <c r="AC26" i="42"/>
  <c r="AB26" i="42"/>
  <c r="AA26" i="42"/>
  <c r="Z26" i="42"/>
  <c r="Y26" i="42"/>
  <c r="AI25" i="42"/>
  <c r="AC25" i="42"/>
  <c r="AI24" i="42"/>
  <c r="AH24" i="42"/>
  <c r="AG24" i="42"/>
  <c r="AF24" i="42"/>
  <c r="AE24" i="42"/>
  <c r="AC24" i="42"/>
  <c r="AB24" i="42"/>
  <c r="AA24" i="42"/>
  <c r="Z24" i="42"/>
  <c r="Y24" i="42"/>
  <c r="AI23" i="42"/>
  <c r="AH23" i="42"/>
  <c r="AG23" i="42"/>
  <c r="AF23" i="42"/>
  <c r="AE23" i="42"/>
  <c r="AC23" i="42"/>
  <c r="AB23" i="42"/>
  <c r="AA23" i="42"/>
  <c r="Z23" i="42"/>
  <c r="Y23" i="42"/>
  <c r="AI22" i="42"/>
  <c r="AH22" i="42"/>
  <c r="AG22" i="42"/>
  <c r="AF22" i="42"/>
  <c r="AE22" i="42"/>
  <c r="AC22" i="42"/>
  <c r="AB22" i="42"/>
  <c r="AA22" i="42"/>
  <c r="Z22" i="42"/>
  <c r="Y22" i="42"/>
  <c r="AI21" i="42"/>
  <c r="AC21" i="42"/>
  <c r="AI20" i="42"/>
  <c r="AH20" i="42"/>
  <c r="AG20" i="42"/>
  <c r="AF20" i="42"/>
  <c r="AE20" i="42"/>
  <c r="AC20" i="42"/>
  <c r="AB20" i="42"/>
  <c r="AA20" i="42"/>
  <c r="Z20" i="42"/>
  <c r="Y20" i="42"/>
  <c r="AI19" i="42"/>
  <c r="AH19" i="42"/>
  <c r="AG19" i="42"/>
  <c r="AF19" i="42"/>
  <c r="AE19" i="42"/>
  <c r="AC19" i="42"/>
  <c r="AB19" i="42"/>
  <c r="AA19" i="42"/>
  <c r="Z19" i="42"/>
  <c r="Y19" i="42"/>
  <c r="AI18" i="42"/>
  <c r="AH18" i="42"/>
  <c r="AG18" i="42"/>
  <c r="AF18" i="42"/>
  <c r="AE18" i="42"/>
  <c r="AC18" i="42"/>
  <c r="AB18" i="42"/>
  <c r="AA18" i="42"/>
  <c r="Z18" i="42"/>
  <c r="Y18" i="42"/>
  <c r="AI17" i="42"/>
  <c r="AH17" i="42"/>
  <c r="AG17" i="42"/>
  <c r="AF17" i="42"/>
  <c r="AE17" i="42"/>
  <c r="AC17" i="42"/>
  <c r="AB17" i="42"/>
  <c r="AA17" i="42"/>
  <c r="Z17" i="42"/>
  <c r="Y17" i="42"/>
  <c r="AI13" i="42"/>
  <c r="AH13" i="42"/>
  <c r="AG13" i="42"/>
  <c r="AF13" i="42"/>
  <c r="AE13" i="42"/>
  <c r="AC13" i="42"/>
  <c r="AB13" i="42"/>
  <c r="AA13" i="42"/>
  <c r="Z13" i="42"/>
  <c r="Y13" i="42"/>
  <c r="AI12" i="42"/>
  <c r="AH12" i="42"/>
  <c r="AG12" i="42"/>
  <c r="AF12" i="42"/>
  <c r="AE12" i="42"/>
  <c r="AC12" i="42"/>
  <c r="AB12" i="42"/>
  <c r="AA12" i="42"/>
  <c r="Z12" i="42"/>
  <c r="Y12" i="42"/>
  <c r="AI11" i="42"/>
  <c r="AH11" i="42"/>
  <c r="AG11" i="42"/>
  <c r="AF11" i="42"/>
  <c r="AE11" i="42"/>
  <c r="AC11" i="42"/>
  <c r="AB11" i="42"/>
  <c r="AA11" i="42"/>
  <c r="Z11" i="42"/>
  <c r="Y11" i="42"/>
  <c r="AI10" i="42"/>
  <c r="AH10" i="42"/>
  <c r="AG10" i="42"/>
  <c r="AF10" i="42"/>
  <c r="AE10" i="42"/>
  <c r="AC10" i="42"/>
  <c r="AB10" i="42"/>
  <c r="AA10" i="42"/>
  <c r="Z10" i="42"/>
  <c r="Y10" i="42"/>
  <c r="AI9" i="42"/>
  <c r="AH9" i="42"/>
  <c r="AG9" i="42"/>
  <c r="AF9" i="42"/>
  <c r="AE9" i="42"/>
  <c r="AC9" i="42"/>
  <c r="AB9" i="42"/>
  <c r="AA9" i="42"/>
  <c r="Z9" i="42"/>
  <c r="Y9" i="42"/>
  <c r="AI8" i="42"/>
  <c r="AH8" i="42"/>
  <c r="AG8" i="42"/>
  <c r="AF8" i="42"/>
  <c r="AE8" i="42"/>
  <c r="AC8" i="42"/>
  <c r="AB8" i="42"/>
  <c r="AA8" i="42"/>
  <c r="Z8" i="42"/>
  <c r="Y8" i="42"/>
  <c r="AI7" i="42"/>
  <c r="AH7" i="42"/>
  <c r="AG7" i="42"/>
  <c r="AF7" i="42"/>
  <c r="AE7" i="42"/>
  <c r="AC7" i="42"/>
  <c r="AB7" i="42"/>
  <c r="AA7" i="42"/>
  <c r="Z7" i="42"/>
  <c r="Y7" i="42"/>
  <c r="AH6" i="42"/>
  <c r="AC6" i="42"/>
  <c r="AB6" i="42"/>
  <c r="AA6" i="42"/>
  <c r="Z6" i="42"/>
  <c r="Y6" i="42"/>
  <c r="AI5" i="42"/>
  <c r="AH5" i="42"/>
  <c r="AG5" i="42"/>
  <c r="AF5" i="42"/>
  <c r="AE5" i="42"/>
  <c r="AC5" i="42"/>
  <c r="AB5" i="42"/>
  <c r="AA5" i="42"/>
  <c r="Z5" i="42"/>
  <c r="Y5" i="42"/>
  <c r="AI3" i="42"/>
  <c r="AH3" i="42"/>
  <c r="AG3" i="42"/>
  <c r="AF3" i="42"/>
  <c r="AE3" i="42"/>
  <c r="AC3" i="42"/>
  <c r="AB3" i="42"/>
  <c r="AA3" i="42"/>
  <c r="Z3" i="42"/>
  <c r="Y3" i="42"/>
  <c r="AL36" i="43"/>
  <c r="AK36" i="43"/>
  <c r="AL35" i="43"/>
  <c r="AK35" i="43"/>
  <c r="AI35" i="43"/>
  <c r="AH35" i="43"/>
  <c r="AG35" i="43"/>
  <c r="AF35" i="43"/>
  <c r="AE35" i="43"/>
  <c r="AC35" i="43"/>
  <c r="AB35" i="43"/>
  <c r="AA35" i="43"/>
  <c r="Z35" i="43"/>
  <c r="Y35" i="43"/>
  <c r="AL34" i="43"/>
  <c r="AK34" i="43"/>
  <c r="AI34" i="43"/>
  <c r="AH34" i="43"/>
  <c r="AG34" i="43"/>
  <c r="AF34" i="43"/>
  <c r="AE34" i="43"/>
  <c r="AC34" i="43"/>
  <c r="AB34" i="43"/>
  <c r="AA34" i="43"/>
  <c r="Z34" i="43"/>
  <c r="Y34" i="43"/>
  <c r="AL33" i="43"/>
  <c r="AK33" i="43"/>
  <c r="AI33" i="43"/>
  <c r="AH33" i="43"/>
  <c r="AG33" i="43"/>
  <c r="AF33" i="43"/>
  <c r="AE33" i="43"/>
  <c r="AC33" i="43"/>
  <c r="AB33" i="43"/>
  <c r="AA33" i="43"/>
  <c r="Z33" i="43"/>
  <c r="Y33" i="43"/>
  <c r="AL32" i="43"/>
  <c r="AK32" i="43"/>
  <c r="AI32" i="43"/>
  <c r="AH32" i="43"/>
  <c r="AG32" i="43"/>
  <c r="AF32" i="43"/>
  <c r="AE32" i="43"/>
  <c r="AC32" i="43"/>
  <c r="AB32" i="43"/>
  <c r="AA32" i="43"/>
  <c r="Z32" i="43"/>
  <c r="Y32" i="43"/>
  <c r="AL31" i="43"/>
  <c r="AK31" i="43"/>
  <c r="AI31" i="43"/>
  <c r="AH31" i="43"/>
  <c r="AG31" i="43"/>
  <c r="AF31" i="43"/>
  <c r="AE31" i="43"/>
  <c r="AC31" i="43"/>
  <c r="AB31" i="43"/>
  <c r="AA31" i="43"/>
  <c r="Z31" i="43"/>
  <c r="Y31" i="43"/>
  <c r="AL30" i="43"/>
  <c r="AK30" i="43"/>
  <c r="AI30" i="43"/>
  <c r="AH30" i="43"/>
  <c r="AG30" i="43"/>
  <c r="AF30" i="43"/>
  <c r="AE30" i="43"/>
  <c r="AC30" i="43"/>
  <c r="AB30" i="43"/>
  <c r="AA30" i="43"/>
  <c r="Z30" i="43"/>
  <c r="Y30" i="43"/>
  <c r="AL26" i="43"/>
  <c r="AK26" i="43"/>
  <c r="AI26" i="43"/>
  <c r="AH26" i="43"/>
  <c r="AG26" i="43"/>
  <c r="AF26" i="43"/>
  <c r="AE26" i="43"/>
  <c r="AL25" i="43"/>
  <c r="AK25" i="43"/>
  <c r="AI25" i="43"/>
  <c r="AL24" i="43"/>
  <c r="AK24" i="43"/>
  <c r="AI24" i="43"/>
  <c r="AH24" i="43"/>
  <c r="AG24" i="43"/>
  <c r="AF24" i="43"/>
  <c r="AE24" i="43"/>
  <c r="AC24" i="43"/>
  <c r="AB24" i="43"/>
  <c r="AA24" i="43"/>
  <c r="Z24" i="43"/>
  <c r="Y24" i="43"/>
  <c r="AL23" i="43"/>
  <c r="AK23" i="43"/>
  <c r="AI23" i="43"/>
  <c r="AH23" i="43"/>
  <c r="AG23" i="43"/>
  <c r="AF23" i="43"/>
  <c r="AE23" i="43"/>
  <c r="AC23" i="43"/>
  <c r="AB23" i="43"/>
  <c r="AA23" i="43"/>
  <c r="Z23" i="43"/>
  <c r="Y23" i="43"/>
  <c r="AL22" i="43"/>
  <c r="AK22" i="43"/>
  <c r="AI22" i="43"/>
  <c r="AH22" i="43"/>
  <c r="AG22" i="43"/>
  <c r="AF22" i="43"/>
  <c r="AE22" i="43"/>
  <c r="AC22" i="43"/>
  <c r="AB22" i="43"/>
  <c r="AA22" i="43"/>
  <c r="Z22" i="43"/>
  <c r="Y22" i="43"/>
  <c r="AL21" i="43"/>
  <c r="AK21" i="43"/>
  <c r="AI21" i="43"/>
  <c r="AL20" i="43"/>
  <c r="AK20" i="43"/>
  <c r="AI20" i="43"/>
  <c r="AH20" i="43"/>
  <c r="AG20" i="43"/>
  <c r="AF20" i="43"/>
  <c r="AE20" i="43"/>
  <c r="AC20" i="43"/>
  <c r="AB20" i="43"/>
  <c r="AA20" i="43"/>
  <c r="Z20" i="43"/>
  <c r="Y20" i="43"/>
  <c r="AL19" i="43"/>
  <c r="AK19" i="43"/>
  <c r="AI19" i="43"/>
  <c r="AH19" i="43"/>
  <c r="AG19" i="43"/>
  <c r="AF19" i="43"/>
  <c r="AE19" i="43"/>
  <c r="AC19" i="43"/>
  <c r="AB19" i="43"/>
  <c r="AA19" i="43"/>
  <c r="Z19" i="43"/>
  <c r="Y19" i="43"/>
  <c r="AL18" i="43"/>
  <c r="AK18" i="43"/>
  <c r="AI18" i="43"/>
  <c r="AH18" i="43"/>
  <c r="AG18" i="43"/>
  <c r="AF18" i="43"/>
  <c r="AE18" i="43"/>
  <c r="AC18" i="43"/>
  <c r="AB18" i="43"/>
  <c r="AA18" i="43"/>
  <c r="Z18" i="43"/>
  <c r="Y18" i="43"/>
  <c r="AL17" i="43"/>
  <c r="AK17" i="43"/>
  <c r="AI17" i="43"/>
  <c r="AH17" i="43"/>
  <c r="AG17" i="43"/>
  <c r="AF17" i="43"/>
  <c r="AE17" i="43"/>
  <c r="AC17" i="43"/>
  <c r="AB17" i="43"/>
  <c r="AA17" i="43"/>
  <c r="Z17" i="43"/>
  <c r="Y17" i="43"/>
  <c r="AL13" i="43"/>
  <c r="AK13" i="43"/>
  <c r="AI13" i="43"/>
  <c r="AH13" i="43"/>
  <c r="AG13" i="43"/>
  <c r="AF13" i="43"/>
  <c r="AE13" i="43"/>
  <c r="AC13" i="43"/>
  <c r="AB13" i="43"/>
  <c r="AA13" i="43"/>
  <c r="Z13" i="43"/>
  <c r="Y13" i="43"/>
  <c r="AL12" i="43"/>
  <c r="AK12" i="43"/>
  <c r="AI12" i="43"/>
  <c r="AH12" i="43"/>
  <c r="AG12" i="43"/>
  <c r="AF12" i="43"/>
  <c r="AE12" i="43"/>
  <c r="AC12" i="43"/>
  <c r="AB12" i="43"/>
  <c r="AA12" i="43"/>
  <c r="Z12" i="43"/>
  <c r="Y12" i="43"/>
  <c r="AL11" i="43"/>
  <c r="AK11" i="43"/>
  <c r="AI11" i="43"/>
  <c r="AH11" i="43"/>
  <c r="AG11" i="43"/>
  <c r="AF11" i="43"/>
  <c r="AE11" i="43"/>
  <c r="AC11" i="43"/>
  <c r="AB11" i="43"/>
  <c r="AA11" i="43"/>
  <c r="Z11" i="43"/>
  <c r="Y11" i="43"/>
  <c r="AL10" i="43"/>
  <c r="AK10" i="43"/>
  <c r="AI10" i="43"/>
  <c r="AH10" i="43"/>
  <c r="AG10" i="43"/>
  <c r="AF10" i="43"/>
  <c r="AE10" i="43"/>
  <c r="AC10" i="43"/>
  <c r="AB10" i="43"/>
  <c r="AA10" i="43"/>
  <c r="Z10" i="43"/>
  <c r="Y10" i="43"/>
  <c r="AL9" i="43"/>
  <c r="AK9" i="43"/>
  <c r="AI9" i="43"/>
  <c r="AH9" i="43"/>
  <c r="AG9" i="43"/>
  <c r="AF9" i="43"/>
  <c r="AE9" i="43"/>
  <c r="AC9" i="43"/>
  <c r="AB9" i="43"/>
  <c r="AA9" i="43"/>
  <c r="Z9" i="43"/>
  <c r="Y9" i="43"/>
  <c r="AL8" i="43"/>
  <c r="AK8" i="43"/>
  <c r="AI8" i="43"/>
  <c r="AH8" i="43"/>
  <c r="AG8" i="43"/>
  <c r="AF8" i="43"/>
  <c r="AE8" i="43"/>
  <c r="AL7" i="43"/>
  <c r="AK7" i="43"/>
  <c r="AI7" i="43"/>
  <c r="AH7" i="43"/>
  <c r="AG7" i="43"/>
  <c r="AF7" i="43"/>
  <c r="AE7" i="43"/>
  <c r="AC7" i="43"/>
  <c r="AB7" i="43"/>
  <c r="AA7" i="43"/>
  <c r="Z7" i="43"/>
  <c r="Y7" i="43"/>
  <c r="AL6" i="43"/>
  <c r="AK6" i="43"/>
  <c r="AL5" i="43"/>
  <c r="AK5" i="43"/>
  <c r="AI5" i="43"/>
  <c r="AH5" i="43"/>
  <c r="AG5" i="43"/>
  <c r="AF5" i="43"/>
  <c r="AE5" i="43"/>
  <c r="AC5" i="43"/>
  <c r="AB5" i="43"/>
  <c r="AA5" i="43"/>
  <c r="Z5" i="43"/>
  <c r="Y5" i="43"/>
  <c r="AL4" i="43"/>
  <c r="AK4" i="43"/>
  <c r="AL3" i="43"/>
  <c r="AK3" i="43"/>
  <c r="AI3" i="43"/>
  <c r="AH3" i="43"/>
  <c r="AG3" i="43"/>
  <c r="AF3" i="43"/>
  <c r="AE3" i="43"/>
  <c r="AC3" i="43"/>
  <c r="AB3" i="43"/>
  <c r="AA3" i="43"/>
  <c r="Z3" i="43"/>
  <c r="Y3" i="43"/>
  <c r="O26" i="44"/>
  <c r="O25" i="44"/>
  <c r="O24" i="44"/>
  <c r="O23" i="44"/>
  <c r="O22" i="44"/>
  <c r="O21" i="44"/>
  <c r="O20" i="44"/>
  <c r="O19" i="44"/>
  <c r="O18" i="44"/>
  <c r="O17" i="44"/>
  <c r="AH4" i="42" l="1"/>
  <c r="AF4" i="42"/>
  <c r="AI4" i="42"/>
  <c r="AF4" i="44"/>
  <c r="AF4" i="43"/>
  <c r="AI6" i="43"/>
  <c r="AI6" i="44"/>
  <c r="AI6" i="42"/>
  <c r="AI4" i="44"/>
  <c r="AI4" i="43"/>
  <c r="AH6" i="43"/>
  <c r="AH4" i="44"/>
  <c r="AG4" i="42"/>
  <c r="AF6" i="44"/>
  <c r="AF6" i="43"/>
  <c r="AF6" i="42"/>
  <c r="AE4" i="44"/>
  <c r="AE4" i="43"/>
  <c r="AE4" i="42"/>
  <c r="AG4" i="44"/>
  <c r="N19" i="44"/>
  <c r="N10" i="44"/>
  <c r="N30" i="44"/>
  <c r="L30" i="44"/>
  <c r="J30" i="44"/>
  <c r="AH4" i="43" l="1"/>
  <c r="AG6" i="44"/>
  <c r="AG6" i="43"/>
  <c r="T32" i="42"/>
  <c r="T33" i="42"/>
  <c r="T34" i="42"/>
  <c r="R34" i="42"/>
  <c r="R33" i="42"/>
  <c r="R32" i="42"/>
  <c r="P32" i="42"/>
  <c r="P33" i="42"/>
  <c r="P34" i="42"/>
  <c r="N34" i="42"/>
  <c r="N33" i="42"/>
  <c r="N32" i="42"/>
  <c r="L32" i="42"/>
  <c r="L33" i="42"/>
  <c r="L34" i="42"/>
  <c r="J34" i="42"/>
  <c r="J33" i="42"/>
  <c r="J32" i="42"/>
  <c r="P20" i="42"/>
  <c r="P21" i="42"/>
  <c r="P22" i="42"/>
  <c r="P23" i="42"/>
  <c r="P24" i="42"/>
  <c r="N24" i="42"/>
  <c r="N23" i="42"/>
  <c r="N22" i="42"/>
  <c r="N21" i="42"/>
  <c r="N20" i="42"/>
  <c r="N19" i="42"/>
  <c r="P19" i="42"/>
  <c r="R19" i="42"/>
  <c r="R20" i="42"/>
  <c r="R21" i="42"/>
  <c r="R22" i="42"/>
  <c r="R23" i="42"/>
  <c r="R24" i="42"/>
  <c r="R25" i="42"/>
  <c r="P25" i="42"/>
  <c r="N25" i="42"/>
  <c r="L25" i="42"/>
  <c r="L24" i="42"/>
  <c r="L23" i="42"/>
  <c r="L22" i="42"/>
  <c r="L21" i="42"/>
  <c r="L20" i="42"/>
  <c r="L19" i="42"/>
  <c r="J19" i="42"/>
  <c r="J18" i="42"/>
  <c r="L18" i="42"/>
  <c r="N18" i="42"/>
  <c r="P18" i="42"/>
  <c r="R18" i="42"/>
  <c r="T18" i="42"/>
  <c r="T19" i="42"/>
  <c r="T20" i="42"/>
  <c r="T21" i="42"/>
  <c r="T22" i="42"/>
  <c r="T23" i="42"/>
  <c r="T24" i="42"/>
  <c r="T25" i="42"/>
  <c r="T26" i="42"/>
  <c r="R26" i="42"/>
  <c r="P26" i="42"/>
  <c r="N26" i="42"/>
  <c r="L26" i="42"/>
  <c r="J26" i="42"/>
  <c r="J25" i="42"/>
  <c r="J24" i="42"/>
  <c r="J23" i="42"/>
  <c r="J22" i="42"/>
  <c r="J21" i="42"/>
  <c r="J20" i="42"/>
  <c r="T12" i="42"/>
  <c r="T13" i="42"/>
  <c r="R13" i="42"/>
  <c r="R12" i="42"/>
  <c r="P12" i="42"/>
  <c r="P13" i="42"/>
  <c r="N13" i="42"/>
  <c r="N12" i="42"/>
  <c r="L12" i="42"/>
  <c r="L13" i="42"/>
  <c r="J13" i="42"/>
  <c r="J12" i="42"/>
  <c r="T7" i="42"/>
  <c r="T8" i="42"/>
  <c r="T9" i="42"/>
  <c r="T10" i="42"/>
  <c r="R10" i="42"/>
  <c r="R9" i="42"/>
  <c r="R8" i="42"/>
  <c r="R7" i="42"/>
  <c r="P7" i="42"/>
  <c r="P8" i="42"/>
  <c r="P9" i="42"/>
  <c r="P10" i="42"/>
  <c r="N10" i="42"/>
  <c r="N9" i="42"/>
  <c r="N8" i="42"/>
  <c r="N7" i="42"/>
  <c r="L7" i="42"/>
  <c r="L8" i="42"/>
  <c r="L9" i="42"/>
  <c r="L10" i="42"/>
  <c r="J10" i="42"/>
  <c r="J9" i="42"/>
  <c r="J8" i="42"/>
  <c r="J7" i="42"/>
  <c r="T5" i="42"/>
  <c r="R5" i="42"/>
  <c r="P5" i="42"/>
  <c r="N5" i="42"/>
  <c r="L5" i="42"/>
  <c r="J5" i="42"/>
  <c r="F9" i="43"/>
  <c r="N12" i="43"/>
  <c r="L12" i="43"/>
  <c r="N30" i="43"/>
  <c r="L30" i="43"/>
  <c r="J30" i="43"/>
  <c r="L3" i="43"/>
  <c r="J3" i="43"/>
  <c r="N17" i="43"/>
  <c r="L17" i="43"/>
  <c r="N24" i="41"/>
  <c r="L24" i="41"/>
  <c r="N10" i="41"/>
  <c r="L10" i="41"/>
  <c r="AH25" i="42" l="1"/>
  <c r="AH25" i="43"/>
  <c r="AG25" i="43"/>
  <c r="AG25" i="42"/>
  <c r="AF25" i="42"/>
  <c r="AF25" i="43"/>
  <c r="AE25" i="43"/>
  <c r="AE25" i="42"/>
  <c r="AH21" i="42"/>
  <c r="AH21" i="43"/>
  <c r="AG21" i="42"/>
  <c r="AG21" i="43"/>
  <c r="AF21" i="43"/>
  <c r="AF21" i="42"/>
  <c r="AE21" i="42"/>
  <c r="AE21" i="43"/>
  <c r="AC4" i="44"/>
  <c r="AB4" i="44"/>
  <c r="AA4" i="44"/>
  <c r="Z4" i="44"/>
  <c r="Y4" i="44"/>
  <c r="T23" i="41"/>
  <c r="F23" i="41" s="1"/>
  <c r="L12" i="41"/>
  <c r="N30" i="41"/>
  <c r="L30" i="41"/>
  <c r="AF30" i="41" s="1"/>
  <c r="J30" i="41"/>
  <c r="N3" i="41"/>
  <c r="L3" i="41"/>
  <c r="AF3" i="41" s="1"/>
  <c r="J3" i="41"/>
  <c r="T17" i="41"/>
  <c r="F17" i="41" s="1"/>
  <c r="J17" i="41"/>
  <c r="N17" i="41"/>
  <c r="L17" i="41"/>
  <c r="AF17" i="41" s="1"/>
  <c r="N20" i="41"/>
  <c r="O20" i="41" s="1"/>
  <c r="AA20" i="41" s="1"/>
  <c r="L20" i="41"/>
  <c r="O33" i="41"/>
  <c r="AA33" i="41" s="1"/>
  <c r="L33" i="41"/>
  <c r="AF33" i="41"/>
  <c r="L4" i="41"/>
  <c r="M4" i="41" s="1"/>
  <c r="Z4" i="41" s="1"/>
  <c r="AL35" i="41"/>
  <c r="AK35" i="41"/>
  <c r="AI35" i="41"/>
  <c r="AH35" i="41"/>
  <c r="AG35" i="41"/>
  <c r="AF35" i="41"/>
  <c r="AE35" i="41"/>
  <c r="AB35" i="41"/>
  <c r="AL34" i="41"/>
  <c r="AK34" i="41"/>
  <c r="AI34" i="41"/>
  <c r="AH34" i="41"/>
  <c r="AG34" i="41"/>
  <c r="AF34" i="41"/>
  <c r="AE34" i="41"/>
  <c r="AL33" i="41"/>
  <c r="AK33" i="41"/>
  <c r="AI33" i="41"/>
  <c r="AH33" i="41"/>
  <c r="AE33" i="41"/>
  <c r="AL32" i="41"/>
  <c r="AK32" i="41"/>
  <c r="AI32" i="41"/>
  <c r="AH32" i="41"/>
  <c r="AG32" i="41"/>
  <c r="AF32" i="41"/>
  <c r="AE32" i="41"/>
  <c r="AL31" i="41"/>
  <c r="AK31" i="41"/>
  <c r="AI31" i="41"/>
  <c r="AH31" i="41"/>
  <c r="AG31" i="41"/>
  <c r="AF31" i="41"/>
  <c r="AE31" i="41"/>
  <c r="AC31" i="41"/>
  <c r="AB31" i="41"/>
  <c r="AA31" i="41"/>
  <c r="Z31" i="41"/>
  <c r="Y31" i="41"/>
  <c r="AL30" i="41"/>
  <c r="AK30" i="41"/>
  <c r="AI30" i="41"/>
  <c r="AH30" i="41"/>
  <c r="AG30" i="41"/>
  <c r="AE30" i="41"/>
  <c r="AL26" i="41"/>
  <c r="AK26" i="41"/>
  <c r="AI26" i="41"/>
  <c r="AH26" i="41"/>
  <c r="AG26" i="41"/>
  <c r="AF26" i="41"/>
  <c r="AE26" i="41"/>
  <c r="AL25" i="41"/>
  <c r="AK25" i="41"/>
  <c r="AI25" i="41"/>
  <c r="AH25" i="41"/>
  <c r="AG25" i="41"/>
  <c r="AF25" i="41"/>
  <c r="AE25" i="41"/>
  <c r="AL24" i="41"/>
  <c r="AK24" i="41"/>
  <c r="AI24" i="41"/>
  <c r="AH24" i="41"/>
  <c r="AG24" i="41"/>
  <c r="AF24" i="41"/>
  <c r="AE24" i="41"/>
  <c r="Z24" i="41"/>
  <c r="AL23" i="41"/>
  <c r="AK23" i="41"/>
  <c r="AI23" i="41"/>
  <c r="AH23" i="41"/>
  <c r="AG23" i="41"/>
  <c r="AF23" i="41"/>
  <c r="AE23" i="41"/>
  <c r="AL22" i="41"/>
  <c r="AK22" i="41"/>
  <c r="AI22" i="41"/>
  <c r="AH22" i="41"/>
  <c r="AG22" i="41"/>
  <c r="AF22" i="41"/>
  <c r="AE22" i="41"/>
  <c r="AL21" i="41"/>
  <c r="AK21" i="41"/>
  <c r="AI21" i="41"/>
  <c r="AH21" i="41"/>
  <c r="AG21" i="41"/>
  <c r="AF21" i="41"/>
  <c r="AE21" i="41"/>
  <c r="AL20" i="41"/>
  <c r="AK20" i="41"/>
  <c r="AI20" i="41"/>
  <c r="AH20" i="41"/>
  <c r="AG20" i="41"/>
  <c r="AF20" i="41"/>
  <c r="AE20" i="41"/>
  <c r="AL19" i="41"/>
  <c r="AK19" i="41"/>
  <c r="AI19" i="41"/>
  <c r="AH19" i="41"/>
  <c r="AG19" i="41"/>
  <c r="AF19" i="41"/>
  <c r="AE19" i="41"/>
  <c r="AL18" i="41"/>
  <c r="AK18" i="41"/>
  <c r="AI18" i="41"/>
  <c r="AH18" i="41"/>
  <c r="AG18" i="41"/>
  <c r="AF18" i="41"/>
  <c r="AE18" i="41"/>
  <c r="AL17" i="41"/>
  <c r="AK17" i="41"/>
  <c r="AI17" i="41"/>
  <c r="AH17" i="41"/>
  <c r="AG17" i="41"/>
  <c r="AE17" i="41"/>
  <c r="AB17" i="41"/>
  <c r="AL13" i="41"/>
  <c r="AK13" i="41"/>
  <c r="AI13" i="41"/>
  <c r="AH13" i="41"/>
  <c r="AG13" i="41"/>
  <c r="AF13" i="41"/>
  <c r="AE13" i="41"/>
  <c r="AL12" i="41"/>
  <c r="AK12" i="41"/>
  <c r="AI12" i="41"/>
  <c r="AH12" i="41"/>
  <c r="AG12" i="41"/>
  <c r="AF12" i="41"/>
  <c r="AE12" i="41"/>
  <c r="AL11" i="41"/>
  <c r="AK11" i="41"/>
  <c r="AI11" i="41"/>
  <c r="AH11" i="41"/>
  <c r="AG11" i="41"/>
  <c r="AF11" i="41"/>
  <c r="AE11" i="41"/>
  <c r="AL10" i="41"/>
  <c r="AK10" i="41"/>
  <c r="AI10" i="41"/>
  <c r="AH10" i="41"/>
  <c r="AG10" i="41"/>
  <c r="AF10" i="41"/>
  <c r="AE10" i="41"/>
  <c r="AL9" i="41"/>
  <c r="AK9" i="41"/>
  <c r="AI9" i="41"/>
  <c r="AH9" i="41"/>
  <c r="AG9" i="41"/>
  <c r="AF9" i="41"/>
  <c r="AE9" i="41"/>
  <c r="AC9" i="41"/>
  <c r="AL8" i="41"/>
  <c r="AK8" i="41"/>
  <c r="AI8" i="41"/>
  <c r="AH8" i="41"/>
  <c r="AG8" i="41"/>
  <c r="AF8" i="41"/>
  <c r="AE8" i="41"/>
  <c r="AL7" i="41"/>
  <c r="AK7" i="41"/>
  <c r="AI7" i="41"/>
  <c r="AH7" i="41"/>
  <c r="AG7" i="41"/>
  <c r="AF7" i="41"/>
  <c r="AE7" i="41"/>
  <c r="AA7" i="41"/>
  <c r="AL6" i="41"/>
  <c r="AK6" i="41"/>
  <c r="AI6" i="41"/>
  <c r="AH6" i="41"/>
  <c r="AG6" i="41"/>
  <c r="AF6" i="41"/>
  <c r="AE6" i="41"/>
  <c r="AL5" i="41"/>
  <c r="AK5" i="41"/>
  <c r="AI5" i="41"/>
  <c r="AH5" i="41"/>
  <c r="AG5" i="41"/>
  <c r="AF5" i="41"/>
  <c r="AE5" i="41"/>
  <c r="AL4" i="41"/>
  <c r="AK4" i="41"/>
  <c r="AI4" i="41"/>
  <c r="AH4" i="41"/>
  <c r="AG4" i="41"/>
  <c r="AE4" i="41"/>
  <c r="AL3" i="41"/>
  <c r="AK3" i="41"/>
  <c r="AI3" i="41"/>
  <c r="AH3" i="41"/>
  <c r="AG3" i="41"/>
  <c r="AE3" i="41"/>
  <c r="Z3" i="41"/>
  <c r="I36" i="44"/>
  <c r="U35" i="44"/>
  <c r="S35" i="44"/>
  <c r="Q35" i="44"/>
  <c r="O35" i="44"/>
  <c r="M35" i="44"/>
  <c r="K35" i="44"/>
  <c r="F35" i="44"/>
  <c r="U34" i="44"/>
  <c r="S34" i="44"/>
  <c r="Q34" i="44"/>
  <c r="O34" i="44"/>
  <c r="M34" i="44"/>
  <c r="K34" i="44"/>
  <c r="F34" i="44"/>
  <c r="U33" i="44"/>
  <c r="S33" i="44"/>
  <c r="Q33" i="44"/>
  <c r="O33" i="44"/>
  <c r="M33" i="44"/>
  <c r="K33" i="44"/>
  <c r="F33" i="44"/>
  <c r="U32" i="44"/>
  <c r="S32" i="44"/>
  <c r="Q32" i="44"/>
  <c r="O32" i="44"/>
  <c r="M32" i="44"/>
  <c r="K32" i="44"/>
  <c r="F32" i="44"/>
  <c r="U31" i="44"/>
  <c r="S31" i="44"/>
  <c r="Q31" i="44"/>
  <c r="O31" i="44"/>
  <c r="M31" i="44"/>
  <c r="K31" i="44"/>
  <c r="F31" i="44"/>
  <c r="U30" i="44"/>
  <c r="S30" i="44"/>
  <c r="Q30" i="44"/>
  <c r="O30" i="44"/>
  <c r="M30" i="44"/>
  <c r="K30" i="44"/>
  <c r="F30" i="44"/>
  <c r="I27" i="44"/>
  <c r="U26" i="44"/>
  <c r="S26" i="44"/>
  <c r="Q26" i="44"/>
  <c r="M26" i="44"/>
  <c r="K26" i="44"/>
  <c r="F26" i="44"/>
  <c r="U25" i="44"/>
  <c r="S25" i="44"/>
  <c r="Q25" i="44"/>
  <c r="M25" i="44"/>
  <c r="K25" i="44"/>
  <c r="F25" i="44"/>
  <c r="U24" i="44"/>
  <c r="S24" i="44"/>
  <c r="Q24" i="44"/>
  <c r="M24" i="44"/>
  <c r="K24" i="44"/>
  <c r="F24" i="44"/>
  <c r="U23" i="44"/>
  <c r="S23" i="44"/>
  <c r="Q23" i="44"/>
  <c r="M23" i="44"/>
  <c r="K23" i="44"/>
  <c r="F23" i="44"/>
  <c r="U22" i="44"/>
  <c r="S22" i="44"/>
  <c r="Q22" i="44"/>
  <c r="M22" i="44"/>
  <c r="K22" i="44"/>
  <c r="F22" i="44"/>
  <c r="U21" i="44"/>
  <c r="S21" i="44"/>
  <c r="Q21" i="44"/>
  <c r="M21" i="44"/>
  <c r="K21" i="44"/>
  <c r="F21" i="44"/>
  <c r="U20" i="44"/>
  <c r="S20" i="44"/>
  <c r="Q20" i="44"/>
  <c r="M20" i="44"/>
  <c r="K20" i="44"/>
  <c r="F20" i="44"/>
  <c r="U19" i="44"/>
  <c r="S19" i="44"/>
  <c r="Q19" i="44"/>
  <c r="M19" i="44"/>
  <c r="K19" i="44"/>
  <c r="F19" i="44"/>
  <c r="U18" i="44"/>
  <c r="S18" i="44"/>
  <c r="Q18" i="44"/>
  <c r="M18" i="44"/>
  <c r="K18" i="44"/>
  <c r="F18" i="44"/>
  <c r="U17" i="44"/>
  <c r="S17" i="44"/>
  <c r="Q17" i="44"/>
  <c r="M17" i="44"/>
  <c r="K17" i="44"/>
  <c r="F17" i="44"/>
  <c r="I14" i="44"/>
  <c r="U13" i="44"/>
  <c r="S13" i="44"/>
  <c r="Q13" i="44"/>
  <c r="O13" i="44"/>
  <c r="M13" i="44"/>
  <c r="K13" i="44"/>
  <c r="F13" i="44"/>
  <c r="U12" i="44"/>
  <c r="S12" i="44"/>
  <c r="Q12" i="44"/>
  <c r="O12" i="44"/>
  <c r="M12" i="44"/>
  <c r="K12" i="44"/>
  <c r="F12" i="44"/>
  <c r="U11" i="44"/>
  <c r="S11" i="44"/>
  <c r="Q11" i="44"/>
  <c r="O11" i="44"/>
  <c r="M11" i="44"/>
  <c r="K11" i="44"/>
  <c r="F11" i="44"/>
  <c r="U10" i="44"/>
  <c r="S10" i="44"/>
  <c r="Q10" i="44"/>
  <c r="O10" i="44"/>
  <c r="M10" i="44"/>
  <c r="K10" i="44"/>
  <c r="F10" i="44"/>
  <c r="U9" i="44"/>
  <c r="S9" i="44"/>
  <c r="Q9" i="44"/>
  <c r="AB9" i="44" s="1"/>
  <c r="O9" i="44"/>
  <c r="AA9" i="44" s="1"/>
  <c r="M9" i="44"/>
  <c r="Z9" i="44" s="1"/>
  <c r="K9" i="44"/>
  <c r="Y9" i="44" s="1"/>
  <c r="F9" i="44"/>
  <c r="U8" i="44"/>
  <c r="S8" i="44"/>
  <c r="Q8" i="44"/>
  <c r="O8" i="44"/>
  <c r="M8" i="44"/>
  <c r="K8" i="44"/>
  <c r="F8" i="44"/>
  <c r="U7" i="44"/>
  <c r="S7" i="44"/>
  <c r="AC7" i="44" s="1"/>
  <c r="Q7" i="44"/>
  <c r="AB7" i="44" s="1"/>
  <c r="O7" i="44"/>
  <c r="AA7" i="44" s="1"/>
  <c r="M7" i="44"/>
  <c r="Z7" i="44" s="1"/>
  <c r="K7" i="44"/>
  <c r="Y7" i="44" s="1"/>
  <c r="F7" i="44"/>
  <c r="U6" i="44"/>
  <c r="S6" i="44"/>
  <c r="S40" i="44" s="1"/>
  <c r="S41" i="44" s="1"/>
  <c r="Q6" i="44"/>
  <c r="Q40" i="44" s="1"/>
  <c r="Q41" i="44" s="1"/>
  <c r="O6" i="44"/>
  <c r="O40" i="44" s="1"/>
  <c r="O41" i="44" s="1"/>
  <c r="M6" i="44"/>
  <c r="M40" i="44" s="1"/>
  <c r="M41" i="44" s="1"/>
  <c r="K6" i="44"/>
  <c r="K40" i="44" s="1"/>
  <c r="K41" i="44" s="1"/>
  <c r="F6" i="44"/>
  <c r="U5" i="44"/>
  <c r="S5" i="44"/>
  <c r="Q5" i="44"/>
  <c r="O5" i="44"/>
  <c r="M5" i="44"/>
  <c r="K5" i="44"/>
  <c r="F5" i="44"/>
  <c r="U4" i="44"/>
  <c r="F4" i="44"/>
  <c r="U3" i="44"/>
  <c r="S3" i="44"/>
  <c r="Q3" i="44"/>
  <c r="O3" i="44"/>
  <c r="M3" i="44"/>
  <c r="K3" i="44"/>
  <c r="F3" i="44"/>
  <c r="I36" i="43"/>
  <c r="U35" i="43"/>
  <c r="F35" i="43"/>
  <c r="U34" i="43"/>
  <c r="S34" i="43"/>
  <c r="Q34" i="43"/>
  <c r="O34" i="43"/>
  <c r="M34" i="43"/>
  <c r="K34" i="43"/>
  <c r="F34" i="43"/>
  <c r="U33" i="43"/>
  <c r="S33" i="43"/>
  <c r="Q33" i="43"/>
  <c r="O33" i="43"/>
  <c r="M33" i="43"/>
  <c r="K33" i="43"/>
  <c r="F33" i="43"/>
  <c r="U32" i="43"/>
  <c r="S32" i="43"/>
  <c r="Q32" i="43"/>
  <c r="O32" i="43"/>
  <c r="M32" i="43"/>
  <c r="K32" i="43"/>
  <c r="F32" i="43"/>
  <c r="U31" i="43"/>
  <c r="S31" i="43"/>
  <c r="Q31" i="43"/>
  <c r="O31" i="43"/>
  <c r="M31" i="43"/>
  <c r="K31" i="43"/>
  <c r="F31" i="43"/>
  <c r="U30" i="43"/>
  <c r="S30" i="43"/>
  <c r="Q30" i="43"/>
  <c r="O30" i="43"/>
  <c r="M30" i="43"/>
  <c r="K30" i="43"/>
  <c r="F30" i="43"/>
  <c r="I27" i="43"/>
  <c r="U26" i="43"/>
  <c r="S26" i="43"/>
  <c r="Q26" i="43"/>
  <c r="O26" i="43"/>
  <c r="M26" i="43"/>
  <c r="K26" i="43"/>
  <c r="F26" i="43"/>
  <c r="U25" i="43"/>
  <c r="S25" i="43"/>
  <c r="Q25" i="43"/>
  <c r="O25" i="43"/>
  <c r="M25" i="43"/>
  <c r="K25" i="43"/>
  <c r="F25" i="43"/>
  <c r="U24" i="43"/>
  <c r="S24" i="43"/>
  <c r="Q24" i="43"/>
  <c r="O24" i="43"/>
  <c r="M24" i="43"/>
  <c r="K24" i="43"/>
  <c r="F24" i="43"/>
  <c r="U23" i="43"/>
  <c r="S23" i="43"/>
  <c r="Q23" i="43"/>
  <c r="O23" i="43"/>
  <c r="M23" i="43"/>
  <c r="K23" i="43"/>
  <c r="F23" i="43"/>
  <c r="U22" i="43"/>
  <c r="S22" i="43"/>
  <c r="Q22" i="43"/>
  <c r="O22" i="43"/>
  <c r="M22" i="43"/>
  <c r="K22" i="43"/>
  <c r="F22" i="43"/>
  <c r="U21" i="43"/>
  <c r="S21" i="43"/>
  <c r="Q21" i="43"/>
  <c r="O21" i="43"/>
  <c r="M21" i="43"/>
  <c r="K21" i="43"/>
  <c r="F21" i="43"/>
  <c r="U20" i="43"/>
  <c r="S20" i="43"/>
  <c r="Q20" i="43"/>
  <c r="O20" i="43"/>
  <c r="M20" i="43"/>
  <c r="K20" i="43"/>
  <c r="F20" i="43"/>
  <c r="U19" i="43"/>
  <c r="S19" i="43"/>
  <c r="Q19" i="43"/>
  <c r="O19" i="43"/>
  <c r="M19" i="43"/>
  <c r="K19" i="43"/>
  <c r="F19" i="43"/>
  <c r="U18" i="43"/>
  <c r="S18" i="43"/>
  <c r="Q18" i="43"/>
  <c r="O18" i="43"/>
  <c r="M18" i="43"/>
  <c r="K18" i="43"/>
  <c r="F18" i="43"/>
  <c r="U17" i="43"/>
  <c r="S17" i="43"/>
  <c r="Q17" i="43"/>
  <c r="O17" i="43"/>
  <c r="M17" i="43"/>
  <c r="K17" i="43"/>
  <c r="F17" i="43"/>
  <c r="I14" i="43"/>
  <c r="U13" i="43"/>
  <c r="S13" i="43"/>
  <c r="Q13" i="43"/>
  <c r="O13" i="43"/>
  <c r="M13" i="43"/>
  <c r="K13" i="43"/>
  <c r="F13" i="43"/>
  <c r="U12" i="43"/>
  <c r="S12" i="43"/>
  <c r="Q12" i="43"/>
  <c r="O12" i="43"/>
  <c r="M12" i="43"/>
  <c r="K12" i="43"/>
  <c r="F12" i="43"/>
  <c r="U11" i="43"/>
  <c r="S11" i="43"/>
  <c r="Q11" i="43"/>
  <c r="O11" i="43"/>
  <c r="M11" i="43"/>
  <c r="K11" i="43"/>
  <c r="F11" i="43"/>
  <c r="U10" i="43"/>
  <c r="S10" i="43"/>
  <c r="Q10" i="43"/>
  <c r="O10" i="43"/>
  <c r="M10" i="43"/>
  <c r="K10" i="43"/>
  <c r="F10" i="43"/>
  <c r="U9" i="43"/>
  <c r="S9" i="43"/>
  <c r="Q9" i="43"/>
  <c r="O9" i="43"/>
  <c r="M9" i="43"/>
  <c r="K9" i="43"/>
  <c r="U8" i="43"/>
  <c r="S8" i="43"/>
  <c r="Q8" i="43"/>
  <c r="AB8" i="43" s="1"/>
  <c r="O8" i="43"/>
  <c r="AA8" i="43" s="1"/>
  <c r="M8" i="43"/>
  <c r="Z8" i="43" s="1"/>
  <c r="K8" i="43"/>
  <c r="Y8" i="43" s="1"/>
  <c r="F8" i="43"/>
  <c r="U7" i="43"/>
  <c r="S7" i="43"/>
  <c r="Q7" i="43"/>
  <c r="O7" i="43"/>
  <c r="M7" i="43"/>
  <c r="K7" i="43"/>
  <c r="F7" i="43"/>
  <c r="U6" i="43"/>
  <c r="U5" i="43"/>
  <c r="S5" i="43"/>
  <c r="Q5" i="43"/>
  <c r="O5" i="43"/>
  <c r="M5" i="43"/>
  <c r="K5" i="43"/>
  <c r="F5" i="43"/>
  <c r="U4" i="43"/>
  <c r="F4" i="43"/>
  <c r="U3" i="43"/>
  <c r="S3" i="43"/>
  <c r="Q3" i="43"/>
  <c r="O3" i="43"/>
  <c r="M3" i="43"/>
  <c r="K3" i="43"/>
  <c r="F3" i="43"/>
  <c r="I36" i="42"/>
  <c r="AL36" i="42" s="1"/>
  <c r="AL35" i="42"/>
  <c r="AK35" i="42"/>
  <c r="U35" i="42"/>
  <c r="F35" i="42"/>
  <c r="AL34" i="42"/>
  <c r="AK34" i="42"/>
  <c r="U34" i="42"/>
  <c r="S34" i="42"/>
  <c r="Q34" i="42"/>
  <c r="O34" i="42"/>
  <c r="M34" i="42"/>
  <c r="K34" i="42"/>
  <c r="F34" i="42"/>
  <c r="AL33" i="42"/>
  <c r="AK33" i="42"/>
  <c r="U33" i="42"/>
  <c r="S33" i="42"/>
  <c r="Q33" i="42"/>
  <c r="O33" i="42"/>
  <c r="M33" i="42"/>
  <c r="K33" i="42"/>
  <c r="F33" i="42"/>
  <c r="AL32" i="42"/>
  <c r="AK32" i="42"/>
  <c r="U32" i="42"/>
  <c r="S32" i="42"/>
  <c r="Q32" i="42"/>
  <c r="O32" i="42"/>
  <c r="M32" i="42"/>
  <c r="K32" i="42"/>
  <c r="F32" i="42"/>
  <c r="AL31" i="42"/>
  <c r="AK31" i="42"/>
  <c r="U31" i="42"/>
  <c r="S31" i="42"/>
  <c r="Q31" i="42"/>
  <c r="O31" i="42"/>
  <c r="M31" i="42"/>
  <c r="K31" i="42"/>
  <c r="F31" i="42"/>
  <c r="AL30" i="42"/>
  <c r="AK30" i="42"/>
  <c r="U30" i="42"/>
  <c r="S30" i="42"/>
  <c r="Q30" i="42"/>
  <c r="O30" i="42"/>
  <c r="M30" i="42"/>
  <c r="K30" i="42"/>
  <c r="F30" i="42"/>
  <c r="I27" i="42"/>
  <c r="AL27" i="42" s="1"/>
  <c r="AL26" i="42"/>
  <c r="AK26" i="42"/>
  <c r="U26" i="42"/>
  <c r="S26" i="42"/>
  <c r="Q26" i="42"/>
  <c r="O26" i="42"/>
  <c r="M26" i="42"/>
  <c r="K26" i="42"/>
  <c r="F26" i="42"/>
  <c r="AL25" i="42"/>
  <c r="AK25" i="42"/>
  <c r="U25" i="42"/>
  <c r="S25" i="42"/>
  <c r="Q25" i="42"/>
  <c r="AB25" i="42" s="1"/>
  <c r="O25" i="42"/>
  <c r="AA25" i="42" s="1"/>
  <c r="M25" i="42"/>
  <c r="Z25" i="42" s="1"/>
  <c r="K25" i="42"/>
  <c r="Y25" i="42" s="1"/>
  <c r="F25" i="42"/>
  <c r="AL24" i="42"/>
  <c r="AK24" i="42"/>
  <c r="U24" i="42"/>
  <c r="S24" i="42"/>
  <c r="Q24" i="42"/>
  <c r="O24" i="42"/>
  <c r="M24" i="42"/>
  <c r="K24" i="42"/>
  <c r="F24" i="42"/>
  <c r="AL23" i="42"/>
  <c r="AK23" i="42"/>
  <c r="U23" i="42"/>
  <c r="S23" i="42"/>
  <c r="Q23" i="42"/>
  <c r="O23" i="42"/>
  <c r="M23" i="42"/>
  <c r="K23" i="42"/>
  <c r="F23" i="42"/>
  <c r="AL22" i="42"/>
  <c r="AK22" i="42"/>
  <c r="U22" i="42"/>
  <c r="S22" i="42"/>
  <c r="Q22" i="42"/>
  <c r="O22" i="42"/>
  <c r="M22" i="42"/>
  <c r="K22" i="42"/>
  <c r="F22" i="42"/>
  <c r="AL21" i="42"/>
  <c r="AK21" i="42"/>
  <c r="U21" i="42"/>
  <c r="S21" i="42"/>
  <c r="Q21" i="42"/>
  <c r="AB21" i="42" s="1"/>
  <c r="O21" i="42"/>
  <c r="AA21" i="42" s="1"/>
  <c r="M21" i="42"/>
  <c r="Z21" i="42" s="1"/>
  <c r="K21" i="42"/>
  <c r="Y21" i="42" s="1"/>
  <c r="F21" i="42"/>
  <c r="AL20" i="42"/>
  <c r="AK20" i="42"/>
  <c r="U20" i="42"/>
  <c r="S20" i="42"/>
  <c r="Q20" i="42"/>
  <c r="O20" i="42"/>
  <c r="M20" i="42"/>
  <c r="K20" i="42"/>
  <c r="F20" i="42"/>
  <c r="AL19" i="42"/>
  <c r="AK19" i="42"/>
  <c r="U19" i="42"/>
  <c r="S19" i="42"/>
  <c r="Q19" i="42"/>
  <c r="O19" i="42"/>
  <c r="M19" i="42"/>
  <c r="K19" i="42"/>
  <c r="F19" i="42"/>
  <c r="AL18" i="42"/>
  <c r="AK18" i="42"/>
  <c r="U18" i="42"/>
  <c r="S18" i="42"/>
  <c r="Q18" i="42"/>
  <c r="O18" i="42"/>
  <c r="M18" i="42"/>
  <c r="K18" i="42"/>
  <c r="F18" i="42"/>
  <c r="AL17" i="42"/>
  <c r="AK17" i="42"/>
  <c r="U17" i="42"/>
  <c r="S17" i="42"/>
  <c r="Q17" i="42"/>
  <c r="O17" i="42"/>
  <c r="M17" i="42"/>
  <c r="K17" i="42"/>
  <c r="F17" i="42"/>
  <c r="I14" i="42"/>
  <c r="AL14" i="42" s="1"/>
  <c r="AL13" i="42"/>
  <c r="AK13" i="42"/>
  <c r="U13" i="42"/>
  <c r="S13" i="42"/>
  <c r="Q13" i="42"/>
  <c r="O13" i="42"/>
  <c r="M13" i="42"/>
  <c r="K13" i="42"/>
  <c r="F13" i="42"/>
  <c r="AL12" i="42"/>
  <c r="AK12" i="42"/>
  <c r="U12" i="42"/>
  <c r="S12" i="42"/>
  <c r="Q12" i="42"/>
  <c r="O12" i="42"/>
  <c r="M12" i="42"/>
  <c r="K12" i="42"/>
  <c r="F12" i="42"/>
  <c r="AL11" i="42"/>
  <c r="AK11" i="42"/>
  <c r="U11" i="42"/>
  <c r="S11" i="42"/>
  <c r="Q11" i="42"/>
  <c r="O11" i="42"/>
  <c r="M11" i="42"/>
  <c r="K11" i="42"/>
  <c r="F11" i="42"/>
  <c r="AL10" i="42"/>
  <c r="AK10" i="42"/>
  <c r="U10" i="42"/>
  <c r="S10" i="42"/>
  <c r="Q10" i="42"/>
  <c r="O10" i="42"/>
  <c r="M10" i="42"/>
  <c r="K10" i="42"/>
  <c r="F10" i="42"/>
  <c r="AL9" i="42"/>
  <c r="AK9" i="42"/>
  <c r="U9" i="42"/>
  <c r="S9" i="42"/>
  <c r="Q9" i="42"/>
  <c r="O9" i="42"/>
  <c r="M9" i="42"/>
  <c r="K9" i="42"/>
  <c r="F9" i="42"/>
  <c r="AL8" i="42"/>
  <c r="AK8" i="42"/>
  <c r="U8" i="42"/>
  <c r="S8" i="42"/>
  <c r="Q8" i="42"/>
  <c r="O8" i="42"/>
  <c r="M8" i="42"/>
  <c r="K8" i="42"/>
  <c r="F8" i="42"/>
  <c r="AL7" i="42"/>
  <c r="AK7" i="42"/>
  <c r="U7" i="42"/>
  <c r="S7" i="42"/>
  <c r="Q7" i="42"/>
  <c r="O7" i="42"/>
  <c r="M7" i="42"/>
  <c r="K7" i="42"/>
  <c r="F7" i="42"/>
  <c r="AL6" i="42"/>
  <c r="AK6" i="42"/>
  <c r="U6" i="42"/>
  <c r="AL5" i="42"/>
  <c r="AK5" i="42"/>
  <c r="U5" i="42"/>
  <c r="S5" i="42"/>
  <c r="Q5" i="42"/>
  <c r="O5" i="42"/>
  <c r="M5" i="42"/>
  <c r="K5" i="42"/>
  <c r="F5" i="42"/>
  <c r="AL4" i="42"/>
  <c r="AK4" i="42"/>
  <c r="U4" i="42"/>
  <c r="AC4" i="42"/>
  <c r="AB4" i="42"/>
  <c r="AA4" i="42"/>
  <c r="Z4" i="42"/>
  <c r="Y4" i="42"/>
  <c r="F4" i="42"/>
  <c r="AL3" i="42"/>
  <c r="AK3" i="42"/>
  <c r="U3" i="42"/>
  <c r="S3" i="42"/>
  <c r="Q3" i="42"/>
  <c r="O3" i="42"/>
  <c r="M3" i="42"/>
  <c r="K3" i="42"/>
  <c r="F3" i="42"/>
  <c r="I36" i="41"/>
  <c r="AL36" i="41" s="1"/>
  <c r="U35" i="41"/>
  <c r="S35" i="41"/>
  <c r="AC35" i="41" s="1"/>
  <c r="Q35" i="41"/>
  <c r="O35" i="41"/>
  <c r="AA35" i="41" s="1"/>
  <c r="M35" i="41"/>
  <c r="Z35" i="41" s="1"/>
  <c r="K35" i="41"/>
  <c r="Y35" i="41" s="1"/>
  <c r="F35" i="41"/>
  <c r="U34" i="41"/>
  <c r="S34" i="41"/>
  <c r="AC34" i="41" s="1"/>
  <c r="Q34" i="41"/>
  <c r="AB34" i="41" s="1"/>
  <c r="O34" i="41"/>
  <c r="AA34" i="41" s="1"/>
  <c r="M34" i="41"/>
  <c r="Z34" i="41" s="1"/>
  <c r="K34" i="41"/>
  <c r="Y34" i="41" s="1"/>
  <c r="F34" i="41"/>
  <c r="U33" i="41"/>
  <c r="S33" i="41"/>
  <c r="AC33" i="41" s="1"/>
  <c r="Q33" i="41"/>
  <c r="AB33" i="41" s="1"/>
  <c r="M33" i="41"/>
  <c r="Z33" i="41" s="1"/>
  <c r="K33" i="41"/>
  <c r="Y33" i="41" s="1"/>
  <c r="U32" i="41"/>
  <c r="S32" i="41"/>
  <c r="AC32" i="41" s="1"/>
  <c r="Q32" i="41"/>
  <c r="AB32" i="41" s="1"/>
  <c r="O32" i="41"/>
  <c r="AA32" i="41" s="1"/>
  <c r="M32" i="41"/>
  <c r="Z32" i="41" s="1"/>
  <c r="K32" i="41"/>
  <c r="Y32" i="41" s="1"/>
  <c r="F32" i="41"/>
  <c r="U31" i="41"/>
  <c r="S31" i="41"/>
  <c r="Q31" i="41"/>
  <c r="O31" i="41"/>
  <c r="M31" i="41"/>
  <c r="K31" i="41"/>
  <c r="F31" i="41"/>
  <c r="U30" i="41"/>
  <c r="S30" i="41"/>
  <c r="AC30" i="41" s="1"/>
  <c r="Q30" i="41"/>
  <c r="AB30" i="41" s="1"/>
  <c r="O30" i="41"/>
  <c r="AA30" i="41" s="1"/>
  <c r="K30" i="41"/>
  <c r="Y30" i="41" s="1"/>
  <c r="F30" i="41"/>
  <c r="I27" i="41"/>
  <c r="AL27" i="41" s="1"/>
  <c r="U26" i="41"/>
  <c r="S26" i="41"/>
  <c r="AC26" i="41" s="1"/>
  <c r="Q26" i="41"/>
  <c r="AB26" i="41" s="1"/>
  <c r="O26" i="41"/>
  <c r="AA26" i="41" s="1"/>
  <c r="M26" i="41"/>
  <c r="Z26" i="41" s="1"/>
  <c r="K26" i="41"/>
  <c r="Y26" i="41" s="1"/>
  <c r="F26" i="41"/>
  <c r="U25" i="41"/>
  <c r="S25" i="41"/>
  <c r="AC25" i="41" s="1"/>
  <c r="Q25" i="41"/>
  <c r="AB25" i="41" s="1"/>
  <c r="O25" i="41"/>
  <c r="AA25" i="41" s="1"/>
  <c r="M25" i="41"/>
  <c r="Z25" i="41" s="1"/>
  <c r="K25" i="41"/>
  <c r="Y25" i="41" s="1"/>
  <c r="F25" i="41"/>
  <c r="U24" i="41"/>
  <c r="S24" i="41"/>
  <c r="AC24" i="41" s="1"/>
  <c r="Q24" i="41"/>
  <c r="AB24" i="41" s="1"/>
  <c r="O24" i="41"/>
  <c r="AA24" i="41" s="1"/>
  <c r="M24" i="41"/>
  <c r="K24" i="41"/>
  <c r="Y24" i="41" s="1"/>
  <c r="F24" i="41"/>
  <c r="U23" i="41"/>
  <c r="S23" i="41"/>
  <c r="AC23" i="41" s="1"/>
  <c r="Q23" i="41"/>
  <c r="AB23" i="41" s="1"/>
  <c r="O23" i="41"/>
  <c r="AA23" i="41" s="1"/>
  <c r="M23" i="41"/>
  <c r="Z23" i="41" s="1"/>
  <c r="K23" i="41"/>
  <c r="Y23" i="41" s="1"/>
  <c r="U22" i="41"/>
  <c r="S22" i="41"/>
  <c r="AC22" i="41" s="1"/>
  <c r="Q22" i="41"/>
  <c r="AB22" i="41" s="1"/>
  <c r="O22" i="41"/>
  <c r="AA22" i="41" s="1"/>
  <c r="M22" i="41"/>
  <c r="Z22" i="41" s="1"/>
  <c r="K22" i="41"/>
  <c r="Y22" i="41" s="1"/>
  <c r="F22" i="41"/>
  <c r="U21" i="41"/>
  <c r="S21" i="41"/>
  <c r="AC21" i="41" s="1"/>
  <c r="Q21" i="41"/>
  <c r="AB21" i="41" s="1"/>
  <c r="O21" i="41"/>
  <c r="AA21" i="41" s="1"/>
  <c r="M21" i="41"/>
  <c r="Z21" i="41" s="1"/>
  <c r="K21" i="41"/>
  <c r="Y21" i="41" s="1"/>
  <c r="F21" i="41"/>
  <c r="U20" i="41"/>
  <c r="S20" i="41"/>
  <c r="AC20" i="41" s="1"/>
  <c r="Q20" i="41"/>
  <c r="AB20" i="41" s="1"/>
  <c r="M20" i="41"/>
  <c r="Z20" i="41" s="1"/>
  <c r="K20" i="41"/>
  <c r="Y20" i="41" s="1"/>
  <c r="F20" i="41"/>
  <c r="U19" i="41"/>
  <c r="S19" i="41"/>
  <c r="AC19" i="41" s="1"/>
  <c r="Q19" i="41"/>
  <c r="AB19" i="41" s="1"/>
  <c r="O19" i="41"/>
  <c r="AA19" i="41" s="1"/>
  <c r="M19" i="41"/>
  <c r="Z19" i="41" s="1"/>
  <c r="K19" i="41"/>
  <c r="Y19" i="41" s="1"/>
  <c r="F19" i="41"/>
  <c r="U18" i="41"/>
  <c r="S18" i="41"/>
  <c r="AC18" i="41" s="1"/>
  <c r="Q18" i="41"/>
  <c r="AB18" i="41" s="1"/>
  <c r="O18" i="41"/>
  <c r="AA18" i="41" s="1"/>
  <c r="M18" i="41"/>
  <c r="Z18" i="41" s="1"/>
  <c r="K18" i="41"/>
  <c r="Y18" i="41" s="1"/>
  <c r="F18" i="41"/>
  <c r="U17" i="41"/>
  <c r="S17" i="41"/>
  <c r="AC17" i="41" s="1"/>
  <c r="Q17" i="41"/>
  <c r="O17" i="41"/>
  <c r="AA17" i="41" s="1"/>
  <c r="K17" i="41"/>
  <c r="Y17" i="41" s="1"/>
  <c r="I14" i="41"/>
  <c r="AK14" i="41" s="1"/>
  <c r="U13" i="41"/>
  <c r="S13" i="41"/>
  <c r="AC13" i="41" s="1"/>
  <c r="Q13" i="41"/>
  <c r="AB13" i="41" s="1"/>
  <c r="O13" i="41"/>
  <c r="AA13" i="41" s="1"/>
  <c r="M13" i="41"/>
  <c r="Z13" i="41" s="1"/>
  <c r="K13" i="41"/>
  <c r="Y13" i="41" s="1"/>
  <c r="F13" i="41"/>
  <c r="U12" i="41"/>
  <c r="S12" i="41"/>
  <c r="AC12" i="41" s="1"/>
  <c r="Q12" i="41"/>
  <c r="AB12" i="41" s="1"/>
  <c r="O12" i="41"/>
  <c r="AA12" i="41" s="1"/>
  <c r="M12" i="41"/>
  <c r="Z12" i="41" s="1"/>
  <c r="K12" i="41"/>
  <c r="Y12" i="41" s="1"/>
  <c r="F12" i="41"/>
  <c r="U11" i="41"/>
  <c r="S11" i="41"/>
  <c r="AC11" i="41" s="1"/>
  <c r="Q11" i="41"/>
  <c r="AB11" i="41" s="1"/>
  <c r="O11" i="41"/>
  <c r="AA11" i="41" s="1"/>
  <c r="M11" i="41"/>
  <c r="Z11" i="41" s="1"/>
  <c r="K11" i="41"/>
  <c r="Y11" i="41" s="1"/>
  <c r="F11" i="41"/>
  <c r="U10" i="41"/>
  <c r="S10" i="41"/>
  <c r="AC10" i="41" s="1"/>
  <c r="Q10" i="41"/>
  <c r="AB10" i="41" s="1"/>
  <c r="O10" i="41"/>
  <c r="AA10" i="41" s="1"/>
  <c r="M10" i="41"/>
  <c r="Z10" i="41" s="1"/>
  <c r="K10" i="41"/>
  <c r="Y10" i="41" s="1"/>
  <c r="F10" i="41"/>
  <c r="U9" i="41"/>
  <c r="S9" i="41"/>
  <c r="Q9" i="41"/>
  <c r="AB9" i="41" s="1"/>
  <c r="O9" i="41"/>
  <c r="AA9" i="41" s="1"/>
  <c r="M9" i="41"/>
  <c r="Z9" i="41" s="1"/>
  <c r="K9" i="41"/>
  <c r="Y9" i="41" s="1"/>
  <c r="F9" i="41"/>
  <c r="U8" i="41"/>
  <c r="S8" i="41"/>
  <c r="AC8" i="41" s="1"/>
  <c r="Q8" i="41"/>
  <c r="AB8" i="41" s="1"/>
  <c r="O8" i="41"/>
  <c r="AA8" i="41" s="1"/>
  <c r="M8" i="41"/>
  <c r="Z8" i="41" s="1"/>
  <c r="K8" i="41"/>
  <c r="Y8" i="41" s="1"/>
  <c r="F8" i="41"/>
  <c r="U7" i="41"/>
  <c r="S7" i="41"/>
  <c r="AC7" i="41" s="1"/>
  <c r="Q7" i="41"/>
  <c r="AB7" i="41" s="1"/>
  <c r="O7" i="41"/>
  <c r="M7" i="41"/>
  <c r="Z7" i="41" s="1"/>
  <c r="K7" i="41"/>
  <c r="Y7" i="41" s="1"/>
  <c r="F7" i="41"/>
  <c r="U6" i="41"/>
  <c r="S6" i="41"/>
  <c r="AC6" i="41" s="1"/>
  <c r="Q6" i="41"/>
  <c r="AB6" i="41" s="1"/>
  <c r="O6" i="41"/>
  <c r="AA6" i="41" s="1"/>
  <c r="M6" i="41"/>
  <c r="Z6" i="41" s="1"/>
  <c r="K6" i="41"/>
  <c r="Y6" i="41" s="1"/>
  <c r="F6" i="41"/>
  <c r="U5" i="41"/>
  <c r="S5" i="41"/>
  <c r="AC5" i="41" s="1"/>
  <c r="Q5" i="41"/>
  <c r="AB5" i="41" s="1"/>
  <c r="O5" i="41"/>
  <c r="AA5" i="41" s="1"/>
  <c r="M5" i="41"/>
  <c r="Z5" i="41" s="1"/>
  <c r="K5" i="41"/>
  <c r="Y5" i="41" s="1"/>
  <c r="F5" i="41"/>
  <c r="U4" i="41"/>
  <c r="S4" i="41"/>
  <c r="AC4" i="41" s="1"/>
  <c r="Q4" i="41"/>
  <c r="AB4" i="41" s="1"/>
  <c r="O4" i="41"/>
  <c r="AA4" i="41" s="1"/>
  <c r="K4" i="41"/>
  <c r="Y4" i="41" s="1"/>
  <c r="F4" i="41"/>
  <c r="U3" i="41"/>
  <c r="S3" i="41"/>
  <c r="AC3" i="41" s="1"/>
  <c r="Q3" i="41"/>
  <c r="AB3" i="41" s="1"/>
  <c r="O3" i="41"/>
  <c r="AA3" i="41" s="1"/>
  <c r="M3" i="41"/>
  <c r="K3" i="41"/>
  <c r="Y3" i="41" s="1"/>
  <c r="F3" i="41"/>
  <c r="AA21" i="43" l="1"/>
  <c r="AA21" i="44"/>
  <c r="AB21" i="43"/>
  <c r="AB21" i="44"/>
  <c r="AC21" i="43"/>
  <c r="AC21" i="44"/>
  <c r="Y21" i="44"/>
  <c r="Y21" i="43"/>
  <c r="Z21" i="43"/>
  <c r="Z21" i="44"/>
  <c r="Z26" i="44"/>
  <c r="Z26" i="43"/>
  <c r="Y26" i="44"/>
  <c r="Y26" i="43"/>
  <c r="AB26" i="44"/>
  <c r="AB26" i="43"/>
  <c r="AA26" i="43"/>
  <c r="AA26" i="44"/>
  <c r="AC26" i="43"/>
  <c r="AC26" i="44"/>
  <c r="Y25" i="43"/>
  <c r="Y25" i="44"/>
  <c r="Z25" i="43"/>
  <c r="Z25" i="44"/>
  <c r="AA25" i="44"/>
  <c r="AA25" i="43"/>
  <c r="AB25" i="44"/>
  <c r="AB25" i="43"/>
  <c r="AC25" i="44"/>
  <c r="AC25" i="43"/>
  <c r="AL27" i="44"/>
  <c r="AK27" i="44"/>
  <c r="AL27" i="43"/>
  <c r="AK27" i="43"/>
  <c r="Y4" i="43"/>
  <c r="AC4" i="43"/>
  <c r="AB4" i="43"/>
  <c r="AA4" i="43"/>
  <c r="Z4" i="43"/>
  <c r="Z6" i="43"/>
  <c r="Z6" i="44"/>
  <c r="AA6" i="43"/>
  <c r="AA6" i="44"/>
  <c r="AB6" i="44"/>
  <c r="AB6" i="43"/>
  <c r="AC6" i="44"/>
  <c r="AC6" i="43"/>
  <c r="Y8" i="44"/>
  <c r="Z8" i="44"/>
  <c r="AA8" i="44"/>
  <c r="AB8" i="44"/>
  <c r="AL14" i="43"/>
  <c r="AK14" i="43"/>
  <c r="AC8" i="43"/>
  <c r="AC8" i="44"/>
  <c r="AL14" i="44"/>
  <c r="AK14" i="44"/>
  <c r="O36" i="42"/>
  <c r="U36" i="42"/>
  <c r="T36" i="42" s="1"/>
  <c r="Q36" i="42"/>
  <c r="AB36" i="42" s="1"/>
  <c r="M36" i="42"/>
  <c r="Z36" i="42" s="1"/>
  <c r="K36" i="42"/>
  <c r="U27" i="42"/>
  <c r="T27" i="42" s="1"/>
  <c r="M27" i="42"/>
  <c r="Z27" i="42" s="1"/>
  <c r="K27" i="42"/>
  <c r="Y27" i="42" s="1"/>
  <c r="Q27" i="42"/>
  <c r="O27" i="42"/>
  <c r="U14" i="42"/>
  <c r="T14" i="42" s="1"/>
  <c r="M14" i="42"/>
  <c r="K14" i="42"/>
  <c r="Y14" i="42" s="1"/>
  <c r="S14" i="42"/>
  <c r="M27" i="44"/>
  <c r="L27" i="44" s="1"/>
  <c r="K14" i="44"/>
  <c r="K27" i="44"/>
  <c r="J27" i="44" s="1"/>
  <c r="Q36" i="44"/>
  <c r="M14" i="44"/>
  <c r="O27" i="44"/>
  <c r="N27" i="44" s="1"/>
  <c r="U27" i="44"/>
  <c r="T27" i="44" s="1"/>
  <c r="K36" i="44"/>
  <c r="S14" i="44"/>
  <c r="U14" i="44"/>
  <c r="T14" i="44" s="1"/>
  <c r="O36" i="44"/>
  <c r="N36" i="44" s="1"/>
  <c r="M36" i="44"/>
  <c r="U36" i="44"/>
  <c r="T36" i="44" s="1"/>
  <c r="M27" i="43"/>
  <c r="O36" i="43"/>
  <c r="Q14" i="43"/>
  <c r="Q36" i="43"/>
  <c r="U27" i="43"/>
  <c r="T27" i="43" s="1"/>
  <c r="K27" i="43"/>
  <c r="U36" i="43"/>
  <c r="T36" i="43" s="1"/>
  <c r="U14" i="43"/>
  <c r="T14" i="43" s="1"/>
  <c r="S14" i="43"/>
  <c r="M14" i="43"/>
  <c r="U36" i="41"/>
  <c r="T36" i="41" s="1"/>
  <c r="M30" i="41"/>
  <c r="Z30" i="41" s="1"/>
  <c r="M17" i="41"/>
  <c r="Z17" i="41" s="1"/>
  <c r="S27" i="41"/>
  <c r="AC27" i="41" s="1"/>
  <c r="F33" i="41"/>
  <c r="AG33" i="41"/>
  <c r="O36" i="41"/>
  <c r="AA36" i="41" s="1"/>
  <c r="AF4" i="41"/>
  <c r="AK36" i="41"/>
  <c r="AK27" i="41"/>
  <c r="S14" i="41"/>
  <c r="AC14" i="41" s="1"/>
  <c r="K14" i="41"/>
  <c r="Y14" i="41" s="1"/>
  <c r="AL14" i="41"/>
  <c r="M27" i="41"/>
  <c r="Q27" i="41"/>
  <c r="AB27" i="41" s="1"/>
  <c r="Q36" i="41"/>
  <c r="AB36" i="41" s="1"/>
  <c r="U27" i="41"/>
  <c r="T27" i="41" s="1"/>
  <c r="K27" i="41"/>
  <c r="U14" i="41"/>
  <c r="T14" i="41" s="1"/>
  <c r="Q14" i="41"/>
  <c r="O14" i="41"/>
  <c r="AA14" i="41" s="1"/>
  <c r="M14" i="41"/>
  <c r="Z14" i="41" s="1"/>
  <c r="O14" i="44"/>
  <c r="S36" i="44"/>
  <c r="Q14" i="44"/>
  <c r="Q27" i="44"/>
  <c r="S27" i="44"/>
  <c r="O14" i="43"/>
  <c r="S36" i="43"/>
  <c r="Q27" i="43"/>
  <c r="M36" i="43"/>
  <c r="K36" i="43"/>
  <c r="S27" i="43"/>
  <c r="O27" i="43"/>
  <c r="O14" i="42"/>
  <c r="AA14" i="42" s="1"/>
  <c r="S36" i="42"/>
  <c r="AC36" i="42" s="1"/>
  <c r="AK14" i="42"/>
  <c r="AK27" i="42"/>
  <c r="S27" i="42"/>
  <c r="Q14" i="42"/>
  <c r="AB14" i="42" s="1"/>
  <c r="AK36" i="42"/>
  <c r="O27" i="41"/>
  <c r="AA27" i="41" s="1"/>
  <c r="K36" i="41"/>
  <c r="Y36" i="41" s="1"/>
  <c r="S36" i="41"/>
  <c r="AC36" i="41" s="1"/>
  <c r="M4" i="40"/>
  <c r="K17" i="40"/>
  <c r="F33" i="40"/>
  <c r="M12" i="40"/>
  <c r="AG30" i="40"/>
  <c r="M30" i="40"/>
  <c r="AG3" i="40"/>
  <c r="AE3" i="40"/>
  <c r="AI35" i="40"/>
  <c r="AH35" i="40"/>
  <c r="AG35" i="40"/>
  <c r="AF35" i="40"/>
  <c r="AE35" i="40"/>
  <c r="AI34" i="40"/>
  <c r="AH34" i="40"/>
  <c r="AG34" i="40"/>
  <c r="AF34" i="40"/>
  <c r="AE34" i="40"/>
  <c r="AI33" i="40"/>
  <c r="AH33" i="40"/>
  <c r="AG33" i="40"/>
  <c r="AE33" i="40"/>
  <c r="AI32" i="40"/>
  <c r="AH32" i="40"/>
  <c r="AG32" i="40"/>
  <c r="AF32" i="40"/>
  <c r="AE32" i="40"/>
  <c r="AI31" i="40"/>
  <c r="AH31" i="40"/>
  <c r="AG31" i="40"/>
  <c r="AF31" i="40"/>
  <c r="AE31" i="40"/>
  <c r="AI30" i="40"/>
  <c r="AH30" i="40"/>
  <c r="AF30" i="40"/>
  <c r="AI26" i="40"/>
  <c r="AH26" i="40"/>
  <c r="AG26" i="40"/>
  <c r="AF26" i="40"/>
  <c r="AE26" i="40"/>
  <c r="AI25" i="40"/>
  <c r="AH25" i="40"/>
  <c r="AG25" i="40"/>
  <c r="AF25" i="40"/>
  <c r="AE25" i="40"/>
  <c r="AI24" i="40"/>
  <c r="AH24" i="40"/>
  <c r="AG24" i="40"/>
  <c r="AF24" i="40"/>
  <c r="AE24" i="40"/>
  <c r="AI23" i="40"/>
  <c r="AH23" i="40"/>
  <c r="AG23" i="40"/>
  <c r="AF23" i="40"/>
  <c r="AE23" i="40"/>
  <c r="AI22" i="40"/>
  <c r="AH22" i="40"/>
  <c r="AG22" i="40"/>
  <c r="AF22" i="40"/>
  <c r="AE22" i="40"/>
  <c r="AI21" i="40"/>
  <c r="AH21" i="40"/>
  <c r="AG21" i="40"/>
  <c r="AF21" i="40"/>
  <c r="AE21" i="40"/>
  <c r="AI20" i="40"/>
  <c r="AH20" i="40"/>
  <c r="AG20" i="40"/>
  <c r="AF20" i="40"/>
  <c r="AE20" i="40"/>
  <c r="AI19" i="40"/>
  <c r="AH19" i="40"/>
  <c r="AG19" i="40"/>
  <c r="AF19" i="40"/>
  <c r="AE19" i="40"/>
  <c r="AI18" i="40"/>
  <c r="AH18" i="40"/>
  <c r="AG18" i="40"/>
  <c r="AF18" i="40"/>
  <c r="AE18" i="40"/>
  <c r="AI17" i="40"/>
  <c r="AH17" i="40"/>
  <c r="AG17" i="40"/>
  <c r="AF17" i="40"/>
  <c r="AI13" i="40"/>
  <c r="AH13" i="40"/>
  <c r="AG13" i="40"/>
  <c r="AF13" i="40"/>
  <c r="AE13" i="40"/>
  <c r="AI12" i="40"/>
  <c r="AH12" i="40"/>
  <c r="AG12" i="40"/>
  <c r="AF12" i="40"/>
  <c r="AE12" i="40"/>
  <c r="AI11" i="40"/>
  <c r="AH11" i="40"/>
  <c r="AG11" i="40"/>
  <c r="AF11" i="40"/>
  <c r="AE11" i="40"/>
  <c r="AI10" i="40"/>
  <c r="AH10" i="40"/>
  <c r="AG10" i="40"/>
  <c r="AF10" i="40"/>
  <c r="AE10" i="40"/>
  <c r="AI9" i="40"/>
  <c r="AH9" i="40"/>
  <c r="AG9" i="40"/>
  <c r="AF9" i="40"/>
  <c r="AE9" i="40"/>
  <c r="AI8" i="40"/>
  <c r="AH8" i="40"/>
  <c r="AG8" i="40"/>
  <c r="AF8" i="40"/>
  <c r="AE8" i="40"/>
  <c r="AI7" i="40"/>
  <c r="AH7" i="40"/>
  <c r="AG7" i="40"/>
  <c r="AF7" i="40"/>
  <c r="AE7" i="40"/>
  <c r="AI6" i="40"/>
  <c r="AH6" i="40"/>
  <c r="AG6" i="40"/>
  <c r="AF6" i="40"/>
  <c r="AE6" i="40"/>
  <c r="AI5" i="40"/>
  <c r="AH5" i="40"/>
  <c r="AG5" i="40"/>
  <c r="AF5" i="40"/>
  <c r="AE5" i="40"/>
  <c r="AI4" i="40"/>
  <c r="AH4" i="40"/>
  <c r="AG4" i="40"/>
  <c r="AE4" i="40"/>
  <c r="AI3" i="40"/>
  <c r="AH3" i="40"/>
  <c r="AF3" i="40"/>
  <c r="AL35" i="40"/>
  <c r="AK35" i="40"/>
  <c r="AL34" i="40"/>
  <c r="AK34" i="40"/>
  <c r="AL33" i="40"/>
  <c r="AK33" i="40"/>
  <c r="AL32" i="40"/>
  <c r="AK32" i="40"/>
  <c r="AL31" i="40"/>
  <c r="AK31" i="40"/>
  <c r="AL30" i="40"/>
  <c r="AK30" i="40"/>
  <c r="AL26" i="40"/>
  <c r="AK26" i="40"/>
  <c r="AL25" i="40"/>
  <c r="AK25" i="40"/>
  <c r="AL24" i="40"/>
  <c r="AK24" i="40"/>
  <c r="AL23" i="40"/>
  <c r="AK23" i="40"/>
  <c r="AL22" i="40"/>
  <c r="AK22" i="40"/>
  <c r="AL21" i="40"/>
  <c r="AK21" i="40"/>
  <c r="AL20" i="40"/>
  <c r="AK20" i="40"/>
  <c r="AL19" i="40"/>
  <c r="AK19" i="40"/>
  <c r="AL18" i="40"/>
  <c r="AK18" i="40"/>
  <c r="AL17" i="40"/>
  <c r="AK17" i="40"/>
  <c r="AL13" i="40"/>
  <c r="AK13" i="40"/>
  <c r="AL12" i="40"/>
  <c r="AK12" i="40"/>
  <c r="AL11" i="40"/>
  <c r="AK11" i="40"/>
  <c r="AL10" i="40"/>
  <c r="AK10" i="40"/>
  <c r="AL9" i="40"/>
  <c r="AK9" i="40"/>
  <c r="AL8" i="40"/>
  <c r="AK8" i="40"/>
  <c r="AL7" i="40"/>
  <c r="AK7" i="40"/>
  <c r="AL6" i="40"/>
  <c r="AK6" i="40"/>
  <c r="AL5" i="40"/>
  <c r="AK5" i="40"/>
  <c r="AL4" i="40"/>
  <c r="AK4" i="40"/>
  <c r="AL3" i="40"/>
  <c r="AK3" i="40"/>
  <c r="I36" i="40"/>
  <c r="U35" i="40"/>
  <c r="S35" i="40"/>
  <c r="Q35" i="40"/>
  <c r="O35" i="40"/>
  <c r="M35" i="40"/>
  <c r="K35" i="40"/>
  <c r="F35" i="40"/>
  <c r="U34" i="40"/>
  <c r="S34" i="40"/>
  <c r="Q34" i="40"/>
  <c r="O34" i="40"/>
  <c r="M34" i="40"/>
  <c r="K34" i="40"/>
  <c r="F34" i="40"/>
  <c r="U33" i="40"/>
  <c r="S33" i="40"/>
  <c r="Q33" i="40"/>
  <c r="O33" i="40"/>
  <c r="K33" i="40"/>
  <c r="U32" i="40"/>
  <c r="S32" i="40"/>
  <c r="Q32" i="40"/>
  <c r="O32" i="40"/>
  <c r="M32" i="40"/>
  <c r="K32" i="40"/>
  <c r="F32" i="40"/>
  <c r="U31" i="40"/>
  <c r="S31" i="40"/>
  <c r="Q31" i="40"/>
  <c r="O31" i="40"/>
  <c r="M31" i="40"/>
  <c r="K31" i="40"/>
  <c r="F31" i="40"/>
  <c r="U30" i="40"/>
  <c r="S30" i="40"/>
  <c r="Q30" i="40"/>
  <c r="K30" i="40"/>
  <c r="I27" i="40"/>
  <c r="U26" i="40"/>
  <c r="S26" i="40"/>
  <c r="Q26" i="40"/>
  <c r="O26" i="40"/>
  <c r="M26" i="40"/>
  <c r="K26" i="40"/>
  <c r="F26" i="40"/>
  <c r="U25" i="40"/>
  <c r="S25" i="40"/>
  <c r="Q25" i="40"/>
  <c r="O25" i="40"/>
  <c r="M25" i="40"/>
  <c r="K25" i="40"/>
  <c r="F25" i="40"/>
  <c r="U24" i="40"/>
  <c r="S24" i="40"/>
  <c r="Q24" i="40"/>
  <c r="O24" i="40"/>
  <c r="M24" i="40"/>
  <c r="K24" i="40"/>
  <c r="F24" i="40"/>
  <c r="U23" i="40"/>
  <c r="S23" i="40"/>
  <c r="Q23" i="40"/>
  <c r="O23" i="40"/>
  <c r="M23" i="40"/>
  <c r="K23" i="40"/>
  <c r="F23" i="40"/>
  <c r="U22" i="40"/>
  <c r="S22" i="40"/>
  <c r="Q22" i="40"/>
  <c r="O22" i="40"/>
  <c r="M22" i="40"/>
  <c r="K22" i="40"/>
  <c r="F22" i="40"/>
  <c r="U21" i="40"/>
  <c r="S21" i="40"/>
  <c r="Q21" i="40"/>
  <c r="O21" i="40"/>
  <c r="M21" i="40"/>
  <c r="K21" i="40"/>
  <c r="F21" i="40"/>
  <c r="U20" i="40"/>
  <c r="S20" i="40"/>
  <c r="Q20" i="40"/>
  <c r="O20" i="40"/>
  <c r="M20" i="40"/>
  <c r="K20" i="40"/>
  <c r="F20" i="40"/>
  <c r="U19" i="40"/>
  <c r="S19" i="40"/>
  <c r="Q19" i="40"/>
  <c r="O19" i="40"/>
  <c r="M19" i="40"/>
  <c r="K19" i="40"/>
  <c r="F19" i="40"/>
  <c r="U18" i="40"/>
  <c r="S18" i="40"/>
  <c r="Q18" i="40"/>
  <c r="O18" i="40"/>
  <c r="M18" i="40"/>
  <c r="K18" i="40"/>
  <c r="F18" i="40"/>
  <c r="U17" i="40"/>
  <c r="S17" i="40"/>
  <c r="Q17" i="40"/>
  <c r="O17" i="40"/>
  <c r="M17" i="40"/>
  <c r="I14" i="40"/>
  <c r="U13" i="40"/>
  <c r="S13" i="40"/>
  <c r="Q13" i="40"/>
  <c r="O13" i="40"/>
  <c r="M13" i="40"/>
  <c r="K13" i="40"/>
  <c r="F13" i="40"/>
  <c r="U12" i="40"/>
  <c r="S12" i="40"/>
  <c r="Q12" i="40"/>
  <c r="O12" i="40"/>
  <c r="K12" i="40"/>
  <c r="F12" i="40"/>
  <c r="U11" i="40"/>
  <c r="S11" i="40"/>
  <c r="Q11" i="40"/>
  <c r="O11" i="40"/>
  <c r="M11" i="40"/>
  <c r="K11" i="40"/>
  <c r="F11" i="40"/>
  <c r="U10" i="40"/>
  <c r="S10" i="40"/>
  <c r="Q10" i="40"/>
  <c r="O10" i="40"/>
  <c r="M10" i="40"/>
  <c r="K10" i="40"/>
  <c r="F10" i="40"/>
  <c r="U9" i="40"/>
  <c r="S9" i="40"/>
  <c r="Q9" i="40"/>
  <c r="O9" i="40"/>
  <c r="M9" i="40"/>
  <c r="K9" i="40"/>
  <c r="F9" i="40"/>
  <c r="U8" i="40"/>
  <c r="S8" i="40"/>
  <c r="Q8" i="40"/>
  <c r="O8" i="40"/>
  <c r="M8" i="40"/>
  <c r="K8" i="40"/>
  <c r="F8" i="40"/>
  <c r="U7" i="40"/>
  <c r="S7" i="40"/>
  <c r="Q7" i="40"/>
  <c r="O7" i="40"/>
  <c r="M7" i="40"/>
  <c r="K7" i="40"/>
  <c r="F7" i="40"/>
  <c r="U6" i="40"/>
  <c r="S6" i="40"/>
  <c r="Q6" i="40"/>
  <c r="O6" i="40"/>
  <c r="M6" i="40"/>
  <c r="K6" i="40"/>
  <c r="F6" i="40"/>
  <c r="U5" i="40"/>
  <c r="S5" i="40"/>
  <c r="Q5" i="40"/>
  <c r="O5" i="40"/>
  <c r="M5" i="40"/>
  <c r="K5" i="40"/>
  <c r="F5" i="40"/>
  <c r="U4" i="40"/>
  <c r="S4" i="40"/>
  <c r="Q4" i="40"/>
  <c r="O4" i="40"/>
  <c r="K4" i="40"/>
  <c r="U3" i="40"/>
  <c r="S3" i="40"/>
  <c r="Q3" i="40"/>
  <c r="M3" i="40"/>
  <c r="K3" i="40"/>
  <c r="AF30" i="39"/>
  <c r="AG17" i="39"/>
  <c r="AF17" i="39"/>
  <c r="AG3" i="39"/>
  <c r="AF3" i="39"/>
  <c r="F22" i="39"/>
  <c r="F23" i="39"/>
  <c r="F24" i="39"/>
  <c r="F34" i="39"/>
  <c r="F19" i="39"/>
  <c r="AG19" i="39"/>
  <c r="F5" i="39"/>
  <c r="F6" i="39"/>
  <c r="F4" i="39"/>
  <c r="AL35" i="39"/>
  <c r="AK35" i="39"/>
  <c r="AL34" i="39"/>
  <c r="AK34" i="39"/>
  <c r="AL33" i="39"/>
  <c r="AK33" i="39"/>
  <c r="AL32" i="39"/>
  <c r="AK32" i="39"/>
  <c r="AL31" i="39"/>
  <c r="AK31" i="39"/>
  <c r="AL30" i="39"/>
  <c r="AK30" i="39"/>
  <c r="AL26" i="39"/>
  <c r="AK26" i="39"/>
  <c r="AL25" i="39"/>
  <c r="AK25" i="39"/>
  <c r="AL24" i="39"/>
  <c r="AK24" i="39"/>
  <c r="AL23" i="39"/>
  <c r="AK23" i="39"/>
  <c r="AL22" i="39"/>
  <c r="AK22" i="39"/>
  <c r="AL21" i="39"/>
  <c r="AK21" i="39"/>
  <c r="AL20" i="39"/>
  <c r="AK20" i="39"/>
  <c r="AL19" i="39"/>
  <c r="AK19" i="39"/>
  <c r="AL18" i="39"/>
  <c r="AK18" i="39"/>
  <c r="AL17" i="39"/>
  <c r="AK17" i="39"/>
  <c r="AL13" i="39"/>
  <c r="AK13" i="39"/>
  <c r="AL12" i="39"/>
  <c r="AK12" i="39"/>
  <c r="AL11" i="39"/>
  <c r="AK11" i="39"/>
  <c r="AL10" i="39"/>
  <c r="AK10" i="39"/>
  <c r="AL9" i="39"/>
  <c r="AK9" i="39"/>
  <c r="AL8" i="39"/>
  <c r="AK8" i="39"/>
  <c r="AL7" i="39"/>
  <c r="AK7" i="39"/>
  <c r="AL6" i="39"/>
  <c r="AK6" i="39"/>
  <c r="AL5" i="39"/>
  <c r="AK5" i="39"/>
  <c r="AL4" i="39"/>
  <c r="AK4" i="39"/>
  <c r="AL3" i="39"/>
  <c r="AK3" i="39"/>
  <c r="AG30" i="39"/>
  <c r="J30" i="39"/>
  <c r="AE30" i="40" s="1"/>
  <c r="AE17" i="39"/>
  <c r="AE6" i="39"/>
  <c r="F4" i="37"/>
  <c r="AF4" i="39"/>
  <c r="AG4" i="39"/>
  <c r="AI35" i="39"/>
  <c r="AH35" i="39"/>
  <c r="AG35" i="39"/>
  <c r="AF35" i="39"/>
  <c r="AE35" i="39"/>
  <c r="AI34" i="39"/>
  <c r="AH34" i="39"/>
  <c r="AG34" i="39"/>
  <c r="AF34" i="39"/>
  <c r="AE34" i="39"/>
  <c r="AI33" i="39"/>
  <c r="AH33" i="39"/>
  <c r="AG33" i="39"/>
  <c r="AF33" i="39"/>
  <c r="AE33" i="39"/>
  <c r="AI32" i="39"/>
  <c r="AH32" i="39"/>
  <c r="AG32" i="39"/>
  <c r="AF32" i="39"/>
  <c r="AE32" i="39"/>
  <c r="AI31" i="39"/>
  <c r="AH31" i="39"/>
  <c r="AG31" i="39"/>
  <c r="AF31" i="39"/>
  <c r="AE31" i="39"/>
  <c r="AI30" i="39"/>
  <c r="AH30" i="39"/>
  <c r="AI26" i="39"/>
  <c r="AH26" i="39"/>
  <c r="AG26" i="39"/>
  <c r="AF26" i="39"/>
  <c r="AE26" i="39"/>
  <c r="AI25" i="39"/>
  <c r="AH25" i="39"/>
  <c r="AG25" i="39"/>
  <c r="AF25" i="39"/>
  <c r="AE25" i="39"/>
  <c r="AI24" i="39"/>
  <c r="AH24" i="39"/>
  <c r="AG24" i="39"/>
  <c r="AF24" i="39"/>
  <c r="AE24" i="39"/>
  <c r="AI23" i="39"/>
  <c r="AH23" i="39"/>
  <c r="AG23" i="39"/>
  <c r="AF23" i="39"/>
  <c r="AE23" i="39"/>
  <c r="AI22" i="39"/>
  <c r="AH22" i="39"/>
  <c r="AG22" i="39"/>
  <c r="AF22" i="39"/>
  <c r="AE22" i="39"/>
  <c r="AI21" i="39"/>
  <c r="AH21" i="39"/>
  <c r="AG21" i="39"/>
  <c r="AF21" i="39"/>
  <c r="AE21" i="39"/>
  <c r="AI20" i="39"/>
  <c r="AH20" i="39"/>
  <c r="AG20" i="39"/>
  <c r="AF20" i="39"/>
  <c r="AE20" i="39"/>
  <c r="AI19" i="39"/>
  <c r="AH19" i="39"/>
  <c r="AF19" i="39"/>
  <c r="AE19" i="39"/>
  <c r="AI18" i="39"/>
  <c r="AH18" i="39"/>
  <c r="AG18" i="39"/>
  <c r="AF18" i="39"/>
  <c r="AE18" i="39"/>
  <c r="AI17" i="39"/>
  <c r="AH17" i="39"/>
  <c r="AI13" i="39"/>
  <c r="AH13" i="39"/>
  <c r="AG13" i="39"/>
  <c r="AF13" i="39"/>
  <c r="AE13" i="39"/>
  <c r="AI12" i="39"/>
  <c r="AH12" i="39"/>
  <c r="AG12" i="39"/>
  <c r="AF12" i="39"/>
  <c r="AE12" i="39"/>
  <c r="AI11" i="39"/>
  <c r="AH11" i="39"/>
  <c r="AG11" i="39"/>
  <c r="AF11" i="39"/>
  <c r="AE11" i="39"/>
  <c r="AI10" i="39"/>
  <c r="AH10" i="39"/>
  <c r="AG10" i="39"/>
  <c r="AF10" i="39"/>
  <c r="AE10" i="39"/>
  <c r="AI9" i="39"/>
  <c r="AH9" i="39"/>
  <c r="AG9" i="39"/>
  <c r="AF9" i="39"/>
  <c r="AE9" i="39"/>
  <c r="AI8" i="39"/>
  <c r="AH8" i="39"/>
  <c r="AG8" i="39"/>
  <c r="AF8" i="39"/>
  <c r="AE8" i="39"/>
  <c r="AI7" i="39"/>
  <c r="AH7" i="39"/>
  <c r="AG7" i="39"/>
  <c r="AF7" i="39"/>
  <c r="AE7" i="39"/>
  <c r="AI6" i="39"/>
  <c r="AH6" i="39"/>
  <c r="AG6" i="39"/>
  <c r="AF6" i="39"/>
  <c r="AI5" i="39"/>
  <c r="AH5" i="39"/>
  <c r="AG5" i="39"/>
  <c r="AF5" i="39"/>
  <c r="AE5" i="39"/>
  <c r="AI4" i="39"/>
  <c r="AH4" i="39"/>
  <c r="AE4" i="39"/>
  <c r="AI3" i="39"/>
  <c r="AH3" i="39"/>
  <c r="AE3" i="39"/>
  <c r="U5" i="39"/>
  <c r="U6" i="39"/>
  <c r="U7" i="39"/>
  <c r="U8" i="39"/>
  <c r="U9" i="39"/>
  <c r="U10" i="39"/>
  <c r="U11" i="39"/>
  <c r="U12" i="39"/>
  <c r="U13" i="39"/>
  <c r="P27" i="42" l="1"/>
  <c r="AH27" i="42" s="1"/>
  <c r="AB27" i="42"/>
  <c r="N27" i="42"/>
  <c r="AG27" i="42" s="1"/>
  <c r="AA27" i="42"/>
  <c r="Y27" i="43"/>
  <c r="Y27" i="44"/>
  <c r="Z27" i="44"/>
  <c r="Z27" i="43"/>
  <c r="AB27" i="44"/>
  <c r="AB27" i="43"/>
  <c r="AA27" i="44"/>
  <c r="AA27" i="43"/>
  <c r="AC27" i="44"/>
  <c r="AC27" i="43"/>
  <c r="AA14" i="43"/>
  <c r="N36" i="42"/>
  <c r="AG36" i="42" s="1"/>
  <c r="AA36" i="42"/>
  <c r="J36" i="42"/>
  <c r="AE36" i="42" s="1"/>
  <c r="Y36" i="42"/>
  <c r="AC36" i="44"/>
  <c r="AC36" i="43"/>
  <c r="AB36" i="43"/>
  <c r="AB36" i="44"/>
  <c r="Y36" i="43"/>
  <c r="Y36" i="44"/>
  <c r="AA36" i="43"/>
  <c r="AA36" i="44"/>
  <c r="Z36" i="44"/>
  <c r="Z36" i="43"/>
  <c r="R14" i="42"/>
  <c r="AI14" i="42" s="1"/>
  <c r="AC14" i="42"/>
  <c r="AC14" i="43"/>
  <c r="L14" i="42"/>
  <c r="AF14" i="42" s="1"/>
  <c r="Z14" i="42"/>
  <c r="AA14" i="44"/>
  <c r="AB14" i="44"/>
  <c r="P14" i="43"/>
  <c r="AB14" i="43"/>
  <c r="L14" i="43"/>
  <c r="Z14" i="43"/>
  <c r="L14" i="44"/>
  <c r="Z14" i="44"/>
  <c r="J14" i="44"/>
  <c r="R14" i="44"/>
  <c r="AC14" i="44"/>
  <c r="N36" i="43"/>
  <c r="P36" i="43"/>
  <c r="L36" i="44"/>
  <c r="L36" i="42"/>
  <c r="AF36" i="42" s="1"/>
  <c r="P36" i="42"/>
  <c r="AH36" i="42" s="1"/>
  <c r="J27" i="42"/>
  <c r="AE27" i="42" s="1"/>
  <c r="L27" i="42"/>
  <c r="AF27" i="42" s="1"/>
  <c r="J14" i="42"/>
  <c r="AE14" i="42" s="1"/>
  <c r="J27" i="43"/>
  <c r="P36" i="44"/>
  <c r="J36" i="44"/>
  <c r="L27" i="43"/>
  <c r="R14" i="43"/>
  <c r="M36" i="41"/>
  <c r="Z36" i="41" s="1"/>
  <c r="R27" i="41"/>
  <c r="AI27" i="41" s="1"/>
  <c r="N36" i="41"/>
  <c r="AG36" i="41" s="1"/>
  <c r="N14" i="41"/>
  <c r="AG14" i="41" s="1"/>
  <c r="P36" i="41"/>
  <c r="AH36" i="41" s="1"/>
  <c r="J27" i="41"/>
  <c r="AE27" i="41" s="1"/>
  <c r="Y27" i="41"/>
  <c r="P27" i="41"/>
  <c r="AH27" i="41" s="1"/>
  <c r="L27" i="41"/>
  <c r="AF27" i="41" s="1"/>
  <c r="Z27" i="41"/>
  <c r="J14" i="41"/>
  <c r="AE14" i="41" s="1"/>
  <c r="R14" i="41"/>
  <c r="AI14" i="41" s="1"/>
  <c r="P14" i="41"/>
  <c r="AH14" i="41" s="1"/>
  <c r="AB14" i="41"/>
  <c r="L14" i="41"/>
  <c r="AF14" i="41" s="1"/>
  <c r="R27" i="44"/>
  <c r="R36" i="44"/>
  <c r="P27" i="44"/>
  <c r="N14" i="44"/>
  <c r="P14" i="44"/>
  <c r="N27" i="43"/>
  <c r="N14" i="43"/>
  <c r="J36" i="43"/>
  <c r="R27" i="43"/>
  <c r="L36" i="43"/>
  <c r="P27" i="43"/>
  <c r="R36" i="43"/>
  <c r="P14" i="42"/>
  <c r="AH14" i="42" s="1"/>
  <c r="N14" i="42"/>
  <c r="AG14" i="42" s="1"/>
  <c r="R27" i="42"/>
  <c r="R36" i="42"/>
  <c r="AI36" i="42" s="1"/>
  <c r="J36" i="41"/>
  <c r="AE36" i="41" s="1"/>
  <c r="N27" i="41"/>
  <c r="AG27" i="41" s="1"/>
  <c r="R36" i="41"/>
  <c r="AI36" i="41" s="1"/>
  <c r="F4" i="40"/>
  <c r="AF4" i="40"/>
  <c r="U27" i="40"/>
  <c r="T27" i="40" s="1"/>
  <c r="F17" i="40"/>
  <c r="AE17" i="40"/>
  <c r="M33" i="40"/>
  <c r="M36" i="40" s="1"/>
  <c r="AF33" i="40"/>
  <c r="F30" i="40"/>
  <c r="O30" i="40"/>
  <c r="O36" i="40" s="1"/>
  <c r="O3" i="40"/>
  <c r="F3" i="40"/>
  <c r="U36" i="40"/>
  <c r="T36" i="40" s="1"/>
  <c r="Q36" i="40"/>
  <c r="K36" i="40"/>
  <c r="Q27" i="40"/>
  <c r="M27" i="40"/>
  <c r="K27" i="40"/>
  <c r="U14" i="40"/>
  <c r="T14" i="40" s="1"/>
  <c r="S14" i="40"/>
  <c r="M14" i="40"/>
  <c r="Q14" i="40"/>
  <c r="S36" i="40"/>
  <c r="K14" i="40"/>
  <c r="S27" i="40"/>
  <c r="O27" i="40"/>
  <c r="O14" i="40"/>
  <c r="AE30" i="39"/>
  <c r="I36" i="39"/>
  <c r="AL36" i="40" s="1"/>
  <c r="U35" i="39"/>
  <c r="S35" i="39"/>
  <c r="Q35" i="39"/>
  <c r="O35" i="39"/>
  <c r="AA35" i="40" s="1"/>
  <c r="M35" i="39"/>
  <c r="Z35" i="40" s="1"/>
  <c r="K35" i="39"/>
  <c r="F35" i="39"/>
  <c r="U34" i="39"/>
  <c r="S34" i="39"/>
  <c r="AC34" i="40" s="1"/>
  <c r="Q34" i="39"/>
  <c r="O34" i="39"/>
  <c r="M34" i="39"/>
  <c r="Z34" i="40" s="1"/>
  <c r="K34" i="39"/>
  <c r="U33" i="39"/>
  <c r="S33" i="39"/>
  <c r="Q33" i="39"/>
  <c r="AB33" i="40" s="1"/>
  <c r="O33" i="39"/>
  <c r="AA33" i="40" s="1"/>
  <c r="M33" i="39"/>
  <c r="K33" i="39"/>
  <c r="Y33" i="40" s="1"/>
  <c r="F33" i="39"/>
  <c r="U32" i="39"/>
  <c r="S32" i="39"/>
  <c r="Q32" i="39"/>
  <c r="O32" i="39"/>
  <c r="AA32" i="40" s="1"/>
  <c r="M32" i="39"/>
  <c r="Z32" i="40" s="1"/>
  <c r="K32" i="39"/>
  <c r="Y32" i="40" s="1"/>
  <c r="F32" i="39"/>
  <c r="U31" i="39"/>
  <c r="S31" i="39"/>
  <c r="Q31" i="39"/>
  <c r="O31" i="39"/>
  <c r="M31" i="39"/>
  <c r="Z31" i="40" s="1"/>
  <c r="K31" i="39"/>
  <c r="Y31" i="40" s="1"/>
  <c r="F31" i="39"/>
  <c r="U30" i="39"/>
  <c r="S30" i="39"/>
  <c r="AC30" i="40" s="1"/>
  <c r="Q30" i="39"/>
  <c r="O30" i="39"/>
  <c r="M30" i="39"/>
  <c r="K30" i="39"/>
  <c r="Y30" i="40" s="1"/>
  <c r="F30" i="39"/>
  <c r="I27" i="39"/>
  <c r="AK27" i="40" s="1"/>
  <c r="U26" i="39"/>
  <c r="S26" i="39"/>
  <c r="AC26" i="40" s="1"/>
  <c r="Q26" i="39"/>
  <c r="O26" i="39"/>
  <c r="M26" i="39"/>
  <c r="K26" i="39"/>
  <c r="Y26" i="40" s="1"/>
  <c r="F26" i="39"/>
  <c r="U25" i="39"/>
  <c r="S25" i="39"/>
  <c r="AC25" i="40" s="1"/>
  <c r="Q25" i="39"/>
  <c r="O25" i="39"/>
  <c r="M25" i="39"/>
  <c r="K25" i="39"/>
  <c r="F25" i="39"/>
  <c r="U24" i="39"/>
  <c r="S24" i="39"/>
  <c r="AC24" i="40" s="1"/>
  <c r="Q24" i="39"/>
  <c r="O24" i="39"/>
  <c r="M24" i="39"/>
  <c r="K24" i="39"/>
  <c r="U23" i="39"/>
  <c r="S23" i="39"/>
  <c r="AC23" i="40" s="1"/>
  <c r="Q23" i="39"/>
  <c r="AB23" i="40" s="1"/>
  <c r="O23" i="39"/>
  <c r="M23" i="39"/>
  <c r="K23" i="39"/>
  <c r="U22" i="39"/>
  <c r="S22" i="39"/>
  <c r="Q22" i="39"/>
  <c r="O22" i="39"/>
  <c r="AA22" i="40" s="1"/>
  <c r="M22" i="39"/>
  <c r="K22" i="39"/>
  <c r="U21" i="39"/>
  <c r="S21" i="39"/>
  <c r="Q21" i="39"/>
  <c r="O21" i="39"/>
  <c r="M21" i="39"/>
  <c r="K21" i="39"/>
  <c r="F21" i="39"/>
  <c r="U20" i="39"/>
  <c r="S20" i="39"/>
  <c r="Q20" i="39"/>
  <c r="O20" i="39"/>
  <c r="AA20" i="40" s="1"/>
  <c r="M20" i="39"/>
  <c r="K20" i="39"/>
  <c r="F20" i="39"/>
  <c r="U19" i="39"/>
  <c r="S19" i="39"/>
  <c r="Q19" i="39"/>
  <c r="O19" i="39"/>
  <c r="AA19" i="40" s="1"/>
  <c r="M19" i="39"/>
  <c r="Z19" i="40" s="1"/>
  <c r="K19" i="39"/>
  <c r="U18" i="39"/>
  <c r="S18" i="39"/>
  <c r="Q18" i="39"/>
  <c r="AB18" i="40" s="1"/>
  <c r="O18" i="39"/>
  <c r="M18" i="39"/>
  <c r="Z18" i="40" s="1"/>
  <c r="K18" i="39"/>
  <c r="Y18" i="40" s="1"/>
  <c r="F18" i="39"/>
  <c r="U17" i="39"/>
  <c r="S17" i="39"/>
  <c r="Q17" i="39"/>
  <c r="AB17" i="40" s="1"/>
  <c r="O17" i="39"/>
  <c r="AA17" i="40" s="1"/>
  <c r="M17" i="39"/>
  <c r="K17" i="39"/>
  <c r="Y17" i="40" s="1"/>
  <c r="F17" i="39"/>
  <c r="I14" i="39"/>
  <c r="AL14" i="40" s="1"/>
  <c r="S13" i="39"/>
  <c r="Q13" i="39"/>
  <c r="O13" i="39"/>
  <c r="AA13" i="40" s="1"/>
  <c r="M13" i="39"/>
  <c r="Z13" i="40" s="1"/>
  <c r="K13" i="39"/>
  <c r="Y13" i="40" s="1"/>
  <c r="F13" i="39"/>
  <c r="S12" i="39"/>
  <c r="Q12" i="39"/>
  <c r="O12" i="39"/>
  <c r="M12" i="39"/>
  <c r="K12" i="39"/>
  <c r="Y12" i="40" s="1"/>
  <c r="F12" i="39"/>
  <c r="S11" i="39"/>
  <c r="AC11" i="40" s="1"/>
  <c r="Q11" i="39"/>
  <c r="AB11" i="40" s="1"/>
  <c r="O11" i="39"/>
  <c r="M11" i="39"/>
  <c r="K11" i="39"/>
  <c r="F11" i="39"/>
  <c r="S10" i="39"/>
  <c r="Q10" i="39"/>
  <c r="AB10" i="40" s="1"/>
  <c r="O10" i="39"/>
  <c r="AA10" i="40" s="1"/>
  <c r="M10" i="39"/>
  <c r="K10" i="39"/>
  <c r="F10" i="39"/>
  <c r="S9" i="39"/>
  <c r="Q9" i="39"/>
  <c r="O9" i="39"/>
  <c r="AA9" i="40" s="1"/>
  <c r="M9" i="39"/>
  <c r="Z9" i="40" s="1"/>
  <c r="K9" i="39"/>
  <c r="F9" i="39"/>
  <c r="S8" i="39"/>
  <c r="Q8" i="39"/>
  <c r="O8" i="39"/>
  <c r="M8" i="39"/>
  <c r="K8" i="39"/>
  <c r="Y8" i="40" s="1"/>
  <c r="F8" i="39"/>
  <c r="S7" i="39"/>
  <c r="AC7" i="40" s="1"/>
  <c r="Q7" i="39"/>
  <c r="O7" i="39"/>
  <c r="M7" i="39"/>
  <c r="K7" i="39"/>
  <c r="F7" i="39"/>
  <c r="S6" i="39"/>
  <c r="AC6" i="40" s="1"/>
  <c r="Q6" i="39"/>
  <c r="AB6" i="40" s="1"/>
  <c r="O6" i="39"/>
  <c r="M6" i="39"/>
  <c r="K6" i="39"/>
  <c r="S5" i="39"/>
  <c r="Q5" i="39"/>
  <c r="O5" i="39"/>
  <c r="M5" i="39"/>
  <c r="Z5" i="40" s="1"/>
  <c r="K5" i="39"/>
  <c r="Y5" i="40" s="1"/>
  <c r="U4" i="39"/>
  <c r="S4" i="39"/>
  <c r="Q4" i="39"/>
  <c r="AB4" i="40" s="1"/>
  <c r="O4" i="39"/>
  <c r="AA4" i="40" s="1"/>
  <c r="M4" i="39"/>
  <c r="K4" i="39"/>
  <c r="U3" i="39"/>
  <c r="S3" i="39"/>
  <c r="AC3" i="40" s="1"/>
  <c r="Q3" i="39"/>
  <c r="O3" i="39"/>
  <c r="M3" i="39"/>
  <c r="Z3" i="40" s="1"/>
  <c r="K3" i="39"/>
  <c r="F3" i="39"/>
  <c r="M10" i="37"/>
  <c r="U35" i="37"/>
  <c r="U34" i="37"/>
  <c r="U33" i="37"/>
  <c r="U32" i="37"/>
  <c r="U31" i="37"/>
  <c r="U30" i="37"/>
  <c r="S35" i="37"/>
  <c r="AC35" i="37" s="1"/>
  <c r="S34" i="37"/>
  <c r="AC34" i="37" s="1"/>
  <c r="S33" i="37"/>
  <c r="AC33" i="37" s="1"/>
  <c r="S32" i="37"/>
  <c r="AC32" i="37" s="1"/>
  <c r="S31" i="37"/>
  <c r="AC31" i="37" s="1"/>
  <c r="S30" i="37"/>
  <c r="AC30" i="37" s="1"/>
  <c r="Q35" i="37"/>
  <c r="AB35" i="37" s="1"/>
  <c r="Q34" i="37"/>
  <c r="AB34" i="37" s="1"/>
  <c r="Q33" i="37"/>
  <c r="AB33" i="37" s="1"/>
  <c r="Q32" i="37"/>
  <c r="AB32" i="37" s="1"/>
  <c r="Q31" i="37"/>
  <c r="AB31" i="37" s="1"/>
  <c r="Q30" i="37"/>
  <c r="AB30" i="37" s="1"/>
  <c r="O35" i="37"/>
  <c r="AA35" i="37" s="1"/>
  <c r="O34" i="37"/>
  <c r="AA34" i="37" s="1"/>
  <c r="O33" i="37"/>
  <c r="AA33" i="37" s="1"/>
  <c r="O32" i="37"/>
  <c r="AA32" i="37" s="1"/>
  <c r="O31" i="37"/>
  <c r="AA31" i="37" s="1"/>
  <c r="O30" i="37"/>
  <c r="AA30" i="37" s="1"/>
  <c r="M35" i="37"/>
  <c r="Z35" i="37" s="1"/>
  <c r="M34" i="37"/>
  <c r="Z34" i="37" s="1"/>
  <c r="M33" i="37"/>
  <c r="Z33" i="37" s="1"/>
  <c r="M32" i="37"/>
  <c r="Z32" i="37" s="1"/>
  <c r="M31" i="37"/>
  <c r="Z31" i="37" s="1"/>
  <c r="M30" i="37"/>
  <c r="Z30" i="37" s="1"/>
  <c r="K35" i="37"/>
  <c r="Y35" i="37" s="1"/>
  <c r="K34" i="37"/>
  <c r="Y34" i="37" s="1"/>
  <c r="K33" i="37"/>
  <c r="Y33" i="37" s="1"/>
  <c r="K32" i="37"/>
  <c r="Y32" i="37" s="1"/>
  <c r="K31" i="37"/>
  <c r="Y31" i="37" s="1"/>
  <c r="K30" i="37"/>
  <c r="Y30" i="37" s="1"/>
  <c r="AI35" i="37"/>
  <c r="AH35" i="37"/>
  <c r="AG35" i="37"/>
  <c r="AF35" i="37"/>
  <c r="AE35" i="37"/>
  <c r="AI34" i="37"/>
  <c r="AH34" i="37"/>
  <c r="AG34" i="37"/>
  <c r="AF34" i="37"/>
  <c r="AE34" i="37"/>
  <c r="AI33" i="37"/>
  <c r="AH33" i="37"/>
  <c r="AG33" i="37"/>
  <c r="AF33" i="37"/>
  <c r="AE33" i="37"/>
  <c r="AI32" i="37"/>
  <c r="AH32" i="37"/>
  <c r="AG32" i="37"/>
  <c r="AF32" i="37"/>
  <c r="AE32" i="37"/>
  <c r="AI31" i="37"/>
  <c r="AH31" i="37"/>
  <c r="AG31" i="37"/>
  <c r="AF31" i="37"/>
  <c r="AE31" i="37"/>
  <c r="AI30" i="37"/>
  <c r="AH30" i="37"/>
  <c r="AG30" i="37"/>
  <c r="AF30" i="37"/>
  <c r="AE30" i="37"/>
  <c r="AI26" i="37"/>
  <c r="AH26" i="37"/>
  <c r="AG26" i="37"/>
  <c r="AF26" i="37"/>
  <c r="AE26" i="37"/>
  <c r="AI25" i="37"/>
  <c r="AH25" i="37"/>
  <c r="AG25" i="37"/>
  <c r="AF25" i="37"/>
  <c r="AE25" i="37"/>
  <c r="AI24" i="37"/>
  <c r="AH24" i="37"/>
  <c r="AG24" i="37"/>
  <c r="AF24" i="37"/>
  <c r="AE24" i="37"/>
  <c r="AI23" i="37"/>
  <c r="AH23" i="37"/>
  <c r="AG23" i="37"/>
  <c r="AF23" i="37"/>
  <c r="AE23" i="37"/>
  <c r="AI22" i="37"/>
  <c r="AH22" i="37"/>
  <c r="AG22" i="37"/>
  <c r="AF22" i="37"/>
  <c r="AE22" i="37"/>
  <c r="AI21" i="37"/>
  <c r="AH21" i="37"/>
  <c r="AG21" i="37"/>
  <c r="AF21" i="37"/>
  <c r="AE21" i="37"/>
  <c r="AI20" i="37"/>
  <c r="AH20" i="37"/>
  <c r="AG20" i="37"/>
  <c r="AF20" i="37"/>
  <c r="AE20" i="37"/>
  <c r="AI19" i="37"/>
  <c r="AH19" i="37"/>
  <c r="AG19" i="37"/>
  <c r="AF19" i="37"/>
  <c r="AE19" i="37"/>
  <c r="AI18" i="37"/>
  <c r="AH18" i="37"/>
  <c r="AG18" i="37"/>
  <c r="AF18" i="37"/>
  <c r="AE18" i="37"/>
  <c r="AI17" i="37"/>
  <c r="AH17" i="37"/>
  <c r="AG17" i="37"/>
  <c r="AF17" i="37"/>
  <c r="AE17" i="37"/>
  <c r="U26" i="37"/>
  <c r="U25" i="37"/>
  <c r="U24" i="37"/>
  <c r="U23" i="37"/>
  <c r="U22" i="37"/>
  <c r="U21" i="37"/>
  <c r="U20" i="37"/>
  <c r="U19" i="37"/>
  <c r="U18" i="37"/>
  <c r="U17" i="37"/>
  <c r="U13" i="37"/>
  <c r="U12" i="37"/>
  <c r="U11" i="37"/>
  <c r="U10" i="37"/>
  <c r="U9" i="37"/>
  <c r="U8" i="37"/>
  <c r="U7" i="37"/>
  <c r="U6" i="37"/>
  <c r="U5" i="37"/>
  <c r="U4" i="37"/>
  <c r="S26" i="37"/>
  <c r="AC26" i="37" s="1"/>
  <c r="S25" i="37"/>
  <c r="AC25" i="37" s="1"/>
  <c r="S24" i="37"/>
  <c r="AC24" i="37" s="1"/>
  <c r="S23" i="37"/>
  <c r="AC23" i="37" s="1"/>
  <c r="S22" i="37"/>
  <c r="AC22" i="37" s="1"/>
  <c r="S21" i="37"/>
  <c r="AC21" i="37" s="1"/>
  <c r="S20" i="37"/>
  <c r="AC20" i="37" s="1"/>
  <c r="S19" i="37"/>
  <c r="AC19" i="37" s="1"/>
  <c r="S18" i="37"/>
  <c r="AC18" i="37" s="1"/>
  <c r="S17" i="37"/>
  <c r="S13" i="37"/>
  <c r="S12" i="37"/>
  <c r="S11" i="37"/>
  <c r="S10" i="37"/>
  <c r="S9" i="37"/>
  <c r="S8" i="37"/>
  <c r="S7" i="37"/>
  <c r="S6" i="37"/>
  <c r="S5" i="37"/>
  <c r="S4" i="37"/>
  <c r="Q26" i="37"/>
  <c r="AB26" i="37" s="1"/>
  <c r="Q25" i="37"/>
  <c r="AB25" i="37" s="1"/>
  <c r="Q24" i="37"/>
  <c r="AB24" i="37" s="1"/>
  <c r="Q23" i="37"/>
  <c r="AB23" i="37" s="1"/>
  <c r="Q22" i="37"/>
  <c r="AB22" i="37" s="1"/>
  <c r="Q21" i="37"/>
  <c r="AB21" i="37" s="1"/>
  <c r="Q20" i="37"/>
  <c r="AB20" i="37" s="1"/>
  <c r="Q19" i="37"/>
  <c r="AB19" i="37" s="1"/>
  <c r="Q18" i="37"/>
  <c r="AB18" i="37" s="1"/>
  <c r="Q17" i="37"/>
  <c r="Q13" i="37"/>
  <c r="Q12" i="37"/>
  <c r="Q11" i="37"/>
  <c r="Q10" i="37"/>
  <c r="Q9" i="37"/>
  <c r="Q8" i="37"/>
  <c r="Q7" i="37"/>
  <c r="Q6" i="37"/>
  <c r="Q5" i="37"/>
  <c r="Q4" i="37"/>
  <c r="O26" i="37"/>
  <c r="AA26" i="37" s="1"/>
  <c r="O25" i="37"/>
  <c r="AA25" i="37" s="1"/>
  <c r="O24" i="37"/>
  <c r="AA24" i="37" s="1"/>
  <c r="O23" i="37"/>
  <c r="AA23" i="37" s="1"/>
  <c r="O22" i="37"/>
  <c r="O21" i="37"/>
  <c r="AA21" i="37" s="1"/>
  <c r="O20" i="37"/>
  <c r="AA20" i="37" s="1"/>
  <c r="O19" i="37"/>
  <c r="O18" i="37"/>
  <c r="AA18" i="37" s="1"/>
  <c r="O17" i="37"/>
  <c r="AA17" i="37" s="1"/>
  <c r="O13" i="37"/>
  <c r="O12" i="37"/>
  <c r="O11" i="37"/>
  <c r="O10" i="37"/>
  <c r="O9" i="37"/>
  <c r="O8" i="37"/>
  <c r="O7" i="37"/>
  <c r="O6" i="37"/>
  <c r="O5" i="37"/>
  <c r="O4" i="37"/>
  <c r="AA22" i="37"/>
  <c r="M5" i="37"/>
  <c r="M19" i="37"/>
  <c r="Z19" i="37" s="1"/>
  <c r="M20" i="37"/>
  <c r="Z20" i="37" s="1"/>
  <c r="M21" i="37"/>
  <c r="Z21" i="37" s="1"/>
  <c r="M22" i="37"/>
  <c r="Z22" i="37" s="1"/>
  <c r="M23" i="37"/>
  <c r="Z23" i="37" s="1"/>
  <c r="M24" i="37"/>
  <c r="Z24" i="37" s="1"/>
  <c r="M25" i="37"/>
  <c r="Z25" i="37" s="1"/>
  <c r="M26" i="37"/>
  <c r="Z26" i="37" s="1"/>
  <c r="M18" i="37"/>
  <c r="Z18" i="37" s="1"/>
  <c r="M17" i="37"/>
  <c r="Z17" i="37" s="1"/>
  <c r="K19" i="37"/>
  <c r="Y19" i="37" s="1"/>
  <c r="K20" i="37"/>
  <c r="Y20" i="37" s="1"/>
  <c r="K21" i="37"/>
  <c r="Y21" i="37" s="1"/>
  <c r="K22" i="37"/>
  <c r="Y22" i="37" s="1"/>
  <c r="K23" i="37"/>
  <c r="Y23" i="37" s="1"/>
  <c r="K24" i="37"/>
  <c r="Y24" i="37" s="1"/>
  <c r="K25" i="37"/>
  <c r="K26" i="37"/>
  <c r="Y26" i="37" s="1"/>
  <c r="K18" i="37"/>
  <c r="Y18" i="37" s="1"/>
  <c r="K17" i="37"/>
  <c r="K5" i="37"/>
  <c r="AK6" i="37"/>
  <c r="AF3" i="37"/>
  <c r="O3" i="37"/>
  <c r="AI13" i="37"/>
  <c r="AH13" i="37"/>
  <c r="AG13" i="37"/>
  <c r="AF13" i="37"/>
  <c r="AE13" i="37"/>
  <c r="AI12" i="37"/>
  <c r="AH12" i="37"/>
  <c r="AG12" i="37"/>
  <c r="AF12" i="37"/>
  <c r="AE12" i="37"/>
  <c r="AI11" i="37"/>
  <c r="AH11" i="37"/>
  <c r="AG11" i="37"/>
  <c r="AF11" i="37"/>
  <c r="AE11" i="37"/>
  <c r="AI10" i="37"/>
  <c r="AH10" i="37"/>
  <c r="AG10" i="37"/>
  <c r="AF10" i="37"/>
  <c r="AE10" i="37"/>
  <c r="AI9" i="37"/>
  <c r="AH9" i="37"/>
  <c r="AG9" i="37"/>
  <c r="AF9" i="37"/>
  <c r="AE9" i="37"/>
  <c r="AI8" i="37"/>
  <c r="AH8" i="37"/>
  <c r="AG8" i="37"/>
  <c r="AF8" i="37"/>
  <c r="AE8" i="37"/>
  <c r="AI7" i="37"/>
  <c r="AH7" i="37"/>
  <c r="AG7" i="37"/>
  <c r="AF7" i="37"/>
  <c r="AE7" i="37"/>
  <c r="AI6" i="37"/>
  <c r="AH6" i="37"/>
  <c r="AG6" i="37"/>
  <c r="AF6" i="37"/>
  <c r="AE6" i="37"/>
  <c r="AI5" i="37"/>
  <c r="AH5" i="37"/>
  <c r="AG5" i="37"/>
  <c r="AF5" i="37"/>
  <c r="AE5" i="37"/>
  <c r="AI4" i="37"/>
  <c r="AH4" i="37"/>
  <c r="AG4" i="37"/>
  <c r="AF4" i="37"/>
  <c r="AE4" i="37"/>
  <c r="AI3" i="37"/>
  <c r="AH3" i="37"/>
  <c r="AG3" i="37"/>
  <c r="AE3" i="37"/>
  <c r="AL35" i="37"/>
  <c r="AK35" i="37"/>
  <c r="AL34" i="37"/>
  <c r="AK34" i="37"/>
  <c r="AL33" i="37"/>
  <c r="AK33" i="37"/>
  <c r="AL32" i="37"/>
  <c r="AK32" i="37"/>
  <c r="AL31" i="37"/>
  <c r="AK31" i="37"/>
  <c r="AL30" i="37"/>
  <c r="AK30" i="37"/>
  <c r="AL26" i="37"/>
  <c r="AK26" i="37"/>
  <c r="AL25" i="37"/>
  <c r="AK25" i="37"/>
  <c r="AL24" i="37"/>
  <c r="AK24" i="37"/>
  <c r="AL23" i="37"/>
  <c r="AK23" i="37"/>
  <c r="AL22" i="37"/>
  <c r="AK22" i="37"/>
  <c r="AL21" i="37"/>
  <c r="AK21" i="37"/>
  <c r="AL20" i="37"/>
  <c r="AK20" i="37"/>
  <c r="AL19" i="37"/>
  <c r="AK19" i="37"/>
  <c r="AL18" i="37"/>
  <c r="AK18" i="37"/>
  <c r="AL17" i="37"/>
  <c r="AK17" i="37"/>
  <c r="AL13" i="37"/>
  <c r="AK13" i="37"/>
  <c r="AL12" i="37"/>
  <c r="AK12" i="37"/>
  <c r="AL11" i="37"/>
  <c r="AK11" i="37"/>
  <c r="AL10" i="37"/>
  <c r="AK10" i="37"/>
  <c r="AL9" i="37"/>
  <c r="AK9" i="37"/>
  <c r="AL8" i="37"/>
  <c r="AK8" i="37"/>
  <c r="AL7" i="37"/>
  <c r="AK7" i="37"/>
  <c r="AL6" i="37"/>
  <c r="AL5" i="37"/>
  <c r="AK5" i="37"/>
  <c r="AL4" i="37"/>
  <c r="AK4" i="37"/>
  <c r="AL3" i="37"/>
  <c r="AK3" i="37"/>
  <c r="I36" i="37"/>
  <c r="F35" i="37"/>
  <c r="F34" i="37"/>
  <c r="F33" i="37"/>
  <c r="F32" i="37"/>
  <c r="F31" i="37"/>
  <c r="F30" i="37"/>
  <c r="I27" i="37"/>
  <c r="F26" i="37"/>
  <c r="F25" i="37"/>
  <c r="F24" i="37"/>
  <c r="F23" i="37"/>
  <c r="F22" i="37"/>
  <c r="F21" i="37"/>
  <c r="F20" i="37"/>
  <c r="F18" i="37"/>
  <c r="I14" i="37"/>
  <c r="M13" i="37"/>
  <c r="K13" i="37"/>
  <c r="F13" i="37"/>
  <c r="M12" i="37"/>
  <c r="K12" i="37"/>
  <c r="F12" i="37"/>
  <c r="M11" i="37"/>
  <c r="K11" i="37"/>
  <c r="F11" i="37"/>
  <c r="K10" i="37"/>
  <c r="F10" i="37"/>
  <c r="M9" i="37"/>
  <c r="K9" i="37"/>
  <c r="F9" i="37"/>
  <c r="M8" i="37"/>
  <c r="K8" i="37"/>
  <c r="F8" i="37"/>
  <c r="M7" i="37"/>
  <c r="K7" i="37"/>
  <c r="F7" i="37"/>
  <c r="M6" i="37"/>
  <c r="K6" i="37"/>
  <c r="F6" i="37"/>
  <c r="F5" i="37"/>
  <c r="M4" i="37"/>
  <c r="K4" i="37"/>
  <c r="U3" i="37"/>
  <c r="S3" i="37"/>
  <c r="Q3" i="37"/>
  <c r="M3" i="37"/>
  <c r="K3" i="37"/>
  <c r="F3" i="37"/>
  <c r="AF23" i="29"/>
  <c r="AF23" i="34"/>
  <c r="AF23" i="33"/>
  <c r="AF23" i="32"/>
  <c r="AF21" i="34"/>
  <c r="AF20" i="34"/>
  <c r="AE21" i="35"/>
  <c r="AF23" i="35"/>
  <c r="AF32" i="36"/>
  <c r="AG30" i="36"/>
  <c r="AG24" i="36"/>
  <c r="AF20" i="36"/>
  <c r="AG20" i="36"/>
  <c r="AF23" i="36"/>
  <c r="AG19" i="36"/>
  <c r="AF10" i="36"/>
  <c r="AF8" i="36"/>
  <c r="AG7" i="36"/>
  <c r="AG6" i="36"/>
  <c r="AF4" i="36"/>
  <c r="M3" i="36"/>
  <c r="AG3" i="36"/>
  <c r="K3" i="36"/>
  <c r="AE3" i="36"/>
  <c r="AL35" i="36"/>
  <c r="AK35" i="36"/>
  <c r="AL34" i="36"/>
  <c r="AK34" i="36"/>
  <c r="AL33" i="36"/>
  <c r="AK33" i="36"/>
  <c r="AL32" i="36"/>
  <c r="AK32" i="36"/>
  <c r="AL31" i="36"/>
  <c r="AK31" i="36"/>
  <c r="AL30" i="36"/>
  <c r="AK30" i="36"/>
  <c r="AL26" i="36"/>
  <c r="AK26" i="36"/>
  <c r="AL25" i="36"/>
  <c r="AK25" i="36"/>
  <c r="AL24" i="36"/>
  <c r="AK24" i="36"/>
  <c r="AL23" i="36"/>
  <c r="AK23" i="36"/>
  <c r="AL22" i="36"/>
  <c r="AK22" i="36"/>
  <c r="AL21" i="36"/>
  <c r="AK21" i="36"/>
  <c r="AL20" i="36"/>
  <c r="AK20" i="36"/>
  <c r="AL19" i="36"/>
  <c r="AK19" i="36"/>
  <c r="AL18" i="36"/>
  <c r="AK18" i="36"/>
  <c r="AL17" i="36"/>
  <c r="AK17" i="36"/>
  <c r="AL13" i="36"/>
  <c r="AK13" i="36"/>
  <c r="AL12" i="36"/>
  <c r="AK12" i="36"/>
  <c r="AL11" i="36"/>
  <c r="AK11" i="36"/>
  <c r="AL10" i="36"/>
  <c r="AK10" i="36"/>
  <c r="AL9" i="36"/>
  <c r="AK9" i="36"/>
  <c r="AL8" i="36"/>
  <c r="AK8" i="36"/>
  <c r="AL7" i="36"/>
  <c r="AK7" i="36"/>
  <c r="AL6" i="36"/>
  <c r="AK6" i="36"/>
  <c r="AL5" i="36"/>
  <c r="AK5" i="36"/>
  <c r="AL4" i="36"/>
  <c r="AK4" i="36"/>
  <c r="AL3" i="36"/>
  <c r="AK3" i="36"/>
  <c r="AI35" i="36"/>
  <c r="AH35" i="36"/>
  <c r="AG35" i="36"/>
  <c r="AF35" i="36"/>
  <c r="AE35" i="36"/>
  <c r="AI34" i="36"/>
  <c r="AH34" i="36"/>
  <c r="AG34" i="36"/>
  <c r="AF34" i="36"/>
  <c r="AE34" i="36"/>
  <c r="AI33" i="36"/>
  <c r="AH33" i="36"/>
  <c r="AG33" i="36"/>
  <c r="AF33" i="36"/>
  <c r="AE33" i="36"/>
  <c r="AI32" i="36"/>
  <c r="AH32" i="36"/>
  <c r="AG32" i="36"/>
  <c r="AE32" i="36"/>
  <c r="AI31" i="36"/>
  <c r="AH31" i="36"/>
  <c r="AG31" i="36"/>
  <c r="AF31" i="36"/>
  <c r="AE31" i="36"/>
  <c r="AI30" i="36"/>
  <c r="AH30" i="36"/>
  <c r="AF30" i="36"/>
  <c r="AE30" i="36"/>
  <c r="AI26" i="36"/>
  <c r="AH26" i="36"/>
  <c r="AG26" i="36"/>
  <c r="AF26" i="36"/>
  <c r="AE26" i="36"/>
  <c r="AI25" i="36"/>
  <c r="AH25" i="36"/>
  <c r="AG25" i="36"/>
  <c r="AF25" i="36"/>
  <c r="AE25" i="36"/>
  <c r="AI24" i="36"/>
  <c r="AH24" i="36"/>
  <c r="AF24" i="36"/>
  <c r="AE24" i="36"/>
  <c r="AI23" i="36"/>
  <c r="AH23" i="36"/>
  <c r="AG23" i="36"/>
  <c r="AE23" i="36"/>
  <c r="AI22" i="36"/>
  <c r="AH22" i="36"/>
  <c r="AG22" i="36"/>
  <c r="AF22" i="36"/>
  <c r="AE22" i="36"/>
  <c r="AI21" i="36"/>
  <c r="AH21" i="36"/>
  <c r="AG21" i="36"/>
  <c r="AF21" i="36"/>
  <c r="AE21" i="36"/>
  <c r="AI20" i="36"/>
  <c r="AH20" i="36"/>
  <c r="AE20" i="36"/>
  <c r="AI19" i="36"/>
  <c r="AH19" i="36"/>
  <c r="AF19" i="36"/>
  <c r="AE19" i="36"/>
  <c r="AI18" i="36"/>
  <c r="AH18" i="36"/>
  <c r="AG18" i="36"/>
  <c r="AF18" i="36"/>
  <c r="AE18" i="36"/>
  <c r="AI17" i="36"/>
  <c r="AH17" i="36"/>
  <c r="AG17" i="36"/>
  <c r="AF17" i="36"/>
  <c r="AE17" i="36"/>
  <c r="AI13" i="36"/>
  <c r="AH13" i="36"/>
  <c r="AG13" i="36"/>
  <c r="AF13" i="36"/>
  <c r="AE13" i="36"/>
  <c r="AI12" i="36"/>
  <c r="AH12" i="36"/>
  <c r="AG12" i="36"/>
  <c r="AF12" i="36"/>
  <c r="AE12" i="36"/>
  <c r="AI11" i="36"/>
  <c r="AH11" i="36"/>
  <c r="AG11" i="36"/>
  <c r="AF11" i="36"/>
  <c r="AE11" i="36"/>
  <c r="AI10" i="36"/>
  <c r="AH10" i="36"/>
  <c r="AG10" i="36"/>
  <c r="AE10" i="36"/>
  <c r="AI9" i="36"/>
  <c r="AH9" i="36"/>
  <c r="AG9" i="36"/>
  <c r="AF9" i="36"/>
  <c r="AE9" i="36"/>
  <c r="AI8" i="36"/>
  <c r="AH8" i="36"/>
  <c r="AG8" i="36"/>
  <c r="AE8" i="36"/>
  <c r="AI7" i="36"/>
  <c r="AH7" i="36"/>
  <c r="AF7" i="36"/>
  <c r="AE7" i="36"/>
  <c r="AI6" i="36"/>
  <c r="AH6" i="36"/>
  <c r="AF6" i="36"/>
  <c r="AE6" i="36"/>
  <c r="AI5" i="36"/>
  <c r="AH5" i="36"/>
  <c r="AG5" i="36"/>
  <c r="AF5" i="36"/>
  <c r="AE5" i="36"/>
  <c r="AI4" i="36"/>
  <c r="AH4" i="36"/>
  <c r="AG4" i="36"/>
  <c r="AE4" i="36"/>
  <c r="AI3" i="36"/>
  <c r="AH3" i="36"/>
  <c r="AL35" i="35"/>
  <c r="AK35" i="35"/>
  <c r="AL34" i="35"/>
  <c r="AK34" i="35"/>
  <c r="AL33" i="35"/>
  <c r="AK33" i="35"/>
  <c r="AL32" i="35"/>
  <c r="AK32" i="35"/>
  <c r="AL31" i="35"/>
  <c r="AK31" i="35"/>
  <c r="AL30" i="35"/>
  <c r="AK30" i="35"/>
  <c r="AL26" i="35"/>
  <c r="AK26" i="35"/>
  <c r="AL25" i="35"/>
  <c r="AK25" i="35"/>
  <c r="AL24" i="35"/>
  <c r="AK24" i="35"/>
  <c r="AL23" i="35"/>
  <c r="AK23" i="35"/>
  <c r="AL22" i="35"/>
  <c r="AK22" i="35"/>
  <c r="AL21" i="35"/>
  <c r="AK21" i="35"/>
  <c r="AL20" i="35"/>
  <c r="AK20" i="35"/>
  <c r="AL19" i="35"/>
  <c r="AK19" i="35"/>
  <c r="AL18" i="35"/>
  <c r="AK18" i="35"/>
  <c r="AL17" i="35"/>
  <c r="AK17" i="35"/>
  <c r="AL13" i="35"/>
  <c r="AK13" i="35"/>
  <c r="AL12" i="35"/>
  <c r="AK12" i="35"/>
  <c r="AL11" i="35"/>
  <c r="AK11" i="35"/>
  <c r="AL10" i="35"/>
  <c r="AK10" i="35"/>
  <c r="AL9" i="35"/>
  <c r="AK9" i="35"/>
  <c r="AL8" i="35"/>
  <c r="AK8" i="35"/>
  <c r="AL7" i="35"/>
  <c r="AK7" i="35"/>
  <c r="AL6" i="35"/>
  <c r="AK6" i="35"/>
  <c r="AL5" i="35"/>
  <c r="AK5" i="35"/>
  <c r="AL4" i="35"/>
  <c r="AK4" i="35"/>
  <c r="AL3" i="35"/>
  <c r="AK3" i="35"/>
  <c r="AI35" i="35"/>
  <c r="AH35" i="35"/>
  <c r="AG35" i="35"/>
  <c r="AF35" i="35"/>
  <c r="AE35" i="35"/>
  <c r="AI34" i="35"/>
  <c r="AH34" i="35"/>
  <c r="AG34" i="35"/>
  <c r="AF34" i="35"/>
  <c r="AE34" i="35"/>
  <c r="AI33" i="35"/>
  <c r="AH33" i="35"/>
  <c r="AG33" i="35"/>
  <c r="AF33" i="35"/>
  <c r="AE33" i="35"/>
  <c r="AI32" i="35"/>
  <c r="AH32" i="35"/>
  <c r="AG32" i="35"/>
  <c r="AF32" i="35"/>
  <c r="AE32" i="35"/>
  <c r="AI31" i="35"/>
  <c r="AH31" i="35"/>
  <c r="AG31" i="35"/>
  <c r="AF31" i="35"/>
  <c r="AE31" i="35"/>
  <c r="AI30" i="35"/>
  <c r="AH30" i="35"/>
  <c r="AG30" i="35"/>
  <c r="AF30" i="35"/>
  <c r="AE30" i="35"/>
  <c r="AI26" i="35"/>
  <c r="AH26" i="35"/>
  <c r="AG26" i="35"/>
  <c r="AF26" i="35"/>
  <c r="AE26" i="35"/>
  <c r="AI25" i="35"/>
  <c r="AH25" i="35"/>
  <c r="AG25" i="35"/>
  <c r="AF25" i="35"/>
  <c r="AE25" i="35"/>
  <c r="AI24" i="35"/>
  <c r="AH24" i="35"/>
  <c r="AG24" i="35"/>
  <c r="AF24" i="35"/>
  <c r="AE24" i="35"/>
  <c r="AI23" i="35"/>
  <c r="AH23" i="35"/>
  <c r="AG23" i="35"/>
  <c r="AE23" i="35"/>
  <c r="AI22" i="35"/>
  <c r="AH22" i="35"/>
  <c r="AG22" i="35"/>
  <c r="AF22" i="35"/>
  <c r="AE22" i="35"/>
  <c r="AI21" i="35"/>
  <c r="AH21" i="35"/>
  <c r="AG21" i="35"/>
  <c r="AF21" i="35"/>
  <c r="AI20" i="35"/>
  <c r="AH20" i="35"/>
  <c r="AG20" i="35"/>
  <c r="AF20" i="35"/>
  <c r="AE20" i="35"/>
  <c r="AI19" i="35"/>
  <c r="AH19" i="35"/>
  <c r="AG19" i="35"/>
  <c r="AF19" i="35"/>
  <c r="AE19" i="35"/>
  <c r="AI18" i="35"/>
  <c r="AH18" i="35"/>
  <c r="AG18" i="35"/>
  <c r="AF18" i="35"/>
  <c r="AE18" i="35"/>
  <c r="AI17" i="35"/>
  <c r="AH17" i="35"/>
  <c r="AG17" i="35"/>
  <c r="AF17" i="35"/>
  <c r="AE17" i="35"/>
  <c r="AI13" i="35"/>
  <c r="AH13" i="35"/>
  <c r="AG13" i="35"/>
  <c r="AF13" i="35"/>
  <c r="AE13" i="35"/>
  <c r="AI12" i="35"/>
  <c r="AH12" i="35"/>
  <c r="AG12" i="35"/>
  <c r="AF12" i="35"/>
  <c r="AE12" i="35"/>
  <c r="AI11" i="35"/>
  <c r="AH11" i="35"/>
  <c r="AG11" i="35"/>
  <c r="AF11" i="35"/>
  <c r="AE11" i="35"/>
  <c r="AI10" i="35"/>
  <c r="AH10" i="35"/>
  <c r="AG10" i="35"/>
  <c r="AF10" i="35"/>
  <c r="AE10" i="35"/>
  <c r="AI9" i="35"/>
  <c r="AH9" i="35"/>
  <c r="AG9" i="35"/>
  <c r="AF9" i="35"/>
  <c r="AE9" i="35"/>
  <c r="AI8" i="35"/>
  <c r="AH8" i="35"/>
  <c r="AG8" i="35"/>
  <c r="AF8" i="35"/>
  <c r="AE8" i="35"/>
  <c r="AI7" i="35"/>
  <c r="AH7" i="35"/>
  <c r="AG7" i="35"/>
  <c r="AF7" i="35"/>
  <c r="AE7" i="35"/>
  <c r="AI6" i="35"/>
  <c r="AH6" i="35"/>
  <c r="AG6" i="35"/>
  <c r="AF6" i="35"/>
  <c r="AE6" i="35"/>
  <c r="AI5" i="35"/>
  <c r="AH5" i="35"/>
  <c r="AG5" i="35"/>
  <c r="AF5" i="35"/>
  <c r="AE5" i="35"/>
  <c r="AI4" i="35"/>
  <c r="AH4" i="35"/>
  <c r="AG4" i="35"/>
  <c r="AF4" i="35"/>
  <c r="AE4" i="35"/>
  <c r="AI3" i="35"/>
  <c r="AH3" i="35"/>
  <c r="AG3" i="35"/>
  <c r="AF3" i="35"/>
  <c r="AE3" i="35"/>
  <c r="AL35" i="34"/>
  <c r="AK35" i="34"/>
  <c r="AL34" i="34"/>
  <c r="AK34" i="34"/>
  <c r="AL33" i="34"/>
  <c r="AK33" i="34"/>
  <c r="AL32" i="34"/>
  <c r="AK32" i="34"/>
  <c r="AL31" i="34"/>
  <c r="AK31" i="34"/>
  <c r="AL30" i="34"/>
  <c r="AK30" i="34"/>
  <c r="AL26" i="34"/>
  <c r="AK26" i="34"/>
  <c r="AL25" i="34"/>
  <c r="AK25" i="34"/>
  <c r="AL24" i="34"/>
  <c r="AK24" i="34"/>
  <c r="AL23" i="34"/>
  <c r="AK23" i="34"/>
  <c r="AL22" i="34"/>
  <c r="AK22" i="34"/>
  <c r="AL21" i="34"/>
  <c r="AK21" i="34"/>
  <c r="AL20" i="34"/>
  <c r="AK20" i="34"/>
  <c r="AL19" i="34"/>
  <c r="AK19" i="34"/>
  <c r="AL18" i="34"/>
  <c r="AK18" i="34"/>
  <c r="AL17" i="34"/>
  <c r="AK17" i="34"/>
  <c r="AL13" i="34"/>
  <c r="AK13" i="34"/>
  <c r="AL12" i="34"/>
  <c r="AK12" i="34"/>
  <c r="AL11" i="34"/>
  <c r="AK11" i="34"/>
  <c r="AL10" i="34"/>
  <c r="AK10" i="34"/>
  <c r="AL9" i="34"/>
  <c r="AK9" i="34"/>
  <c r="AL8" i="34"/>
  <c r="AK8" i="34"/>
  <c r="AL7" i="34"/>
  <c r="AK7" i="34"/>
  <c r="AL6" i="34"/>
  <c r="AK6" i="34"/>
  <c r="AL5" i="34"/>
  <c r="AK5" i="34"/>
  <c r="AL4" i="34"/>
  <c r="AK4" i="34"/>
  <c r="AL3" i="34"/>
  <c r="AK3" i="34"/>
  <c r="AI35" i="34"/>
  <c r="AH35" i="34"/>
  <c r="AG35" i="34"/>
  <c r="AF35" i="34"/>
  <c r="AE35" i="34"/>
  <c r="AI34" i="34"/>
  <c r="AH34" i="34"/>
  <c r="AG34" i="34"/>
  <c r="AF34" i="34"/>
  <c r="AE34" i="34"/>
  <c r="AI33" i="34"/>
  <c r="AH33" i="34"/>
  <c r="AG33" i="34"/>
  <c r="AF33" i="34"/>
  <c r="AE33" i="34"/>
  <c r="AI32" i="34"/>
  <c r="AH32" i="34"/>
  <c r="AG32" i="34"/>
  <c r="AF32" i="34"/>
  <c r="AE32" i="34"/>
  <c r="AI31" i="34"/>
  <c r="AH31" i="34"/>
  <c r="AG31" i="34"/>
  <c r="AF31" i="34"/>
  <c r="AE31" i="34"/>
  <c r="AI30" i="34"/>
  <c r="AH30" i="34"/>
  <c r="AG30" i="34"/>
  <c r="AF30" i="34"/>
  <c r="AE30" i="34"/>
  <c r="AI26" i="34"/>
  <c r="AH26" i="34"/>
  <c r="AG26" i="34"/>
  <c r="AF26" i="34"/>
  <c r="AE26" i="34"/>
  <c r="AI25" i="34"/>
  <c r="AH25" i="34"/>
  <c r="AG25" i="34"/>
  <c r="AF25" i="34"/>
  <c r="AE25" i="34"/>
  <c r="AI24" i="34"/>
  <c r="AH24" i="34"/>
  <c r="AG24" i="34"/>
  <c r="AF24" i="34"/>
  <c r="AE24" i="34"/>
  <c r="AI23" i="34"/>
  <c r="AH23" i="34"/>
  <c r="AG23" i="34"/>
  <c r="AE23" i="34"/>
  <c r="AI22" i="34"/>
  <c r="AH22" i="34"/>
  <c r="AG22" i="34"/>
  <c r="AF22" i="34"/>
  <c r="AE22" i="34"/>
  <c r="AI21" i="34"/>
  <c r="AH21" i="34"/>
  <c r="AG21" i="34"/>
  <c r="AE21" i="34"/>
  <c r="AI20" i="34"/>
  <c r="AH20" i="34"/>
  <c r="AG20" i="34"/>
  <c r="AE20" i="34"/>
  <c r="AI19" i="34"/>
  <c r="AH19" i="34"/>
  <c r="AG19" i="34"/>
  <c r="AF19" i="34"/>
  <c r="AE19" i="34"/>
  <c r="AI18" i="34"/>
  <c r="AH18" i="34"/>
  <c r="AG18" i="34"/>
  <c r="AF18" i="34"/>
  <c r="AE18" i="34"/>
  <c r="AI17" i="34"/>
  <c r="AH17" i="34"/>
  <c r="AG17" i="34"/>
  <c r="AF17" i="34"/>
  <c r="AE17" i="34"/>
  <c r="AI13" i="34"/>
  <c r="AH13" i="34"/>
  <c r="AG13" i="34"/>
  <c r="AF13" i="34"/>
  <c r="AE13" i="34"/>
  <c r="AI12" i="34"/>
  <c r="AH12" i="34"/>
  <c r="AG12" i="34"/>
  <c r="AF12" i="34"/>
  <c r="AE12" i="34"/>
  <c r="AI11" i="34"/>
  <c r="AH11" i="34"/>
  <c r="AG11" i="34"/>
  <c r="AF11" i="34"/>
  <c r="AE11" i="34"/>
  <c r="AI10" i="34"/>
  <c r="AH10" i="34"/>
  <c r="AG10" i="34"/>
  <c r="AF10" i="34"/>
  <c r="AE10" i="34"/>
  <c r="AI9" i="34"/>
  <c r="AH9" i="34"/>
  <c r="AG9" i="34"/>
  <c r="AF9" i="34"/>
  <c r="AE9" i="34"/>
  <c r="AI8" i="34"/>
  <c r="AH8" i="34"/>
  <c r="AG8" i="34"/>
  <c r="AF8" i="34"/>
  <c r="AE8" i="34"/>
  <c r="AI7" i="34"/>
  <c r="AH7" i="34"/>
  <c r="AG7" i="34"/>
  <c r="AF7" i="34"/>
  <c r="AE7" i="34"/>
  <c r="AI6" i="34"/>
  <c r="AH6" i="34"/>
  <c r="AG6" i="34"/>
  <c r="AF6" i="34"/>
  <c r="AE6" i="34"/>
  <c r="AI5" i="34"/>
  <c r="AH5" i="34"/>
  <c r="AG5" i="34"/>
  <c r="AF5" i="34"/>
  <c r="AE5" i="34"/>
  <c r="AI4" i="34"/>
  <c r="AH4" i="34"/>
  <c r="AG4" i="34"/>
  <c r="AF4" i="34"/>
  <c r="AE4" i="34"/>
  <c r="AI3" i="34"/>
  <c r="AH3" i="34"/>
  <c r="AG3" i="34"/>
  <c r="AF3" i="34"/>
  <c r="AE3" i="34"/>
  <c r="AL35" i="33"/>
  <c r="AK35" i="33"/>
  <c r="AL34" i="33"/>
  <c r="AK34" i="33"/>
  <c r="AL33" i="33"/>
  <c r="AK33" i="33"/>
  <c r="AL32" i="33"/>
  <c r="AK32" i="33"/>
  <c r="AL31" i="33"/>
  <c r="AK31" i="33"/>
  <c r="AL30" i="33"/>
  <c r="AK30" i="33"/>
  <c r="AL26" i="33"/>
  <c r="AK26" i="33"/>
  <c r="AL25" i="33"/>
  <c r="AK25" i="33"/>
  <c r="AL24" i="33"/>
  <c r="AK24" i="33"/>
  <c r="AL23" i="33"/>
  <c r="AK23" i="33"/>
  <c r="AL22" i="33"/>
  <c r="AK22" i="33"/>
  <c r="AL21" i="33"/>
  <c r="AK21" i="33"/>
  <c r="AL20" i="33"/>
  <c r="AK20" i="33"/>
  <c r="AL19" i="33"/>
  <c r="AK19" i="33"/>
  <c r="AL18" i="33"/>
  <c r="AK18" i="33"/>
  <c r="AL17" i="33"/>
  <c r="AK17" i="33"/>
  <c r="AL13" i="33"/>
  <c r="AK13" i="33"/>
  <c r="AL12" i="33"/>
  <c r="AK12" i="33"/>
  <c r="AL11" i="33"/>
  <c r="AK11" i="33"/>
  <c r="AL10" i="33"/>
  <c r="AK10" i="33"/>
  <c r="AL9" i="33"/>
  <c r="AK9" i="33"/>
  <c r="AL8" i="33"/>
  <c r="AK8" i="33"/>
  <c r="AL7" i="33"/>
  <c r="AK7" i="33"/>
  <c r="AL6" i="33"/>
  <c r="AK6" i="33"/>
  <c r="AL5" i="33"/>
  <c r="AK5" i="33"/>
  <c r="AL4" i="33"/>
  <c r="AK4" i="33"/>
  <c r="AL3" i="33"/>
  <c r="AK3" i="33"/>
  <c r="AI35" i="33"/>
  <c r="AH35" i="33"/>
  <c r="AG35" i="33"/>
  <c r="AF35" i="33"/>
  <c r="AE35" i="33"/>
  <c r="AI34" i="33"/>
  <c r="AH34" i="33"/>
  <c r="AG34" i="33"/>
  <c r="AF34" i="33"/>
  <c r="AE34" i="33"/>
  <c r="AI33" i="33"/>
  <c r="AH33" i="33"/>
  <c r="AG33" i="33"/>
  <c r="AF33" i="33"/>
  <c r="AE33" i="33"/>
  <c r="AH32" i="33"/>
  <c r="AG32" i="33"/>
  <c r="AF32" i="33"/>
  <c r="AE32" i="33"/>
  <c r="AI31" i="33"/>
  <c r="AH31" i="33"/>
  <c r="AG31" i="33"/>
  <c r="AF31" i="33"/>
  <c r="AE31" i="33"/>
  <c r="AI30" i="33"/>
  <c r="AH30" i="33"/>
  <c r="AG30" i="33"/>
  <c r="AF30" i="33"/>
  <c r="AE30" i="33"/>
  <c r="AI26" i="33"/>
  <c r="AH26" i="33"/>
  <c r="AG26" i="33"/>
  <c r="AF26" i="33"/>
  <c r="AE26" i="33"/>
  <c r="AI25" i="33"/>
  <c r="AH25" i="33"/>
  <c r="AG25" i="33"/>
  <c r="AF25" i="33"/>
  <c r="AE25" i="33"/>
  <c r="AI24" i="33"/>
  <c r="AH24" i="33"/>
  <c r="AG24" i="33"/>
  <c r="AF24" i="33"/>
  <c r="AE24" i="33"/>
  <c r="AI23" i="33"/>
  <c r="AH23" i="33"/>
  <c r="AG23" i="33"/>
  <c r="AE23" i="33"/>
  <c r="AI22" i="33"/>
  <c r="AH22" i="33"/>
  <c r="AG22" i="33"/>
  <c r="AF22" i="33"/>
  <c r="AE22" i="33"/>
  <c r="AI21" i="33"/>
  <c r="AH21" i="33"/>
  <c r="AG21" i="33"/>
  <c r="AF21" i="33"/>
  <c r="AE21" i="33"/>
  <c r="AI20" i="33"/>
  <c r="AH20" i="33"/>
  <c r="AG20" i="33"/>
  <c r="AF20" i="33"/>
  <c r="AE20" i="33"/>
  <c r="AI19" i="33"/>
  <c r="AH19" i="33"/>
  <c r="AG19" i="33"/>
  <c r="AF19" i="33"/>
  <c r="AE19" i="33"/>
  <c r="AI18" i="33"/>
  <c r="AH18" i="33"/>
  <c r="AG18" i="33"/>
  <c r="AF18" i="33"/>
  <c r="AE18" i="33"/>
  <c r="AI17" i="33"/>
  <c r="AH17" i="33"/>
  <c r="AG17" i="33"/>
  <c r="AF17" i="33"/>
  <c r="AE17" i="33"/>
  <c r="AI13" i="33"/>
  <c r="AH13" i="33"/>
  <c r="AG13" i="33"/>
  <c r="AF13" i="33"/>
  <c r="AE13" i="33"/>
  <c r="AI12" i="33"/>
  <c r="AH12" i="33"/>
  <c r="AG12" i="33"/>
  <c r="AF12" i="33"/>
  <c r="AE12" i="33"/>
  <c r="AI11" i="33"/>
  <c r="AH11" i="33"/>
  <c r="AG11" i="33"/>
  <c r="AF11" i="33"/>
  <c r="AE11" i="33"/>
  <c r="AI10" i="33"/>
  <c r="AH10" i="33"/>
  <c r="AG10" i="33"/>
  <c r="AF10" i="33"/>
  <c r="AE10" i="33"/>
  <c r="AI9" i="33"/>
  <c r="AH9" i="33"/>
  <c r="AG9" i="33"/>
  <c r="AF9" i="33"/>
  <c r="AE9" i="33"/>
  <c r="AI8" i="33"/>
  <c r="AH8" i="33"/>
  <c r="AG8" i="33"/>
  <c r="AF8" i="33"/>
  <c r="AE8" i="33"/>
  <c r="AI7" i="33"/>
  <c r="AH7" i="33"/>
  <c r="AG7" i="33"/>
  <c r="AF7" i="33"/>
  <c r="AE7" i="33"/>
  <c r="AI6" i="33"/>
  <c r="AH6" i="33"/>
  <c r="AG6" i="33"/>
  <c r="AF6" i="33"/>
  <c r="AE6" i="33"/>
  <c r="AI5" i="33"/>
  <c r="AH5" i="33"/>
  <c r="AG5" i="33"/>
  <c r="AF5" i="33"/>
  <c r="AE5" i="33"/>
  <c r="AI4" i="33"/>
  <c r="AH4" i="33"/>
  <c r="AG4" i="33"/>
  <c r="AF4" i="33"/>
  <c r="AE4" i="33"/>
  <c r="AI3" i="33"/>
  <c r="AH3" i="33"/>
  <c r="AG3" i="33"/>
  <c r="AF3" i="33"/>
  <c r="AE3" i="33"/>
  <c r="AL35" i="32"/>
  <c r="AK35" i="32"/>
  <c r="AL34" i="32"/>
  <c r="AK34" i="32"/>
  <c r="AL33" i="32"/>
  <c r="AK33" i="32"/>
  <c r="AL32" i="32"/>
  <c r="AK32" i="32"/>
  <c r="AL31" i="32"/>
  <c r="AK31" i="32"/>
  <c r="AL30" i="32"/>
  <c r="AK30" i="32"/>
  <c r="AL26" i="32"/>
  <c r="AK26" i="32"/>
  <c r="AL25" i="32"/>
  <c r="AK25" i="32"/>
  <c r="AL24" i="32"/>
  <c r="AK24" i="32"/>
  <c r="AL23" i="32"/>
  <c r="AK23" i="32"/>
  <c r="AL22" i="32"/>
  <c r="AK22" i="32"/>
  <c r="AL21" i="32"/>
  <c r="AK21" i="32"/>
  <c r="AL20" i="32"/>
  <c r="AK20" i="32"/>
  <c r="AL19" i="32"/>
  <c r="AK19" i="32"/>
  <c r="AL18" i="32"/>
  <c r="AK18" i="32"/>
  <c r="AL17" i="32"/>
  <c r="AK17" i="32"/>
  <c r="AL13" i="32"/>
  <c r="AK13" i="32"/>
  <c r="AL12" i="32"/>
  <c r="AK12" i="32"/>
  <c r="AL11" i="32"/>
  <c r="AK11" i="32"/>
  <c r="AL10" i="32"/>
  <c r="AK10" i="32"/>
  <c r="AL9" i="32"/>
  <c r="AK9" i="32"/>
  <c r="AL8" i="32"/>
  <c r="AK8" i="32"/>
  <c r="AL7" i="32"/>
  <c r="AK7" i="32"/>
  <c r="AL6" i="32"/>
  <c r="AK6" i="32"/>
  <c r="AL5" i="32"/>
  <c r="AK5" i="32"/>
  <c r="AL4" i="32"/>
  <c r="AK4" i="32"/>
  <c r="AL3" i="32"/>
  <c r="AK3" i="32"/>
  <c r="AI35" i="32"/>
  <c r="AH35" i="32"/>
  <c r="AG35" i="32"/>
  <c r="AF35" i="32"/>
  <c r="AE35" i="32"/>
  <c r="AI34" i="32"/>
  <c r="AH34" i="32"/>
  <c r="AG34" i="32"/>
  <c r="AF34" i="32"/>
  <c r="AE34" i="32"/>
  <c r="AI33" i="32"/>
  <c r="AH33" i="32"/>
  <c r="AG33" i="32"/>
  <c r="AF33" i="32"/>
  <c r="AE33" i="32"/>
  <c r="AH32" i="32"/>
  <c r="AG32" i="32"/>
  <c r="AF32" i="32"/>
  <c r="AE32" i="32"/>
  <c r="AI31" i="32"/>
  <c r="AH31" i="32"/>
  <c r="AG31" i="32"/>
  <c r="AF31" i="32"/>
  <c r="AE31" i="32"/>
  <c r="AI30" i="32"/>
  <c r="AH30" i="32"/>
  <c r="AG30" i="32"/>
  <c r="AF30" i="32"/>
  <c r="AE30" i="32"/>
  <c r="AI26" i="32"/>
  <c r="AH26" i="32"/>
  <c r="AG26" i="32"/>
  <c r="AF26" i="32"/>
  <c r="AE26" i="32"/>
  <c r="AI25" i="32"/>
  <c r="AH25" i="32"/>
  <c r="AG25" i="32"/>
  <c r="AF25" i="32"/>
  <c r="AE25" i="32"/>
  <c r="AI24" i="32"/>
  <c r="AH24" i="32"/>
  <c r="AG24" i="32"/>
  <c r="AF24" i="32"/>
  <c r="AE24" i="32"/>
  <c r="AI23" i="32"/>
  <c r="AH23" i="32"/>
  <c r="AG23" i="32"/>
  <c r="AE23" i="32"/>
  <c r="AI22" i="32"/>
  <c r="AH22" i="32"/>
  <c r="AG22" i="32"/>
  <c r="AF22" i="32"/>
  <c r="AE22" i="32"/>
  <c r="AI21" i="32"/>
  <c r="AH21" i="32"/>
  <c r="AG21" i="32"/>
  <c r="AF21" i="32"/>
  <c r="AE21" i="32"/>
  <c r="AI20" i="32"/>
  <c r="AH20" i="32"/>
  <c r="AG20" i="32"/>
  <c r="AF20" i="32"/>
  <c r="AE20" i="32"/>
  <c r="AI19" i="32"/>
  <c r="AH19" i="32"/>
  <c r="AG19" i="32"/>
  <c r="AF19" i="32"/>
  <c r="AE19" i="32"/>
  <c r="AI18" i="32"/>
  <c r="AH18" i="32"/>
  <c r="AG18" i="32"/>
  <c r="AF18" i="32"/>
  <c r="AE18" i="32"/>
  <c r="AI17" i="32"/>
  <c r="AH17" i="32"/>
  <c r="AG17" i="32"/>
  <c r="AF17" i="32"/>
  <c r="AE17" i="32"/>
  <c r="AI13" i="32"/>
  <c r="AH13" i="32"/>
  <c r="AG13" i="32"/>
  <c r="AF13" i="32"/>
  <c r="AE13" i="32"/>
  <c r="AI12" i="32"/>
  <c r="AH12" i="32"/>
  <c r="AG12" i="32"/>
  <c r="AF12" i="32"/>
  <c r="AE12" i="32"/>
  <c r="AI11" i="32"/>
  <c r="AH11" i="32"/>
  <c r="AG11" i="32"/>
  <c r="AF11" i="32"/>
  <c r="AE11" i="32"/>
  <c r="AI10" i="32"/>
  <c r="AH10" i="32"/>
  <c r="AG10" i="32"/>
  <c r="AF10" i="32"/>
  <c r="AE10" i="32"/>
  <c r="AI9" i="32"/>
  <c r="AH9" i="32"/>
  <c r="AG9" i="32"/>
  <c r="AF9" i="32"/>
  <c r="AE9" i="32"/>
  <c r="AI8" i="32"/>
  <c r="AH8" i="32"/>
  <c r="AG8" i="32"/>
  <c r="AF8" i="32"/>
  <c r="AE8" i="32"/>
  <c r="AI7" i="32"/>
  <c r="AH7" i="32"/>
  <c r="AG7" i="32"/>
  <c r="AF7" i="32"/>
  <c r="AE7" i="32"/>
  <c r="AI6" i="32"/>
  <c r="AH6" i="32"/>
  <c r="AG6" i="32"/>
  <c r="AF6" i="32"/>
  <c r="AE6" i="32"/>
  <c r="AI5" i="32"/>
  <c r="AH5" i="32"/>
  <c r="AG5" i="32"/>
  <c r="AF5" i="32"/>
  <c r="AE5" i="32"/>
  <c r="AI4" i="32"/>
  <c r="AH4" i="32"/>
  <c r="AG4" i="32"/>
  <c r="AF4" i="32"/>
  <c r="AE4" i="32"/>
  <c r="AI3" i="32"/>
  <c r="AH3" i="32"/>
  <c r="AG3" i="32"/>
  <c r="AF3" i="32"/>
  <c r="AE3" i="32"/>
  <c r="AI13" i="31"/>
  <c r="AH13" i="31"/>
  <c r="AG13" i="31"/>
  <c r="AF13" i="31"/>
  <c r="AE13" i="31"/>
  <c r="AI12" i="31"/>
  <c r="AH12" i="31"/>
  <c r="AG12" i="31"/>
  <c r="AF12" i="31"/>
  <c r="AE12" i="31"/>
  <c r="AI11" i="31"/>
  <c r="AH11" i="31"/>
  <c r="AG11" i="31"/>
  <c r="AF11" i="31"/>
  <c r="AE11" i="31"/>
  <c r="AI10" i="31"/>
  <c r="AH10" i="31"/>
  <c r="AG10" i="31"/>
  <c r="AF10" i="31"/>
  <c r="AE10" i="31"/>
  <c r="AI9" i="31"/>
  <c r="AH9" i="31"/>
  <c r="AG9" i="31"/>
  <c r="AF9" i="31"/>
  <c r="AE9" i="31"/>
  <c r="AI8" i="31"/>
  <c r="AH8" i="31"/>
  <c r="AG8" i="31"/>
  <c r="AF8" i="31"/>
  <c r="AE8" i="31"/>
  <c r="AI7" i="31"/>
  <c r="AH7" i="31"/>
  <c r="AG7" i="31"/>
  <c r="AF7" i="31"/>
  <c r="AE7" i="31"/>
  <c r="AI6" i="31"/>
  <c r="AH6" i="31"/>
  <c r="AG6" i="31"/>
  <c r="AF6" i="31"/>
  <c r="AE6" i="31"/>
  <c r="AI5" i="31"/>
  <c r="AH5" i="31"/>
  <c r="AG5" i="31"/>
  <c r="AF5" i="31"/>
  <c r="AE5" i="31"/>
  <c r="AI4" i="31"/>
  <c r="AH4" i="31"/>
  <c r="AG4" i="31"/>
  <c r="AF4" i="31"/>
  <c r="AE4" i="31"/>
  <c r="AI3" i="31"/>
  <c r="AH3" i="31"/>
  <c r="AG3" i="31"/>
  <c r="AF3" i="31"/>
  <c r="AL35" i="31"/>
  <c r="AK35" i="31"/>
  <c r="AL34" i="31"/>
  <c r="AK34" i="31"/>
  <c r="AL33" i="31"/>
  <c r="AK33" i="31"/>
  <c r="AL32" i="31"/>
  <c r="AK32" i="31"/>
  <c r="AL31" i="31"/>
  <c r="AK31" i="31"/>
  <c r="AL30" i="31"/>
  <c r="AK30" i="31"/>
  <c r="AL26" i="31"/>
  <c r="AK26" i="31"/>
  <c r="AL25" i="31"/>
  <c r="AK25" i="31"/>
  <c r="AL24" i="31"/>
  <c r="AK24" i="31"/>
  <c r="AL23" i="31"/>
  <c r="AK23" i="31"/>
  <c r="AL22" i="31"/>
  <c r="AK22" i="31"/>
  <c r="AL21" i="31"/>
  <c r="AK21" i="31"/>
  <c r="AL20" i="31"/>
  <c r="AK20" i="31"/>
  <c r="AL19" i="31"/>
  <c r="AK19" i="31"/>
  <c r="AL18" i="31"/>
  <c r="AK18" i="31"/>
  <c r="AL17" i="31"/>
  <c r="AK17" i="31"/>
  <c r="AL13" i="31"/>
  <c r="AK13" i="31"/>
  <c r="AL12" i="31"/>
  <c r="AK12" i="31"/>
  <c r="AL11" i="31"/>
  <c r="AK11" i="31"/>
  <c r="AL10" i="31"/>
  <c r="AK10" i="31"/>
  <c r="AL9" i="31"/>
  <c r="AK9" i="31"/>
  <c r="AL8" i="31"/>
  <c r="AK8" i="31"/>
  <c r="AL7" i="31"/>
  <c r="AK7" i="31"/>
  <c r="AL6" i="31"/>
  <c r="AK6" i="31"/>
  <c r="AL5" i="31"/>
  <c r="AK5" i="31"/>
  <c r="AL4" i="31"/>
  <c r="AK4" i="31"/>
  <c r="AL3" i="31"/>
  <c r="AK3" i="31"/>
  <c r="AI34" i="31"/>
  <c r="AG34" i="31"/>
  <c r="AI35" i="31"/>
  <c r="AH35" i="31"/>
  <c r="AG35" i="31"/>
  <c r="AF35" i="31"/>
  <c r="AE35" i="31"/>
  <c r="AH34" i="31"/>
  <c r="AF34" i="31"/>
  <c r="AE34" i="31"/>
  <c r="AI33" i="31"/>
  <c r="AH33" i="31"/>
  <c r="AG33" i="31"/>
  <c r="AF33" i="31"/>
  <c r="AE33" i="31"/>
  <c r="AI32" i="31"/>
  <c r="AH32" i="31"/>
  <c r="AG32" i="31"/>
  <c r="AF32" i="31"/>
  <c r="AE32" i="31"/>
  <c r="AI31" i="31"/>
  <c r="AH31" i="31"/>
  <c r="AG31" i="31"/>
  <c r="AF31" i="31"/>
  <c r="AE31" i="31"/>
  <c r="AI30" i="31"/>
  <c r="AH30" i="31"/>
  <c r="AG30" i="31"/>
  <c r="AF30" i="31"/>
  <c r="AE30" i="31"/>
  <c r="AG21" i="31"/>
  <c r="AF23" i="31"/>
  <c r="AI26" i="31"/>
  <c r="AH26" i="31"/>
  <c r="AG26" i="31"/>
  <c r="AF26" i="31"/>
  <c r="AE26" i="31"/>
  <c r="AI25" i="31"/>
  <c r="AH25" i="31"/>
  <c r="AG25" i="31"/>
  <c r="AF25" i="31"/>
  <c r="AE25" i="31"/>
  <c r="AI24" i="31"/>
  <c r="AH24" i="31"/>
  <c r="AG24" i="31"/>
  <c r="AF24" i="31"/>
  <c r="AE24" i="31"/>
  <c r="AI23" i="31"/>
  <c r="AH23" i="31"/>
  <c r="AG23" i="31"/>
  <c r="AE23" i="31"/>
  <c r="AI22" i="31"/>
  <c r="AH22" i="31"/>
  <c r="AG22" i="31"/>
  <c r="AF22" i="31"/>
  <c r="AE22" i="31"/>
  <c r="AI21" i="31"/>
  <c r="AH21" i="31"/>
  <c r="AF21" i="31"/>
  <c r="AE21" i="31"/>
  <c r="AI20" i="31"/>
  <c r="AH20" i="31"/>
  <c r="AG20" i="31"/>
  <c r="AF20" i="31"/>
  <c r="AE20" i="31"/>
  <c r="AI19" i="31"/>
  <c r="AH19" i="31"/>
  <c r="AG19" i="31"/>
  <c r="AF19" i="31"/>
  <c r="AE19" i="31"/>
  <c r="AI18" i="31"/>
  <c r="AH18" i="31"/>
  <c r="AG18" i="31"/>
  <c r="AF18" i="31"/>
  <c r="AE18" i="31"/>
  <c r="AI17" i="31"/>
  <c r="AH17" i="31"/>
  <c r="AG17" i="31"/>
  <c r="AF17" i="31"/>
  <c r="AE17" i="31"/>
  <c r="AL35" i="29"/>
  <c r="AK35" i="29"/>
  <c r="AL34" i="29"/>
  <c r="AK34" i="29"/>
  <c r="AL33" i="29"/>
  <c r="AK33" i="29"/>
  <c r="AL32" i="29"/>
  <c r="AK32" i="29"/>
  <c r="AL31" i="29"/>
  <c r="AK31" i="29"/>
  <c r="AL30" i="29"/>
  <c r="AK30" i="29"/>
  <c r="AL26" i="29"/>
  <c r="AK26" i="29"/>
  <c r="AL25" i="29"/>
  <c r="AK25" i="29"/>
  <c r="AL24" i="29"/>
  <c r="AK24" i="29"/>
  <c r="AL23" i="29"/>
  <c r="AK23" i="29"/>
  <c r="AL22" i="29"/>
  <c r="AK22" i="29"/>
  <c r="AL21" i="29"/>
  <c r="AK21" i="29"/>
  <c r="AL20" i="29"/>
  <c r="AK20" i="29"/>
  <c r="AL19" i="29"/>
  <c r="AK19" i="29"/>
  <c r="AL18" i="29"/>
  <c r="AK18" i="29"/>
  <c r="AL17" i="29"/>
  <c r="AK17" i="29"/>
  <c r="AL13" i="29"/>
  <c r="AK13" i="29"/>
  <c r="AL12" i="29"/>
  <c r="AK12" i="29"/>
  <c r="AL11" i="29"/>
  <c r="AK11" i="29"/>
  <c r="AL10" i="29"/>
  <c r="AK10" i="29"/>
  <c r="AL9" i="29"/>
  <c r="AK9" i="29"/>
  <c r="AL8" i="29"/>
  <c r="AK8" i="29"/>
  <c r="AL7" i="29"/>
  <c r="AK7" i="29"/>
  <c r="AL6" i="29"/>
  <c r="AK6" i="29"/>
  <c r="AL5" i="29"/>
  <c r="AK5" i="29"/>
  <c r="AL4" i="29"/>
  <c r="AK4" i="29"/>
  <c r="AL3" i="29"/>
  <c r="AK3" i="29"/>
  <c r="AI35" i="29"/>
  <c r="AH35" i="29"/>
  <c r="AG35" i="29"/>
  <c r="AF35" i="29"/>
  <c r="AE35" i="29"/>
  <c r="AI34" i="29"/>
  <c r="AH34" i="29"/>
  <c r="AG34" i="29"/>
  <c r="AF34" i="29"/>
  <c r="AE34" i="29"/>
  <c r="AI33" i="29"/>
  <c r="AH33" i="29"/>
  <c r="AG33" i="29"/>
  <c r="AF33" i="29"/>
  <c r="AE33" i="29"/>
  <c r="AI32" i="29"/>
  <c r="AH32" i="29"/>
  <c r="AG32" i="29"/>
  <c r="AF32" i="29"/>
  <c r="AE32" i="29"/>
  <c r="AI31" i="29"/>
  <c r="AH31" i="29"/>
  <c r="AG31" i="29"/>
  <c r="AF31" i="29"/>
  <c r="AE31" i="29"/>
  <c r="AI30" i="29"/>
  <c r="AH30" i="29"/>
  <c r="AG30" i="29"/>
  <c r="AF30" i="29"/>
  <c r="AI26" i="29"/>
  <c r="AH26" i="29"/>
  <c r="AG26" i="29"/>
  <c r="AF26" i="29"/>
  <c r="AE26" i="29"/>
  <c r="AI25" i="29"/>
  <c r="AH25" i="29"/>
  <c r="AG25" i="29"/>
  <c r="AF25" i="29"/>
  <c r="AE25" i="29"/>
  <c r="AI24" i="29"/>
  <c r="AH24" i="29"/>
  <c r="AG24" i="29"/>
  <c r="AF24" i="29"/>
  <c r="AE24" i="29"/>
  <c r="AI23" i="29"/>
  <c r="AH23" i="29"/>
  <c r="AG23" i="29"/>
  <c r="AE23" i="29"/>
  <c r="AI22" i="29"/>
  <c r="AH22" i="29"/>
  <c r="AG22" i="29"/>
  <c r="AF22" i="29"/>
  <c r="AE22" i="29"/>
  <c r="AI21" i="29"/>
  <c r="AH21" i="29"/>
  <c r="AF21" i="29"/>
  <c r="AE21" i="29"/>
  <c r="AI20" i="29"/>
  <c r="AH20" i="29"/>
  <c r="AG20" i="29"/>
  <c r="AF20" i="29"/>
  <c r="AE20" i="29"/>
  <c r="AI19" i="29"/>
  <c r="AH19" i="29"/>
  <c r="AG19" i="29"/>
  <c r="AF19" i="29"/>
  <c r="AE19" i="29"/>
  <c r="AI18" i="29"/>
  <c r="AH18" i="29"/>
  <c r="AG18" i="29"/>
  <c r="AF18" i="29"/>
  <c r="AE18" i="29"/>
  <c r="AI17" i="29"/>
  <c r="AH17" i="29"/>
  <c r="AG17" i="29"/>
  <c r="AF17" i="29"/>
  <c r="AE17" i="29"/>
  <c r="AI13" i="29"/>
  <c r="AH13" i="29"/>
  <c r="AG13" i="29"/>
  <c r="AF13" i="29"/>
  <c r="AE13" i="29"/>
  <c r="AI12" i="29"/>
  <c r="AH12" i="29"/>
  <c r="AG12" i="29"/>
  <c r="AF12" i="29"/>
  <c r="AE12" i="29"/>
  <c r="AI11" i="29"/>
  <c r="AH11" i="29"/>
  <c r="AG11" i="29"/>
  <c r="AF11" i="29"/>
  <c r="AE11" i="29"/>
  <c r="AI10" i="29"/>
  <c r="AH10" i="29"/>
  <c r="AG10" i="29"/>
  <c r="AF10" i="29"/>
  <c r="AE10" i="29"/>
  <c r="AI9" i="29"/>
  <c r="AH9" i="29"/>
  <c r="AG9" i="29"/>
  <c r="AF9" i="29"/>
  <c r="AE9" i="29"/>
  <c r="AI8" i="29"/>
  <c r="AH8" i="29"/>
  <c r="AG8" i="29"/>
  <c r="AF8" i="29"/>
  <c r="AE8" i="29"/>
  <c r="AI7" i="29"/>
  <c r="AH7" i="29"/>
  <c r="AG7" i="29"/>
  <c r="AF7" i="29"/>
  <c r="AE7" i="29"/>
  <c r="AI6" i="29"/>
  <c r="AH6" i="29"/>
  <c r="AG6" i="29"/>
  <c r="AF6" i="29"/>
  <c r="AE6" i="29"/>
  <c r="AI5" i="29"/>
  <c r="AH5" i="29"/>
  <c r="AG5" i="29"/>
  <c r="AF5" i="29"/>
  <c r="AE5" i="29"/>
  <c r="AI4" i="29"/>
  <c r="AH4" i="29"/>
  <c r="AG4" i="29"/>
  <c r="AF4" i="29"/>
  <c r="AE4" i="29"/>
  <c r="AI3" i="29"/>
  <c r="AH3" i="29"/>
  <c r="AG3" i="29"/>
  <c r="AF3" i="29"/>
  <c r="AL35" i="28"/>
  <c r="AK35" i="28"/>
  <c r="AL34" i="28"/>
  <c r="AK34" i="28"/>
  <c r="AL33" i="28"/>
  <c r="AK33" i="28"/>
  <c r="AL32" i="28"/>
  <c r="AK32" i="28"/>
  <c r="AL31" i="28"/>
  <c r="AK31" i="28"/>
  <c r="AL30" i="28"/>
  <c r="AK30" i="28"/>
  <c r="AL26" i="28"/>
  <c r="AK26" i="28"/>
  <c r="AL25" i="28"/>
  <c r="AK25" i="28"/>
  <c r="AL24" i="28"/>
  <c r="AK24" i="28"/>
  <c r="AL23" i="28"/>
  <c r="AK23" i="28"/>
  <c r="AL22" i="28"/>
  <c r="AK22" i="28"/>
  <c r="AL21" i="28"/>
  <c r="AK21" i="28"/>
  <c r="AL20" i="28"/>
  <c r="AK20" i="28"/>
  <c r="AL19" i="28"/>
  <c r="AK19" i="28"/>
  <c r="AL18" i="28"/>
  <c r="AK18" i="28"/>
  <c r="AL17" i="28"/>
  <c r="AK17" i="28"/>
  <c r="AL13" i="28"/>
  <c r="AK13" i="28"/>
  <c r="AL12" i="28"/>
  <c r="AK12" i="28"/>
  <c r="AL11" i="28"/>
  <c r="AK11" i="28"/>
  <c r="AL10" i="28"/>
  <c r="AK10" i="28"/>
  <c r="AL9" i="28"/>
  <c r="AK9" i="28"/>
  <c r="AL8" i="28"/>
  <c r="AK8" i="28"/>
  <c r="AL7" i="28"/>
  <c r="AK7" i="28"/>
  <c r="AL6" i="28"/>
  <c r="AK6" i="28"/>
  <c r="AL5" i="28"/>
  <c r="AK5" i="28"/>
  <c r="AL4" i="28"/>
  <c r="AK4" i="28"/>
  <c r="AL3" i="28"/>
  <c r="AK3" i="28"/>
  <c r="AF23" i="26"/>
  <c r="AF23" i="27"/>
  <c r="AF23" i="28"/>
  <c r="AI35" i="28"/>
  <c r="AH35" i="28"/>
  <c r="AG35" i="28"/>
  <c r="AF35" i="28"/>
  <c r="AE35" i="28"/>
  <c r="AI34" i="28"/>
  <c r="AH34" i="28"/>
  <c r="AG34" i="28"/>
  <c r="AF34" i="28"/>
  <c r="AE34" i="28"/>
  <c r="AI33" i="28"/>
  <c r="AH33" i="28"/>
  <c r="AG33" i="28"/>
  <c r="AF33" i="28"/>
  <c r="AE33" i="28"/>
  <c r="AI32" i="28"/>
  <c r="AH32" i="28"/>
  <c r="AG32" i="28"/>
  <c r="AF32" i="28"/>
  <c r="AE32" i="28"/>
  <c r="AI31" i="28"/>
  <c r="AH31" i="28"/>
  <c r="AG31" i="28"/>
  <c r="AF31" i="28"/>
  <c r="AE31" i="28"/>
  <c r="AI30" i="28"/>
  <c r="AH30" i="28"/>
  <c r="AG30" i="28"/>
  <c r="AF30" i="28"/>
  <c r="AI26" i="28"/>
  <c r="AH26" i="28"/>
  <c r="AG26" i="28"/>
  <c r="AF26" i="28"/>
  <c r="AE26" i="28"/>
  <c r="AI25" i="28"/>
  <c r="AH25" i="28"/>
  <c r="AG25" i="28"/>
  <c r="AF25" i="28"/>
  <c r="AE25" i="28"/>
  <c r="AI24" i="28"/>
  <c r="AH24" i="28"/>
  <c r="AG24" i="28"/>
  <c r="AF24" i="28"/>
  <c r="AE24" i="28"/>
  <c r="AI23" i="28"/>
  <c r="AH23" i="28"/>
  <c r="AG23" i="28"/>
  <c r="AE23" i="28"/>
  <c r="AI22" i="28"/>
  <c r="AH22" i="28"/>
  <c r="AG22" i="28"/>
  <c r="AF22" i="28"/>
  <c r="AE22" i="28"/>
  <c r="AI21" i="28"/>
  <c r="AH21" i="28"/>
  <c r="AF21" i="28"/>
  <c r="AE21" i="28"/>
  <c r="AI20" i="28"/>
  <c r="AH20" i="28"/>
  <c r="AG20" i="28"/>
  <c r="AF20" i="28"/>
  <c r="AE20" i="28"/>
  <c r="AI19" i="28"/>
  <c r="AH19" i="28"/>
  <c r="AG19" i="28"/>
  <c r="AF19" i="28"/>
  <c r="AE19" i="28"/>
  <c r="AI18" i="28"/>
  <c r="AH18" i="28"/>
  <c r="AG18" i="28"/>
  <c r="AF18" i="28"/>
  <c r="AE18" i="28"/>
  <c r="AI17" i="28"/>
  <c r="AH17" i="28"/>
  <c r="AG17" i="28"/>
  <c r="AF17" i="28"/>
  <c r="AE17" i="28"/>
  <c r="AI13" i="28"/>
  <c r="AH13" i="28"/>
  <c r="AG13" i="28"/>
  <c r="AF13" i="28"/>
  <c r="AE13" i="28"/>
  <c r="AI12" i="28"/>
  <c r="AH12" i="28"/>
  <c r="AG12" i="28"/>
  <c r="AF12" i="28"/>
  <c r="AE12" i="28"/>
  <c r="AI11" i="28"/>
  <c r="AH11" i="28"/>
  <c r="AG11" i="28"/>
  <c r="AF11" i="28"/>
  <c r="AE11" i="28"/>
  <c r="AI10" i="28"/>
  <c r="AH10" i="28"/>
  <c r="AG10" i="28"/>
  <c r="AF10" i="28"/>
  <c r="AE10" i="28"/>
  <c r="AI9" i="28"/>
  <c r="AH9" i="28"/>
  <c r="AG9" i="28"/>
  <c r="AF9" i="28"/>
  <c r="AE9" i="28"/>
  <c r="AI8" i="28"/>
  <c r="AH8" i="28"/>
  <c r="AG8" i="28"/>
  <c r="AF8" i="28"/>
  <c r="AE8" i="28"/>
  <c r="AI7" i="28"/>
  <c r="AH7" i="28"/>
  <c r="AG7" i="28"/>
  <c r="AF7" i="28"/>
  <c r="AE7" i="28"/>
  <c r="AI6" i="28"/>
  <c r="AH6" i="28"/>
  <c r="AG6" i="28"/>
  <c r="AF6" i="28"/>
  <c r="AE6" i="28"/>
  <c r="AI5" i="28"/>
  <c r="AH5" i="28"/>
  <c r="AG5" i="28"/>
  <c r="AF5" i="28"/>
  <c r="AE5" i="28"/>
  <c r="AI4" i="28"/>
  <c r="AH4" i="28"/>
  <c r="AG4" i="28"/>
  <c r="AF4" i="28"/>
  <c r="AE4" i="28"/>
  <c r="AI3" i="28"/>
  <c r="AH3" i="28"/>
  <c r="AG3" i="28"/>
  <c r="AF3" i="28"/>
  <c r="AL35" i="27"/>
  <c r="AK35" i="27"/>
  <c r="AL34" i="27"/>
  <c r="AK34" i="27"/>
  <c r="AL33" i="27"/>
  <c r="AK33" i="27"/>
  <c r="AL32" i="27"/>
  <c r="AK32" i="27"/>
  <c r="AL31" i="27"/>
  <c r="AK31" i="27"/>
  <c r="AL30" i="27"/>
  <c r="AK30" i="27"/>
  <c r="AL26" i="27"/>
  <c r="AK26" i="27"/>
  <c r="AL25" i="27"/>
  <c r="AK25" i="27"/>
  <c r="AL24" i="27"/>
  <c r="AK24" i="27"/>
  <c r="AL23" i="27"/>
  <c r="AK23" i="27"/>
  <c r="AL22" i="27"/>
  <c r="AK22" i="27"/>
  <c r="AL21" i="27"/>
  <c r="AK21" i="27"/>
  <c r="AL20" i="27"/>
  <c r="AK20" i="27"/>
  <c r="AL19" i="27"/>
  <c r="AK19" i="27"/>
  <c r="AL18" i="27"/>
  <c r="AK18" i="27"/>
  <c r="AL17" i="27"/>
  <c r="AK17" i="27"/>
  <c r="AL13" i="27"/>
  <c r="AK13" i="27"/>
  <c r="AL12" i="27"/>
  <c r="AK12" i="27"/>
  <c r="AL11" i="27"/>
  <c r="AK11" i="27"/>
  <c r="AL10" i="27"/>
  <c r="AK10" i="27"/>
  <c r="AL9" i="27"/>
  <c r="AK9" i="27"/>
  <c r="AL8" i="27"/>
  <c r="AK8" i="27"/>
  <c r="AL7" i="27"/>
  <c r="AK7" i="27"/>
  <c r="AL6" i="27"/>
  <c r="AK6" i="27"/>
  <c r="AL5" i="27"/>
  <c r="AK5" i="27"/>
  <c r="AL4" i="27"/>
  <c r="AK4" i="27"/>
  <c r="AL3" i="27"/>
  <c r="AK3" i="27"/>
  <c r="AI35" i="27"/>
  <c r="AH35" i="27"/>
  <c r="AG35" i="27"/>
  <c r="AF35" i="27"/>
  <c r="AE35" i="27"/>
  <c r="AI34" i="27"/>
  <c r="AH34" i="27"/>
  <c r="AG34" i="27"/>
  <c r="AF34" i="27"/>
  <c r="AE34" i="27"/>
  <c r="AI33" i="27"/>
  <c r="AH33" i="27"/>
  <c r="AG33" i="27"/>
  <c r="AF33" i="27"/>
  <c r="AE33" i="27"/>
  <c r="AI32" i="27"/>
  <c r="AH32" i="27"/>
  <c r="AG32" i="27"/>
  <c r="AF32" i="27"/>
  <c r="AE32" i="27"/>
  <c r="AI31" i="27"/>
  <c r="AH31" i="27"/>
  <c r="AG31" i="27"/>
  <c r="AF31" i="27"/>
  <c r="AE31" i="27"/>
  <c r="AI30" i="27"/>
  <c r="AH30" i="27"/>
  <c r="AG30" i="27"/>
  <c r="AF30" i="27"/>
  <c r="AI26" i="27"/>
  <c r="AH26" i="27"/>
  <c r="AG26" i="27"/>
  <c r="AF26" i="27"/>
  <c r="AE26" i="27"/>
  <c r="AI25" i="27"/>
  <c r="AH25" i="27"/>
  <c r="AG25" i="27"/>
  <c r="AF25" i="27"/>
  <c r="AE25" i="27"/>
  <c r="AI24" i="27"/>
  <c r="AH24" i="27"/>
  <c r="AG24" i="27"/>
  <c r="AF24" i="27"/>
  <c r="AE24" i="27"/>
  <c r="AI23" i="27"/>
  <c r="AH23" i="27"/>
  <c r="AG23" i="27"/>
  <c r="AE23" i="27"/>
  <c r="AI22" i="27"/>
  <c r="AH22" i="27"/>
  <c r="AG22" i="27"/>
  <c r="AF22" i="27"/>
  <c r="AE22" i="27"/>
  <c r="AI21" i="27"/>
  <c r="AH21" i="27"/>
  <c r="AF21" i="27"/>
  <c r="AE21" i="27"/>
  <c r="AI20" i="27"/>
  <c r="AH20" i="27"/>
  <c r="AG20" i="27"/>
  <c r="AF20" i="27"/>
  <c r="AE20" i="27"/>
  <c r="AI19" i="27"/>
  <c r="AH19" i="27"/>
  <c r="AG19" i="27"/>
  <c r="AF19" i="27"/>
  <c r="AI18" i="27"/>
  <c r="AH18" i="27"/>
  <c r="AG18" i="27"/>
  <c r="AF18" i="27"/>
  <c r="AE18" i="27"/>
  <c r="AI17" i="27"/>
  <c r="AH17" i="27"/>
  <c r="AI13" i="27"/>
  <c r="AH13" i="27"/>
  <c r="AG13" i="27"/>
  <c r="AF13" i="27"/>
  <c r="AE13" i="27"/>
  <c r="AI12" i="27"/>
  <c r="AH12" i="27"/>
  <c r="AG12" i="27"/>
  <c r="AF12" i="27"/>
  <c r="AE12" i="27"/>
  <c r="AI11" i="27"/>
  <c r="AH11" i="27"/>
  <c r="AG11" i="27"/>
  <c r="AF11" i="27"/>
  <c r="AE11" i="27"/>
  <c r="AI10" i="27"/>
  <c r="AH10" i="27"/>
  <c r="AG10" i="27"/>
  <c r="AF10" i="27"/>
  <c r="AE10" i="27"/>
  <c r="AI9" i="27"/>
  <c r="AH9" i="27"/>
  <c r="AG9" i="27"/>
  <c r="AF9" i="27"/>
  <c r="AE9" i="27"/>
  <c r="AI8" i="27"/>
  <c r="AH8" i="27"/>
  <c r="AG8" i="27"/>
  <c r="AF8" i="27"/>
  <c r="AE8" i="27"/>
  <c r="AI7" i="27"/>
  <c r="AH7" i="27"/>
  <c r="AF7" i="27"/>
  <c r="AE7" i="27"/>
  <c r="AI6" i="27"/>
  <c r="AH6" i="27"/>
  <c r="AI5" i="27"/>
  <c r="AH5" i="27"/>
  <c r="AF5" i="27"/>
  <c r="AE5" i="27"/>
  <c r="AI4" i="27"/>
  <c r="AH4" i="27"/>
  <c r="AG4" i="27"/>
  <c r="AF4" i="27"/>
  <c r="AE4" i="27"/>
  <c r="AI3" i="27"/>
  <c r="AH3" i="27"/>
  <c r="AL35" i="26"/>
  <c r="AK35" i="26"/>
  <c r="AL34" i="26"/>
  <c r="AK34" i="26"/>
  <c r="AL33" i="26"/>
  <c r="AK33" i="26"/>
  <c r="AL32" i="26"/>
  <c r="AK32" i="26"/>
  <c r="AL31" i="26"/>
  <c r="AK31" i="26"/>
  <c r="AL30" i="26"/>
  <c r="AK30" i="26"/>
  <c r="AL26" i="26"/>
  <c r="AK26" i="26"/>
  <c r="AL25" i="26"/>
  <c r="AK25" i="26"/>
  <c r="AL24" i="26"/>
  <c r="AK24" i="26"/>
  <c r="AL23" i="26"/>
  <c r="AK23" i="26"/>
  <c r="AL22" i="26"/>
  <c r="AK22" i="26"/>
  <c r="AL21" i="26"/>
  <c r="AK21" i="26"/>
  <c r="AL20" i="26"/>
  <c r="AK20" i="26"/>
  <c r="AL19" i="26"/>
  <c r="AK19" i="26"/>
  <c r="AL18" i="26"/>
  <c r="AK18" i="26"/>
  <c r="AL17" i="26"/>
  <c r="AK17" i="26"/>
  <c r="AL13" i="26"/>
  <c r="AL12" i="26"/>
  <c r="AL11" i="26"/>
  <c r="AL10" i="26"/>
  <c r="AL9" i="26"/>
  <c r="AL8" i="26"/>
  <c r="AL7" i="26"/>
  <c r="AL6" i="26"/>
  <c r="AL5" i="26"/>
  <c r="AL4" i="26"/>
  <c r="AL3" i="26"/>
  <c r="AK13" i="26"/>
  <c r="AK12" i="26"/>
  <c r="AK11" i="26"/>
  <c r="AK10" i="26"/>
  <c r="AK9" i="26"/>
  <c r="AK8" i="26"/>
  <c r="AK7" i="26"/>
  <c r="AK6" i="26"/>
  <c r="AK5" i="26"/>
  <c r="AK4" i="26"/>
  <c r="AK3" i="26"/>
  <c r="AI13" i="26"/>
  <c r="AI12" i="26"/>
  <c r="AI11" i="26"/>
  <c r="AI10" i="26"/>
  <c r="AI9" i="26"/>
  <c r="AI8" i="26"/>
  <c r="AI7" i="26"/>
  <c r="AI6" i="26"/>
  <c r="AI5" i="26"/>
  <c r="AI4" i="26"/>
  <c r="AI3" i="26"/>
  <c r="AH13" i="26"/>
  <c r="AH12" i="26"/>
  <c r="AH11" i="26"/>
  <c r="AH10" i="26"/>
  <c r="AH9" i="26"/>
  <c r="AH8" i="26"/>
  <c r="AH7" i="26"/>
  <c r="AH6" i="26"/>
  <c r="AH5" i="26"/>
  <c r="AH4" i="26"/>
  <c r="AH3" i="26"/>
  <c r="AG13" i="26"/>
  <c r="AG12" i="26"/>
  <c r="AG11" i="26"/>
  <c r="AG10" i="26"/>
  <c r="AG9" i="26"/>
  <c r="AG8" i="26"/>
  <c r="AG4" i="26"/>
  <c r="AF13" i="26"/>
  <c r="AF12" i="26"/>
  <c r="AF11" i="26"/>
  <c r="AF9" i="26"/>
  <c r="AF7" i="26"/>
  <c r="AF5" i="26"/>
  <c r="AE13" i="26"/>
  <c r="AE12" i="26"/>
  <c r="AE10" i="26"/>
  <c r="AE9" i="26"/>
  <c r="AE8" i="26"/>
  <c r="AE7" i="26"/>
  <c r="AE5" i="26"/>
  <c r="AE4" i="26"/>
  <c r="I36" i="36"/>
  <c r="U35" i="36"/>
  <c r="F35" i="36"/>
  <c r="U34" i="36"/>
  <c r="F34" i="36"/>
  <c r="U33" i="36"/>
  <c r="F33" i="36"/>
  <c r="U32" i="36"/>
  <c r="F32" i="36"/>
  <c r="U31" i="36"/>
  <c r="F31" i="36"/>
  <c r="U30" i="36"/>
  <c r="I27" i="36"/>
  <c r="U26" i="36"/>
  <c r="F26" i="36"/>
  <c r="U25" i="36"/>
  <c r="F25" i="36"/>
  <c r="U24" i="36"/>
  <c r="F24" i="36"/>
  <c r="U23" i="36"/>
  <c r="F23" i="36"/>
  <c r="U22" i="36"/>
  <c r="F22" i="36"/>
  <c r="U21" i="36"/>
  <c r="F21" i="36"/>
  <c r="U20" i="36"/>
  <c r="F20" i="36"/>
  <c r="U19" i="36"/>
  <c r="F19" i="36"/>
  <c r="U18" i="36"/>
  <c r="F18" i="36"/>
  <c r="U17" i="36"/>
  <c r="F17" i="36"/>
  <c r="I14" i="36"/>
  <c r="U13" i="36"/>
  <c r="S13" i="36"/>
  <c r="Q13" i="36"/>
  <c r="O13" i="36"/>
  <c r="M13" i="36"/>
  <c r="K13" i="36"/>
  <c r="F13" i="36"/>
  <c r="U12" i="36"/>
  <c r="S12" i="36"/>
  <c r="Q12" i="36"/>
  <c r="O12" i="36"/>
  <c r="M12" i="36"/>
  <c r="K12" i="36"/>
  <c r="F12" i="36"/>
  <c r="U11" i="36"/>
  <c r="S11" i="36"/>
  <c r="Q11" i="36"/>
  <c r="O11" i="36"/>
  <c r="M11" i="36"/>
  <c r="K11" i="36"/>
  <c r="F11" i="36"/>
  <c r="U10" i="36"/>
  <c r="S10" i="36"/>
  <c r="Q10" i="36"/>
  <c r="O10" i="36"/>
  <c r="K10" i="36"/>
  <c r="U9" i="36"/>
  <c r="S9" i="36"/>
  <c r="Q9" i="36"/>
  <c r="O9" i="36"/>
  <c r="M9" i="36"/>
  <c r="K9" i="36"/>
  <c r="F9" i="36"/>
  <c r="U8" i="36"/>
  <c r="S8" i="36"/>
  <c r="Q8" i="36"/>
  <c r="O8" i="36"/>
  <c r="M8" i="36"/>
  <c r="K8" i="36"/>
  <c r="F8" i="36"/>
  <c r="U7" i="36"/>
  <c r="S7" i="36"/>
  <c r="Q7" i="36"/>
  <c r="O7" i="36"/>
  <c r="M7" i="36"/>
  <c r="K7" i="36"/>
  <c r="F7" i="36"/>
  <c r="U6" i="36"/>
  <c r="S6" i="36"/>
  <c r="Q6" i="36"/>
  <c r="O6" i="36"/>
  <c r="M6" i="36"/>
  <c r="K6" i="36"/>
  <c r="F6" i="36"/>
  <c r="U5" i="36"/>
  <c r="S5" i="36"/>
  <c r="Q5" i="36"/>
  <c r="O5" i="36"/>
  <c r="M5" i="36"/>
  <c r="K5" i="36"/>
  <c r="F5" i="36"/>
  <c r="U4" i="36"/>
  <c r="S4" i="36"/>
  <c r="Q4" i="36"/>
  <c r="O4" i="36"/>
  <c r="M4" i="36"/>
  <c r="K4" i="36"/>
  <c r="F4" i="36"/>
  <c r="U3" i="36"/>
  <c r="S3" i="36"/>
  <c r="Q3" i="36"/>
  <c r="O3" i="36"/>
  <c r="F3" i="36"/>
  <c r="K24" i="35"/>
  <c r="S24" i="35"/>
  <c r="Q24" i="35"/>
  <c r="AB24" i="36" s="1"/>
  <c r="O24" i="35"/>
  <c r="AA24" i="36" s="1"/>
  <c r="M24" i="35"/>
  <c r="I36" i="35"/>
  <c r="U35" i="35"/>
  <c r="S35" i="35"/>
  <c r="Q35" i="35"/>
  <c r="AB35" i="36" s="1"/>
  <c r="O35" i="35"/>
  <c r="M35" i="35"/>
  <c r="Z35" i="36" s="1"/>
  <c r="K35" i="35"/>
  <c r="Y35" i="36" s="1"/>
  <c r="F35" i="35"/>
  <c r="U34" i="35"/>
  <c r="S34" i="35"/>
  <c r="AC34" i="36" s="1"/>
  <c r="Q34" i="35"/>
  <c r="O34" i="35"/>
  <c r="AA34" i="36" s="1"/>
  <c r="M34" i="35"/>
  <c r="K34" i="35"/>
  <c r="Y34" i="36" s="1"/>
  <c r="F34" i="35"/>
  <c r="U33" i="35"/>
  <c r="S33" i="35"/>
  <c r="Q33" i="35"/>
  <c r="O33" i="35"/>
  <c r="M33" i="35"/>
  <c r="Z33" i="36" s="1"/>
  <c r="K33" i="35"/>
  <c r="F33" i="35"/>
  <c r="U32" i="35"/>
  <c r="S32" i="35"/>
  <c r="Q32" i="35"/>
  <c r="O32" i="35"/>
  <c r="M32" i="35"/>
  <c r="K32" i="35"/>
  <c r="Y32" i="36" s="1"/>
  <c r="F32" i="35"/>
  <c r="U31" i="35"/>
  <c r="S31" i="35"/>
  <c r="Q31" i="35"/>
  <c r="O31" i="35"/>
  <c r="M31" i="35"/>
  <c r="K31" i="35"/>
  <c r="F31" i="35"/>
  <c r="U30" i="35"/>
  <c r="S30" i="35"/>
  <c r="AC30" i="36" s="1"/>
  <c r="Q30" i="35"/>
  <c r="AB30" i="36" s="1"/>
  <c r="O30" i="35"/>
  <c r="M30" i="35"/>
  <c r="K30" i="35"/>
  <c r="F30" i="35"/>
  <c r="I27" i="35"/>
  <c r="U26" i="35"/>
  <c r="S26" i="35"/>
  <c r="AC26" i="36" s="1"/>
  <c r="Q26" i="35"/>
  <c r="O26" i="35"/>
  <c r="M26" i="35"/>
  <c r="K26" i="35"/>
  <c r="Y26" i="36" s="1"/>
  <c r="F26" i="35"/>
  <c r="U25" i="35"/>
  <c r="S25" i="35"/>
  <c r="AC25" i="36" s="1"/>
  <c r="Q25" i="35"/>
  <c r="AB25" i="36" s="1"/>
  <c r="O25" i="35"/>
  <c r="M25" i="35"/>
  <c r="K25" i="35"/>
  <c r="F25" i="35"/>
  <c r="U24" i="35"/>
  <c r="F24" i="35"/>
  <c r="U23" i="35"/>
  <c r="S23" i="35"/>
  <c r="AC23" i="36" s="1"/>
  <c r="Q23" i="35"/>
  <c r="AB23" i="36" s="1"/>
  <c r="O23" i="35"/>
  <c r="AA23" i="36" s="1"/>
  <c r="M23" i="35"/>
  <c r="Z23" i="36" s="1"/>
  <c r="K23" i="35"/>
  <c r="F23" i="35"/>
  <c r="U22" i="35"/>
  <c r="S22" i="35"/>
  <c r="Q22" i="35"/>
  <c r="AB22" i="36" s="1"/>
  <c r="O22" i="35"/>
  <c r="AA22" i="36" s="1"/>
  <c r="M22" i="35"/>
  <c r="Z22" i="36" s="1"/>
  <c r="K22" i="35"/>
  <c r="Y22" i="36" s="1"/>
  <c r="F22" i="35"/>
  <c r="U21" i="35"/>
  <c r="S21" i="35"/>
  <c r="Q21" i="35"/>
  <c r="O21" i="35"/>
  <c r="AA21" i="36" s="1"/>
  <c r="M21" i="35"/>
  <c r="Z21" i="36" s="1"/>
  <c r="K21" i="35"/>
  <c r="Y21" i="36" s="1"/>
  <c r="F21" i="35"/>
  <c r="U20" i="35"/>
  <c r="S20" i="35"/>
  <c r="Q20" i="35"/>
  <c r="O20" i="35"/>
  <c r="M20" i="35"/>
  <c r="Z20" i="36" s="1"/>
  <c r="K20" i="35"/>
  <c r="Y20" i="36" s="1"/>
  <c r="F20" i="35"/>
  <c r="U19" i="35"/>
  <c r="S19" i="35"/>
  <c r="Q19" i="35"/>
  <c r="O19" i="35"/>
  <c r="M19" i="35"/>
  <c r="K19" i="35"/>
  <c r="Y19" i="36" s="1"/>
  <c r="F19" i="35"/>
  <c r="U18" i="35"/>
  <c r="S18" i="35"/>
  <c r="AC18" i="36" s="1"/>
  <c r="Q18" i="35"/>
  <c r="AB18" i="36" s="1"/>
  <c r="O18" i="35"/>
  <c r="M18" i="35"/>
  <c r="K18" i="35"/>
  <c r="F18" i="35"/>
  <c r="U17" i="35"/>
  <c r="S17" i="35"/>
  <c r="AC17" i="36" s="1"/>
  <c r="Q17" i="35"/>
  <c r="AB17" i="36" s="1"/>
  <c r="O17" i="35"/>
  <c r="AA17" i="36" s="1"/>
  <c r="M17" i="35"/>
  <c r="K17" i="35"/>
  <c r="F17" i="35"/>
  <c r="I14" i="35"/>
  <c r="U13" i="35"/>
  <c r="S13" i="35"/>
  <c r="Q13" i="35"/>
  <c r="O13" i="35"/>
  <c r="M13" i="35"/>
  <c r="K13" i="35"/>
  <c r="F13" i="35"/>
  <c r="U12" i="35"/>
  <c r="S12" i="35"/>
  <c r="Q12" i="35"/>
  <c r="O12" i="35"/>
  <c r="M12" i="35"/>
  <c r="K12" i="35"/>
  <c r="F12" i="35"/>
  <c r="U11" i="35"/>
  <c r="S11" i="35"/>
  <c r="Q11" i="35"/>
  <c r="O11" i="35"/>
  <c r="M11" i="35"/>
  <c r="K11" i="35"/>
  <c r="F11" i="35"/>
  <c r="U10" i="35"/>
  <c r="S10" i="35"/>
  <c r="Q10" i="35"/>
  <c r="O10" i="35"/>
  <c r="M10" i="35"/>
  <c r="K10" i="35"/>
  <c r="F10" i="35"/>
  <c r="U9" i="35"/>
  <c r="S9" i="35"/>
  <c r="Q9" i="35"/>
  <c r="O9" i="35"/>
  <c r="M9" i="35"/>
  <c r="K9" i="35"/>
  <c r="F9" i="35"/>
  <c r="U8" i="35"/>
  <c r="S8" i="35"/>
  <c r="Q8" i="35"/>
  <c r="O8" i="35"/>
  <c r="M8" i="35"/>
  <c r="K8" i="35"/>
  <c r="F8" i="35"/>
  <c r="U7" i="35"/>
  <c r="S7" i="35"/>
  <c r="Q7" i="35"/>
  <c r="O7" i="35"/>
  <c r="M7" i="35"/>
  <c r="K7" i="35"/>
  <c r="F7" i="35"/>
  <c r="U6" i="35"/>
  <c r="S6" i="35"/>
  <c r="Q6" i="35"/>
  <c r="O6" i="35"/>
  <c r="M6" i="35"/>
  <c r="K6" i="35"/>
  <c r="F6" i="35"/>
  <c r="U5" i="35"/>
  <c r="S5" i="35"/>
  <c r="Q5" i="35"/>
  <c r="O5" i="35"/>
  <c r="M5" i="35"/>
  <c r="K5" i="35"/>
  <c r="F5" i="35"/>
  <c r="U4" i="35"/>
  <c r="S4" i="35"/>
  <c r="Q4" i="35"/>
  <c r="O4" i="35"/>
  <c r="M4" i="35"/>
  <c r="K4" i="35"/>
  <c r="F4" i="35"/>
  <c r="U3" i="35"/>
  <c r="S3" i="35"/>
  <c r="Q3" i="35"/>
  <c r="O3" i="35"/>
  <c r="M3" i="35"/>
  <c r="K3" i="35"/>
  <c r="F3" i="35"/>
  <c r="O5" i="34"/>
  <c r="O6" i="34"/>
  <c r="O7" i="34"/>
  <c r="O8" i="34"/>
  <c r="O9" i="34"/>
  <c r="O10" i="34"/>
  <c r="O11" i="34"/>
  <c r="O12" i="34"/>
  <c r="O13" i="34"/>
  <c r="K5" i="34"/>
  <c r="K6" i="34"/>
  <c r="K7" i="34"/>
  <c r="K8" i="34"/>
  <c r="K9" i="34"/>
  <c r="K10" i="34"/>
  <c r="K11" i="34"/>
  <c r="K12" i="34"/>
  <c r="K13" i="34"/>
  <c r="O4" i="34"/>
  <c r="K4" i="34"/>
  <c r="O3" i="34"/>
  <c r="K3" i="34"/>
  <c r="AI27" i="43" l="1"/>
  <c r="AI27" i="44"/>
  <c r="AH27" i="43"/>
  <c r="AH27" i="44"/>
  <c r="AF27" i="44"/>
  <c r="AF27" i="43"/>
  <c r="AG27" i="43"/>
  <c r="AG27" i="44"/>
  <c r="AE27" i="44"/>
  <c r="AE27" i="43"/>
  <c r="AF14" i="43"/>
  <c r="AH14" i="43"/>
  <c r="AI14" i="43"/>
  <c r="AF36" i="44"/>
  <c r="AF36" i="43"/>
  <c r="AE36" i="44"/>
  <c r="AE36" i="43"/>
  <c r="AH36" i="44"/>
  <c r="AH36" i="43"/>
  <c r="AG36" i="44"/>
  <c r="AG36" i="43"/>
  <c r="AI36" i="44"/>
  <c r="AI36" i="43"/>
  <c r="AH14" i="44"/>
  <c r="AG14" i="43"/>
  <c r="AF14" i="44"/>
  <c r="AI14" i="44"/>
  <c r="AG14" i="44"/>
  <c r="F36" i="42"/>
  <c r="F27" i="43"/>
  <c r="L36" i="41"/>
  <c r="AF36" i="41" s="1"/>
  <c r="F14" i="41"/>
  <c r="F14" i="44"/>
  <c r="F36" i="44"/>
  <c r="F27" i="44"/>
  <c r="F36" i="43"/>
  <c r="F27" i="42"/>
  <c r="F14" i="42"/>
  <c r="F27" i="41"/>
  <c r="AC5" i="37"/>
  <c r="Y3" i="35"/>
  <c r="AC17" i="39"/>
  <c r="Z6" i="36"/>
  <c r="AA7" i="36"/>
  <c r="AC9" i="36"/>
  <c r="AB5" i="36"/>
  <c r="AC6" i="36"/>
  <c r="Y6" i="35"/>
  <c r="AA8" i="35"/>
  <c r="Z5" i="37"/>
  <c r="AB6" i="37"/>
  <c r="AC10" i="37"/>
  <c r="Y19" i="39"/>
  <c r="AA30" i="39"/>
  <c r="AC17" i="40"/>
  <c r="AA10" i="36"/>
  <c r="AA5" i="35"/>
  <c r="Y11" i="35"/>
  <c r="AA13" i="35"/>
  <c r="AA12" i="35"/>
  <c r="Y5" i="36"/>
  <c r="Y5" i="37"/>
  <c r="AB8" i="36"/>
  <c r="AB8" i="37"/>
  <c r="Y11" i="36"/>
  <c r="AA13" i="36"/>
  <c r="AA13" i="37"/>
  <c r="Y5" i="35"/>
  <c r="AA7" i="35"/>
  <c r="Y13" i="35"/>
  <c r="AB20" i="36"/>
  <c r="Y4" i="36"/>
  <c r="Z5" i="36"/>
  <c r="AA6" i="36"/>
  <c r="AA6" i="37"/>
  <c r="AB7" i="36"/>
  <c r="AC8" i="36"/>
  <c r="Z11" i="36"/>
  <c r="AA12" i="36"/>
  <c r="AB13" i="36"/>
  <c r="AB13" i="37"/>
  <c r="Z12" i="36"/>
  <c r="AC19" i="36"/>
  <c r="Y4" i="35"/>
  <c r="AA6" i="35"/>
  <c r="Y12" i="35"/>
  <c r="Y31" i="36"/>
  <c r="Z4" i="36"/>
  <c r="AA5" i="36"/>
  <c r="AA5" i="37"/>
  <c r="AB6" i="36"/>
  <c r="AC7" i="36"/>
  <c r="AC7" i="37"/>
  <c r="Y10" i="36"/>
  <c r="AA11" i="36"/>
  <c r="AA11" i="37"/>
  <c r="AB12" i="36"/>
  <c r="AB12" i="37"/>
  <c r="AC13" i="36"/>
  <c r="AC13" i="37"/>
  <c r="AC24" i="36"/>
  <c r="AK27" i="36"/>
  <c r="Y33" i="36"/>
  <c r="Z34" i="36"/>
  <c r="AA35" i="36"/>
  <c r="Z31" i="36"/>
  <c r="Y3" i="36"/>
  <c r="AA8" i="39"/>
  <c r="AA8" i="40"/>
  <c r="AA31" i="36"/>
  <c r="AA3" i="36"/>
  <c r="AB4" i="36"/>
  <c r="AB4" i="37"/>
  <c r="Y9" i="36"/>
  <c r="AB10" i="36"/>
  <c r="AB10" i="37"/>
  <c r="AC11" i="36"/>
  <c r="AC11" i="37"/>
  <c r="AL14" i="36"/>
  <c r="AB21" i="36"/>
  <c r="AC22" i="36"/>
  <c r="Z30" i="36"/>
  <c r="Z32" i="36"/>
  <c r="AA33" i="36"/>
  <c r="AB34" i="36"/>
  <c r="AC35" i="36"/>
  <c r="Y19" i="40"/>
  <c r="AB11" i="36"/>
  <c r="AB11" i="37"/>
  <c r="AB5" i="39"/>
  <c r="AB5" i="40"/>
  <c r="AC9" i="39"/>
  <c r="AC9" i="40"/>
  <c r="AA12" i="39"/>
  <c r="AA12" i="40"/>
  <c r="AC22" i="39"/>
  <c r="AC22" i="40"/>
  <c r="Z25" i="39"/>
  <c r="Z25" i="40"/>
  <c r="AA26" i="39"/>
  <c r="AA26" i="40"/>
  <c r="AB31" i="39"/>
  <c r="AB31" i="40"/>
  <c r="Y35" i="39"/>
  <c r="Y35" i="40"/>
  <c r="AA4" i="35"/>
  <c r="Y10" i="35"/>
  <c r="AA3" i="35"/>
  <c r="Y9" i="35"/>
  <c r="AA11" i="35"/>
  <c r="AB31" i="36"/>
  <c r="AB3" i="36"/>
  <c r="AC4" i="36"/>
  <c r="Y8" i="36"/>
  <c r="Z9" i="36"/>
  <c r="AC10" i="36"/>
  <c r="Y18" i="36"/>
  <c r="Z19" i="36"/>
  <c r="AA20" i="36"/>
  <c r="AC21" i="36"/>
  <c r="Y25" i="36"/>
  <c r="Z26" i="36"/>
  <c r="AA32" i="36"/>
  <c r="AB33" i="36"/>
  <c r="AA10" i="37"/>
  <c r="Y8" i="35"/>
  <c r="AA10" i="35"/>
  <c r="AC31" i="36"/>
  <c r="AC3" i="36"/>
  <c r="Y7" i="36"/>
  <c r="Z8" i="36"/>
  <c r="AA9" i="36"/>
  <c r="Y13" i="36"/>
  <c r="Y17" i="36"/>
  <c r="Z18" i="36"/>
  <c r="AA19" i="36"/>
  <c r="AC20" i="36"/>
  <c r="Y24" i="36"/>
  <c r="Z25" i="36"/>
  <c r="AA26" i="36"/>
  <c r="AB32" i="36"/>
  <c r="AC33" i="36"/>
  <c r="AL36" i="36"/>
  <c r="AA4" i="36"/>
  <c r="AA4" i="37"/>
  <c r="AC12" i="36"/>
  <c r="AC12" i="37"/>
  <c r="Y30" i="36"/>
  <c r="Z4" i="39"/>
  <c r="Z4" i="40"/>
  <c r="Y7" i="39"/>
  <c r="Y7" i="40"/>
  <c r="Y11" i="39"/>
  <c r="Y11" i="40"/>
  <c r="AC13" i="39"/>
  <c r="AC13" i="40"/>
  <c r="Z20" i="39"/>
  <c r="Z20" i="40"/>
  <c r="AA21" i="39"/>
  <c r="AA21" i="40"/>
  <c r="Y24" i="39"/>
  <c r="Y24" i="40"/>
  <c r="AC32" i="39"/>
  <c r="AC32" i="40"/>
  <c r="Y7" i="35"/>
  <c r="AA9" i="35"/>
  <c r="Y6" i="36"/>
  <c r="Z7" i="36"/>
  <c r="AA8" i="36"/>
  <c r="AA8" i="37"/>
  <c r="AB9" i="36"/>
  <c r="AB9" i="37"/>
  <c r="Y12" i="36"/>
  <c r="Z13" i="36"/>
  <c r="Z17" i="36"/>
  <c r="AA18" i="36"/>
  <c r="AB19" i="36"/>
  <c r="Y23" i="36"/>
  <c r="Z24" i="36"/>
  <c r="AA25" i="36"/>
  <c r="AB26" i="36"/>
  <c r="AC32" i="36"/>
  <c r="AC5" i="36"/>
  <c r="AA9" i="37"/>
  <c r="Z9" i="37"/>
  <c r="Z4" i="37"/>
  <c r="Y12" i="37"/>
  <c r="Z12" i="37"/>
  <c r="AB5" i="37"/>
  <c r="AC9" i="37"/>
  <c r="Y4" i="39"/>
  <c r="Y4" i="40"/>
  <c r="AA5" i="39"/>
  <c r="AA5" i="40"/>
  <c r="Z8" i="39"/>
  <c r="Z8" i="40"/>
  <c r="AB9" i="39"/>
  <c r="AB9" i="40"/>
  <c r="Z12" i="39"/>
  <c r="Z12" i="40"/>
  <c r="AB13" i="39"/>
  <c r="AB13" i="40"/>
  <c r="Y20" i="39"/>
  <c r="Y20" i="40"/>
  <c r="Z21" i="39"/>
  <c r="Z21" i="40"/>
  <c r="AB22" i="39"/>
  <c r="AB22" i="40"/>
  <c r="Y25" i="39"/>
  <c r="Y25" i="40"/>
  <c r="Z26" i="39"/>
  <c r="Z26" i="40"/>
  <c r="Z30" i="39"/>
  <c r="Z30" i="40"/>
  <c r="AA31" i="39"/>
  <c r="AA31" i="40"/>
  <c r="AB32" i="39"/>
  <c r="AB32" i="40"/>
  <c r="AC33" i="39"/>
  <c r="AC33" i="40"/>
  <c r="Y6" i="37"/>
  <c r="Y8" i="37"/>
  <c r="Y11" i="37"/>
  <c r="AL14" i="37"/>
  <c r="AB7" i="37"/>
  <c r="Y3" i="39"/>
  <c r="AA4" i="39"/>
  <c r="AC5" i="39"/>
  <c r="Z7" i="39"/>
  <c r="AB8" i="39"/>
  <c r="Z11" i="39"/>
  <c r="AB12" i="39"/>
  <c r="AL14" i="39"/>
  <c r="AK14" i="39"/>
  <c r="Z19" i="39"/>
  <c r="AA20" i="39"/>
  <c r="AB21" i="39"/>
  <c r="Z24" i="39"/>
  <c r="AA25" i="39"/>
  <c r="AB26" i="39"/>
  <c r="AB30" i="39"/>
  <c r="AC31" i="39"/>
  <c r="Y34" i="39"/>
  <c r="Z35" i="39"/>
  <c r="AK36" i="40"/>
  <c r="Y34" i="40"/>
  <c r="Y3" i="37"/>
  <c r="Z6" i="37"/>
  <c r="Z8" i="37"/>
  <c r="Z11" i="37"/>
  <c r="AA12" i="37"/>
  <c r="AC4" i="37"/>
  <c r="Z3" i="39"/>
  <c r="AB4" i="39"/>
  <c r="Y6" i="39"/>
  <c r="AA7" i="39"/>
  <c r="AC8" i="39"/>
  <c r="Y10" i="39"/>
  <c r="AA11" i="39"/>
  <c r="AC12" i="39"/>
  <c r="Y18" i="39"/>
  <c r="AA19" i="39"/>
  <c r="AB20" i="39"/>
  <c r="AC21" i="39"/>
  <c r="Y23" i="39"/>
  <c r="AA24" i="39"/>
  <c r="AB25" i="39"/>
  <c r="AC26" i="39"/>
  <c r="AC30" i="39"/>
  <c r="Z34" i="39"/>
  <c r="AA35" i="39"/>
  <c r="AC8" i="40"/>
  <c r="AB25" i="40"/>
  <c r="AA7" i="40"/>
  <c r="AB26" i="40"/>
  <c r="Y3" i="40"/>
  <c r="AC31" i="40"/>
  <c r="AC12" i="40"/>
  <c r="AB12" i="40"/>
  <c r="AA3" i="39"/>
  <c r="AC4" i="39"/>
  <c r="Z6" i="39"/>
  <c r="AB7" i="39"/>
  <c r="Z10" i="39"/>
  <c r="AB11" i="39"/>
  <c r="Y17" i="39"/>
  <c r="Z18" i="39"/>
  <c r="AB19" i="39"/>
  <c r="AC20" i="39"/>
  <c r="Z23" i="39"/>
  <c r="AB24" i="39"/>
  <c r="AC25" i="39"/>
  <c r="Y33" i="39"/>
  <c r="AA34" i="39"/>
  <c r="AB35" i="39"/>
  <c r="AK14" i="40"/>
  <c r="Z33" i="40"/>
  <c r="AB24" i="40"/>
  <c r="AB7" i="40"/>
  <c r="AA24" i="40"/>
  <c r="Z6" i="40"/>
  <c r="AA25" i="40"/>
  <c r="AC20" i="40"/>
  <c r="AB30" i="40"/>
  <c r="AA11" i="40"/>
  <c r="Z11" i="40"/>
  <c r="Z3" i="36"/>
  <c r="AB3" i="37"/>
  <c r="Y10" i="37"/>
  <c r="Y13" i="37"/>
  <c r="AC6" i="37"/>
  <c r="AB3" i="39"/>
  <c r="AA6" i="39"/>
  <c r="AC7" i="39"/>
  <c r="Y9" i="39"/>
  <c r="AA10" i="39"/>
  <c r="AC11" i="39"/>
  <c r="Y13" i="39"/>
  <c r="Z17" i="39"/>
  <c r="AA18" i="39"/>
  <c r="AC19" i="39"/>
  <c r="Y22" i="39"/>
  <c r="AA23" i="39"/>
  <c r="AC24" i="39"/>
  <c r="AK27" i="39"/>
  <c r="AL27" i="39"/>
  <c r="Y32" i="39"/>
  <c r="Z33" i="39"/>
  <c r="AB34" i="39"/>
  <c r="AC35" i="39"/>
  <c r="AA23" i="40"/>
  <c r="AA6" i="40"/>
  <c r="Z23" i="40"/>
  <c r="Z24" i="40"/>
  <c r="Z7" i="40"/>
  <c r="AC4" i="40"/>
  <c r="AB19" i="40"/>
  <c r="AB35" i="40"/>
  <c r="AA34" i="40"/>
  <c r="Z10" i="40"/>
  <c r="Y10" i="40"/>
  <c r="AC3" i="37"/>
  <c r="Y7" i="37"/>
  <c r="Z13" i="37"/>
  <c r="AA3" i="37"/>
  <c r="AA7" i="37"/>
  <c r="AC3" i="39"/>
  <c r="Y5" i="39"/>
  <c r="AB6" i="39"/>
  <c r="Z9" i="39"/>
  <c r="AB10" i="39"/>
  <c r="Z13" i="39"/>
  <c r="AA17" i="39"/>
  <c r="AB18" i="39"/>
  <c r="Z22" i="39"/>
  <c r="AB23" i="39"/>
  <c r="Y31" i="39"/>
  <c r="Z32" i="39"/>
  <c r="AA33" i="39"/>
  <c r="AC34" i="39"/>
  <c r="AA3" i="40"/>
  <c r="Z22" i="40"/>
  <c r="Y22" i="40"/>
  <c r="Y23" i="40"/>
  <c r="Y6" i="40"/>
  <c r="AC35" i="40"/>
  <c r="AA18" i="40"/>
  <c r="Y9" i="40"/>
  <c r="AB8" i="40"/>
  <c r="Z7" i="37"/>
  <c r="Y9" i="37"/>
  <c r="AC8" i="37"/>
  <c r="Z5" i="39"/>
  <c r="AC6" i="39"/>
  <c r="Y8" i="39"/>
  <c r="AA9" i="39"/>
  <c r="AC10" i="39"/>
  <c r="Y12" i="39"/>
  <c r="AA13" i="39"/>
  <c r="AB17" i="39"/>
  <c r="AC18" i="39"/>
  <c r="Y21" i="39"/>
  <c r="AA22" i="39"/>
  <c r="AC23" i="39"/>
  <c r="Y26" i="39"/>
  <c r="Y30" i="39"/>
  <c r="Z31" i="39"/>
  <c r="AA32" i="39"/>
  <c r="AB33" i="39"/>
  <c r="AL36" i="39"/>
  <c r="AK36" i="39"/>
  <c r="AA30" i="40"/>
  <c r="AL27" i="40"/>
  <c r="Y21" i="40"/>
  <c r="AC18" i="40"/>
  <c r="AC19" i="40"/>
  <c r="AB3" i="40"/>
  <c r="AB34" i="40"/>
  <c r="Z17" i="40"/>
  <c r="AB20" i="40"/>
  <c r="AC21" i="40"/>
  <c r="AB21" i="40"/>
  <c r="AC5" i="40"/>
  <c r="AC10" i="40"/>
  <c r="L27" i="40"/>
  <c r="N36" i="40"/>
  <c r="P36" i="40"/>
  <c r="J36" i="40"/>
  <c r="L14" i="40"/>
  <c r="P27" i="40"/>
  <c r="J27" i="40"/>
  <c r="R14" i="40"/>
  <c r="P14" i="40"/>
  <c r="R27" i="40"/>
  <c r="J14" i="40"/>
  <c r="L36" i="40"/>
  <c r="N27" i="40"/>
  <c r="R36" i="40"/>
  <c r="N14" i="40"/>
  <c r="Q14" i="39"/>
  <c r="AB14" i="40" s="1"/>
  <c r="U36" i="39"/>
  <c r="T36" i="39" s="1"/>
  <c r="Q36" i="39"/>
  <c r="O36" i="39"/>
  <c r="U27" i="39"/>
  <c r="T27" i="39" s="1"/>
  <c r="Q27" i="39"/>
  <c r="M27" i="39"/>
  <c r="Z27" i="40" s="1"/>
  <c r="O27" i="39"/>
  <c r="AA27" i="40" s="1"/>
  <c r="O14" i="39"/>
  <c r="U14" i="39"/>
  <c r="T14" i="39" s="1"/>
  <c r="M14" i="39"/>
  <c r="S14" i="39"/>
  <c r="K36" i="39"/>
  <c r="S36" i="39"/>
  <c r="K14" i="39"/>
  <c r="Y14" i="40" s="1"/>
  <c r="K27" i="39"/>
  <c r="Y27" i="40" s="1"/>
  <c r="S27" i="39"/>
  <c r="AC27" i="40" s="1"/>
  <c r="M36" i="39"/>
  <c r="M36" i="37"/>
  <c r="O36" i="37"/>
  <c r="Q36" i="37"/>
  <c r="K36" i="37"/>
  <c r="S36" i="37"/>
  <c r="AL36" i="37"/>
  <c r="AK36" i="37"/>
  <c r="O27" i="37"/>
  <c r="S27" i="37"/>
  <c r="Q27" i="37"/>
  <c r="AC17" i="37"/>
  <c r="AB17" i="37"/>
  <c r="AA19" i="37"/>
  <c r="M27" i="37"/>
  <c r="K27" i="37"/>
  <c r="Y25" i="37"/>
  <c r="Y17" i="37"/>
  <c r="F19" i="37"/>
  <c r="AK27" i="37"/>
  <c r="F17" i="37"/>
  <c r="M14" i="37"/>
  <c r="U36" i="37"/>
  <c r="T36" i="37" s="1"/>
  <c r="U27" i="37"/>
  <c r="T27" i="37" s="1"/>
  <c r="AL27" i="37"/>
  <c r="U14" i="37"/>
  <c r="T14" i="37" s="1"/>
  <c r="K14" i="37"/>
  <c r="AK14" i="37"/>
  <c r="Y4" i="37"/>
  <c r="Z3" i="37"/>
  <c r="Q14" i="37"/>
  <c r="S14" i="37"/>
  <c r="O14" i="37"/>
  <c r="O36" i="36"/>
  <c r="AK36" i="36"/>
  <c r="F30" i="36"/>
  <c r="AA30" i="36"/>
  <c r="AL27" i="36"/>
  <c r="M10" i="36"/>
  <c r="Z10" i="36" s="1"/>
  <c r="F10" i="36"/>
  <c r="AF3" i="36"/>
  <c r="AK14" i="36"/>
  <c r="K36" i="36"/>
  <c r="M36" i="36"/>
  <c r="Q36" i="36"/>
  <c r="U36" i="36"/>
  <c r="T36" i="36" s="1"/>
  <c r="U27" i="36"/>
  <c r="T27" i="36" s="1"/>
  <c r="K27" i="36"/>
  <c r="M27" i="36"/>
  <c r="U14" i="36"/>
  <c r="T14" i="36" s="1"/>
  <c r="K14" i="36"/>
  <c r="Q14" i="36"/>
  <c r="S14" i="36"/>
  <c r="O14" i="36"/>
  <c r="O27" i="36"/>
  <c r="S36" i="36"/>
  <c r="Q27" i="36"/>
  <c r="S27" i="36"/>
  <c r="S36" i="35"/>
  <c r="R36" i="35" s="1"/>
  <c r="Q36" i="35"/>
  <c r="K36" i="35"/>
  <c r="U36" i="35"/>
  <c r="T36" i="35" s="1"/>
  <c r="M36" i="35"/>
  <c r="K27" i="35"/>
  <c r="M27" i="35"/>
  <c r="O27" i="35"/>
  <c r="Q27" i="35"/>
  <c r="U27" i="35"/>
  <c r="T27" i="35" s="1"/>
  <c r="U14" i="35"/>
  <c r="T14" i="35" s="1"/>
  <c r="O14" i="35"/>
  <c r="K14" i="35"/>
  <c r="Q14" i="35"/>
  <c r="S27" i="35"/>
  <c r="M14" i="35"/>
  <c r="S14" i="35"/>
  <c r="O36" i="35"/>
  <c r="I27" i="34"/>
  <c r="AL27" i="35" s="1"/>
  <c r="I36" i="34"/>
  <c r="AL36" i="35" s="1"/>
  <c r="U35" i="34"/>
  <c r="S35" i="34"/>
  <c r="Q35" i="34"/>
  <c r="O35" i="34"/>
  <c r="M35" i="34"/>
  <c r="K35" i="34"/>
  <c r="F35" i="34"/>
  <c r="U34" i="34"/>
  <c r="S34" i="34"/>
  <c r="Q34" i="34"/>
  <c r="O34" i="34"/>
  <c r="M34" i="34"/>
  <c r="K34" i="34"/>
  <c r="F34" i="34"/>
  <c r="U33" i="34"/>
  <c r="S33" i="34"/>
  <c r="AC33" i="35" s="1"/>
  <c r="Q33" i="34"/>
  <c r="O33" i="34"/>
  <c r="M33" i="34"/>
  <c r="K33" i="34"/>
  <c r="F33" i="34"/>
  <c r="U32" i="34"/>
  <c r="S32" i="34"/>
  <c r="AC32" i="35" s="1"/>
  <c r="Q32" i="34"/>
  <c r="O32" i="34"/>
  <c r="M32" i="34"/>
  <c r="K32" i="34"/>
  <c r="F32" i="34"/>
  <c r="U31" i="34"/>
  <c r="S31" i="34"/>
  <c r="AC31" i="35" s="1"/>
  <c r="Q31" i="34"/>
  <c r="O31" i="34"/>
  <c r="M31" i="34"/>
  <c r="Z31" i="35" s="1"/>
  <c r="K31" i="34"/>
  <c r="Y31" i="35" s="1"/>
  <c r="F31" i="34"/>
  <c r="U30" i="34"/>
  <c r="S30" i="34"/>
  <c r="Q30" i="34"/>
  <c r="AB30" i="35" s="1"/>
  <c r="O30" i="34"/>
  <c r="M30" i="34"/>
  <c r="Z30" i="35" s="1"/>
  <c r="K30" i="34"/>
  <c r="F30" i="34"/>
  <c r="U26" i="34"/>
  <c r="S26" i="34"/>
  <c r="Q26" i="34"/>
  <c r="O26" i="34"/>
  <c r="AA26" i="35" s="1"/>
  <c r="M26" i="34"/>
  <c r="Z26" i="35" s="1"/>
  <c r="K26" i="34"/>
  <c r="F26" i="34"/>
  <c r="U25" i="34"/>
  <c r="S25" i="34"/>
  <c r="Q25" i="34"/>
  <c r="O25" i="34"/>
  <c r="M25" i="34"/>
  <c r="K25" i="34"/>
  <c r="Y25" i="35" s="1"/>
  <c r="F25" i="34"/>
  <c r="U24" i="34"/>
  <c r="S24" i="34"/>
  <c r="Q24" i="34"/>
  <c r="O24" i="34"/>
  <c r="M24" i="34"/>
  <c r="K24" i="34"/>
  <c r="F24" i="34"/>
  <c r="U23" i="34"/>
  <c r="S23" i="34"/>
  <c r="Q23" i="34"/>
  <c r="O23" i="34"/>
  <c r="M23" i="34"/>
  <c r="K23" i="34"/>
  <c r="F23" i="34"/>
  <c r="U22" i="34"/>
  <c r="S22" i="34"/>
  <c r="AC22" i="35" s="1"/>
  <c r="Q22" i="34"/>
  <c r="AB22" i="35" s="1"/>
  <c r="O22" i="34"/>
  <c r="M22" i="34"/>
  <c r="K22" i="34"/>
  <c r="F22" i="34"/>
  <c r="U21" i="34"/>
  <c r="S21" i="34"/>
  <c r="Q21" i="34"/>
  <c r="O21" i="34"/>
  <c r="M21" i="34"/>
  <c r="K21" i="34"/>
  <c r="F21" i="34"/>
  <c r="U20" i="34"/>
  <c r="S20" i="34"/>
  <c r="AC20" i="35" s="1"/>
  <c r="Q20" i="34"/>
  <c r="O20" i="34"/>
  <c r="M20" i="34"/>
  <c r="Z20" i="35" s="1"/>
  <c r="K20" i="34"/>
  <c r="F20" i="34"/>
  <c r="U19" i="34"/>
  <c r="S19" i="34"/>
  <c r="Q19" i="34"/>
  <c r="AB19" i="35" s="1"/>
  <c r="O19" i="34"/>
  <c r="AA19" i="35" s="1"/>
  <c r="M19" i="34"/>
  <c r="K19" i="34"/>
  <c r="F19" i="34"/>
  <c r="U18" i="34"/>
  <c r="S18" i="34"/>
  <c r="Q18" i="34"/>
  <c r="O18" i="34"/>
  <c r="AA18" i="35" s="1"/>
  <c r="M18" i="34"/>
  <c r="Z18" i="35" s="1"/>
  <c r="K18" i="34"/>
  <c r="Y18" i="35" s="1"/>
  <c r="F18" i="34"/>
  <c r="U17" i="34"/>
  <c r="S17" i="34"/>
  <c r="Q17" i="34"/>
  <c r="O17" i="34"/>
  <c r="M17" i="34"/>
  <c r="K17" i="34"/>
  <c r="Y17" i="35" s="1"/>
  <c r="F17" i="34"/>
  <c r="I14" i="34"/>
  <c r="AL14" i="35" s="1"/>
  <c r="U13" i="34"/>
  <c r="S13" i="34"/>
  <c r="Q13" i="34"/>
  <c r="M13" i="34"/>
  <c r="F13" i="34"/>
  <c r="U12" i="34"/>
  <c r="S12" i="34"/>
  <c r="AC12" i="35" s="1"/>
  <c r="Q12" i="34"/>
  <c r="M12" i="34"/>
  <c r="F12" i="34"/>
  <c r="U11" i="34"/>
  <c r="S11" i="34"/>
  <c r="Q11" i="34"/>
  <c r="AB11" i="35" s="1"/>
  <c r="M11" i="34"/>
  <c r="Z11" i="35" s="1"/>
  <c r="F11" i="34"/>
  <c r="U10" i="34"/>
  <c r="S10" i="34"/>
  <c r="Q10" i="34"/>
  <c r="M10" i="34"/>
  <c r="F10" i="34"/>
  <c r="U9" i="34"/>
  <c r="S9" i="34"/>
  <c r="AC9" i="35" s="1"/>
  <c r="Q9" i="34"/>
  <c r="M9" i="34"/>
  <c r="Z9" i="35" s="1"/>
  <c r="F9" i="34"/>
  <c r="U8" i="34"/>
  <c r="S8" i="34"/>
  <c r="Q8" i="34"/>
  <c r="M8" i="34"/>
  <c r="F8" i="34"/>
  <c r="U7" i="34"/>
  <c r="S7" i="34"/>
  <c r="Q7" i="34"/>
  <c r="AB7" i="35" s="1"/>
  <c r="M7" i="34"/>
  <c r="F7" i="34"/>
  <c r="U6" i="34"/>
  <c r="S6" i="34"/>
  <c r="AC6" i="35" s="1"/>
  <c r="Q6" i="34"/>
  <c r="AB6" i="35" s="1"/>
  <c r="M6" i="34"/>
  <c r="F6" i="34"/>
  <c r="U5" i="34"/>
  <c r="S5" i="34"/>
  <c r="Q5" i="34"/>
  <c r="M5" i="34"/>
  <c r="F5" i="34"/>
  <c r="U4" i="34"/>
  <c r="S4" i="34"/>
  <c r="AC4" i="35" s="1"/>
  <c r="Q4" i="34"/>
  <c r="AB4" i="35" s="1"/>
  <c r="M4" i="34"/>
  <c r="F4" i="34"/>
  <c r="U3" i="34"/>
  <c r="S3" i="34"/>
  <c r="Q3" i="34"/>
  <c r="M3" i="34"/>
  <c r="Z3" i="35" s="1"/>
  <c r="F3" i="34"/>
  <c r="U35" i="33"/>
  <c r="U34" i="33"/>
  <c r="U33" i="33"/>
  <c r="U32" i="33"/>
  <c r="U31" i="33"/>
  <c r="U30" i="33"/>
  <c r="S35" i="33"/>
  <c r="S34" i="33"/>
  <c r="S33" i="33"/>
  <c r="S32" i="33"/>
  <c r="S31" i="33"/>
  <c r="S30" i="33"/>
  <c r="Q35" i="33"/>
  <c r="Q34" i="33"/>
  <c r="Q33" i="33"/>
  <c r="Q32" i="33"/>
  <c r="Q31" i="33"/>
  <c r="Q30" i="33"/>
  <c r="O35" i="33"/>
  <c r="O34" i="33"/>
  <c r="O33" i="33"/>
  <c r="O32" i="33"/>
  <c r="O31" i="33"/>
  <c r="O30" i="33"/>
  <c r="M35" i="33"/>
  <c r="M34" i="33"/>
  <c r="M33" i="33"/>
  <c r="M32" i="33"/>
  <c r="M31" i="33"/>
  <c r="M30" i="33"/>
  <c r="K35" i="33"/>
  <c r="K34" i="33"/>
  <c r="K33" i="33"/>
  <c r="K32" i="33"/>
  <c r="K31" i="33"/>
  <c r="K30" i="33"/>
  <c r="U26" i="33"/>
  <c r="U25" i="33"/>
  <c r="U24" i="33"/>
  <c r="U23" i="33"/>
  <c r="U22" i="33"/>
  <c r="U21" i="33"/>
  <c r="U20" i="33"/>
  <c r="U19" i="33"/>
  <c r="U18" i="33"/>
  <c r="U17" i="33"/>
  <c r="Q26" i="33"/>
  <c r="Q25" i="33"/>
  <c r="Q24" i="33"/>
  <c r="Q23" i="33"/>
  <c r="Q22" i="33"/>
  <c r="Q21" i="33"/>
  <c r="Q20" i="33"/>
  <c r="Q19" i="33"/>
  <c r="Q18" i="33"/>
  <c r="Q17" i="33"/>
  <c r="O26" i="33"/>
  <c r="O25" i="33"/>
  <c r="O24" i="33"/>
  <c r="O23" i="33"/>
  <c r="O22" i="33"/>
  <c r="O21" i="33"/>
  <c r="O20" i="33"/>
  <c r="O19" i="33"/>
  <c r="O18" i="33"/>
  <c r="O17" i="33"/>
  <c r="M26" i="33"/>
  <c r="M25" i="33"/>
  <c r="M24" i="33"/>
  <c r="M23" i="33"/>
  <c r="M22" i="33"/>
  <c r="M21" i="33"/>
  <c r="M20" i="33"/>
  <c r="M19" i="33"/>
  <c r="M18" i="33"/>
  <c r="M17" i="33"/>
  <c r="K26" i="33"/>
  <c r="K25" i="33"/>
  <c r="K24" i="33"/>
  <c r="K23" i="33"/>
  <c r="K22" i="33"/>
  <c r="K21" i="33"/>
  <c r="K20" i="33"/>
  <c r="K19" i="33"/>
  <c r="K18" i="33"/>
  <c r="K17" i="33"/>
  <c r="Q3" i="33"/>
  <c r="Q13" i="33"/>
  <c r="Q12" i="33"/>
  <c r="Q11" i="33"/>
  <c r="Q10" i="33"/>
  <c r="Q9" i="33"/>
  <c r="Q8" i="33"/>
  <c r="Q7" i="33"/>
  <c r="Q6" i="33"/>
  <c r="Q5" i="33"/>
  <c r="Q4" i="33"/>
  <c r="S12" i="33"/>
  <c r="O12" i="33"/>
  <c r="M12" i="33"/>
  <c r="K12" i="33"/>
  <c r="I36" i="33"/>
  <c r="F35" i="33"/>
  <c r="F34" i="33"/>
  <c r="F33" i="33"/>
  <c r="F32" i="33"/>
  <c r="F31" i="33"/>
  <c r="I27" i="33"/>
  <c r="S26" i="33"/>
  <c r="F26" i="33"/>
  <c r="S25" i="33"/>
  <c r="F25" i="33"/>
  <c r="S24" i="33"/>
  <c r="F24" i="33"/>
  <c r="S23" i="33"/>
  <c r="F23" i="33"/>
  <c r="S22" i="33"/>
  <c r="F22" i="33"/>
  <c r="S21" i="33"/>
  <c r="F21" i="33"/>
  <c r="S20" i="33"/>
  <c r="F20" i="33"/>
  <c r="S19" i="33"/>
  <c r="F19" i="33"/>
  <c r="S18" i="33"/>
  <c r="F18" i="33"/>
  <c r="S17" i="33"/>
  <c r="F17" i="33"/>
  <c r="I14" i="33"/>
  <c r="U13" i="33"/>
  <c r="S13" i="33"/>
  <c r="O13" i="33"/>
  <c r="AA13" i="34" s="1"/>
  <c r="M13" i="33"/>
  <c r="K13" i="33"/>
  <c r="Y13" i="34" s="1"/>
  <c r="F13" i="33"/>
  <c r="U12" i="33"/>
  <c r="F12" i="33"/>
  <c r="U11" i="33"/>
  <c r="S11" i="33"/>
  <c r="O11" i="33"/>
  <c r="M11" i="33"/>
  <c r="K11" i="33"/>
  <c r="F11" i="33"/>
  <c r="U10" i="33"/>
  <c r="S10" i="33"/>
  <c r="O10" i="33"/>
  <c r="AA10" i="34" s="1"/>
  <c r="M10" i="33"/>
  <c r="K10" i="33"/>
  <c r="Y10" i="34" s="1"/>
  <c r="F10" i="33"/>
  <c r="U9" i="33"/>
  <c r="S9" i="33"/>
  <c r="O9" i="33"/>
  <c r="M9" i="33"/>
  <c r="K9" i="33"/>
  <c r="F9" i="33"/>
  <c r="U8" i="33"/>
  <c r="S8" i="33"/>
  <c r="O8" i="33"/>
  <c r="M8" i="33"/>
  <c r="K8" i="33"/>
  <c r="F8" i="33"/>
  <c r="U7" i="33"/>
  <c r="S7" i="33"/>
  <c r="O7" i="33"/>
  <c r="M7" i="33"/>
  <c r="K7" i="33"/>
  <c r="Y7" i="34" s="1"/>
  <c r="F7" i="33"/>
  <c r="U6" i="33"/>
  <c r="S6" i="33"/>
  <c r="O6" i="33"/>
  <c r="AA6" i="34" s="1"/>
  <c r="M6" i="33"/>
  <c r="K6" i="33"/>
  <c r="F6" i="33"/>
  <c r="U5" i="33"/>
  <c r="S5" i="33"/>
  <c r="O5" i="33"/>
  <c r="AA5" i="34" s="1"/>
  <c r="M5" i="33"/>
  <c r="K5" i="33"/>
  <c r="Y5" i="34" s="1"/>
  <c r="F5" i="33"/>
  <c r="U4" i="33"/>
  <c r="S4" i="33"/>
  <c r="O4" i="33"/>
  <c r="M4" i="33"/>
  <c r="K4" i="33"/>
  <c r="Y4" i="34" s="1"/>
  <c r="F4" i="33"/>
  <c r="U3" i="33"/>
  <c r="S3" i="33"/>
  <c r="O3" i="33"/>
  <c r="M3" i="33"/>
  <c r="K3" i="33"/>
  <c r="Y3" i="34" s="1"/>
  <c r="F3" i="33"/>
  <c r="M18" i="32"/>
  <c r="M19" i="32"/>
  <c r="M20" i="32"/>
  <c r="M21" i="32"/>
  <c r="M22" i="32"/>
  <c r="M23" i="32"/>
  <c r="M24" i="32"/>
  <c r="M25" i="32"/>
  <c r="M26" i="32"/>
  <c r="M17" i="32"/>
  <c r="R32" i="32"/>
  <c r="F36" i="41" l="1"/>
  <c r="AA20" i="34"/>
  <c r="AA31" i="34"/>
  <c r="AB14" i="36"/>
  <c r="AC11" i="34"/>
  <c r="AA17" i="34"/>
  <c r="AA25" i="34"/>
  <c r="AA14" i="37"/>
  <c r="AB9" i="34"/>
  <c r="AB18" i="34"/>
  <c r="Y23" i="34"/>
  <c r="AB26" i="34"/>
  <c r="AC30" i="34"/>
  <c r="Y34" i="34"/>
  <c r="Z36" i="36"/>
  <c r="AC5" i="34"/>
  <c r="AC17" i="34"/>
  <c r="Z22" i="34"/>
  <c r="AC25" i="34"/>
  <c r="Z4" i="34"/>
  <c r="Z12" i="34"/>
  <c r="Z32" i="34"/>
  <c r="AC35" i="34"/>
  <c r="AB27" i="36"/>
  <c r="Z36" i="39"/>
  <c r="Y19" i="34"/>
  <c r="AB33" i="34"/>
  <c r="AC36" i="36"/>
  <c r="AB21" i="34"/>
  <c r="AB3" i="34"/>
  <c r="Z8" i="34"/>
  <c r="Z17" i="34"/>
  <c r="Y24" i="34"/>
  <c r="Z25" i="34"/>
  <c r="Y35" i="34"/>
  <c r="Y36" i="37"/>
  <c r="AC36" i="39"/>
  <c r="AB27" i="39"/>
  <c r="AC14" i="39"/>
  <c r="AB27" i="40"/>
  <c r="AC36" i="40"/>
  <c r="Z24" i="33"/>
  <c r="Z18" i="33"/>
  <c r="Z26" i="33"/>
  <c r="Z7" i="34"/>
  <c r="Y21" i="34"/>
  <c r="AA23" i="34"/>
  <c r="AB24" i="34"/>
  <c r="Y32" i="34"/>
  <c r="AA34" i="34"/>
  <c r="AB35" i="34"/>
  <c r="AC27" i="36"/>
  <c r="AA36" i="36"/>
  <c r="Z20" i="33"/>
  <c r="AA21" i="34"/>
  <c r="Y30" i="34"/>
  <c r="AA32" i="34"/>
  <c r="AC34" i="34"/>
  <c r="AC14" i="37"/>
  <c r="Z27" i="37"/>
  <c r="Y14" i="39"/>
  <c r="Z33" i="34"/>
  <c r="Z5" i="34"/>
  <c r="AC19" i="34"/>
  <c r="Z24" i="34"/>
  <c r="Z35" i="34"/>
  <c r="P36" i="35"/>
  <c r="Z10" i="37"/>
  <c r="Z32" i="35"/>
  <c r="AB35" i="35"/>
  <c r="AC13" i="34"/>
  <c r="AC3" i="34"/>
  <c r="AB8" i="34"/>
  <c r="Z13" i="34"/>
  <c r="Z17" i="33"/>
  <c r="Z25" i="33"/>
  <c r="AB5" i="34"/>
  <c r="AC8" i="34"/>
  <c r="Z10" i="34"/>
  <c r="AB13" i="34"/>
  <c r="AB17" i="34"/>
  <c r="AC18" i="34"/>
  <c r="Y22" i="34"/>
  <c r="Z23" i="34"/>
  <c r="AA24" i="34"/>
  <c r="AA24" i="35"/>
  <c r="AB25" i="34"/>
  <c r="AC26" i="34"/>
  <c r="Y33" i="34"/>
  <c r="Z34" i="34"/>
  <c r="AA35" i="34"/>
  <c r="Y14" i="36"/>
  <c r="AB27" i="37"/>
  <c r="AB36" i="37"/>
  <c r="Y36" i="39"/>
  <c r="AC14" i="40"/>
  <c r="Y36" i="40"/>
  <c r="AB24" i="35"/>
  <c r="AA21" i="35"/>
  <c r="Z8" i="35"/>
  <c r="Z25" i="35"/>
  <c r="Z10" i="35"/>
  <c r="AC8" i="35"/>
  <c r="AA34" i="35"/>
  <c r="AC19" i="35"/>
  <c r="Z35" i="35"/>
  <c r="AB26" i="35"/>
  <c r="AA23" i="35"/>
  <c r="AK36" i="35"/>
  <c r="AB5" i="35"/>
  <c r="Y23" i="35"/>
  <c r="Z33" i="35"/>
  <c r="Y12" i="34"/>
  <c r="AA35" i="35"/>
  <c r="AA11" i="34"/>
  <c r="AA36" i="39"/>
  <c r="AI32" i="32"/>
  <c r="AI32" i="33"/>
  <c r="Z19" i="33"/>
  <c r="AB7" i="34"/>
  <c r="AC10" i="34"/>
  <c r="Y20" i="34"/>
  <c r="Z21" i="34"/>
  <c r="AA22" i="34"/>
  <c r="AB23" i="34"/>
  <c r="AC24" i="34"/>
  <c r="Y31" i="34"/>
  <c r="AA33" i="34"/>
  <c r="AB34" i="34"/>
  <c r="Z27" i="36"/>
  <c r="AA27" i="37"/>
  <c r="Z36" i="37"/>
  <c r="L14" i="39"/>
  <c r="AF14" i="40" s="1"/>
  <c r="Z14" i="39"/>
  <c r="P36" i="39"/>
  <c r="AB36" i="39"/>
  <c r="Y34" i="35"/>
  <c r="Y19" i="35"/>
  <c r="AC3" i="35"/>
  <c r="AA25" i="35"/>
  <c r="Y30" i="35"/>
  <c r="Z24" i="35"/>
  <c r="Z22" i="35"/>
  <c r="AC5" i="35"/>
  <c r="Z23" i="35"/>
  <c r="Z12" i="35"/>
  <c r="AC24" i="35"/>
  <c r="AA32" i="35"/>
  <c r="Y32" i="35"/>
  <c r="Y33" i="35"/>
  <c r="AB9" i="35"/>
  <c r="AA36" i="37"/>
  <c r="AC7" i="34"/>
  <c r="AB22" i="34"/>
  <c r="Z36" i="40"/>
  <c r="AC30" i="35"/>
  <c r="AK14" i="35"/>
  <c r="AA7" i="34"/>
  <c r="AB23" i="35"/>
  <c r="AB18" i="35"/>
  <c r="Y21" i="35"/>
  <c r="Y22" i="35"/>
  <c r="Y9" i="34"/>
  <c r="Z5" i="35"/>
  <c r="Z34" i="35"/>
  <c r="AK27" i="35"/>
  <c r="AC35" i="35"/>
  <c r="Z9" i="34"/>
  <c r="Z20" i="34"/>
  <c r="AC23" i="34"/>
  <c r="Z31" i="34"/>
  <c r="Z6" i="34"/>
  <c r="AC12" i="34"/>
  <c r="Y18" i="34"/>
  <c r="Z19" i="34"/>
  <c r="AC22" i="34"/>
  <c r="Y26" i="34"/>
  <c r="Z30" i="34"/>
  <c r="AB32" i="34"/>
  <c r="AC33" i="34"/>
  <c r="AL36" i="34"/>
  <c r="AK36" i="34"/>
  <c r="AA27" i="36"/>
  <c r="AB14" i="37"/>
  <c r="N36" i="37"/>
  <c r="AC27" i="39"/>
  <c r="N14" i="39"/>
  <c r="AG14" i="40" s="1"/>
  <c r="AA14" i="39"/>
  <c r="AB14" i="39"/>
  <c r="AC26" i="35"/>
  <c r="Y6" i="34"/>
  <c r="AC34" i="35"/>
  <c r="AA22" i="35"/>
  <c r="AC7" i="35"/>
  <c r="AC17" i="35"/>
  <c r="AB33" i="35"/>
  <c r="AB32" i="35"/>
  <c r="AC18" i="35"/>
  <c r="AC25" i="35"/>
  <c r="AA20" i="35"/>
  <c r="Z6" i="35"/>
  <c r="N27" i="35"/>
  <c r="AC27" i="37"/>
  <c r="AB4" i="34"/>
  <c r="AB12" i="34"/>
  <c r="Y27" i="36"/>
  <c r="Z21" i="33"/>
  <c r="AC4" i="34"/>
  <c r="Z22" i="33"/>
  <c r="Z3" i="34"/>
  <c r="AB6" i="34"/>
  <c r="AC9" i="34"/>
  <c r="Z11" i="34"/>
  <c r="Y17" i="34"/>
  <c r="Z18" i="34"/>
  <c r="AA19" i="34"/>
  <c r="AB20" i="34"/>
  <c r="AC21" i="34"/>
  <c r="Y25" i="34"/>
  <c r="Z26" i="34"/>
  <c r="AA30" i="34"/>
  <c r="AB31" i="34"/>
  <c r="AC32" i="34"/>
  <c r="AL27" i="34"/>
  <c r="AK27" i="34"/>
  <c r="N14" i="35"/>
  <c r="AA14" i="36"/>
  <c r="Y27" i="39"/>
  <c r="AA27" i="39"/>
  <c r="AB36" i="40"/>
  <c r="AB25" i="35"/>
  <c r="AC11" i="35"/>
  <c r="AA36" i="40"/>
  <c r="Z4" i="35"/>
  <c r="Y35" i="35"/>
  <c r="Z21" i="35"/>
  <c r="AB3" i="35"/>
  <c r="AB31" i="35"/>
  <c r="AC13" i="35"/>
  <c r="Y8" i="34"/>
  <c r="Y26" i="35"/>
  <c r="AB17" i="35"/>
  <c r="AB34" i="35"/>
  <c r="Z17" i="35"/>
  <c r="AA12" i="34"/>
  <c r="AB21" i="35"/>
  <c r="AC21" i="35"/>
  <c r="AB8" i="35"/>
  <c r="AC10" i="35"/>
  <c r="AA9" i="34"/>
  <c r="AB10" i="34"/>
  <c r="AL14" i="34"/>
  <c r="AK14" i="34"/>
  <c r="AA4" i="34"/>
  <c r="Z23" i="33"/>
  <c r="AC6" i="34"/>
  <c r="AB11" i="34"/>
  <c r="AA18" i="34"/>
  <c r="AB19" i="34"/>
  <c r="AC20" i="34"/>
  <c r="AA26" i="34"/>
  <c r="AB30" i="34"/>
  <c r="AC31" i="34"/>
  <c r="J36" i="35"/>
  <c r="AC14" i="36"/>
  <c r="AB36" i="36"/>
  <c r="AC36" i="37"/>
  <c r="L27" i="39"/>
  <c r="AF27" i="40" s="1"/>
  <c r="Z27" i="39"/>
  <c r="Z14" i="40"/>
  <c r="AC23" i="35"/>
  <c r="AB10" i="35"/>
  <c r="AA14" i="40"/>
  <c r="Y20" i="35"/>
  <c r="AA8" i="34"/>
  <c r="AA30" i="35"/>
  <c r="AB12" i="35"/>
  <c r="AA17" i="35"/>
  <c r="AA31" i="35"/>
  <c r="AB13" i="35"/>
  <c r="AA33" i="35"/>
  <c r="Z13" i="35"/>
  <c r="Y11" i="34"/>
  <c r="Z19" i="35"/>
  <c r="Y24" i="35"/>
  <c r="AB20" i="35"/>
  <c r="Z7" i="35"/>
  <c r="AA3" i="34"/>
  <c r="F27" i="40"/>
  <c r="F36" i="40"/>
  <c r="F14" i="40"/>
  <c r="L36" i="37"/>
  <c r="N36" i="39"/>
  <c r="P14" i="39"/>
  <c r="P27" i="39"/>
  <c r="N27" i="39"/>
  <c r="R27" i="39"/>
  <c r="AI27" i="40" s="1"/>
  <c r="J27" i="39"/>
  <c r="AE27" i="40" s="1"/>
  <c r="R36" i="39"/>
  <c r="AI36" i="40" s="1"/>
  <c r="L36" i="39"/>
  <c r="AF36" i="39" s="1"/>
  <c r="J36" i="39"/>
  <c r="AE36" i="40" s="1"/>
  <c r="J14" i="39"/>
  <c r="AE14" i="40" s="1"/>
  <c r="R14" i="39"/>
  <c r="N27" i="37"/>
  <c r="J36" i="37"/>
  <c r="P36" i="37"/>
  <c r="R36" i="37"/>
  <c r="R27" i="37"/>
  <c r="P27" i="37"/>
  <c r="L27" i="37"/>
  <c r="Y14" i="37"/>
  <c r="J14" i="37"/>
  <c r="L14" i="37"/>
  <c r="N14" i="37"/>
  <c r="R14" i="37"/>
  <c r="P14" i="37"/>
  <c r="N36" i="36"/>
  <c r="J36" i="36"/>
  <c r="Y36" i="36"/>
  <c r="J27" i="36"/>
  <c r="L27" i="36"/>
  <c r="M14" i="36"/>
  <c r="L14" i="36" s="1"/>
  <c r="L36" i="36"/>
  <c r="P36" i="36"/>
  <c r="R14" i="36"/>
  <c r="J14" i="36"/>
  <c r="P14" i="36"/>
  <c r="N27" i="36"/>
  <c r="N14" i="36"/>
  <c r="R36" i="36"/>
  <c r="AI36" i="36" s="1"/>
  <c r="R27" i="36"/>
  <c r="P27" i="36"/>
  <c r="J27" i="35"/>
  <c r="L27" i="35"/>
  <c r="L36" i="35"/>
  <c r="P27" i="35"/>
  <c r="J14" i="35"/>
  <c r="R27" i="35"/>
  <c r="P14" i="35"/>
  <c r="N36" i="35"/>
  <c r="R14" i="35"/>
  <c r="L14" i="35"/>
  <c r="U36" i="34"/>
  <c r="T36" i="34" s="1"/>
  <c r="S36" i="34"/>
  <c r="Q36" i="34"/>
  <c r="P36" i="34" s="1"/>
  <c r="Q27" i="34"/>
  <c r="AB27" i="35" s="1"/>
  <c r="S27" i="34"/>
  <c r="AC27" i="35" s="1"/>
  <c r="M27" i="34"/>
  <c r="U27" i="34"/>
  <c r="T27" i="34" s="1"/>
  <c r="O27" i="34"/>
  <c r="M14" i="34"/>
  <c r="S14" i="34"/>
  <c r="Q14" i="34"/>
  <c r="U14" i="34"/>
  <c r="T14" i="34" s="1"/>
  <c r="K36" i="34"/>
  <c r="M36" i="34"/>
  <c r="K14" i="34"/>
  <c r="O36" i="34"/>
  <c r="O14" i="34"/>
  <c r="K27" i="34"/>
  <c r="Q14" i="33"/>
  <c r="P14" i="33" s="1"/>
  <c r="Q36" i="33"/>
  <c r="F30" i="33"/>
  <c r="U14" i="33"/>
  <c r="T14" i="33" s="1"/>
  <c r="O14" i="33"/>
  <c r="M14" i="33"/>
  <c r="U36" i="33"/>
  <c r="T36" i="33" s="1"/>
  <c r="O36" i="33"/>
  <c r="M36" i="33"/>
  <c r="Q27" i="33"/>
  <c r="P27" i="33" s="1"/>
  <c r="K27" i="33"/>
  <c r="U27" i="33"/>
  <c r="T27" i="33" s="1"/>
  <c r="S14" i="33"/>
  <c r="O27" i="33"/>
  <c r="K36" i="33"/>
  <c r="S36" i="33"/>
  <c r="K14" i="33"/>
  <c r="S27" i="33"/>
  <c r="M27" i="33"/>
  <c r="I36" i="32"/>
  <c r="U35" i="32"/>
  <c r="S35" i="32"/>
  <c r="AC35" i="33" s="1"/>
  <c r="Q35" i="32"/>
  <c r="AB35" i="33" s="1"/>
  <c r="O35" i="32"/>
  <c r="M35" i="32"/>
  <c r="K35" i="32"/>
  <c r="Y35" i="33" s="1"/>
  <c r="F35" i="32"/>
  <c r="U34" i="32"/>
  <c r="S34" i="32"/>
  <c r="AC34" i="33" s="1"/>
  <c r="Q34" i="32"/>
  <c r="AB34" i="33" s="1"/>
  <c r="O34" i="32"/>
  <c r="AA34" i="33" s="1"/>
  <c r="M34" i="32"/>
  <c r="K34" i="32"/>
  <c r="F34" i="32"/>
  <c r="U33" i="32"/>
  <c r="S33" i="32"/>
  <c r="Q33" i="32"/>
  <c r="O33" i="32"/>
  <c r="AA33" i="33" s="1"/>
  <c r="M33" i="32"/>
  <c r="Z33" i="33" s="1"/>
  <c r="K33" i="32"/>
  <c r="F33" i="32"/>
  <c r="U32" i="32"/>
  <c r="S32" i="32"/>
  <c r="Q32" i="32"/>
  <c r="O32" i="32"/>
  <c r="M32" i="32"/>
  <c r="Z32" i="33" s="1"/>
  <c r="K32" i="32"/>
  <c r="Y32" i="33" s="1"/>
  <c r="F32" i="32"/>
  <c r="U31" i="32"/>
  <c r="S31" i="32"/>
  <c r="Q31" i="32"/>
  <c r="O31" i="32"/>
  <c r="M31" i="32"/>
  <c r="Z31" i="33" s="1"/>
  <c r="K31" i="32"/>
  <c r="Y31" i="33" s="1"/>
  <c r="F31" i="32"/>
  <c r="U30" i="32"/>
  <c r="S30" i="32"/>
  <c r="Q30" i="32"/>
  <c r="O30" i="32"/>
  <c r="M30" i="32"/>
  <c r="K30" i="32"/>
  <c r="F30" i="32"/>
  <c r="I27" i="32"/>
  <c r="AL27" i="33" s="1"/>
  <c r="U26" i="32"/>
  <c r="S26" i="32"/>
  <c r="Q26" i="32"/>
  <c r="AB26" i="33" s="1"/>
  <c r="O26" i="32"/>
  <c r="K26" i="32"/>
  <c r="F26" i="32"/>
  <c r="U25" i="32"/>
  <c r="S25" i="32"/>
  <c r="AC25" i="33" s="1"/>
  <c r="Q25" i="32"/>
  <c r="AB25" i="33" s="1"/>
  <c r="O25" i="32"/>
  <c r="K25" i="32"/>
  <c r="F25" i="32"/>
  <c r="U24" i="32"/>
  <c r="S24" i="32"/>
  <c r="Q24" i="32"/>
  <c r="AB24" i="33" s="1"/>
  <c r="O24" i="32"/>
  <c r="AA24" i="33" s="1"/>
  <c r="K24" i="32"/>
  <c r="F24" i="32"/>
  <c r="U23" i="32"/>
  <c r="S23" i="32"/>
  <c r="Q23" i="32"/>
  <c r="O23" i="32"/>
  <c r="AA23" i="33" s="1"/>
  <c r="K23" i="32"/>
  <c r="Y23" i="33" s="1"/>
  <c r="F23" i="32"/>
  <c r="U22" i="32"/>
  <c r="S22" i="32"/>
  <c r="AC22" i="33" s="1"/>
  <c r="Q22" i="32"/>
  <c r="AB22" i="33" s="1"/>
  <c r="O22" i="32"/>
  <c r="K22" i="32"/>
  <c r="F22" i="32"/>
  <c r="U21" i="32"/>
  <c r="S21" i="32"/>
  <c r="AC21" i="33" s="1"/>
  <c r="Q21" i="32"/>
  <c r="AB21" i="33" s="1"/>
  <c r="O21" i="32"/>
  <c r="AA21" i="33" s="1"/>
  <c r="K21" i="32"/>
  <c r="Y21" i="33" s="1"/>
  <c r="F21" i="32"/>
  <c r="U20" i="32"/>
  <c r="S20" i="32"/>
  <c r="Q20" i="32"/>
  <c r="AB20" i="33" s="1"/>
  <c r="O20" i="32"/>
  <c r="AA20" i="33" s="1"/>
  <c r="K20" i="32"/>
  <c r="Y20" i="33" s="1"/>
  <c r="F20" i="32"/>
  <c r="U19" i="32"/>
  <c r="S19" i="32"/>
  <c r="AC19" i="33" s="1"/>
  <c r="Q19" i="32"/>
  <c r="O19" i="32"/>
  <c r="K19" i="32"/>
  <c r="Y19" i="33" s="1"/>
  <c r="F19" i="32"/>
  <c r="U18" i="32"/>
  <c r="S18" i="32"/>
  <c r="Q18" i="32"/>
  <c r="AB18" i="33" s="1"/>
  <c r="O18" i="32"/>
  <c r="K18" i="32"/>
  <c r="F18" i="32"/>
  <c r="U17" i="32"/>
  <c r="S17" i="32"/>
  <c r="AC17" i="33" s="1"/>
  <c r="Q17" i="32"/>
  <c r="O17" i="32"/>
  <c r="AA17" i="33" s="1"/>
  <c r="M27" i="32"/>
  <c r="K17" i="32"/>
  <c r="F17" i="32"/>
  <c r="I14" i="32"/>
  <c r="U13" i="32"/>
  <c r="S13" i="32"/>
  <c r="AC13" i="33" s="1"/>
  <c r="Q13" i="32"/>
  <c r="AB13" i="33" s="1"/>
  <c r="O13" i="32"/>
  <c r="AA13" i="33" s="1"/>
  <c r="M13" i="32"/>
  <c r="Z13" i="33" s="1"/>
  <c r="K13" i="32"/>
  <c r="Y13" i="33" s="1"/>
  <c r="F13" i="32"/>
  <c r="U12" i="32"/>
  <c r="S12" i="32"/>
  <c r="AC12" i="33" s="1"/>
  <c r="Q12" i="32"/>
  <c r="O12" i="32"/>
  <c r="M12" i="32"/>
  <c r="K12" i="32"/>
  <c r="F12" i="32"/>
  <c r="U11" i="32"/>
  <c r="S11" i="32"/>
  <c r="Q11" i="32"/>
  <c r="AB11" i="33" s="1"/>
  <c r="O11" i="32"/>
  <c r="AA11" i="33" s="1"/>
  <c r="M11" i="32"/>
  <c r="K11" i="32"/>
  <c r="Y11" i="33" s="1"/>
  <c r="F11" i="32"/>
  <c r="U10" i="32"/>
  <c r="S10" i="32"/>
  <c r="Q10" i="32"/>
  <c r="O10" i="32"/>
  <c r="AA10" i="33" s="1"/>
  <c r="M10" i="32"/>
  <c r="K10" i="32"/>
  <c r="Y10" i="33" s="1"/>
  <c r="F10" i="32"/>
  <c r="U9" i="32"/>
  <c r="S9" i="32"/>
  <c r="Q9" i="32"/>
  <c r="O9" i="32"/>
  <c r="M9" i="32"/>
  <c r="Z9" i="33" s="1"/>
  <c r="K9" i="32"/>
  <c r="F9" i="32"/>
  <c r="U8" i="32"/>
  <c r="S8" i="32"/>
  <c r="AC8" i="33" s="1"/>
  <c r="Q8" i="32"/>
  <c r="O8" i="32"/>
  <c r="M8" i="32"/>
  <c r="K8" i="32"/>
  <c r="Y8" i="33" s="1"/>
  <c r="F8" i="32"/>
  <c r="U7" i="32"/>
  <c r="S7" i="32"/>
  <c r="Q7" i="32"/>
  <c r="O7" i="32"/>
  <c r="M7" i="32"/>
  <c r="K7" i="32"/>
  <c r="F7" i="32"/>
  <c r="U6" i="32"/>
  <c r="S6" i="32"/>
  <c r="AC6" i="33" s="1"/>
  <c r="Q6" i="32"/>
  <c r="O6" i="32"/>
  <c r="M6" i="32"/>
  <c r="K6" i="32"/>
  <c r="F6" i="32"/>
  <c r="U5" i="32"/>
  <c r="S5" i="32"/>
  <c r="AC5" i="33" s="1"/>
  <c r="Q5" i="32"/>
  <c r="AB5" i="33" s="1"/>
  <c r="O5" i="32"/>
  <c r="M5" i="32"/>
  <c r="Z5" i="33" s="1"/>
  <c r="K5" i="32"/>
  <c r="F5" i="32"/>
  <c r="U4" i="32"/>
  <c r="S4" i="32"/>
  <c r="AC4" i="33" s="1"/>
  <c r="Q4" i="32"/>
  <c r="O4" i="32"/>
  <c r="M4" i="32"/>
  <c r="K4" i="32"/>
  <c r="F4" i="32"/>
  <c r="U3" i="32"/>
  <c r="S3" i="32"/>
  <c r="Q3" i="32"/>
  <c r="AB3" i="33" s="1"/>
  <c r="O3" i="32"/>
  <c r="M3" i="32"/>
  <c r="Z3" i="33" s="1"/>
  <c r="K3" i="32"/>
  <c r="F3" i="32"/>
  <c r="I36" i="31"/>
  <c r="U35" i="31"/>
  <c r="S35" i="31"/>
  <c r="Q35" i="31"/>
  <c r="O35" i="31"/>
  <c r="M35" i="31"/>
  <c r="K35" i="31"/>
  <c r="F35" i="31"/>
  <c r="U34" i="31"/>
  <c r="S34" i="31"/>
  <c r="Q34" i="31"/>
  <c r="O34" i="31"/>
  <c r="M34" i="31"/>
  <c r="K34" i="31"/>
  <c r="F34" i="31"/>
  <c r="U33" i="31"/>
  <c r="S33" i="31"/>
  <c r="Q33" i="31"/>
  <c r="O33" i="31"/>
  <c r="M33" i="31"/>
  <c r="K33" i="31"/>
  <c r="F33" i="31"/>
  <c r="U32" i="31"/>
  <c r="S32" i="31"/>
  <c r="Q32" i="31"/>
  <c r="O32" i="31"/>
  <c r="M32" i="31"/>
  <c r="K32" i="31"/>
  <c r="F32" i="31"/>
  <c r="U31" i="31"/>
  <c r="S31" i="31"/>
  <c r="Q31" i="31"/>
  <c r="O31" i="31"/>
  <c r="M31" i="31"/>
  <c r="K31" i="31"/>
  <c r="F31" i="31"/>
  <c r="U30" i="31"/>
  <c r="S30" i="31"/>
  <c r="Q30" i="31"/>
  <c r="O30" i="31"/>
  <c r="M30" i="31"/>
  <c r="K30" i="31"/>
  <c r="F30" i="31"/>
  <c r="I27" i="31"/>
  <c r="U26" i="31"/>
  <c r="S26" i="31"/>
  <c r="Q26" i="31"/>
  <c r="O26" i="31"/>
  <c r="M26" i="31"/>
  <c r="K26" i="31"/>
  <c r="F26" i="31"/>
  <c r="U25" i="31"/>
  <c r="S25" i="31"/>
  <c r="Q25" i="31"/>
  <c r="O25" i="31"/>
  <c r="M25" i="31"/>
  <c r="K25" i="31"/>
  <c r="F25" i="31"/>
  <c r="U24" i="31"/>
  <c r="S24" i="31"/>
  <c r="Q24" i="31"/>
  <c r="O24" i="31"/>
  <c r="M24" i="31"/>
  <c r="K24" i="31"/>
  <c r="F24" i="31"/>
  <c r="U23" i="31"/>
  <c r="S23" i="31"/>
  <c r="Q23" i="31"/>
  <c r="O23" i="31"/>
  <c r="M23" i="31"/>
  <c r="Z23" i="32" s="1"/>
  <c r="K23" i="31"/>
  <c r="F23" i="31"/>
  <c r="U22" i="31"/>
  <c r="S22" i="31"/>
  <c r="Q22" i="31"/>
  <c r="O22" i="31"/>
  <c r="M22" i="31"/>
  <c r="K22" i="31"/>
  <c r="F22" i="31"/>
  <c r="U21" i="31"/>
  <c r="S21" i="31"/>
  <c r="Q21" i="31"/>
  <c r="O21" i="31"/>
  <c r="M21" i="31"/>
  <c r="Z21" i="32" s="1"/>
  <c r="K21" i="31"/>
  <c r="F21" i="31"/>
  <c r="U20" i="31"/>
  <c r="S20" i="31"/>
  <c r="Q20" i="31"/>
  <c r="O20" i="31"/>
  <c r="M20" i="31"/>
  <c r="Z20" i="32" s="1"/>
  <c r="K20" i="31"/>
  <c r="F20" i="31"/>
  <c r="U19" i="31"/>
  <c r="S19" i="31"/>
  <c r="Q19" i="31"/>
  <c r="O19" i="31"/>
  <c r="M19" i="31"/>
  <c r="K19" i="31"/>
  <c r="F19" i="31"/>
  <c r="U18" i="31"/>
  <c r="S18" i="31"/>
  <c r="Q18" i="31"/>
  <c r="O18" i="31"/>
  <c r="M18" i="31"/>
  <c r="K18" i="31"/>
  <c r="F18" i="31"/>
  <c r="U17" i="31"/>
  <c r="S17" i="31"/>
  <c r="Q17" i="31"/>
  <c r="O17" i="31"/>
  <c r="M17" i="31"/>
  <c r="K17" i="31"/>
  <c r="F17" i="31"/>
  <c r="I14" i="31"/>
  <c r="U13" i="31"/>
  <c r="S13" i="31"/>
  <c r="Q13" i="31"/>
  <c r="O13" i="31"/>
  <c r="M13" i="31"/>
  <c r="K13" i="31"/>
  <c r="F13" i="31"/>
  <c r="U12" i="31"/>
  <c r="S12" i="31"/>
  <c r="Q12" i="31"/>
  <c r="O12" i="31"/>
  <c r="M12" i="31"/>
  <c r="K12" i="31"/>
  <c r="F12" i="31"/>
  <c r="U11" i="31"/>
  <c r="S11" i="31"/>
  <c r="Q11" i="31"/>
  <c r="O11" i="31"/>
  <c r="M11" i="31"/>
  <c r="K11" i="31"/>
  <c r="F11" i="31"/>
  <c r="U10" i="31"/>
  <c r="S10" i="31"/>
  <c r="Q10" i="31"/>
  <c r="O10" i="31"/>
  <c r="M10" i="31"/>
  <c r="K10" i="31"/>
  <c r="F10" i="31"/>
  <c r="U9" i="31"/>
  <c r="S9" i="31"/>
  <c r="Q9" i="31"/>
  <c r="O9" i="31"/>
  <c r="M9" i="31"/>
  <c r="K9" i="31"/>
  <c r="F9" i="31"/>
  <c r="F8" i="31"/>
  <c r="S8" i="31"/>
  <c r="Q8" i="31"/>
  <c r="O8" i="31"/>
  <c r="M8" i="31"/>
  <c r="K8" i="31"/>
  <c r="U7" i="31"/>
  <c r="S7" i="31"/>
  <c r="Q7" i="31"/>
  <c r="O7" i="31"/>
  <c r="M7" i="31"/>
  <c r="K7" i="31"/>
  <c r="F7" i="31"/>
  <c r="U6" i="31"/>
  <c r="S6" i="31"/>
  <c r="Q6" i="31"/>
  <c r="O6" i="31"/>
  <c r="M6" i="31"/>
  <c r="K6" i="31"/>
  <c r="F6" i="31"/>
  <c r="U5" i="31"/>
  <c r="S5" i="31"/>
  <c r="Q5" i="31"/>
  <c r="O5" i="31"/>
  <c r="M5" i="31"/>
  <c r="K5" i="31"/>
  <c r="F5" i="31"/>
  <c r="U4" i="31"/>
  <c r="S4" i="31"/>
  <c r="Q4" i="31"/>
  <c r="O4" i="31"/>
  <c r="M4" i="31"/>
  <c r="K4" i="31"/>
  <c r="F4" i="31"/>
  <c r="U3" i="31"/>
  <c r="S3" i="31"/>
  <c r="Q3" i="31"/>
  <c r="O3" i="31"/>
  <c r="M3" i="31"/>
  <c r="F3" i="31"/>
  <c r="O4" i="29"/>
  <c r="O5" i="29"/>
  <c r="O6" i="29"/>
  <c r="O7" i="29"/>
  <c r="O8" i="29"/>
  <c r="O9" i="29"/>
  <c r="O10" i="29"/>
  <c r="O11" i="29"/>
  <c r="O12" i="29"/>
  <c r="O13" i="29"/>
  <c r="O3" i="29"/>
  <c r="M4" i="29"/>
  <c r="M5" i="29"/>
  <c r="M6" i="29"/>
  <c r="M7" i="29"/>
  <c r="M8" i="29"/>
  <c r="M9" i="29"/>
  <c r="M10" i="29"/>
  <c r="M11" i="29"/>
  <c r="M12" i="29"/>
  <c r="M13" i="29"/>
  <c r="M3" i="29"/>
  <c r="T8" i="29"/>
  <c r="U8" i="29" s="1"/>
  <c r="J3" i="29"/>
  <c r="I36" i="29"/>
  <c r="U35" i="29"/>
  <c r="S35" i="29"/>
  <c r="Q35" i="29"/>
  <c r="O35" i="29"/>
  <c r="M35" i="29"/>
  <c r="K35" i="29"/>
  <c r="F35" i="29"/>
  <c r="U34" i="29"/>
  <c r="S34" i="29"/>
  <c r="Q34" i="29"/>
  <c r="O34" i="29"/>
  <c r="M34" i="29"/>
  <c r="K34" i="29"/>
  <c r="F34" i="29"/>
  <c r="U33" i="29"/>
  <c r="S33" i="29"/>
  <c r="Q33" i="29"/>
  <c r="O33" i="29"/>
  <c r="M33" i="29"/>
  <c r="K33" i="29"/>
  <c r="F33" i="29"/>
  <c r="U32" i="29"/>
  <c r="S32" i="29"/>
  <c r="Q32" i="29"/>
  <c r="O32" i="29"/>
  <c r="M32" i="29"/>
  <c r="K32" i="29"/>
  <c r="F32" i="29"/>
  <c r="U31" i="29"/>
  <c r="S31" i="29"/>
  <c r="Q31" i="29"/>
  <c r="O31" i="29"/>
  <c r="M31" i="29"/>
  <c r="K31" i="29"/>
  <c r="F31" i="29"/>
  <c r="U30" i="29"/>
  <c r="S30" i="29"/>
  <c r="Q30" i="29"/>
  <c r="O30" i="29"/>
  <c r="M30" i="29"/>
  <c r="F30" i="29"/>
  <c r="I27" i="29"/>
  <c r="U26" i="29"/>
  <c r="S26" i="29"/>
  <c r="Q26" i="29"/>
  <c r="O26" i="29"/>
  <c r="M26" i="29"/>
  <c r="K26" i="29"/>
  <c r="F26" i="29"/>
  <c r="U25" i="29"/>
  <c r="S25" i="29"/>
  <c r="Q25" i="29"/>
  <c r="O25" i="29"/>
  <c r="M25" i="29"/>
  <c r="K25" i="29"/>
  <c r="F25" i="29"/>
  <c r="U24" i="29"/>
  <c r="S24" i="29"/>
  <c r="Q24" i="29"/>
  <c r="O24" i="29"/>
  <c r="M24" i="29"/>
  <c r="K24" i="29"/>
  <c r="F24" i="29"/>
  <c r="U23" i="29"/>
  <c r="S23" i="29"/>
  <c r="Q23" i="29"/>
  <c r="O23" i="29"/>
  <c r="M23" i="29"/>
  <c r="K23" i="29"/>
  <c r="F23" i="29"/>
  <c r="U22" i="29"/>
  <c r="S22" i="29"/>
  <c r="Q22" i="29"/>
  <c r="O22" i="29"/>
  <c r="M22" i="29"/>
  <c r="K22" i="29"/>
  <c r="F22" i="29"/>
  <c r="U21" i="29"/>
  <c r="S21" i="29"/>
  <c r="Q21" i="29"/>
  <c r="O21" i="29"/>
  <c r="M21" i="29"/>
  <c r="K21" i="29"/>
  <c r="U20" i="29"/>
  <c r="S20" i="29"/>
  <c r="Q20" i="29"/>
  <c r="O20" i="29"/>
  <c r="M20" i="29"/>
  <c r="K20" i="29"/>
  <c r="F20" i="29"/>
  <c r="U19" i="29"/>
  <c r="S19" i="29"/>
  <c r="Q19" i="29"/>
  <c r="O19" i="29"/>
  <c r="M19" i="29"/>
  <c r="K19" i="29"/>
  <c r="F19" i="29"/>
  <c r="U18" i="29"/>
  <c r="S18" i="29"/>
  <c r="Q18" i="29"/>
  <c r="O18" i="29"/>
  <c r="M18" i="29"/>
  <c r="K18" i="29"/>
  <c r="F18" i="29"/>
  <c r="S17" i="29"/>
  <c r="Q17" i="29"/>
  <c r="O17" i="29"/>
  <c r="M17" i="29"/>
  <c r="K17" i="29"/>
  <c r="I14" i="29"/>
  <c r="U13" i="29"/>
  <c r="S13" i="29"/>
  <c r="Q13" i="29"/>
  <c r="K13" i="29"/>
  <c r="F13" i="29"/>
  <c r="U12" i="29"/>
  <c r="S12" i="29"/>
  <c r="Q12" i="29"/>
  <c r="K12" i="29"/>
  <c r="F12" i="29"/>
  <c r="U11" i="29"/>
  <c r="S11" i="29"/>
  <c r="Q11" i="29"/>
  <c r="K11" i="29"/>
  <c r="F11" i="29"/>
  <c r="U10" i="29"/>
  <c r="S10" i="29"/>
  <c r="Q10" i="29"/>
  <c r="K10" i="29"/>
  <c r="F10" i="29"/>
  <c r="U9" i="29"/>
  <c r="S9" i="29"/>
  <c r="Q9" i="29"/>
  <c r="K9" i="29"/>
  <c r="F9" i="29"/>
  <c r="S8" i="29"/>
  <c r="Q8" i="29"/>
  <c r="K8" i="29"/>
  <c r="U7" i="29"/>
  <c r="S7" i="29"/>
  <c r="Q7" i="29"/>
  <c r="K7" i="29"/>
  <c r="F7" i="29"/>
  <c r="F6" i="29"/>
  <c r="S6" i="29"/>
  <c r="Q6" i="29"/>
  <c r="K6" i="29"/>
  <c r="U5" i="29"/>
  <c r="S5" i="29"/>
  <c r="Q5" i="29"/>
  <c r="K5" i="29"/>
  <c r="F5" i="29"/>
  <c r="U4" i="29"/>
  <c r="S4" i="29"/>
  <c r="Q4" i="29"/>
  <c r="K4" i="29"/>
  <c r="F4" i="29"/>
  <c r="U3" i="29"/>
  <c r="S3" i="29"/>
  <c r="Q3" i="29"/>
  <c r="I36" i="28"/>
  <c r="U35" i="28"/>
  <c r="S35" i="28"/>
  <c r="Q35" i="28"/>
  <c r="O35" i="28"/>
  <c r="M35" i="28"/>
  <c r="K35" i="28"/>
  <c r="F35" i="28"/>
  <c r="U34" i="28"/>
  <c r="S34" i="28"/>
  <c r="Q34" i="28"/>
  <c r="O34" i="28"/>
  <c r="M34" i="28"/>
  <c r="K34" i="28"/>
  <c r="F34" i="28"/>
  <c r="U33" i="28"/>
  <c r="S33" i="28"/>
  <c r="Q33" i="28"/>
  <c r="O33" i="28"/>
  <c r="M33" i="28"/>
  <c r="K33" i="28"/>
  <c r="F33" i="28"/>
  <c r="U32" i="28"/>
  <c r="S32" i="28"/>
  <c r="Q32" i="28"/>
  <c r="O32" i="28"/>
  <c r="M32" i="28"/>
  <c r="K32" i="28"/>
  <c r="F32" i="28"/>
  <c r="U31" i="28"/>
  <c r="S31" i="28"/>
  <c r="Q31" i="28"/>
  <c r="O31" i="28"/>
  <c r="M31" i="28"/>
  <c r="K31" i="28"/>
  <c r="F31" i="28"/>
  <c r="U30" i="28"/>
  <c r="S30" i="28"/>
  <c r="Q30" i="28"/>
  <c r="O30" i="28"/>
  <c r="M30" i="28"/>
  <c r="J30" i="28"/>
  <c r="I27" i="28"/>
  <c r="U26" i="28"/>
  <c r="S26" i="28"/>
  <c r="Q26" i="28"/>
  <c r="O26" i="28"/>
  <c r="M26" i="28"/>
  <c r="K26" i="28"/>
  <c r="F26" i="28"/>
  <c r="U25" i="28"/>
  <c r="S25" i="28"/>
  <c r="Q25" i="28"/>
  <c r="O25" i="28"/>
  <c r="M25" i="28"/>
  <c r="K25" i="28"/>
  <c r="F25" i="28"/>
  <c r="U24" i="28"/>
  <c r="S24" i="28"/>
  <c r="Q24" i="28"/>
  <c r="O24" i="28"/>
  <c r="M24" i="28"/>
  <c r="K24" i="28"/>
  <c r="F24" i="28"/>
  <c r="U23" i="28"/>
  <c r="S23" i="28"/>
  <c r="Q23" i="28"/>
  <c r="O23" i="28"/>
  <c r="M23" i="28"/>
  <c r="K23" i="28"/>
  <c r="F23" i="28"/>
  <c r="U22" i="28"/>
  <c r="S22" i="28"/>
  <c r="Q22" i="28"/>
  <c r="O22" i="28"/>
  <c r="M22" i="28"/>
  <c r="K22" i="28"/>
  <c r="F22" i="28"/>
  <c r="U21" i="28"/>
  <c r="S21" i="28"/>
  <c r="Q21" i="28"/>
  <c r="N21" i="28"/>
  <c r="M21" i="28"/>
  <c r="K21" i="28"/>
  <c r="U20" i="28"/>
  <c r="S20" i="28"/>
  <c r="Q20" i="28"/>
  <c r="O20" i="28"/>
  <c r="M20" i="28"/>
  <c r="K20" i="28"/>
  <c r="F20" i="28"/>
  <c r="U19" i="28"/>
  <c r="S19" i="28"/>
  <c r="Q19" i="28"/>
  <c r="O19" i="28"/>
  <c r="M19" i="28"/>
  <c r="K19" i="28"/>
  <c r="F19" i="28"/>
  <c r="U18" i="28"/>
  <c r="S18" i="28"/>
  <c r="Q18" i="28"/>
  <c r="O18" i="28"/>
  <c r="M18" i="28"/>
  <c r="K18" i="28"/>
  <c r="F18" i="28"/>
  <c r="U17" i="28"/>
  <c r="S17" i="28"/>
  <c r="Q17" i="28"/>
  <c r="O17" i="28"/>
  <c r="M17" i="28"/>
  <c r="K17" i="28"/>
  <c r="F17" i="28"/>
  <c r="I14" i="28"/>
  <c r="U13" i="28"/>
  <c r="S13" i="28"/>
  <c r="Q13" i="28"/>
  <c r="O13" i="28"/>
  <c r="M13" i="28"/>
  <c r="K13" i="28"/>
  <c r="F13" i="28"/>
  <c r="U12" i="28"/>
  <c r="S12" i="28"/>
  <c r="Q12" i="28"/>
  <c r="O12" i="28"/>
  <c r="M12" i="28"/>
  <c r="K12" i="28"/>
  <c r="F12" i="28"/>
  <c r="U11" i="28"/>
  <c r="S11" i="28"/>
  <c r="Q11" i="28"/>
  <c r="O11" i="28"/>
  <c r="M11" i="28"/>
  <c r="K11" i="28"/>
  <c r="F11" i="28"/>
  <c r="U10" i="28"/>
  <c r="S10" i="28"/>
  <c r="Q10" i="28"/>
  <c r="O10" i="28"/>
  <c r="M10" i="28"/>
  <c r="K10" i="28"/>
  <c r="F10" i="28"/>
  <c r="U9" i="28"/>
  <c r="S9" i="28"/>
  <c r="Q9" i="28"/>
  <c r="O9" i="28"/>
  <c r="M9" i="28"/>
  <c r="K9" i="28"/>
  <c r="F9" i="28"/>
  <c r="U8" i="28"/>
  <c r="S8" i="28"/>
  <c r="Q8" i="28"/>
  <c r="O8" i="28"/>
  <c r="M8" i="28"/>
  <c r="K8" i="28"/>
  <c r="F8" i="28"/>
  <c r="U7" i="28"/>
  <c r="S7" i="28"/>
  <c r="Q7" i="28"/>
  <c r="O7" i="28"/>
  <c r="M7" i="28"/>
  <c r="K7" i="28"/>
  <c r="F7" i="28"/>
  <c r="T6" i="28"/>
  <c r="F6" i="28" s="1"/>
  <c r="S6" i="28"/>
  <c r="Q6" i="28"/>
  <c r="O6" i="28"/>
  <c r="M6" i="28"/>
  <c r="K6" i="28"/>
  <c r="U5" i="28"/>
  <c r="S5" i="28"/>
  <c r="Q5" i="28"/>
  <c r="O5" i="28"/>
  <c r="M5" i="28"/>
  <c r="K5" i="28"/>
  <c r="F5" i="28"/>
  <c r="U4" i="28"/>
  <c r="S4" i="28"/>
  <c r="Q4" i="28"/>
  <c r="O4" i="28"/>
  <c r="M4" i="28"/>
  <c r="K4" i="28"/>
  <c r="F4" i="28"/>
  <c r="U3" i="28"/>
  <c r="S3" i="28"/>
  <c r="Q3" i="28"/>
  <c r="O3" i="28"/>
  <c r="M3" i="28"/>
  <c r="J3" i="28"/>
  <c r="F3" i="28" s="1"/>
  <c r="N21" i="27"/>
  <c r="U35" i="27"/>
  <c r="U34" i="27"/>
  <c r="U33" i="27"/>
  <c r="U32" i="27"/>
  <c r="U31" i="27"/>
  <c r="U30" i="27"/>
  <c r="S35" i="27"/>
  <c r="S34" i="27"/>
  <c r="S33" i="27"/>
  <c r="S32" i="27"/>
  <c r="S31" i="27"/>
  <c r="S30" i="27"/>
  <c r="Q35" i="27"/>
  <c r="Q34" i="27"/>
  <c r="Q33" i="27"/>
  <c r="Q32" i="27"/>
  <c r="Q31" i="27"/>
  <c r="Q30" i="27"/>
  <c r="O35" i="27"/>
  <c r="O34" i="27"/>
  <c r="O33" i="27"/>
  <c r="O32" i="27"/>
  <c r="O31" i="27"/>
  <c r="O30" i="27"/>
  <c r="M35" i="27"/>
  <c r="M34" i="27"/>
  <c r="M33" i="27"/>
  <c r="M32" i="27"/>
  <c r="M31" i="27"/>
  <c r="M30" i="27"/>
  <c r="K35" i="27"/>
  <c r="K34" i="27"/>
  <c r="K33" i="27"/>
  <c r="K32" i="27"/>
  <c r="K31" i="27"/>
  <c r="U26" i="27"/>
  <c r="U25" i="27"/>
  <c r="U24" i="27"/>
  <c r="U23" i="27"/>
  <c r="U22" i="27"/>
  <c r="U21" i="27"/>
  <c r="U20" i="27"/>
  <c r="U19" i="27"/>
  <c r="U18" i="27"/>
  <c r="U17" i="27"/>
  <c r="S26" i="27"/>
  <c r="S25" i="27"/>
  <c r="S24" i="27"/>
  <c r="S23" i="27"/>
  <c r="S22" i="27"/>
  <c r="S21" i="27"/>
  <c r="S20" i="27"/>
  <c r="S19" i="27"/>
  <c r="S18" i="27"/>
  <c r="S17" i="27"/>
  <c r="Q26" i="27"/>
  <c r="Q25" i="27"/>
  <c r="Q24" i="27"/>
  <c r="Q23" i="27"/>
  <c r="Q22" i="27"/>
  <c r="Q21" i="27"/>
  <c r="Q20" i="27"/>
  <c r="Q19" i="27"/>
  <c r="Q18" i="27"/>
  <c r="Q17" i="27"/>
  <c r="O26" i="27"/>
  <c r="O25" i="27"/>
  <c r="O24" i="27"/>
  <c r="O23" i="27"/>
  <c r="O22" i="27"/>
  <c r="O20" i="27"/>
  <c r="O19" i="27"/>
  <c r="O18" i="27"/>
  <c r="O17" i="27"/>
  <c r="M26" i="27"/>
  <c r="M25" i="27"/>
  <c r="M24" i="27"/>
  <c r="M23" i="27"/>
  <c r="M22" i="27"/>
  <c r="M21" i="27"/>
  <c r="M20" i="27"/>
  <c r="M19" i="27"/>
  <c r="M18" i="27"/>
  <c r="M17" i="27"/>
  <c r="K26" i="27"/>
  <c r="K25" i="27"/>
  <c r="K24" i="27"/>
  <c r="K23" i="27"/>
  <c r="K22" i="27"/>
  <c r="K21" i="27"/>
  <c r="K20" i="27"/>
  <c r="K19" i="27"/>
  <c r="K18" i="27"/>
  <c r="K17" i="27"/>
  <c r="U13" i="27"/>
  <c r="U12" i="27"/>
  <c r="U11" i="27"/>
  <c r="U10" i="27"/>
  <c r="U9" i="27"/>
  <c r="U8" i="27"/>
  <c r="U7" i="27"/>
  <c r="U5" i="27"/>
  <c r="U4" i="27"/>
  <c r="U3" i="27"/>
  <c r="S13" i="27"/>
  <c r="S12" i="27"/>
  <c r="S11" i="27"/>
  <c r="S10" i="27"/>
  <c r="S9" i="27"/>
  <c r="S8" i="27"/>
  <c r="S7" i="27"/>
  <c r="S6" i="27"/>
  <c r="S5" i="27"/>
  <c r="S4" i="27"/>
  <c r="S3" i="27"/>
  <c r="Q13" i="27"/>
  <c r="Q12" i="27"/>
  <c r="Q11" i="27"/>
  <c r="Q10" i="27"/>
  <c r="Q9" i="27"/>
  <c r="Q8" i="27"/>
  <c r="Q7" i="27"/>
  <c r="Q6" i="27"/>
  <c r="Q5" i="27"/>
  <c r="Q4" i="27"/>
  <c r="Q3" i="27"/>
  <c r="O13" i="27"/>
  <c r="O12" i="27"/>
  <c r="O11" i="27"/>
  <c r="O10" i="27"/>
  <c r="O9" i="27"/>
  <c r="O8" i="27"/>
  <c r="O7" i="27"/>
  <c r="O6" i="27"/>
  <c r="O5" i="27"/>
  <c r="O4" i="27"/>
  <c r="O3" i="27"/>
  <c r="M13" i="27"/>
  <c r="M12" i="27"/>
  <c r="M11" i="27"/>
  <c r="M10" i="27"/>
  <c r="M9" i="27"/>
  <c r="M8" i="27"/>
  <c r="M7" i="27"/>
  <c r="M6" i="27"/>
  <c r="M5" i="27"/>
  <c r="M4" i="27"/>
  <c r="M3" i="27"/>
  <c r="K13" i="27"/>
  <c r="K12" i="27"/>
  <c r="K11" i="27"/>
  <c r="K10" i="27"/>
  <c r="K9" i="27"/>
  <c r="K8" i="27"/>
  <c r="K7" i="27"/>
  <c r="K6" i="27"/>
  <c r="K5" i="27"/>
  <c r="K4" i="27"/>
  <c r="J30" i="27"/>
  <c r="T6" i="27"/>
  <c r="U6" i="27" s="1"/>
  <c r="J3" i="27"/>
  <c r="I14" i="27"/>
  <c r="I27" i="27"/>
  <c r="I36" i="27"/>
  <c r="F35" i="27"/>
  <c r="F34" i="27"/>
  <c r="F33" i="27"/>
  <c r="F32" i="27"/>
  <c r="F31" i="27"/>
  <c r="F26" i="27"/>
  <c r="F25" i="27"/>
  <c r="F24" i="27"/>
  <c r="F23" i="27"/>
  <c r="F22" i="27"/>
  <c r="F20" i="27"/>
  <c r="F19" i="27"/>
  <c r="F18" i="27"/>
  <c r="F17" i="27"/>
  <c r="F13" i="27"/>
  <c r="F12" i="27"/>
  <c r="F10" i="27"/>
  <c r="F9" i="27"/>
  <c r="F8" i="27"/>
  <c r="F4" i="27"/>
  <c r="AI35" i="26"/>
  <c r="AH35" i="26"/>
  <c r="AG35" i="26"/>
  <c r="AF35" i="26"/>
  <c r="AE35" i="26"/>
  <c r="AI34" i="26"/>
  <c r="AH34" i="26"/>
  <c r="AF34" i="26"/>
  <c r="AE34" i="26"/>
  <c r="AI33" i="26"/>
  <c r="AH33" i="26"/>
  <c r="AF33" i="26"/>
  <c r="AE33" i="26"/>
  <c r="AI32" i="26"/>
  <c r="AH32" i="26"/>
  <c r="AG32" i="26"/>
  <c r="AF32" i="26"/>
  <c r="AE32" i="26"/>
  <c r="AI31" i="26"/>
  <c r="AH31" i="26"/>
  <c r="AG31" i="26"/>
  <c r="AF31" i="26"/>
  <c r="AE31" i="26"/>
  <c r="AI30" i="26"/>
  <c r="AH30" i="26"/>
  <c r="AI26" i="26"/>
  <c r="AH26" i="26"/>
  <c r="AG26" i="26"/>
  <c r="AF26" i="26"/>
  <c r="AE26" i="26"/>
  <c r="AI25" i="26"/>
  <c r="AH25" i="26"/>
  <c r="AE25" i="26"/>
  <c r="AI24" i="26"/>
  <c r="AH24" i="26"/>
  <c r="AG24" i="26"/>
  <c r="AE24" i="26"/>
  <c r="AI23" i="26"/>
  <c r="AH23" i="26"/>
  <c r="AE23" i="26"/>
  <c r="AI22" i="26"/>
  <c r="AH22" i="26"/>
  <c r="AF22" i="26"/>
  <c r="AE22" i="26"/>
  <c r="AI21" i="26"/>
  <c r="AH21" i="26"/>
  <c r="AF21" i="26"/>
  <c r="AE21" i="26"/>
  <c r="AI20" i="26"/>
  <c r="AH20" i="26"/>
  <c r="AE20" i="26"/>
  <c r="AI19" i="26"/>
  <c r="AH19" i="26"/>
  <c r="AF19" i="26"/>
  <c r="AI18" i="26"/>
  <c r="AH18" i="26"/>
  <c r="AE18" i="26"/>
  <c r="AI17" i="26"/>
  <c r="AH17" i="26"/>
  <c r="U35" i="26"/>
  <c r="U34" i="26"/>
  <c r="U33" i="26"/>
  <c r="U32" i="26"/>
  <c r="U31" i="26"/>
  <c r="U30" i="26"/>
  <c r="U26" i="26"/>
  <c r="U25" i="26"/>
  <c r="U24" i="26"/>
  <c r="U23" i="26"/>
  <c r="U22" i="26"/>
  <c r="U21" i="26"/>
  <c r="U20" i="26"/>
  <c r="U19" i="26"/>
  <c r="U18" i="26"/>
  <c r="U17" i="26"/>
  <c r="U13" i="26"/>
  <c r="U12" i="26"/>
  <c r="U10" i="26"/>
  <c r="U9" i="26"/>
  <c r="U8" i="26"/>
  <c r="U7" i="26"/>
  <c r="U6" i="26"/>
  <c r="U5" i="26"/>
  <c r="U4" i="26"/>
  <c r="U3" i="26"/>
  <c r="S35" i="26"/>
  <c r="S34" i="26"/>
  <c r="S33" i="26"/>
  <c r="S32" i="26"/>
  <c r="S31" i="26"/>
  <c r="S30" i="26"/>
  <c r="S26" i="26"/>
  <c r="S25" i="26"/>
  <c r="S24" i="26"/>
  <c r="S23" i="26"/>
  <c r="S22" i="26"/>
  <c r="S21" i="26"/>
  <c r="S20" i="26"/>
  <c r="S19" i="26"/>
  <c r="S18" i="26"/>
  <c r="S17" i="26"/>
  <c r="S13" i="26"/>
  <c r="S12" i="26"/>
  <c r="S11" i="26"/>
  <c r="S10" i="26"/>
  <c r="S9" i="26"/>
  <c r="S8" i="26"/>
  <c r="S7" i="26"/>
  <c r="S6" i="26"/>
  <c r="S5" i="26"/>
  <c r="S4" i="26"/>
  <c r="S3" i="26"/>
  <c r="Q35" i="26"/>
  <c r="Q34" i="26"/>
  <c r="Q33" i="26"/>
  <c r="Q32" i="26"/>
  <c r="Q31" i="26"/>
  <c r="Q30" i="26"/>
  <c r="Q26" i="26"/>
  <c r="Q25" i="26"/>
  <c r="Q24" i="26"/>
  <c r="Q23" i="26"/>
  <c r="Q22" i="26"/>
  <c r="Q21" i="26"/>
  <c r="Q20" i="26"/>
  <c r="Q19" i="26"/>
  <c r="Q18" i="26"/>
  <c r="Q17" i="26"/>
  <c r="Q13" i="26"/>
  <c r="Q12" i="26"/>
  <c r="Q11" i="26"/>
  <c r="Q10" i="26"/>
  <c r="Q9" i="26"/>
  <c r="Q8" i="26"/>
  <c r="Q7" i="26"/>
  <c r="Q6" i="26"/>
  <c r="Q5" i="26"/>
  <c r="Q4" i="26"/>
  <c r="Q3" i="26"/>
  <c r="O35" i="26"/>
  <c r="O34" i="26"/>
  <c r="O33" i="26"/>
  <c r="O32" i="26"/>
  <c r="O31" i="26"/>
  <c r="O30" i="26"/>
  <c r="O26" i="26"/>
  <c r="O25" i="26"/>
  <c r="O24" i="26"/>
  <c r="O23" i="26"/>
  <c r="O22" i="26"/>
  <c r="O21" i="26"/>
  <c r="O20" i="26"/>
  <c r="O19" i="26"/>
  <c r="O18" i="26"/>
  <c r="O13" i="26"/>
  <c r="O12" i="26"/>
  <c r="O11" i="26"/>
  <c r="O10" i="26"/>
  <c r="O9" i="26"/>
  <c r="O8" i="26"/>
  <c r="O4" i="26"/>
  <c r="M35" i="26"/>
  <c r="M34" i="26"/>
  <c r="M33" i="26"/>
  <c r="M32" i="26"/>
  <c r="M31" i="26"/>
  <c r="M30" i="26"/>
  <c r="M26" i="26"/>
  <c r="M25" i="26"/>
  <c r="M24" i="26"/>
  <c r="M23" i="26"/>
  <c r="M22" i="26"/>
  <c r="M21" i="26"/>
  <c r="M20" i="26"/>
  <c r="M19" i="26"/>
  <c r="M18" i="26"/>
  <c r="M13" i="26"/>
  <c r="M12" i="26"/>
  <c r="M11" i="26"/>
  <c r="M10" i="26"/>
  <c r="M9" i="26"/>
  <c r="M8" i="26"/>
  <c r="M7" i="26"/>
  <c r="M5" i="26"/>
  <c r="M4" i="26"/>
  <c r="K35" i="26"/>
  <c r="K34" i="26"/>
  <c r="K33" i="26"/>
  <c r="K32" i="26"/>
  <c r="K31" i="26"/>
  <c r="K30" i="26"/>
  <c r="K26" i="26"/>
  <c r="K25" i="26"/>
  <c r="K24" i="26"/>
  <c r="K23" i="26"/>
  <c r="K22" i="26"/>
  <c r="K21" i="26"/>
  <c r="K20" i="26"/>
  <c r="K18" i="26"/>
  <c r="K5" i="26"/>
  <c r="K7" i="26"/>
  <c r="K8" i="26"/>
  <c r="K9" i="26"/>
  <c r="K10" i="26"/>
  <c r="K11" i="26"/>
  <c r="K12" i="26"/>
  <c r="K13" i="26"/>
  <c r="K4" i="26"/>
  <c r="T11" i="26"/>
  <c r="U11" i="26" s="1"/>
  <c r="F23" i="26"/>
  <c r="J19" i="26"/>
  <c r="AE19" i="26" s="1"/>
  <c r="AB34" i="28" l="1"/>
  <c r="AC18" i="29"/>
  <c r="Y21" i="29"/>
  <c r="Z22" i="29"/>
  <c r="AA23" i="29"/>
  <c r="AB24" i="29"/>
  <c r="AC25" i="29"/>
  <c r="Y32" i="29"/>
  <c r="Z33" i="29"/>
  <c r="AA34" i="29"/>
  <c r="AB35" i="29"/>
  <c r="AA8" i="31"/>
  <c r="AB8" i="31"/>
  <c r="Y5" i="32"/>
  <c r="Z6" i="32"/>
  <c r="AA7" i="32"/>
  <c r="AA18" i="32"/>
  <c r="AA26" i="32"/>
  <c r="AA30" i="32"/>
  <c r="AB31" i="32"/>
  <c r="AC32" i="32"/>
  <c r="Z27" i="33"/>
  <c r="AH14" i="36"/>
  <c r="AA27" i="34"/>
  <c r="AG36" i="39"/>
  <c r="AB12" i="27"/>
  <c r="Z24" i="27"/>
  <c r="Y6" i="29"/>
  <c r="Z4" i="29"/>
  <c r="AB21" i="31"/>
  <c r="AC22" i="31"/>
  <c r="Y26" i="31"/>
  <c r="AB4" i="27"/>
  <c r="AC9" i="27"/>
  <c r="AB17" i="29"/>
  <c r="AC9" i="31"/>
  <c r="Y17" i="31"/>
  <c r="AA22" i="32"/>
  <c r="AC23" i="32"/>
  <c r="AA22" i="28"/>
  <c r="AB3" i="28"/>
  <c r="Y5" i="27"/>
  <c r="Y26" i="27"/>
  <c r="AC19" i="27"/>
  <c r="AB35" i="27"/>
  <c r="Z3" i="28"/>
  <c r="AB5" i="28"/>
  <c r="Y9" i="28"/>
  <c r="AA11" i="28"/>
  <c r="AC13" i="28"/>
  <c r="AB23" i="28"/>
  <c r="Y31" i="28"/>
  <c r="Z32" i="28"/>
  <c r="AB4" i="29"/>
  <c r="AB11" i="29"/>
  <c r="AA7" i="29"/>
  <c r="AC3" i="31"/>
  <c r="AB9" i="31"/>
  <c r="AC10" i="31"/>
  <c r="Y18" i="31"/>
  <c r="AA20" i="31"/>
  <c r="Z31" i="31"/>
  <c r="AA32" i="31"/>
  <c r="AB33" i="31"/>
  <c r="AC34" i="31"/>
  <c r="AE14" i="36"/>
  <c r="AF27" i="37"/>
  <c r="Z14" i="37"/>
  <c r="AC11" i="33"/>
  <c r="AB36" i="35"/>
  <c r="AA23" i="27"/>
  <c r="Z5" i="31"/>
  <c r="AA21" i="32"/>
  <c r="AH27" i="36"/>
  <c r="AH36" i="36"/>
  <c r="AA5" i="31"/>
  <c r="AI14" i="37"/>
  <c r="Y11" i="27"/>
  <c r="AA13" i="27"/>
  <c r="AB10" i="27"/>
  <c r="AC7" i="27"/>
  <c r="Y24" i="27"/>
  <c r="Z22" i="27"/>
  <c r="AA20" i="27"/>
  <c r="AC17" i="27"/>
  <c r="AC25" i="27"/>
  <c r="Y35" i="27"/>
  <c r="AA31" i="27"/>
  <c r="AB33" i="27"/>
  <c r="Y4" i="28"/>
  <c r="Z5" i="28"/>
  <c r="AB6" i="28"/>
  <c r="Z12" i="28"/>
  <c r="AA17" i="28"/>
  <c r="AB18" i="28"/>
  <c r="AC19" i="28"/>
  <c r="Y22" i="28"/>
  <c r="AE27" i="36"/>
  <c r="Y7" i="31"/>
  <c r="AE36" i="36"/>
  <c r="AA18" i="33"/>
  <c r="AA19" i="31"/>
  <c r="Y7" i="27"/>
  <c r="Z4" i="27"/>
  <c r="AA9" i="27"/>
  <c r="AB6" i="27"/>
  <c r="AC3" i="27"/>
  <c r="AC11" i="27"/>
  <c r="Z18" i="27"/>
  <c r="Z26" i="27"/>
  <c r="AA25" i="27"/>
  <c r="AC21" i="27"/>
  <c r="AC4" i="28"/>
  <c r="Y19" i="28"/>
  <c r="Z20" i="28"/>
  <c r="Y13" i="27"/>
  <c r="Y18" i="27"/>
  <c r="AC24" i="28"/>
  <c r="Z18" i="31"/>
  <c r="Z5" i="27"/>
  <c r="AB7" i="27"/>
  <c r="AC4" i="27"/>
  <c r="AC12" i="27"/>
  <c r="AC22" i="27"/>
  <c r="Y6" i="28"/>
  <c r="Z7" i="28"/>
  <c r="AA8" i="28"/>
  <c r="AB9" i="28"/>
  <c r="AC10" i="28"/>
  <c r="Y25" i="28"/>
  <c r="AA30" i="28"/>
  <c r="AB31" i="28"/>
  <c r="AC8" i="29"/>
  <c r="Y26" i="29"/>
  <c r="Z30" i="29"/>
  <c r="AA31" i="29"/>
  <c r="AB32" i="29"/>
  <c r="AC33" i="29"/>
  <c r="AA12" i="29"/>
  <c r="Y4" i="31"/>
  <c r="AA6" i="31"/>
  <c r="AB7" i="31"/>
  <c r="Y11" i="31"/>
  <c r="AA13" i="31"/>
  <c r="AB18" i="31"/>
  <c r="AC19" i="31"/>
  <c r="Y23" i="31"/>
  <c r="AA25" i="31"/>
  <c r="AB26" i="31"/>
  <c r="AB30" i="31"/>
  <c r="AC31" i="31"/>
  <c r="Y35" i="31"/>
  <c r="Z4" i="32"/>
  <c r="AA5" i="32"/>
  <c r="AB6" i="32"/>
  <c r="AC7" i="32"/>
  <c r="AC18" i="32"/>
  <c r="AC26" i="32"/>
  <c r="AC30" i="32"/>
  <c r="Y34" i="32"/>
  <c r="Z35" i="32"/>
  <c r="Y36" i="34"/>
  <c r="AI27" i="37"/>
  <c r="AF36" i="37"/>
  <c r="AA4" i="28"/>
  <c r="Z21" i="28"/>
  <c r="Z7" i="31"/>
  <c r="AB20" i="31"/>
  <c r="Y33" i="32"/>
  <c r="Z34" i="32"/>
  <c r="AA35" i="32"/>
  <c r="AI27" i="36"/>
  <c r="AI36" i="37"/>
  <c r="AC35" i="27"/>
  <c r="AC7" i="28"/>
  <c r="Y11" i="28"/>
  <c r="AA13" i="28"/>
  <c r="Y4" i="27"/>
  <c r="Y12" i="27"/>
  <c r="Z9" i="27"/>
  <c r="AB3" i="27"/>
  <c r="AB11" i="27"/>
  <c r="AC8" i="27"/>
  <c r="Y25" i="27"/>
  <c r="Z23" i="27"/>
  <c r="AA22" i="27"/>
  <c r="AB20" i="27"/>
  <c r="AC18" i="27"/>
  <c r="AC26" i="27"/>
  <c r="Z30" i="27"/>
  <c r="AA32" i="27"/>
  <c r="AB34" i="27"/>
  <c r="K3" i="28"/>
  <c r="AE3" i="28"/>
  <c r="Z4" i="28"/>
  <c r="AA5" i="28"/>
  <c r="AC6" i="28"/>
  <c r="Y10" i="28"/>
  <c r="Z11" i="28"/>
  <c r="AA12" i="28"/>
  <c r="AB13" i="28"/>
  <c r="Q27" i="28"/>
  <c r="P27" i="28" s="1"/>
  <c r="AB17" i="28"/>
  <c r="AC18" i="28"/>
  <c r="Y21" i="28"/>
  <c r="Z22" i="28"/>
  <c r="AA23" i="28"/>
  <c r="AB24" i="28"/>
  <c r="AC25" i="28"/>
  <c r="Z19" i="31"/>
  <c r="Z19" i="32"/>
  <c r="Y6" i="32"/>
  <c r="Y6" i="33"/>
  <c r="Z7" i="32"/>
  <c r="Z7" i="33"/>
  <c r="AA8" i="32"/>
  <c r="AA8" i="33"/>
  <c r="AB9" i="32"/>
  <c r="AB9" i="33"/>
  <c r="AC10" i="32"/>
  <c r="AC10" i="33"/>
  <c r="Y18" i="32"/>
  <c r="Y18" i="33"/>
  <c r="AB19" i="32"/>
  <c r="AB19" i="33"/>
  <c r="Y22" i="32"/>
  <c r="Y22" i="33"/>
  <c r="AB23" i="32"/>
  <c r="AB23" i="33"/>
  <c r="Y26" i="32"/>
  <c r="Y26" i="33"/>
  <c r="Z30" i="32"/>
  <c r="Z30" i="33"/>
  <c r="AA31" i="32"/>
  <c r="AA31" i="33"/>
  <c r="AB32" i="32"/>
  <c r="AB32" i="33"/>
  <c r="AC33" i="32"/>
  <c r="AC33" i="33"/>
  <c r="AL36" i="32"/>
  <c r="AK36" i="32"/>
  <c r="AK36" i="33"/>
  <c r="AL36" i="33"/>
  <c r="AA36" i="34"/>
  <c r="AA36" i="35"/>
  <c r="L14" i="34"/>
  <c r="AF14" i="35" s="1"/>
  <c r="Z14" i="34"/>
  <c r="Z14" i="35"/>
  <c r="AI14" i="39"/>
  <c r="AI14" i="40"/>
  <c r="AH27" i="39"/>
  <c r="AH27" i="40"/>
  <c r="Z8" i="27"/>
  <c r="AB19" i="27"/>
  <c r="AC17" i="28"/>
  <c r="AL27" i="28"/>
  <c r="AK27" i="28"/>
  <c r="AA17" i="29"/>
  <c r="Z12" i="29"/>
  <c r="K19" i="26"/>
  <c r="Y19" i="27" s="1"/>
  <c r="AE19" i="27"/>
  <c r="Z11" i="27"/>
  <c r="AA8" i="27"/>
  <c r="AB5" i="27"/>
  <c r="AB13" i="27"/>
  <c r="AC10" i="27"/>
  <c r="Z25" i="27"/>
  <c r="AA24" i="27"/>
  <c r="AB22" i="27"/>
  <c r="AC20" i="27"/>
  <c r="Z32" i="27"/>
  <c r="AA34" i="27"/>
  <c r="AC30" i="27"/>
  <c r="AA3" i="28"/>
  <c r="AB4" i="28"/>
  <c r="AC5" i="28"/>
  <c r="Y8" i="28"/>
  <c r="Z9" i="28"/>
  <c r="AA10" i="28"/>
  <c r="AB11" i="28"/>
  <c r="AC12" i="28"/>
  <c r="Y20" i="28"/>
  <c r="O21" i="28"/>
  <c r="AA21" i="29" s="1"/>
  <c r="AG21" i="29"/>
  <c r="AG21" i="28"/>
  <c r="AB22" i="28"/>
  <c r="AC23" i="28"/>
  <c r="F30" i="28"/>
  <c r="AE30" i="29"/>
  <c r="AE30" i="28"/>
  <c r="Z31" i="28"/>
  <c r="AA32" i="28"/>
  <c r="AB33" i="28"/>
  <c r="AC34" i="28"/>
  <c r="AC4" i="29"/>
  <c r="AB6" i="29"/>
  <c r="Y8" i="29"/>
  <c r="AC11" i="29"/>
  <c r="Y13" i="29"/>
  <c r="Z21" i="29"/>
  <c r="AA22" i="29"/>
  <c r="AB23" i="29"/>
  <c r="AC24" i="29"/>
  <c r="AL27" i="29"/>
  <c r="AK27" i="29"/>
  <c r="Y31" i="29"/>
  <c r="Z32" i="29"/>
  <c r="AA33" i="29"/>
  <c r="AB34" i="29"/>
  <c r="AC35" i="29"/>
  <c r="Z11" i="29"/>
  <c r="Z12" i="27"/>
  <c r="AB23" i="27"/>
  <c r="Z33" i="27"/>
  <c r="AA35" i="27"/>
  <c r="AC31" i="27"/>
  <c r="Y7" i="28"/>
  <c r="Z8" i="28"/>
  <c r="AA9" i="28"/>
  <c r="AB10" i="28"/>
  <c r="AC11" i="28"/>
  <c r="AK14" i="28"/>
  <c r="AL14" i="28"/>
  <c r="AB21" i="28"/>
  <c r="AC22" i="28"/>
  <c r="AB21" i="27"/>
  <c r="Z31" i="27"/>
  <c r="AB12" i="28"/>
  <c r="AC35" i="28"/>
  <c r="Z13" i="27"/>
  <c r="AA10" i="27"/>
  <c r="Y21" i="27"/>
  <c r="Z19" i="27"/>
  <c r="AA26" i="27"/>
  <c r="AB24" i="27"/>
  <c r="Y32" i="27"/>
  <c r="Z34" i="27"/>
  <c r="AB30" i="27"/>
  <c r="AC32" i="27"/>
  <c r="AC3" i="28"/>
  <c r="Y18" i="28"/>
  <c r="Z19" i="28"/>
  <c r="AA20" i="28"/>
  <c r="AC21" i="28"/>
  <c r="Z26" i="28"/>
  <c r="AC32" i="28"/>
  <c r="AB3" i="29"/>
  <c r="AB10" i="29"/>
  <c r="AC13" i="29"/>
  <c r="Y19" i="29"/>
  <c r="Z20" i="29"/>
  <c r="AB21" i="29"/>
  <c r="AC22" i="29"/>
  <c r="AL36" i="29"/>
  <c r="AK36" i="29"/>
  <c r="Z9" i="29"/>
  <c r="AA4" i="29"/>
  <c r="Z12" i="31"/>
  <c r="AA17" i="31"/>
  <c r="Z24" i="31"/>
  <c r="Z24" i="32"/>
  <c r="Z10" i="27"/>
  <c r="Z10" i="28"/>
  <c r="Y8" i="27"/>
  <c r="Y9" i="27"/>
  <c r="AA11" i="27"/>
  <c r="AB8" i="27"/>
  <c r="AC5" i="27"/>
  <c r="AC13" i="27"/>
  <c r="Y22" i="27"/>
  <c r="Z20" i="27"/>
  <c r="AA18" i="27"/>
  <c r="AB17" i="27"/>
  <c r="AB25" i="27"/>
  <c r="AC23" i="27"/>
  <c r="Y33" i="27"/>
  <c r="Z35" i="27"/>
  <c r="AB31" i="27"/>
  <c r="AC33" i="27"/>
  <c r="Z6" i="28"/>
  <c r="AA7" i="28"/>
  <c r="AB8" i="28"/>
  <c r="AC9" i="28"/>
  <c r="Y13" i="28"/>
  <c r="Y17" i="28"/>
  <c r="Z18" i="28"/>
  <c r="AA19" i="28"/>
  <c r="AB20" i="28"/>
  <c r="Y24" i="28"/>
  <c r="Z25" i="28"/>
  <c r="AA26" i="28"/>
  <c r="AB30" i="28"/>
  <c r="AC31" i="28"/>
  <c r="Y35" i="28"/>
  <c r="AC3" i="29"/>
  <c r="Y5" i="29"/>
  <c r="AC10" i="29"/>
  <c r="Y12" i="29"/>
  <c r="Y18" i="29"/>
  <c r="Z19" i="29"/>
  <c r="K30" i="27"/>
  <c r="AE30" i="27"/>
  <c r="AA33" i="27"/>
  <c r="AA33" i="28"/>
  <c r="Y20" i="27"/>
  <c r="Y31" i="27"/>
  <c r="Y10" i="27"/>
  <c r="Z7" i="27"/>
  <c r="AA4" i="27"/>
  <c r="AA12" i="27"/>
  <c r="AB9" i="27"/>
  <c r="AC6" i="27"/>
  <c r="Y23" i="27"/>
  <c r="Z21" i="27"/>
  <c r="AA19" i="27"/>
  <c r="AB18" i="27"/>
  <c r="AB26" i="27"/>
  <c r="AC24" i="27"/>
  <c r="Y34" i="27"/>
  <c r="AA30" i="27"/>
  <c r="AB32" i="27"/>
  <c r="AC34" i="27"/>
  <c r="F21" i="27"/>
  <c r="AG21" i="27"/>
  <c r="Y5" i="28"/>
  <c r="AA6" i="28"/>
  <c r="AB7" i="28"/>
  <c r="AC8" i="28"/>
  <c r="Y12" i="28"/>
  <c r="Z13" i="28"/>
  <c r="M27" i="28"/>
  <c r="L27" i="28" s="1"/>
  <c r="Z17" i="28"/>
  <c r="AA18" i="28"/>
  <c r="AB19" i="28"/>
  <c r="AC20" i="28"/>
  <c r="Y32" i="28"/>
  <c r="Z33" i="28"/>
  <c r="AA34" i="28"/>
  <c r="AB35" i="28"/>
  <c r="Y4" i="29"/>
  <c r="AC7" i="29"/>
  <c r="AC9" i="29"/>
  <c r="Y11" i="29"/>
  <c r="Z17" i="29"/>
  <c r="AB18" i="29"/>
  <c r="AC19" i="29"/>
  <c r="Y22" i="29"/>
  <c r="Z23" i="29"/>
  <c r="AA24" i="29"/>
  <c r="AB25" i="29"/>
  <c r="AC26" i="29"/>
  <c r="Y33" i="29"/>
  <c r="Z34" i="29"/>
  <c r="AA35" i="29"/>
  <c r="Z13" i="29"/>
  <c r="Z5" i="29"/>
  <c r="AA8" i="29"/>
  <c r="AB3" i="31"/>
  <c r="AC4" i="31"/>
  <c r="Z8" i="31"/>
  <c r="AA9" i="31"/>
  <c r="AB10" i="31"/>
  <c r="AC11" i="31"/>
  <c r="AL14" i="31"/>
  <c r="AK14" i="31"/>
  <c r="Y19" i="31"/>
  <c r="Z20" i="31"/>
  <c r="AA21" i="31"/>
  <c r="AB22" i="31"/>
  <c r="AC23" i="31"/>
  <c r="Y31" i="31"/>
  <c r="Z32" i="31"/>
  <c r="AA33" i="31"/>
  <c r="AB34" i="31"/>
  <c r="AC35" i="31"/>
  <c r="AC3" i="32"/>
  <c r="Y7" i="32"/>
  <c r="Z8" i="32"/>
  <c r="AA9" i="32"/>
  <c r="AB10" i="32"/>
  <c r="AC11" i="32"/>
  <c r="AL14" i="32"/>
  <c r="AK14" i="32"/>
  <c r="AA19" i="32"/>
  <c r="AC20" i="32"/>
  <c r="AA23" i="32"/>
  <c r="AC24" i="32"/>
  <c r="Y30" i="32"/>
  <c r="Z31" i="32"/>
  <c r="AA32" i="32"/>
  <c r="AB33" i="32"/>
  <c r="AC34" i="32"/>
  <c r="AA14" i="34"/>
  <c r="R14" i="34"/>
  <c r="AI14" i="35" s="1"/>
  <c r="AC14" i="34"/>
  <c r="R36" i="34"/>
  <c r="AC36" i="34"/>
  <c r="AG27" i="36"/>
  <c r="AE14" i="37"/>
  <c r="AG27" i="37"/>
  <c r="AG27" i="39"/>
  <c r="AC20" i="33"/>
  <c r="AA27" i="35"/>
  <c r="AH36" i="39"/>
  <c r="Y5" i="33"/>
  <c r="AH36" i="40"/>
  <c r="AG27" i="40"/>
  <c r="AA3" i="29"/>
  <c r="AA6" i="29"/>
  <c r="Y6" i="31"/>
  <c r="Y13" i="31"/>
  <c r="AC21" i="31"/>
  <c r="Y25" i="31"/>
  <c r="Z26" i="31"/>
  <c r="Z30" i="31"/>
  <c r="AA31" i="31"/>
  <c r="AB32" i="31"/>
  <c r="AC33" i="31"/>
  <c r="AL36" i="31"/>
  <c r="AK36" i="31"/>
  <c r="AB8" i="32"/>
  <c r="AC9" i="32"/>
  <c r="Y13" i="32"/>
  <c r="Y17" i="32"/>
  <c r="AC19" i="32"/>
  <c r="N14" i="33"/>
  <c r="Y14" i="34"/>
  <c r="AH14" i="39"/>
  <c r="Y36" i="35"/>
  <c r="Z35" i="33"/>
  <c r="AA30" i="33"/>
  <c r="AB31" i="33"/>
  <c r="AC24" i="33"/>
  <c r="AC32" i="33"/>
  <c r="AC36" i="35"/>
  <c r="Z6" i="33"/>
  <c r="AH36" i="35"/>
  <c r="Y26" i="28"/>
  <c r="Z30" i="28"/>
  <c r="AA31" i="28"/>
  <c r="AB32" i="28"/>
  <c r="AC33" i="28"/>
  <c r="AK36" i="28"/>
  <c r="AL36" i="28"/>
  <c r="AC6" i="29"/>
  <c r="AB8" i="29"/>
  <c r="Y10" i="29"/>
  <c r="AB13" i="29"/>
  <c r="AC17" i="29"/>
  <c r="Y20" i="29"/>
  <c r="AB22" i="29"/>
  <c r="AC23" i="29"/>
  <c r="Z31" i="29"/>
  <c r="AA32" i="29"/>
  <c r="AB33" i="29"/>
  <c r="AC34" i="29"/>
  <c r="Z10" i="29"/>
  <c r="AA13" i="29"/>
  <c r="AA5" i="29"/>
  <c r="Y5" i="31"/>
  <c r="Z6" i="31"/>
  <c r="AA7" i="31"/>
  <c r="AC8" i="31"/>
  <c r="Y12" i="31"/>
  <c r="Z13" i="31"/>
  <c r="Z17" i="31"/>
  <c r="AA18" i="31"/>
  <c r="AB19" i="31"/>
  <c r="AC20" i="31"/>
  <c r="Y24" i="31"/>
  <c r="Z25" i="31"/>
  <c r="AA26" i="31"/>
  <c r="AA30" i="31"/>
  <c r="AB31" i="31"/>
  <c r="AC32" i="31"/>
  <c r="Y4" i="32"/>
  <c r="Z5" i="32"/>
  <c r="AA6" i="32"/>
  <c r="AB7" i="32"/>
  <c r="AC8" i="32"/>
  <c r="Y12" i="32"/>
  <c r="Z13" i="32"/>
  <c r="AB18" i="32"/>
  <c r="Y21" i="32"/>
  <c r="AB22" i="32"/>
  <c r="Y25" i="32"/>
  <c r="AB26" i="32"/>
  <c r="AB30" i="32"/>
  <c r="AC31" i="32"/>
  <c r="Y35" i="32"/>
  <c r="Z36" i="34"/>
  <c r="AI14" i="36"/>
  <c r="AG36" i="36"/>
  <c r="AH27" i="37"/>
  <c r="Y25" i="33"/>
  <c r="Y7" i="33"/>
  <c r="Y33" i="33"/>
  <c r="AA14" i="35"/>
  <c r="AC9" i="33"/>
  <c r="Y34" i="33"/>
  <c r="AA9" i="33"/>
  <c r="AG36" i="37"/>
  <c r="AB30" i="33"/>
  <c r="AC14" i="35"/>
  <c r="AB8" i="33"/>
  <c r="Y11" i="32"/>
  <c r="Z12" i="32"/>
  <c r="AA13" i="32"/>
  <c r="AA17" i="32"/>
  <c r="AC22" i="32"/>
  <c r="AA25" i="32"/>
  <c r="J27" i="33"/>
  <c r="L27" i="34"/>
  <c r="AF27" i="35" s="1"/>
  <c r="Z27" i="34"/>
  <c r="AH14" i="37"/>
  <c r="Y17" i="33"/>
  <c r="Z8" i="33"/>
  <c r="Y4" i="33"/>
  <c r="AK14" i="33"/>
  <c r="Z34" i="33"/>
  <c r="AC30" i="33"/>
  <c r="AA7" i="33"/>
  <c r="AA22" i="33"/>
  <c r="AC26" i="33"/>
  <c r="AA20" i="29"/>
  <c r="AC21" i="29"/>
  <c r="Y25" i="29"/>
  <c r="Z26" i="29"/>
  <c r="AA30" i="29"/>
  <c r="AB31" i="29"/>
  <c r="AC32" i="29"/>
  <c r="K3" i="29"/>
  <c r="Y3" i="29" s="1"/>
  <c r="AE3" i="31"/>
  <c r="AE3" i="29"/>
  <c r="Z8" i="29"/>
  <c r="AA11" i="29"/>
  <c r="Z4" i="31"/>
  <c r="AB6" i="31"/>
  <c r="AC7" i="31"/>
  <c r="Y10" i="31"/>
  <c r="Z11" i="31"/>
  <c r="AA12" i="31"/>
  <c r="AB13" i="31"/>
  <c r="AB17" i="31"/>
  <c r="AC18" i="31"/>
  <c r="Y22" i="31"/>
  <c r="Z23" i="31"/>
  <c r="AA24" i="31"/>
  <c r="AB25" i="31"/>
  <c r="AC26" i="31"/>
  <c r="AC30" i="31"/>
  <c r="Y34" i="31"/>
  <c r="Z35" i="31"/>
  <c r="Z3" i="32"/>
  <c r="AA4" i="32"/>
  <c r="AB5" i="32"/>
  <c r="AC6" i="32"/>
  <c r="Y10" i="32"/>
  <c r="Z11" i="32"/>
  <c r="AA12" i="32"/>
  <c r="AB13" i="32"/>
  <c r="AB17" i="32"/>
  <c r="Y20" i="32"/>
  <c r="AB21" i="32"/>
  <c r="Y24" i="32"/>
  <c r="AB25" i="32"/>
  <c r="P36" i="33"/>
  <c r="AH36" i="34" s="1"/>
  <c r="AC27" i="34"/>
  <c r="AF36" i="36"/>
  <c r="AI36" i="39"/>
  <c r="AB7" i="33"/>
  <c r="AA4" i="33"/>
  <c r="AA26" i="33"/>
  <c r="AA35" i="33"/>
  <c r="Y24" i="33"/>
  <c r="AB17" i="33"/>
  <c r="Z26" i="32"/>
  <c r="AL14" i="33"/>
  <c r="AA5" i="33"/>
  <c r="Z17" i="32"/>
  <c r="AH14" i="40"/>
  <c r="AC31" i="33"/>
  <c r="AG36" i="40"/>
  <c r="AF36" i="40"/>
  <c r="AC18" i="33"/>
  <c r="Y23" i="28"/>
  <c r="Z24" i="28"/>
  <c r="AA25" i="28"/>
  <c r="AB26" i="28"/>
  <c r="AC30" i="28"/>
  <c r="Y34" i="28"/>
  <c r="Z35" i="28"/>
  <c r="AB5" i="29"/>
  <c r="Y7" i="29"/>
  <c r="Y9" i="29"/>
  <c r="AB12" i="29"/>
  <c r="AL14" i="29"/>
  <c r="AK14" i="29"/>
  <c r="Z18" i="29"/>
  <c r="AA19" i="29"/>
  <c r="AB20" i="29"/>
  <c r="Y24" i="29"/>
  <c r="Z25" i="29"/>
  <c r="AA26" i="29"/>
  <c r="AB30" i="29"/>
  <c r="AC31" i="29"/>
  <c r="Y35" i="29"/>
  <c r="Z7" i="29"/>
  <c r="AA10" i="29"/>
  <c r="Z3" i="31"/>
  <c r="AA4" i="31"/>
  <c r="AB5" i="31"/>
  <c r="AC6" i="31"/>
  <c r="Y9" i="31"/>
  <c r="Z10" i="31"/>
  <c r="AA11" i="31"/>
  <c r="AB12" i="31"/>
  <c r="AC13" i="31"/>
  <c r="AC17" i="31"/>
  <c r="Y21" i="31"/>
  <c r="Z22" i="31"/>
  <c r="AA23" i="31"/>
  <c r="AB24" i="31"/>
  <c r="AC25" i="31"/>
  <c r="Y33" i="31"/>
  <c r="Z34" i="31"/>
  <c r="AA35" i="31"/>
  <c r="AA3" i="32"/>
  <c r="AB4" i="32"/>
  <c r="AC5" i="32"/>
  <c r="Y9" i="32"/>
  <c r="Z10" i="32"/>
  <c r="AA11" i="32"/>
  <c r="AB12" i="32"/>
  <c r="AC13" i="32"/>
  <c r="AC17" i="32"/>
  <c r="AA20" i="32"/>
  <c r="AC21" i="32"/>
  <c r="AA24" i="32"/>
  <c r="AC25" i="32"/>
  <c r="AK27" i="32"/>
  <c r="AL27" i="32"/>
  <c r="Y32" i="32"/>
  <c r="Z33" i="32"/>
  <c r="AA34" i="32"/>
  <c r="AB35" i="32"/>
  <c r="L36" i="33"/>
  <c r="P27" i="34"/>
  <c r="AH27" i="34" s="1"/>
  <c r="AB27" i="34"/>
  <c r="AF14" i="36"/>
  <c r="AG14" i="37"/>
  <c r="AH36" i="37"/>
  <c r="AF27" i="39"/>
  <c r="AA32" i="33"/>
  <c r="Y3" i="33"/>
  <c r="AB12" i="33"/>
  <c r="AC23" i="33"/>
  <c r="AB33" i="33"/>
  <c r="Z4" i="33"/>
  <c r="AA19" i="33"/>
  <c r="Z36" i="35"/>
  <c r="Z18" i="32"/>
  <c r="AA12" i="33"/>
  <c r="Z27" i="35"/>
  <c r="Y9" i="33"/>
  <c r="Z12" i="33"/>
  <c r="AA3" i="33"/>
  <c r="Z11" i="33"/>
  <c r="AC7" i="33"/>
  <c r="Z23" i="28"/>
  <c r="AA24" i="28"/>
  <c r="AB25" i="28"/>
  <c r="AC26" i="28"/>
  <c r="Y33" i="28"/>
  <c r="Z34" i="28"/>
  <c r="AA35" i="28"/>
  <c r="AC5" i="29"/>
  <c r="AB7" i="29"/>
  <c r="AB9" i="29"/>
  <c r="AC12" i="29"/>
  <c r="Y17" i="29"/>
  <c r="AA18" i="29"/>
  <c r="AB19" i="29"/>
  <c r="AC20" i="29"/>
  <c r="Y23" i="29"/>
  <c r="Z24" i="29"/>
  <c r="AA25" i="29"/>
  <c r="AB26" i="29"/>
  <c r="AC30" i="29"/>
  <c r="Y34" i="29"/>
  <c r="Z35" i="29"/>
  <c r="Z3" i="29"/>
  <c r="Z6" i="29"/>
  <c r="AA9" i="29"/>
  <c r="AA3" i="31"/>
  <c r="AB4" i="31"/>
  <c r="AC5" i="31"/>
  <c r="Y8" i="31"/>
  <c r="Z9" i="31"/>
  <c r="AA10" i="31"/>
  <c r="AB11" i="31"/>
  <c r="AC12" i="31"/>
  <c r="Y20" i="31"/>
  <c r="Z21" i="31"/>
  <c r="AA22" i="31"/>
  <c r="AB23" i="31"/>
  <c r="AC24" i="31"/>
  <c r="AK27" i="31"/>
  <c r="AL27" i="31"/>
  <c r="Y32" i="31"/>
  <c r="Z33" i="31"/>
  <c r="AA34" i="31"/>
  <c r="AB35" i="31"/>
  <c r="AB3" i="32"/>
  <c r="AC4" i="32"/>
  <c r="Y8" i="32"/>
  <c r="Z9" i="32"/>
  <c r="AA10" i="32"/>
  <c r="AB11" i="32"/>
  <c r="AC12" i="32"/>
  <c r="Y19" i="32"/>
  <c r="AB20" i="32"/>
  <c r="Y23" i="32"/>
  <c r="AB24" i="32"/>
  <c r="Y31" i="32"/>
  <c r="Z32" i="32"/>
  <c r="AA33" i="32"/>
  <c r="AB34" i="32"/>
  <c r="AC35" i="32"/>
  <c r="Y27" i="34"/>
  <c r="P14" i="34"/>
  <c r="AH14" i="34" s="1"/>
  <c r="AB14" i="34"/>
  <c r="AB36" i="34"/>
  <c r="AG14" i="36"/>
  <c r="AF27" i="36"/>
  <c r="AF14" i="37"/>
  <c r="AE36" i="37"/>
  <c r="AI27" i="39"/>
  <c r="AB4" i="33"/>
  <c r="Z10" i="33"/>
  <c r="AB6" i="33"/>
  <c r="Z25" i="32"/>
  <c r="Y14" i="35"/>
  <c r="Y27" i="35"/>
  <c r="AB14" i="35"/>
  <c r="AA25" i="33"/>
  <c r="AA6" i="33"/>
  <c r="Y30" i="33"/>
  <c r="AK27" i="33"/>
  <c r="Z22" i="32"/>
  <c r="Y12" i="33"/>
  <c r="AB10" i="33"/>
  <c r="AC3" i="33"/>
  <c r="AE36" i="39"/>
  <c r="AG14" i="39"/>
  <c r="AF14" i="39"/>
  <c r="AE14" i="39"/>
  <c r="F14" i="39"/>
  <c r="F27" i="39"/>
  <c r="F36" i="39"/>
  <c r="F36" i="37"/>
  <c r="F14" i="37"/>
  <c r="Z14" i="36"/>
  <c r="F27" i="36"/>
  <c r="F36" i="36"/>
  <c r="F14" i="36"/>
  <c r="O21" i="27"/>
  <c r="AA21" i="27" s="1"/>
  <c r="M14" i="27"/>
  <c r="M14" i="28"/>
  <c r="L14" i="28" s="1"/>
  <c r="O14" i="28"/>
  <c r="U27" i="28"/>
  <c r="T27" i="28" s="1"/>
  <c r="M36" i="28"/>
  <c r="L36" i="28" s="1"/>
  <c r="U36" i="28"/>
  <c r="T36" i="28" s="1"/>
  <c r="S14" i="28"/>
  <c r="R14" i="28" s="1"/>
  <c r="S27" i="28"/>
  <c r="Q36" i="28"/>
  <c r="O14" i="29"/>
  <c r="N14" i="29" s="1"/>
  <c r="F27" i="35"/>
  <c r="F14" i="35"/>
  <c r="F36" i="35"/>
  <c r="R27" i="34"/>
  <c r="AI27" i="35" s="1"/>
  <c r="N27" i="34"/>
  <c r="L36" i="34"/>
  <c r="J27" i="34"/>
  <c r="AE27" i="34" s="1"/>
  <c r="J14" i="34"/>
  <c r="J36" i="34"/>
  <c r="N14" i="34"/>
  <c r="AG14" i="35" s="1"/>
  <c r="N36" i="34"/>
  <c r="N36" i="33"/>
  <c r="L14" i="33"/>
  <c r="J36" i="33"/>
  <c r="R36" i="33"/>
  <c r="L27" i="33"/>
  <c r="R27" i="33"/>
  <c r="N27" i="33"/>
  <c r="J14" i="33"/>
  <c r="R14" i="33"/>
  <c r="Q27" i="32"/>
  <c r="P27" i="32" s="1"/>
  <c r="Q36" i="32"/>
  <c r="M36" i="32"/>
  <c r="U36" i="32"/>
  <c r="T36" i="32" s="1"/>
  <c r="U27" i="32"/>
  <c r="T27" i="32" s="1"/>
  <c r="U14" i="32"/>
  <c r="T14" i="32" s="1"/>
  <c r="M14" i="32"/>
  <c r="Q14" i="32"/>
  <c r="L27" i="32"/>
  <c r="O14" i="32"/>
  <c r="K27" i="32"/>
  <c r="Y27" i="33" s="1"/>
  <c r="S27" i="32"/>
  <c r="O36" i="32"/>
  <c r="AA36" i="33" s="1"/>
  <c r="K14" i="32"/>
  <c r="Y14" i="33" s="1"/>
  <c r="S14" i="32"/>
  <c r="O27" i="32"/>
  <c r="AA27" i="33" s="1"/>
  <c r="K36" i="32"/>
  <c r="Y36" i="33" s="1"/>
  <c r="S36" i="32"/>
  <c r="Q36" i="31"/>
  <c r="M36" i="31"/>
  <c r="U36" i="31"/>
  <c r="T36" i="31" s="1"/>
  <c r="M27" i="31"/>
  <c r="U27" i="31"/>
  <c r="T27" i="31" s="1"/>
  <c r="Q27" i="31"/>
  <c r="Q14" i="31"/>
  <c r="M14" i="31"/>
  <c r="O14" i="31"/>
  <c r="O27" i="31"/>
  <c r="K36" i="31"/>
  <c r="S36" i="31"/>
  <c r="U8" i="31"/>
  <c r="U14" i="31" s="1"/>
  <c r="T14" i="31" s="1"/>
  <c r="K3" i="31"/>
  <c r="Y3" i="32" s="1"/>
  <c r="S14" i="31"/>
  <c r="K27" i="31"/>
  <c r="S27" i="31"/>
  <c r="O36" i="31"/>
  <c r="U36" i="29"/>
  <c r="T36" i="29" s="1"/>
  <c r="F3" i="29"/>
  <c r="M36" i="29"/>
  <c r="F8" i="29"/>
  <c r="Q36" i="29"/>
  <c r="S14" i="29"/>
  <c r="M27" i="29"/>
  <c r="Q27" i="29"/>
  <c r="O27" i="29"/>
  <c r="K27" i="29"/>
  <c r="S27" i="29"/>
  <c r="M14" i="29"/>
  <c r="S36" i="29"/>
  <c r="U6" i="29"/>
  <c r="U14" i="29" s="1"/>
  <c r="T14" i="29" s="1"/>
  <c r="F21" i="29"/>
  <c r="Q14" i="29"/>
  <c r="K30" i="29"/>
  <c r="Y30" i="31" s="1"/>
  <c r="O36" i="29"/>
  <c r="K14" i="28"/>
  <c r="K27" i="28"/>
  <c r="Q14" i="28"/>
  <c r="O36" i="28"/>
  <c r="S36" i="28"/>
  <c r="U6" i="28"/>
  <c r="U14" i="28" s="1"/>
  <c r="T14" i="28" s="1"/>
  <c r="F21" i="28"/>
  <c r="K30" i="28"/>
  <c r="Y30" i="28" s="1"/>
  <c r="U14" i="27"/>
  <c r="T14" i="27" s="1"/>
  <c r="K3" i="27"/>
  <c r="S14" i="27"/>
  <c r="Q27" i="27"/>
  <c r="M36" i="27"/>
  <c r="Q36" i="27"/>
  <c r="Q14" i="27"/>
  <c r="F30" i="27"/>
  <c r="O14" i="27"/>
  <c r="S27" i="27"/>
  <c r="R27" i="27" s="1"/>
  <c r="U27" i="27"/>
  <c r="T27" i="27" s="1"/>
  <c r="O36" i="27"/>
  <c r="N36" i="27" s="1"/>
  <c r="S36" i="27"/>
  <c r="U36" i="27"/>
  <c r="T36" i="27" s="1"/>
  <c r="K27" i="27"/>
  <c r="M27" i="27"/>
  <c r="F7" i="27"/>
  <c r="F11" i="27"/>
  <c r="F6" i="27"/>
  <c r="F3" i="27"/>
  <c r="F5" i="27"/>
  <c r="N7" i="26"/>
  <c r="J6" i="26"/>
  <c r="N6" i="26"/>
  <c r="L6" i="26"/>
  <c r="N5" i="26"/>
  <c r="N17" i="26"/>
  <c r="AG17" i="27" s="1"/>
  <c r="L17" i="26"/>
  <c r="AF17" i="27" s="1"/>
  <c r="J17" i="26"/>
  <c r="AE17" i="27" s="1"/>
  <c r="J3" i="26"/>
  <c r="N3" i="26"/>
  <c r="L3" i="26"/>
  <c r="I36" i="26"/>
  <c r="F35" i="26"/>
  <c r="F34" i="26"/>
  <c r="F33" i="26"/>
  <c r="F32" i="26"/>
  <c r="F31" i="26"/>
  <c r="S36" i="26"/>
  <c r="Q36" i="26"/>
  <c r="M36" i="26"/>
  <c r="I27" i="26"/>
  <c r="AK27" i="27" s="1"/>
  <c r="F26" i="26"/>
  <c r="F25" i="26"/>
  <c r="F20" i="26"/>
  <c r="F19" i="26"/>
  <c r="F18" i="26"/>
  <c r="Q14" i="26"/>
  <c r="I14" i="26"/>
  <c r="F13" i="26"/>
  <c r="F12" i="26"/>
  <c r="F9" i="26"/>
  <c r="U14" i="26"/>
  <c r="U35" i="25"/>
  <c r="U34" i="25"/>
  <c r="U33" i="25"/>
  <c r="U32" i="25"/>
  <c r="U31" i="25"/>
  <c r="U30" i="25"/>
  <c r="S35" i="25"/>
  <c r="AC35" i="26" s="1"/>
  <c r="S34" i="25"/>
  <c r="AC34" i="26" s="1"/>
  <c r="S33" i="25"/>
  <c r="AC33" i="26" s="1"/>
  <c r="S32" i="25"/>
  <c r="AC32" i="26" s="1"/>
  <c r="S31" i="25"/>
  <c r="AC31" i="26" s="1"/>
  <c r="S30" i="25"/>
  <c r="AC30" i="26" s="1"/>
  <c r="Q35" i="25"/>
  <c r="AB35" i="26" s="1"/>
  <c r="Q34" i="25"/>
  <c r="AB34" i="26" s="1"/>
  <c r="Q33" i="25"/>
  <c r="AB33" i="26" s="1"/>
  <c r="Q32" i="25"/>
  <c r="AB32" i="26" s="1"/>
  <c r="Q31" i="25"/>
  <c r="AB31" i="26" s="1"/>
  <c r="Q30" i="25"/>
  <c r="AB30" i="26" s="1"/>
  <c r="O35" i="25"/>
  <c r="AA35" i="26" s="1"/>
  <c r="O32" i="25"/>
  <c r="AA32" i="26" s="1"/>
  <c r="O31" i="25"/>
  <c r="AA31" i="26" s="1"/>
  <c r="M35" i="25"/>
  <c r="Z35" i="26" s="1"/>
  <c r="M34" i="25"/>
  <c r="Z34" i="26" s="1"/>
  <c r="M33" i="25"/>
  <c r="Z33" i="26" s="1"/>
  <c r="M32" i="25"/>
  <c r="Z32" i="26" s="1"/>
  <c r="M31" i="25"/>
  <c r="Z31" i="26" s="1"/>
  <c r="K35" i="25"/>
  <c r="Y35" i="26" s="1"/>
  <c r="K34" i="25"/>
  <c r="Y34" i="26" s="1"/>
  <c r="K33" i="25"/>
  <c r="Y33" i="26" s="1"/>
  <c r="K32" i="25"/>
  <c r="Y32" i="26" s="1"/>
  <c r="K31" i="25"/>
  <c r="Y31" i="26" s="1"/>
  <c r="N34" i="25"/>
  <c r="F34" i="25" s="1"/>
  <c r="S26" i="25"/>
  <c r="AC26" i="26" s="1"/>
  <c r="S25" i="25"/>
  <c r="AC25" i="26" s="1"/>
  <c r="S24" i="25"/>
  <c r="AC24" i="26" s="1"/>
  <c r="S23" i="25"/>
  <c r="AC23" i="26" s="1"/>
  <c r="S22" i="25"/>
  <c r="AC22" i="26" s="1"/>
  <c r="S21" i="25"/>
  <c r="AC21" i="26" s="1"/>
  <c r="S20" i="25"/>
  <c r="AC20" i="26" s="1"/>
  <c r="S19" i="25"/>
  <c r="AC19" i="26" s="1"/>
  <c r="S18" i="25"/>
  <c r="AC18" i="26" s="1"/>
  <c r="S17" i="25"/>
  <c r="AC17" i="26" s="1"/>
  <c r="Q26" i="25"/>
  <c r="AB26" i="26" s="1"/>
  <c r="Q25" i="25"/>
  <c r="AB25" i="26" s="1"/>
  <c r="Q24" i="25"/>
  <c r="AB24" i="26" s="1"/>
  <c r="Q23" i="25"/>
  <c r="AB23" i="26" s="1"/>
  <c r="Q22" i="25"/>
  <c r="AB22" i="26" s="1"/>
  <c r="Q21" i="25"/>
  <c r="AB21" i="26" s="1"/>
  <c r="Q20" i="25"/>
  <c r="AB20" i="26" s="1"/>
  <c r="Q19" i="25"/>
  <c r="AB19" i="26" s="1"/>
  <c r="Q18" i="25"/>
  <c r="AB18" i="26" s="1"/>
  <c r="Q17" i="25"/>
  <c r="O26" i="25"/>
  <c r="AA26" i="26" s="1"/>
  <c r="O24" i="25"/>
  <c r="AA24" i="26" s="1"/>
  <c r="M26" i="25"/>
  <c r="Z26" i="26" s="1"/>
  <c r="M23" i="25"/>
  <c r="Z23" i="26" s="1"/>
  <c r="M22" i="25"/>
  <c r="Z22" i="26" s="1"/>
  <c r="M21" i="25"/>
  <c r="Z21" i="26" s="1"/>
  <c r="M19" i="25"/>
  <c r="Z19" i="26" s="1"/>
  <c r="K26" i="25"/>
  <c r="Y26" i="26" s="1"/>
  <c r="K25" i="25"/>
  <c r="Y25" i="26" s="1"/>
  <c r="K24" i="25"/>
  <c r="Y24" i="26" s="1"/>
  <c r="K23" i="25"/>
  <c r="Y23" i="26" s="1"/>
  <c r="K22" i="25"/>
  <c r="Y22" i="26" s="1"/>
  <c r="K21" i="25"/>
  <c r="Y21" i="26" s="1"/>
  <c r="K20" i="25"/>
  <c r="Y20" i="26" s="1"/>
  <c r="K19" i="25"/>
  <c r="K18" i="25"/>
  <c r="Y18" i="26" s="1"/>
  <c r="S13" i="25"/>
  <c r="AC13" i="26" s="1"/>
  <c r="S12" i="25"/>
  <c r="AC12" i="26" s="1"/>
  <c r="S11" i="25"/>
  <c r="AC11" i="26" s="1"/>
  <c r="S10" i="25"/>
  <c r="AC10" i="26" s="1"/>
  <c r="S9" i="25"/>
  <c r="AC9" i="26" s="1"/>
  <c r="S8" i="25"/>
  <c r="AC8" i="26" s="1"/>
  <c r="S7" i="25"/>
  <c r="AC7" i="26" s="1"/>
  <c r="S6" i="25"/>
  <c r="AC6" i="26" s="1"/>
  <c r="S5" i="25"/>
  <c r="AC5" i="26" s="1"/>
  <c r="S4" i="25"/>
  <c r="AC4" i="25" s="1"/>
  <c r="Q13" i="25"/>
  <c r="AB13" i="26" s="1"/>
  <c r="Q12" i="25"/>
  <c r="AB12" i="26" s="1"/>
  <c r="Q11" i="25"/>
  <c r="AB11" i="26" s="1"/>
  <c r="Q10" i="25"/>
  <c r="AB10" i="26" s="1"/>
  <c r="Q9" i="25"/>
  <c r="AB9" i="26" s="1"/>
  <c r="Q8" i="25"/>
  <c r="AB8" i="26" s="1"/>
  <c r="Q7" i="25"/>
  <c r="AB7" i="26" s="1"/>
  <c r="Q6" i="25"/>
  <c r="AB6" i="26" s="1"/>
  <c r="Q5" i="25"/>
  <c r="AB5" i="26" s="1"/>
  <c r="Q4" i="25"/>
  <c r="AB4" i="26" s="1"/>
  <c r="O8" i="25"/>
  <c r="AA8" i="26" s="1"/>
  <c r="O9" i="25"/>
  <c r="AA9" i="26" s="1"/>
  <c r="O10" i="25"/>
  <c r="AA10" i="26" s="1"/>
  <c r="O11" i="25"/>
  <c r="AA11" i="26" s="1"/>
  <c r="O12" i="25"/>
  <c r="AA12" i="26" s="1"/>
  <c r="O13" i="25"/>
  <c r="AA13" i="26" s="1"/>
  <c r="S3" i="25"/>
  <c r="AC3" i="26" s="1"/>
  <c r="Q3" i="25"/>
  <c r="AB3" i="26" s="1"/>
  <c r="M5" i="25"/>
  <c r="Z5" i="26" s="1"/>
  <c r="M7" i="25"/>
  <c r="Z7" i="26" s="1"/>
  <c r="M9" i="25"/>
  <c r="Z9" i="26" s="1"/>
  <c r="M11" i="25"/>
  <c r="Z11" i="26" s="1"/>
  <c r="M12" i="25"/>
  <c r="Z12" i="26" s="1"/>
  <c r="M13" i="25"/>
  <c r="Z13" i="26" s="1"/>
  <c r="K13" i="25"/>
  <c r="Y13" i="26" s="1"/>
  <c r="K12" i="25"/>
  <c r="Y12" i="26" s="1"/>
  <c r="K10" i="25"/>
  <c r="Y10" i="26" s="1"/>
  <c r="K9" i="25"/>
  <c r="Y9" i="26" s="1"/>
  <c r="K8" i="25"/>
  <c r="Y8" i="26" s="1"/>
  <c r="K7" i="25"/>
  <c r="Y7" i="26" s="1"/>
  <c r="K6" i="25"/>
  <c r="K5" i="25"/>
  <c r="U5" i="25" s="1"/>
  <c r="K4" i="25"/>
  <c r="O4" i="25"/>
  <c r="AA4" i="26" s="1"/>
  <c r="K4" i="24"/>
  <c r="Q4" i="24"/>
  <c r="O4" i="24"/>
  <c r="J11" i="25"/>
  <c r="N33" i="25"/>
  <c r="N30" i="25"/>
  <c r="O30" i="25" s="1"/>
  <c r="AA30" i="26" s="1"/>
  <c r="J30" i="25"/>
  <c r="L30" i="25"/>
  <c r="N25" i="25"/>
  <c r="L25" i="25"/>
  <c r="L24" i="25"/>
  <c r="N23" i="25"/>
  <c r="O23" i="25" s="1"/>
  <c r="AA23" i="26" s="1"/>
  <c r="N22" i="25"/>
  <c r="N21" i="25"/>
  <c r="L20" i="25"/>
  <c r="N20" i="25"/>
  <c r="O20" i="25" s="1"/>
  <c r="AA20" i="26" s="1"/>
  <c r="U19" i="25"/>
  <c r="N19" i="25"/>
  <c r="N18" i="25"/>
  <c r="AG18" i="25" s="1"/>
  <c r="L18" i="25"/>
  <c r="N17" i="25"/>
  <c r="L17" i="25"/>
  <c r="M17" i="25" s="1"/>
  <c r="J17" i="25"/>
  <c r="U13" i="25"/>
  <c r="L10" i="25"/>
  <c r="AF10" i="26" s="1"/>
  <c r="L8" i="25"/>
  <c r="N7" i="25"/>
  <c r="O7" i="25" s="1"/>
  <c r="N6" i="25"/>
  <c r="O6" i="25" s="1"/>
  <c r="L6" i="25"/>
  <c r="M6" i="25" s="1"/>
  <c r="N5" i="25"/>
  <c r="AG5" i="25" s="1"/>
  <c r="L4" i="25"/>
  <c r="N3" i="25"/>
  <c r="O3" i="25" s="1"/>
  <c r="J3" i="25"/>
  <c r="K3" i="25" s="1"/>
  <c r="L3" i="25"/>
  <c r="M3" i="25" s="1"/>
  <c r="AL35" i="25"/>
  <c r="AK35" i="25"/>
  <c r="AL34" i="25"/>
  <c r="AK34" i="25"/>
  <c r="AL33" i="25"/>
  <c r="AK33" i="25"/>
  <c r="AL32" i="25"/>
  <c r="AK32" i="25"/>
  <c r="AL31" i="25"/>
  <c r="AK31" i="25"/>
  <c r="AL30" i="25"/>
  <c r="AK30" i="25"/>
  <c r="AL26" i="25"/>
  <c r="AK26" i="25"/>
  <c r="AL25" i="25"/>
  <c r="AK25" i="25"/>
  <c r="AL24" i="25"/>
  <c r="AK24" i="25"/>
  <c r="AL23" i="25"/>
  <c r="AK23" i="25"/>
  <c r="AL22" i="25"/>
  <c r="AK22" i="25"/>
  <c r="AL21" i="25"/>
  <c r="AK21" i="25"/>
  <c r="AL20" i="25"/>
  <c r="AK20" i="25"/>
  <c r="AL19" i="25"/>
  <c r="AK19" i="25"/>
  <c r="AL18" i="25"/>
  <c r="AK18" i="25"/>
  <c r="AL17" i="25"/>
  <c r="AK17" i="25"/>
  <c r="AL13" i="25"/>
  <c r="AK13" i="25"/>
  <c r="AL12" i="25"/>
  <c r="AK12" i="25"/>
  <c r="AL11" i="25"/>
  <c r="AK11" i="25"/>
  <c r="AL10" i="25"/>
  <c r="AK10" i="25"/>
  <c r="AL9" i="25"/>
  <c r="AK9" i="25"/>
  <c r="AL8" i="25"/>
  <c r="AK8" i="25"/>
  <c r="AL7" i="25"/>
  <c r="AK7" i="25"/>
  <c r="AL6" i="25"/>
  <c r="AK6" i="25"/>
  <c r="AL5" i="25"/>
  <c r="AK5" i="25"/>
  <c r="AL4" i="25"/>
  <c r="AK4" i="25"/>
  <c r="AL3" i="25"/>
  <c r="AK3" i="25"/>
  <c r="AI35" i="25"/>
  <c r="AH35" i="25"/>
  <c r="AG35" i="25"/>
  <c r="AF35" i="25"/>
  <c r="AE35" i="25"/>
  <c r="AI34" i="25"/>
  <c r="AH34" i="25"/>
  <c r="AF34" i="25"/>
  <c r="AE34" i="25"/>
  <c r="AI33" i="25"/>
  <c r="AH33" i="25"/>
  <c r="AE33" i="25"/>
  <c r="AI32" i="25"/>
  <c r="AH32" i="25"/>
  <c r="AF32" i="25"/>
  <c r="AE32" i="25"/>
  <c r="AI31" i="25"/>
  <c r="AH31" i="25"/>
  <c r="AG31" i="25"/>
  <c r="AF31" i="25"/>
  <c r="AE31" i="25"/>
  <c r="AI30" i="25"/>
  <c r="AH30" i="25"/>
  <c r="AI26" i="25"/>
  <c r="AH26" i="25"/>
  <c r="AG26" i="25"/>
  <c r="AF26" i="25"/>
  <c r="AE26" i="25"/>
  <c r="AI25" i="25"/>
  <c r="AH25" i="25"/>
  <c r="AE25" i="25"/>
  <c r="AI24" i="25"/>
  <c r="AH24" i="25"/>
  <c r="AG24" i="25"/>
  <c r="AE24" i="25"/>
  <c r="AI23" i="25"/>
  <c r="AH23" i="25"/>
  <c r="AF23" i="25"/>
  <c r="AE23" i="25"/>
  <c r="AI22" i="25"/>
  <c r="AH22" i="25"/>
  <c r="AF22" i="25"/>
  <c r="AE22" i="25"/>
  <c r="AI21" i="25"/>
  <c r="AH21" i="25"/>
  <c r="AF21" i="25"/>
  <c r="AE21" i="25"/>
  <c r="AI20" i="25"/>
  <c r="AH20" i="25"/>
  <c r="AE20" i="25"/>
  <c r="AI19" i="25"/>
  <c r="AH19" i="25"/>
  <c r="AF19" i="25"/>
  <c r="AI18" i="25"/>
  <c r="AH18" i="25"/>
  <c r="AE18" i="25"/>
  <c r="AI17" i="25"/>
  <c r="AH17" i="25"/>
  <c r="AI13" i="25"/>
  <c r="AH13" i="25"/>
  <c r="AG13" i="25"/>
  <c r="AF13" i="25"/>
  <c r="AE13" i="25"/>
  <c r="AI12" i="25"/>
  <c r="AH12" i="25"/>
  <c r="AG12" i="25"/>
  <c r="AE12" i="25"/>
  <c r="AI11" i="25"/>
  <c r="AH11" i="25"/>
  <c r="AG11" i="25"/>
  <c r="AF11" i="25"/>
  <c r="AI10" i="25"/>
  <c r="AH10" i="25"/>
  <c r="AG10" i="25"/>
  <c r="AE10" i="25"/>
  <c r="AI9" i="25"/>
  <c r="AH9" i="25"/>
  <c r="AG9" i="25"/>
  <c r="AF9" i="25"/>
  <c r="AE9" i="25"/>
  <c r="AI8" i="25"/>
  <c r="AH8" i="25"/>
  <c r="AG8" i="25"/>
  <c r="AE8" i="25"/>
  <c r="AI7" i="25"/>
  <c r="AH7" i="25"/>
  <c r="AF7" i="25"/>
  <c r="AE7" i="25"/>
  <c r="AI6" i="25"/>
  <c r="AH6" i="25"/>
  <c r="AE6" i="25"/>
  <c r="AI5" i="25"/>
  <c r="AH5" i="25"/>
  <c r="AF5" i="25"/>
  <c r="AE5" i="25"/>
  <c r="AI4" i="25"/>
  <c r="AH4" i="25"/>
  <c r="AG4" i="25"/>
  <c r="AE4" i="25"/>
  <c r="AI3" i="25"/>
  <c r="AH3" i="25"/>
  <c r="I36" i="25"/>
  <c r="F35" i="25"/>
  <c r="F31" i="25"/>
  <c r="I27" i="25"/>
  <c r="U26" i="25"/>
  <c r="F26" i="25"/>
  <c r="U25" i="25"/>
  <c r="U24" i="25"/>
  <c r="U23" i="25"/>
  <c r="U22" i="25"/>
  <c r="U21" i="25"/>
  <c r="U20" i="25"/>
  <c r="U18" i="25"/>
  <c r="U17" i="25"/>
  <c r="I14" i="25"/>
  <c r="F13" i="25"/>
  <c r="U12" i="25"/>
  <c r="U11" i="25"/>
  <c r="U9" i="25"/>
  <c r="F9" i="25"/>
  <c r="U8" i="25"/>
  <c r="U7" i="25"/>
  <c r="U6" i="25"/>
  <c r="U4" i="25"/>
  <c r="U3" i="25"/>
  <c r="L24" i="24"/>
  <c r="F24" i="24" s="1"/>
  <c r="L20" i="24"/>
  <c r="J19" i="24"/>
  <c r="AE19" i="24" s="1"/>
  <c r="L10" i="24"/>
  <c r="L4" i="24"/>
  <c r="L12" i="24"/>
  <c r="N32" i="24"/>
  <c r="O32" i="24" s="1"/>
  <c r="AE31" i="22"/>
  <c r="AF31" i="22"/>
  <c r="AG31" i="22"/>
  <c r="AH31" i="22"/>
  <c r="AI31" i="22"/>
  <c r="AE32" i="22"/>
  <c r="AF32" i="22"/>
  <c r="AH32" i="22"/>
  <c r="AI32" i="22"/>
  <c r="S32" i="22"/>
  <c r="Q32" i="22"/>
  <c r="N32" i="22"/>
  <c r="O32" i="22" s="1"/>
  <c r="M32" i="22"/>
  <c r="K32" i="22"/>
  <c r="L30" i="24"/>
  <c r="N30" i="24"/>
  <c r="O30" i="24" s="1"/>
  <c r="J30" i="24"/>
  <c r="K30" i="24" s="1"/>
  <c r="N34" i="24"/>
  <c r="F34" i="24" s="1"/>
  <c r="J11" i="24"/>
  <c r="K11" i="24" s="1"/>
  <c r="L33" i="24"/>
  <c r="AF33" i="25" s="1"/>
  <c r="N33" i="24"/>
  <c r="O33" i="24" s="1"/>
  <c r="N21" i="24"/>
  <c r="O21" i="24" s="1"/>
  <c r="L18" i="24"/>
  <c r="M18" i="24" s="1"/>
  <c r="J17" i="24"/>
  <c r="K17" i="24" s="1"/>
  <c r="N17" i="24"/>
  <c r="O17" i="24" s="1"/>
  <c r="L17" i="24"/>
  <c r="L8" i="24"/>
  <c r="N7" i="24"/>
  <c r="N6" i="24"/>
  <c r="L6" i="24"/>
  <c r="N3" i="24"/>
  <c r="J3" i="24"/>
  <c r="L3" i="24"/>
  <c r="AL35" i="24"/>
  <c r="AK35" i="24"/>
  <c r="AL34" i="24"/>
  <c r="AK34" i="24"/>
  <c r="AL33" i="24"/>
  <c r="AK33" i="24"/>
  <c r="AL32" i="24"/>
  <c r="AK32" i="24"/>
  <c r="AL31" i="24"/>
  <c r="AK31" i="24"/>
  <c r="AL30" i="24"/>
  <c r="AK30" i="24"/>
  <c r="AL26" i="24"/>
  <c r="AK26" i="24"/>
  <c r="AL25" i="24"/>
  <c r="AK25" i="24"/>
  <c r="AL24" i="24"/>
  <c r="AK24" i="24"/>
  <c r="AL23" i="24"/>
  <c r="AK23" i="24"/>
  <c r="AL22" i="24"/>
  <c r="AK22" i="24"/>
  <c r="AL21" i="24"/>
  <c r="AK21" i="24"/>
  <c r="AL20" i="24"/>
  <c r="AK20" i="24"/>
  <c r="AL19" i="24"/>
  <c r="AK19" i="24"/>
  <c r="AL18" i="24"/>
  <c r="AK18" i="24"/>
  <c r="AL17" i="24"/>
  <c r="AK17" i="24"/>
  <c r="AL13" i="24"/>
  <c r="AK13" i="24"/>
  <c r="AL12" i="24"/>
  <c r="AK12" i="24"/>
  <c r="AL11" i="24"/>
  <c r="AK11" i="24"/>
  <c r="AL10" i="24"/>
  <c r="AK10" i="24"/>
  <c r="AL9" i="24"/>
  <c r="AK9" i="24"/>
  <c r="AL8" i="24"/>
  <c r="AK8" i="24"/>
  <c r="AL7" i="24"/>
  <c r="AK7" i="24"/>
  <c r="AL6" i="24"/>
  <c r="AK6" i="24"/>
  <c r="AL5" i="24"/>
  <c r="AK5" i="24"/>
  <c r="AL4" i="24"/>
  <c r="AK4" i="24"/>
  <c r="AL3" i="24"/>
  <c r="AK3" i="24"/>
  <c r="AI35" i="24"/>
  <c r="AH35" i="24"/>
  <c r="AG35" i="24"/>
  <c r="AF35" i="24"/>
  <c r="AE35" i="24"/>
  <c r="AI34" i="24"/>
  <c r="AH34" i="24"/>
  <c r="AF34" i="24"/>
  <c r="AE34" i="24"/>
  <c r="AI33" i="24"/>
  <c r="AH33" i="24"/>
  <c r="AE33" i="24"/>
  <c r="AI32" i="24"/>
  <c r="AH32" i="24"/>
  <c r="AF32" i="24"/>
  <c r="AE32" i="24"/>
  <c r="AI31" i="24"/>
  <c r="AH31" i="24"/>
  <c r="AG31" i="24"/>
  <c r="AF31" i="24"/>
  <c r="AE31" i="24"/>
  <c r="AI30" i="24"/>
  <c r="AH30" i="24"/>
  <c r="AE18" i="24"/>
  <c r="AG18" i="24"/>
  <c r="AH18" i="24"/>
  <c r="AI18" i="24"/>
  <c r="AH19" i="24"/>
  <c r="AI19" i="24"/>
  <c r="AE20" i="24"/>
  <c r="AG20" i="24"/>
  <c r="AH20" i="24"/>
  <c r="AI20" i="24"/>
  <c r="AE21" i="24"/>
  <c r="AF21" i="24"/>
  <c r="AH21" i="24"/>
  <c r="AI21" i="24"/>
  <c r="AE22" i="24"/>
  <c r="AF22" i="24"/>
  <c r="AG22" i="24"/>
  <c r="AH22" i="24"/>
  <c r="AI22" i="24"/>
  <c r="AE23" i="24"/>
  <c r="AF23" i="24"/>
  <c r="AG23" i="24"/>
  <c r="AH23" i="24"/>
  <c r="AI23" i="24"/>
  <c r="AE24" i="24"/>
  <c r="AH24" i="24"/>
  <c r="AI24" i="24"/>
  <c r="AE25" i="24"/>
  <c r="AF25" i="24"/>
  <c r="AH25" i="24"/>
  <c r="AI25" i="24"/>
  <c r="AE26" i="24"/>
  <c r="AF26" i="24"/>
  <c r="AG26" i="24"/>
  <c r="AH26" i="24"/>
  <c r="AI26" i="24"/>
  <c r="AI17" i="24"/>
  <c r="AH17" i="24"/>
  <c r="AI13" i="24"/>
  <c r="AH13" i="24"/>
  <c r="AG13" i="24"/>
  <c r="AF13" i="24"/>
  <c r="AE13" i="24"/>
  <c r="AI12" i="24"/>
  <c r="AH12" i="24"/>
  <c r="AG12" i="24"/>
  <c r="AE12" i="24"/>
  <c r="AI11" i="24"/>
  <c r="AH11" i="24"/>
  <c r="AG11" i="24"/>
  <c r="AF11" i="24"/>
  <c r="AI10" i="24"/>
  <c r="AH10" i="24"/>
  <c r="AE10" i="24"/>
  <c r="AI9" i="24"/>
  <c r="AH9" i="24"/>
  <c r="AG9" i="24"/>
  <c r="AF9" i="24"/>
  <c r="AE9" i="24"/>
  <c r="AI8" i="24"/>
  <c r="AH8" i="24"/>
  <c r="AG8" i="24"/>
  <c r="AE8" i="24"/>
  <c r="AI7" i="24"/>
  <c r="AH7" i="24"/>
  <c r="AF7" i="24"/>
  <c r="AE7" i="24"/>
  <c r="AI6" i="24"/>
  <c r="AH6" i="24"/>
  <c r="AE6" i="24"/>
  <c r="AI5" i="24"/>
  <c r="AH5" i="24"/>
  <c r="AG5" i="24"/>
  <c r="AF5" i="24"/>
  <c r="AE5" i="24"/>
  <c r="AI4" i="24"/>
  <c r="AH4" i="24"/>
  <c r="AE4" i="24"/>
  <c r="AI3" i="24"/>
  <c r="AH3" i="24"/>
  <c r="I36" i="24"/>
  <c r="U35" i="24"/>
  <c r="S35" i="24"/>
  <c r="Q35" i="24"/>
  <c r="O35" i="24"/>
  <c r="M35" i="24"/>
  <c r="K35" i="24"/>
  <c r="F35" i="24"/>
  <c r="U34" i="24"/>
  <c r="S34" i="24"/>
  <c r="Q34" i="24"/>
  <c r="O34" i="24"/>
  <c r="M34" i="24"/>
  <c r="K34" i="24"/>
  <c r="U33" i="24"/>
  <c r="S33" i="24"/>
  <c r="Q33" i="24"/>
  <c r="K33" i="24"/>
  <c r="U32" i="24"/>
  <c r="S32" i="24"/>
  <c r="Q32" i="24"/>
  <c r="M32" i="24"/>
  <c r="K32" i="24"/>
  <c r="S31" i="24"/>
  <c r="Q31" i="24"/>
  <c r="O31" i="24"/>
  <c r="M31" i="24"/>
  <c r="K31" i="24"/>
  <c r="F31" i="24"/>
  <c r="U30" i="24"/>
  <c r="S30" i="24"/>
  <c r="Q30" i="24"/>
  <c r="I27" i="24"/>
  <c r="U26" i="24"/>
  <c r="S26" i="24"/>
  <c r="Q26" i="24"/>
  <c r="O26" i="24"/>
  <c r="M26" i="24"/>
  <c r="K26" i="24"/>
  <c r="F26" i="24"/>
  <c r="U25" i="24"/>
  <c r="S25" i="24"/>
  <c r="Q25" i="24"/>
  <c r="O25" i="24"/>
  <c r="M25" i="24"/>
  <c r="K25" i="24"/>
  <c r="F25" i="24"/>
  <c r="U24" i="24"/>
  <c r="S24" i="24"/>
  <c r="Q24" i="24"/>
  <c r="O24" i="24"/>
  <c r="K24" i="24"/>
  <c r="U23" i="24"/>
  <c r="S23" i="24"/>
  <c r="Q23" i="24"/>
  <c r="O23" i="24"/>
  <c r="M23" i="24"/>
  <c r="K23" i="24"/>
  <c r="F23" i="24"/>
  <c r="U22" i="24"/>
  <c r="S22" i="24"/>
  <c r="Q22" i="24"/>
  <c r="O22" i="24"/>
  <c r="M22" i="24"/>
  <c r="K22" i="24"/>
  <c r="F22" i="24"/>
  <c r="U21" i="24"/>
  <c r="S21" i="24"/>
  <c r="Q21" i="24"/>
  <c r="M21" i="24"/>
  <c r="K21" i="24"/>
  <c r="U20" i="24"/>
  <c r="S20" i="24"/>
  <c r="Q20" i="24"/>
  <c r="O20" i="24"/>
  <c r="K20" i="24"/>
  <c r="U19" i="24"/>
  <c r="S19" i="24"/>
  <c r="Q19" i="24"/>
  <c r="U18" i="24"/>
  <c r="S18" i="24"/>
  <c r="Q18" i="24"/>
  <c r="O18" i="24"/>
  <c r="K18" i="24"/>
  <c r="U17" i="24"/>
  <c r="S17" i="24"/>
  <c r="Q17" i="24"/>
  <c r="I14" i="24"/>
  <c r="U13" i="24"/>
  <c r="S13" i="24"/>
  <c r="Q13" i="24"/>
  <c r="O13" i="24"/>
  <c r="M13" i="24"/>
  <c r="K13" i="24"/>
  <c r="F13" i="24"/>
  <c r="U12" i="24"/>
  <c r="S12" i="24"/>
  <c r="Q12" i="24"/>
  <c r="O12" i="24"/>
  <c r="K12" i="24"/>
  <c r="U11" i="24"/>
  <c r="S11" i="24"/>
  <c r="Q11" i="24"/>
  <c r="O11" i="24"/>
  <c r="M11" i="24"/>
  <c r="U10" i="24"/>
  <c r="S10" i="24"/>
  <c r="Q10" i="24"/>
  <c r="K10" i="24"/>
  <c r="U9" i="24"/>
  <c r="S9" i="24"/>
  <c r="Q9" i="24"/>
  <c r="O9" i="24"/>
  <c r="M9" i="24"/>
  <c r="K9" i="24"/>
  <c r="F9" i="24"/>
  <c r="U8" i="24"/>
  <c r="S8" i="24"/>
  <c r="Q8" i="24"/>
  <c r="O8" i="24"/>
  <c r="K8" i="24"/>
  <c r="U7" i="24"/>
  <c r="S7" i="24"/>
  <c r="Q7" i="24"/>
  <c r="M7" i="24"/>
  <c r="K7" i="24"/>
  <c r="U6" i="24"/>
  <c r="S6" i="24"/>
  <c r="Q6" i="24"/>
  <c r="K6" i="24"/>
  <c r="U5" i="24"/>
  <c r="S5" i="24"/>
  <c r="Q5" i="24"/>
  <c r="O5" i="24"/>
  <c r="M5" i="24"/>
  <c r="K5" i="24"/>
  <c r="F5" i="24"/>
  <c r="U4" i="24"/>
  <c r="U3" i="24"/>
  <c r="S3" i="24"/>
  <c r="Q3" i="24"/>
  <c r="Q35" i="22"/>
  <c r="O35" i="22"/>
  <c r="M35" i="22"/>
  <c r="K35" i="22"/>
  <c r="AL34" i="22"/>
  <c r="AK34" i="22"/>
  <c r="AI34" i="22"/>
  <c r="AH34" i="22"/>
  <c r="AG34" i="22"/>
  <c r="AF34" i="22"/>
  <c r="AE34" i="22"/>
  <c r="U34" i="22"/>
  <c r="S34" i="22"/>
  <c r="Q34" i="22"/>
  <c r="O34" i="22"/>
  <c r="M34" i="22"/>
  <c r="K34" i="22"/>
  <c r="F34" i="22"/>
  <c r="O26" i="22"/>
  <c r="M26" i="22"/>
  <c r="K26" i="22"/>
  <c r="AL25" i="22"/>
  <c r="AK25" i="22"/>
  <c r="AI25" i="22"/>
  <c r="AH25" i="22"/>
  <c r="AF25" i="22"/>
  <c r="AE25" i="22"/>
  <c r="U25" i="22"/>
  <c r="S25" i="22"/>
  <c r="Q25" i="22"/>
  <c r="N25" i="22"/>
  <c r="AG25" i="24" s="1"/>
  <c r="M25" i="22"/>
  <c r="K25" i="22"/>
  <c r="O13" i="22"/>
  <c r="M13" i="22"/>
  <c r="K13" i="22"/>
  <c r="AL12" i="22"/>
  <c r="AK12" i="22"/>
  <c r="AI12" i="22"/>
  <c r="AH12" i="22"/>
  <c r="AG12" i="22"/>
  <c r="U12" i="22"/>
  <c r="S12" i="22"/>
  <c r="Q12" i="22"/>
  <c r="O12" i="22"/>
  <c r="L12" i="22"/>
  <c r="M12" i="22" s="1"/>
  <c r="K12" i="22"/>
  <c r="AL34" i="21"/>
  <c r="AK34" i="21"/>
  <c r="AI34" i="21"/>
  <c r="AH34" i="21"/>
  <c r="AF34" i="21"/>
  <c r="AE34" i="21"/>
  <c r="U34" i="21"/>
  <c r="S34" i="21"/>
  <c r="Q34" i="21"/>
  <c r="O34" i="21"/>
  <c r="M34" i="21"/>
  <c r="K34" i="21"/>
  <c r="F34" i="21"/>
  <c r="AL26" i="21"/>
  <c r="AK26" i="21"/>
  <c r="AI26" i="21"/>
  <c r="AH26" i="21"/>
  <c r="AE26" i="21"/>
  <c r="U26" i="21"/>
  <c r="S26" i="21"/>
  <c r="Q26" i="21"/>
  <c r="N26" i="21"/>
  <c r="M26" i="21"/>
  <c r="K26" i="21"/>
  <c r="AL14" i="21"/>
  <c r="AK14" i="21"/>
  <c r="AI14" i="21"/>
  <c r="AH14" i="21"/>
  <c r="AG14" i="21"/>
  <c r="AE14" i="21"/>
  <c r="U14" i="21"/>
  <c r="S14" i="21"/>
  <c r="Q14" i="21"/>
  <c r="O14" i="21"/>
  <c r="M14" i="21"/>
  <c r="K14" i="21"/>
  <c r="F14" i="21"/>
  <c r="I14" i="22"/>
  <c r="L17" i="22"/>
  <c r="AL35" i="22"/>
  <c r="AK35" i="22"/>
  <c r="AL33" i="22"/>
  <c r="AK33" i="22"/>
  <c r="AL32" i="22"/>
  <c r="AK32" i="22"/>
  <c r="AL31" i="22"/>
  <c r="AK31" i="22"/>
  <c r="AL30" i="22"/>
  <c r="AK30" i="22"/>
  <c r="AL26" i="22"/>
  <c r="AK26" i="22"/>
  <c r="AL24" i="22"/>
  <c r="AK24" i="22"/>
  <c r="AL23" i="22"/>
  <c r="AK23" i="22"/>
  <c r="AL22" i="22"/>
  <c r="AK22" i="22"/>
  <c r="AL21" i="22"/>
  <c r="AK21" i="22"/>
  <c r="AL20" i="22"/>
  <c r="AK20" i="22"/>
  <c r="AL19" i="22"/>
  <c r="AK19" i="22"/>
  <c r="AL18" i="22"/>
  <c r="AK18" i="22"/>
  <c r="AL17" i="22"/>
  <c r="AK17" i="22"/>
  <c r="AL13" i="22"/>
  <c r="AK13" i="22"/>
  <c r="AL11" i="22"/>
  <c r="AK11" i="22"/>
  <c r="AL10" i="22"/>
  <c r="AK10" i="22"/>
  <c r="AL9" i="22"/>
  <c r="AK9" i="22"/>
  <c r="AL8" i="22"/>
  <c r="AK8" i="22"/>
  <c r="AL7" i="22"/>
  <c r="AK7" i="22"/>
  <c r="AL6" i="22"/>
  <c r="AK6" i="22"/>
  <c r="AL5" i="22"/>
  <c r="AK5" i="22"/>
  <c r="AL4" i="22"/>
  <c r="AK4" i="22"/>
  <c r="AL3" i="22"/>
  <c r="AK3" i="22"/>
  <c r="AI35" i="22"/>
  <c r="AH35" i="22"/>
  <c r="AG35" i="22"/>
  <c r="AF35" i="22"/>
  <c r="AE35" i="22"/>
  <c r="AI33" i="22"/>
  <c r="AH33" i="22"/>
  <c r="AE33" i="22"/>
  <c r="AI30" i="22"/>
  <c r="AH30" i="22"/>
  <c r="AI26" i="22"/>
  <c r="AH26" i="22"/>
  <c r="AF26" i="22"/>
  <c r="AE26" i="22"/>
  <c r="AI24" i="22"/>
  <c r="AH24" i="22"/>
  <c r="AE24" i="22"/>
  <c r="AI23" i="22"/>
  <c r="AH23" i="22"/>
  <c r="AG23" i="22"/>
  <c r="AF23" i="22"/>
  <c r="AE23" i="22"/>
  <c r="AI22" i="22"/>
  <c r="AH22" i="22"/>
  <c r="AG22" i="22"/>
  <c r="AF22" i="22"/>
  <c r="AE22" i="22"/>
  <c r="AI21" i="22"/>
  <c r="AH21" i="22"/>
  <c r="AF21" i="22"/>
  <c r="AE21" i="22"/>
  <c r="AI20" i="22"/>
  <c r="AH20" i="22"/>
  <c r="AG20" i="22"/>
  <c r="AE20" i="22"/>
  <c r="AI19" i="22"/>
  <c r="AH19" i="22"/>
  <c r="AE19" i="22"/>
  <c r="AI18" i="22"/>
  <c r="AH18" i="22"/>
  <c r="AG18" i="22"/>
  <c r="AE18" i="22"/>
  <c r="AI17" i="22"/>
  <c r="AH17" i="22"/>
  <c r="AI13" i="22"/>
  <c r="AH13" i="22"/>
  <c r="AG13" i="22"/>
  <c r="AE13" i="22"/>
  <c r="AI11" i="22"/>
  <c r="AH11" i="22"/>
  <c r="AG11" i="22"/>
  <c r="AF11" i="22"/>
  <c r="AI10" i="22"/>
  <c r="AH10" i="22"/>
  <c r="AE10" i="22"/>
  <c r="AI9" i="22"/>
  <c r="AH9" i="22"/>
  <c r="AG9" i="22"/>
  <c r="AF9" i="22"/>
  <c r="AE9" i="22"/>
  <c r="AI8" i="22"/>
  <c r="AH8" i="22"/>
  <c r="AG8" i="22"/>
  <c r="AE8" i="22"/>
  <c r="AI7" i="22"/>
  <c r="AH7" i="22"/>
  <c r="AF7" i="22"/>
  <c r="AE7" i="22"/>
  <c r="AI6" i="22"/>
  <c r="AH6" i="22"/>
  <c r="AE6" i="22"/>
  <c r="AI5" i="22"/>
  <c r="AH5" i="22"/>
  <c r="AG5" i="22"/>
  <c r="AF5" i="22"/>
  <c r="AE5" i="22"/>
  <c r="AI4" i="22"/>
  <c r="AH4" i="22"/>
  <c r="AE4" i="22"/>
  <c r="AI3" i="22"/>
  <c r="AH3" i="22"/>
  <c r="L33" i="22"/>
  <c r="N33" i="22"/>
  <c r="AG33" i="22" s="1"/>
  <c r="L30" i="22"/>
  <c r="N30" i="22"/>
  <c r="J30" i="22"/>
  <c r="N24" i="22"/>
  <c r="AG24" i="24" s="1"/>
  <c r="L24" i="22"/>
  <c r="N21" i="22"/>
  <c r="L20" i="22"/>
  <c r="F20" i="22" s="1"/>
  <c r="L19" i="22"/>
  <c r="AF19" i="22" s="1"/>
  <c r="N19" i="22"/>
  <c r="AG19" i="24" s="1"/>
  <c r="L18" i="22"/>
  <c r="J17" i="22"/>
  <c r="K17" i="22" s="1"/>
  <c r="N17" i="22"/>
  <c r="J11" i="22"/>
  <c r="N10" i="22"/>
  <c r="O10" i="22" s="1"/>
  <c r="L10" i="22"/>
  <c r="L8" i="22"/>
  <c r="N7" i="22"/>
  <c r="L6" i="22"/>
  <c r="AF6" i="22" s="1"/>
  <c r="N6" i="22"/>
  <c r="L4" i="22"/>
  <c r="N4" i="22"/>
  <c r="AG4" i="22" s="1"/>
  <c r="N3" i="22"/>
  <c r="J3" i="22"/>
  <c r="L3" i="22"/>
  <c r="M3" i="22" s="1"/>
  <c r="N32" i="21"/>
  <c r="I36" i="22"/>
  <c r="U35" i="22"/>
  <c r="S35" i="22"/>
  <c r="F35" i="22"/>
  <c r="U33" i="22"/>
  <c r="S33" i="22"/>
  <c r="Q33" i="22"/>
  <c r="K33" i="22"/>
  <c r="U32" i="22"/>
  <c r="S31" i="22"/>
  <c r="Q31" i="22"/>
  <c r="O31" i="22"/>
  <c r="M31" i="22"/>
  <c r="K31" i="22"/>
  <c r="F31" i="22"/>
  <c r="U30" i="22"/>
  <c r="S30" i="22"/>
  <c r="Q30" i="22"/>
  <c r="I27" i="22"/>
  <c r="U26" i="22"/>
  <c r="S26" i="22"/>
  <c r="Q26" i="22"/>
  <c r="U24" i="22"/>
  <c r="S24" i="22"/>
  <c r="Q24" i="22"/>
  <c r="K24" i="22"/>
  <c r="U23" i="22"/>
  <c r="S23" i="22"/>
  <c r="Q23" i="22"/>
  <c r="O23" i="22"/>
  <c r="M23" i="22"/>
  <c r="K23" i="22"/>
  <c r="F23" i="22"/>
  <c r="U22" i="22"/>
  <c r="S22" i="22"/>
  <c r="Q22" i="22"/>
  <c r="O22" i="22"/>
  <c r="M22" i="22"/>
  <c r="K22" i="22"/>
  <c r="F22" i="22"/>
  <c r="U21" i="22"/>
  <c r="S21" i="22"/>
  <c r="Q21" i="22"/>
  <c r="M21" i="22"/>
  <c r="K21" i="22"/>
  <c r="U20" i="22"/>
  <c r="S20" i="22"/>
  <c r="Q20" i="22"/>
  <c r="O20" i="22"/>
  <c r="K20" i="22"/>
  <c r="U19" i="22"/>
  <c r="S19" i="22"/>
  <c r="Q19" i="22"/>
  <c r="K19" i="22"/>
  <c r="U18" i="22"/>
  <c r="S18" i="22"/>
  <c r="Q18" i="22"/>
  <c r="O18" i="22"/>
  <c r="K18" i="22"/>
  <c r="U17" i="22"/>
  <c r="S17" i="22"/>
  <c r="Q17" i="22"/>
  <c r="U13" i="22"/>
  <c r="S13" i="22"/>
  <c r="Q13" i="22"/>
  <c r="U11" i="22"/>
  <c r="S11" i="22"/>
  <c r="Q11" i="22"/>
  <c r="O11" i="22"/>
  <c r="M11" i="22"/>
  <c r="U10" i="22"/>
  <c r="S10" i="22"/>
  <c r="Q10" i="22"/>
  <c r="K10" i="22"/>
  <c r="U9" i="22"/>
  <c r="S9" i="22"/>
  <c r="Q9" i="22"/>
  <c r="O9" i="22"/>
  <c r="M9" i="22"/>
  <c r="K9" i="22"/>
  <c r="F9" i="22"/>
  <c r="U8" i="22"/>
  <c r="S8" i="22"/>
  <c r="Q8" i="22"/>
  <c r="O8" i="22"/>
  <c r="K8" i="22"/>
  <c r="U7" i="22"/>
  <c r="S7" i="22"/>
  <c r="Q7" i="22"/>
  <c r="M7" i="22"/>
  <c r="K7" i="22"/>
  <c r="U6" i="22"/>
  <c r="S6" i="22"/>
  <c r="Q6" i="22"/>
  <c r="K6" i="22"/>
  <c r="U5" i="22"/>
  <c r="S5" i="22"/>
  <c r="Q5" i="22"/>
  <c r="O5" i="22"/>
  <c r="M5" i="22"/>
  <c r="K5" i="22"/>
  <c r="F5" i="22"/>
  <c r="U4" i="22"/>
  <c r="S4" i="22"/>
  <c r="AC4" i="24" s="1"/>
  <c r="Q4" i="22"/>
  <c r="K4" i="22"/>
  <c r="U3" i="22"/>
  <c r="S3" i="22"/>
  <c r="Q3" i="22"/>
  <c r="S32" i="20"/>
  <c r="Q32" i="20"/>
  <c r="M32" i="20"/>
  <c r="K32" i="20"/>
  <c r="N32" i="20"/>
  <c r="O32" i="20" s="1"/>
  <c r="L18" i="21"/>
  <c r="AC27" i="29" l="1"/>
  <c r="O27" i="28"/>
  <c r="Y35" i="25"/>
  <c r="AF10" i="24"/>
  <c r="AG27" i="34"/>
  <c r="AG6" i="24"/>
  <c r="F32" i="22"/>
  <c r="O27" i="27"/>
  <c r="AB14" i="27"/>
  <c r="AF33" i="24"/>
  <c r="Y4" i="24"/>
  <c r="AC27" i="32"/>
  <c r="K19" i="24"/>
  <c r="Y19" i="24" s="1"/>
  <c r="AB14" i="28"/>
  <c r="Y27" i="28"/>
  <c r="AG34" i="24"/>
  <c r="AF30" i="25"/>
  <c r="AF24" i="24"/>
  <c r="AE36" i="34"/>
  <c r="AB27" i="29"/>
  <c r="AG17" i="24"/>
  <c r="AE30" i="24"/>
  <c r="AA14" i="31"/>
  <c r="AA36" i="29"/>
  <c r="AC36" i="31"/>
  <c r="Z27" i="31"/>
  <c r="AG36" i="34"/>
  <c r="AB14" i="29"/>
  <c r="AA36" i="31"/>
  <c r="AA27" i="31"/>
  <c r="AB27" i="33"/>
  <c r="Y5" i="26"/>
  <c r="AF17" i="25"/>
  <c r="Q27" i="25"/>
  <c r="P27" i="25" s="1"/>
  <c r="AC14" i="29"/>
  <c r="Y27" i="31"/>
  <c r="AC36" i="32"/>
  <c r="AA14" i="32"/>
  <c r="Z36" i="32"/>
  <c r="AB36" i="28"/>
  <c r="AL27" i="27"/>
  <c r="F19" i="24"/>
  <c r="F33" i="24"/>
  <c r="Z14" i="29"/>
  <c r="Y36" i="32"/>
  <c r="AF36" i="34"/>
  <c r="AC27" i="28"/>
  <c r="O3" i="26"/>
  <c r="AG3" i="27"/>
  <c r="AG3" i="26"/>
  <c r="L27" i="27"/>
  <c r="AF27" i="28" s="1"/>
  <c r="Z14" i="31"/>
  <c r="M4" i="25"/>
  <c r="Z4" i="26" s="1"/>
  <c r="AF4" i="26"/>
  <c r="Y4" i="25"/>
  <c r="AL14" i="26"/>
  <c r="AK14" i="26"/>
  <c r="AL36" i="26"/>
  <c r="AK36" i="26"/>
  <c r="M6" i="26"/>
  <c r="AF6" i="27"/>
  <c r="AF6" i="26"/>
  <c r="L36" i="31"/>
  <c r="Z36" i="31"/>
  <c r="AA14" i="28"/>
  <c r="Z36" i="33"/>
  <c r="AH27" i="35"/>
  <c r="AC4" i="26"/>
  <c r="AF36" i="35"/>
  <c r="AG23" i="25"/>
  <c r="AF3" i="27"/>
  <c r="AF3" i="26"/>
  <c r="O6" i="26"/>
  <c r="AG6" i="27"/>
  <c r="AG6" i="26"/>
  <c r="R27" i="28"/>
  <c r="AI27" i="28" s="1"/>
  <c r="AC36" i="29"/>
  <c r="L27" i="29"/>
  <c r="AF27" i="29" s="1"/>
  <c r="Z27" i="29"/>
  <c r="AC27" i="31"/>
  <c r="P36" i="31"/>
  <c r="AB36" i="31"/>
  <c r="Y27" i="32"/>
  <c r="AF27" i="33"/>
  <c r="AE14" i="34"/>
  <c r="AA14" i="29"/>
  <c r="Z14" i="28"/>
  <c r="AH14" i="35"/>
  <c r="AE27" i="35"/>
  <c r="AA14" i="33"/>
  <c r="K36" i="27"/>
  <c r="Y30" i="27"/>
  <c r="AB17" i="26"/>
  <c r="F11" i="25"/>
  <c r="AE11" i="26"/>
  <c r="K3" i="26"/>
  <c r="Y3" i="26" s="1"/>
  <c r="AE3" i="26"/>
  <c r="O7" i="26"/>
  <c r="AG7" i="27"/>
  <c r="AG7" i="26"/>
  <c r="P36" i="29"/>
  <c r="AB36" i="29"/>
  <c r="AC14" i="31"/>
  <c r="AB14" i="31"/>
  <c r="P36" i="32"/>
  <c r="AH36" i="33" s="1"/>
  <c r="AB36" i="32"/>
  <c r="AH27" i="33"/>
  <c r="AE3" i="27"/>
  <c r="Y4" i="26"/>
  <c r="AK14" i="27"/>
  <c r="AA21" i="28"/>
  <c r="AF14" i="34"/>
  <c r="N14" i="27"/>
  <c r="J27" i="27"/>
  <c r="Y27" i="29"/>
  <c r="Y3" i="31"/>
  <c r="P27" i="31"/>
  <c r="AB27" i="31"/>
  <c r="AA27" i="32"/>
  <c r="AB27" i="32"/>
  <c r="AC14" i="28"/>
  <c r="AB36" i="33"/>
  <c r="AC27" i="33"/>
  <c r="AI14" i="34"/>
  <c r="Z27" i="28"/>
  <c r="AL14" i="27"/>
  <c r="AB27" i="28"/>
  <c r="M8" i="25"/>
  <c r="Z8" i="26" s="1"/>
  <c r="AF8" i="26"/>
  <c r="P14" i="27"/>
  <c r="AB36" i="27"/>
  <c r="N14" i="28"/>
  <c r="AG14" i="29" s="1"/>
  <c r="Y30" i="29"/>
  <c r="K14" i="29"/>
  <c r="Y14" i="29" s="1"/>
  <c r="L36" i="29"/>
  <c r="AF36" i="29" s="1"/>
  <c r="Z36" i="29"/>
  <c r="AC14" i="32"/>
  <c r="P14" i="32"/>
  <c r="AB14" i="32"/>
  <c r="AI27" i="34"/>
  <c r="AE14" i="35"/>
  <c r="AG36" i="35"/>
  <c r="AE36" i="35"/>
  <c r="Z27" i="32"/>
  <c r="AK36" i="27"/>
  <c r="Y3" i="28"/>
  <c r="K6" i="26"/>
  <c r="AE6" i="27"/>
  <c r="AE6" i="26"/>
  <c r="AI36" i="34"/>
  <c r="AI36" i="35"/>
  <c r="L14" i="27"/>
  <c r="AF14" i="28" s="1"/>
  <c r="AC36" i="27"/>
  <c r="L36" i="27"/>
  <c r="Z36" i="27"/>
  <c r="AC36" i="28"/>
  <c r="P36" i="28"/>
  <c r="L14" i="32"/>
  <c r="AF14" i="33" s="1"/>
  <c r="Z14" i="32"/>
  <c r="Z36" i="28"/>
  <c r="AC14" i="33"/>
  <c r="AL36" i="27"/>
  <c r="Z14" i="33"/>
  <c r="AG27" i="35"/>
  <c r="AL27" i="26"/>
  <c r="AK27" i="26"/>
  <c r="AG5" i="27"/>
  <c r="AG5" i="26"/>
  <c r="P36" i="27"/>
  <c r="P27" i="27"/>
  <c r="AA36" i="28"/>
  <c r="AA27" i="29"/>
  <c r="AA36" i="32"/>
  <c r="AG14" i="34"/>
  <c r="AB14" i="33"/>
  <c r="AC36" i="33"/>
  <c r="AF27" i="34"/>
  <c r="Y19" i="26"/>
  <c r="L36" i="32"/>
  <c r="AB3" i="25"/>
  <c r="AC3" i="25"/>
  <c r="AA31" i="25"/>
  <c r="O19" i="25"/>
  <c r="AA19" i="26" s="1"/>
  <c r="AG19" i="25"/>
  <c r="AE3" i="24"/>
  <c r="AA20" i="25"/>
  <c r="AB5" i="25"/>
  <c r="AF4" i="24"/>
  <c r="AC34" i="24"/>
  <c r="AC17" i="25"/>
  <c r="AA26" i="25"/>
  <c r="AB20" i="25"/>
  <c r="K3" i="24"/>
  <c r="Y3" i="25" s="1"/>
  <c r="Y18" i="25"/>
  <c r="F32" i="24"/>
  <c r="AE30" i="26"/>
  <c r="Z7" i="25"/>
  <c r="Y24" i="25"/>
  <c r="AB9" i="25"/>
  <c r="AB21" i="25"/>
  <c r="Y25" i="25"/>
  <c r="AB25" i="25"/>
  <c r="AG6" i="25"/>
  <c r="AA4" i="25"/>
  <c r="F5" i="25"/>
  <c r="AC24" i="25"/>
  <c r="S36" i="25"/>
  <c r="AC36" i="26" s="1"/>
  <c r="P14" i="31"/>
  <c r="AF20" i="25"/>
  <c r="Z13" i="25"/>
  <c r="Y6" i="25"/>
  <c r="O5" i="25"/>
  <c r="AA5" i="25" s="1"/>
  <c r="AB11" i="25"/>
  <c r="M18" i="25"/>
  <c r="O21" i="25"/>
  <c r="AA21" i="26" s="1"/>
  <c r="S27" i="25"/>
  <c r="R27" i="25" s="1"/>
  <c r="Q36" i="25"/>
  <c r="P36" i="25" s="1"/>
  <c r="F7" i="26"/>
  <c r="F14" i="34"/>
  <c r="F27" i="34"/>
  <c r="F36" i="34"/>
  <c r="F14" i="33"/>
  <c r="F36" i="33"/>
  <c r="F27" i="33"/>
  <c r="R36" i="32"/>
  <c r="AI36" i="33" s="1"/>
  <c r="J14" i="32"/>
  <c r="J27" i="32"/>
  <c r="N27" i="32"/>
  <c r="N36" i="32"/>
  <c r="R14" i="32"/>
  <c r="R27" i="32"/>
  <c r="AI27" i="33" s="1"/>
  <c r="J36" i="32"/>
  <c r="AE36" i="33" s="1"/>
  <c r="N14" i="32"/>
  <c r="AG14" i="33" s="1"/>
  <c r="L27" i="31"/>
  <c r="L14" i="31"/>
  <c r="R27" i="31"/>
  <c r="R36" i="31"/>
  <c r="R14" i="31"/>
  <c r="N27" i="31"/>
  <c r="N36" i="31"/>
  <c r="K14" i="31"/>
  <c r="N14" i="31"/>
  <c r="AG14" i="31" s="1"/>
  <c r="J27" i="31"/>
  <c r="J36" i="31"/>
  <c r="N27" i="29"/>
  <c r="P27" i="29"/>
  <c r="AH27" i="29" s="1"/>
  <c r="R14" i="29"/>
  <c r="AI14" i="29" s="1"/>
  <c r="L14" i="29"/>
  <c r="AF14" i="29" s="1"/>
  <c r="R36" i="29"/>
  <c r="J27" i="29"/>
  <c r="K36" i="29"/>
  <c r="P14" i="29"/>
  <c r="R27" i="29"/>
  <c r="N36" i="29"/>
  <c r="J27" i="28"/>
  <c r="P14" i="28"/>
  <c r="K36" i="28"/>
  <c r="R36" i="28"/>
  <c r="N36" i="28"/>
  <c r="AG36" i="28" s="1"/>
  <c r="N27" i="28"/>
  <c r="J14" i="28"/>
  <c r="AB6" i="25"/>
  <c r="Y8" i="25"/>
  <c r="AA9" i="25"/>
  <c r="AB12" i="25"/>
  <c r="Y13" i="25"/>
  <c r="AC13" i="25"/>
  <c r="Y21" i="25"/>
  <c r="AB30" i="25"/>
  <c r="AB35" i="25"/>
  <c r="AG3" i="25"/>
  <c r="M8" i="24"/>
  <c r="F11" i="24"/>
  <c r="F12" i="24"/>
  <c r="M10" i="25"/>
  <c r="Z10" i="26" s="1"/>
  <c r="AF10" i="25"/>
  <c r="AG22" i="25"/>
  <c r="AG22" i="26"/>
  <c r="O22" i="25"/>
  <c r="AG25" i="26"/>
  <c r="F33" i="25"/>
  <c r="AG33" i="26"/>
  <c r="O33" i="25"/>
  <c r="M3" i="26"/>
  <c r="AF17" i="26"/>
  <c r="M17" i="26"/>
  <c r="Y5" i="25"/>
  <c r="AC5" i="25"/>
  <c r="AB7" i="25"/>
  <c r="AC12" i="25"/>
  <c r="Y26" i="25"/>
  <c r="AC26" i="25"/>
  <c r="AC30" i="25"/>
  <c r="Z31" i="25"/>
  <c r="AB34" i="25"/>
  <c r="AF24" i="25"/>
  <c r="M24" i="24"/>
  <c r="AC35" i="25"/>
  <c r="AF6" i="25"/>
  <c r="AB4" i="25"/>
  <c r="K11" i="25"/>
  <c r="O17" i="25"/>
  <c r="AG34" i="26"/>
  <c r="O34" i="25"/>
  <c r="AB32" i="25"/>
  <c r="F3" i="26"/>
  <c r="F17" i="26"/>
  <c r="AG17" i="26"/>
  <c r="O17" i="26"/>
  <c r="R14" i="27"/>
  <c r="AI14" i="28" s="1"/>
  <c r="K14" i="27"/>
  <c r="Y14" i="28" s="1"/>
  <c r="AB4" i="24"/>
  <c r="F4" i="24"/>
  <c r="AC7" i="25"/>
  <c r="AB8" i="25"/>
  <c r="Y9" i="25"/>
  <c r="AC9" i="25"/>
  <c r="AA11" i="25"/>
  <c r="Y12" i="25"/>
  <c r="AA13" i="25"/>
  <c r="AB18" i="25"/>
  <c r="F20" i="24"/>
  <c r="Y22" i="25"/>
  <c r="AC22" i="25"/>
  <c r="AC25" i="25"/>
  <c r="Z26" i="25"/>
  <c r="Y32" i="25"/>
  <c r="Y34" i="25"/>
  <c r="AC34" i="25"/>
  <c r="Z35" i="25"/>
  <c r="AG17" i="25"/>
  <c r="AG33" i="25"/>
  <c r="F10" i="24"/>
  <c r="F22" i="25"/>
  <c r="F25" i="25"/>
  <c r="Y31" i="25"/>
  <c r="AG25" i="25"/>
  <c r="AF4" i="25"/>
  <c r="AG18" i="26"/>
  <c r="O18" i="25"/>
  <c r="AF20" i="26"/>
  <c r="M20" i="25"/>
  <c r="Z20" i="26" s="1"/>
  <c r="AF24" i="26"/>
  <c r="M24" i="25"/>
  <c r="Z5" i="25"/>
  <c r="S14" i="25"/>
  <c r="R14" i="25" s="1"/>
  <c r="AC10" i="25"/>
  <c r="Z23" i="25"/>
  <c r="AC20" i="25"/>
  <c r="K30" i="25"/>
  <c r="K36" i="25" s="1"/>
  <c r="J36" i="25" s="1"/>
  <c r="AC31" i="25"/>
  <c r="O5" i="26"/>
  <c r="Y7" i="25"/>
  <c r="AC8" i="25"/>
  <c r="AA12" i="25"/>
  <c r="AB13" i="25"/>
  <c r="AC18" i="25"/>
  <c r="Y20" i="25"/>
  <c r="AC21" i="25"/>
  <c r="Z22" i="25"/>
  <c r="AG19" i="26"/>
  <c r="F21" i="25"/>
  <c r="AG21" i="26"/>
  <c r="AF25" i="25"/>
  <c r="AF25" i="26"/>
  <c r="AG30" i="26"/>
  <c r="M4" i="24"/>
  <c r="Z9" i="25"/>
  <c r="AA8" i="25"/>
  <c r="K17" i="25"/>
  <c r="K27" i="25" s="1"/>
  <c r="J27" i="25" s="1"/>
  <c r="M25" i="25"/>
  <c r="O25" i="25"/>
  <c r="AA25" i="26" s="1"/>
  <c r="R36" i="27"/>
  <c r="AB17" i="25"/>
  <c r="Z21" i="25"/>
  <c r="AB22" i="25"/>
  <c r="Y23" i="25"/>
  <c r="AB26" i="25"/>
  <c r="AB31" i="25"/>
  <c r="Z32" i="25"/>
  <c r="Y33" i="25"/>
  <c r="AC33" i="25"/>
  <c r="Z34" i="25"/>
  <c r="AA35" i="25"/>
  <c r="AG7" i="25"/>
  <c r="AE17" i="25"/>
  <c r="AA30" i="25"/>
  <c r="AA32" i="25"/>
  <c r="F18" i="25"/>
  <c r="AF18" i="26"/>
  <c r="AG20" i="25"/>
  <c r="AG20" i="26"/>
  <c r="F23" i="25"/>
  <c r="AG23" i="26"/>
  <c r="AF30" i="26"/>
  <c r="M30" i="25"/>
  <c r="Z30" i="26" s="1"/>
  <c r="K17" i="26"/>
  <c r="AE17" i="26"/>
  <c r="U36" i="26"/>
  <c r="T36" i="26" s="1"/>
  <c r="F6" i="26"/>
  <c r="R36" i="26"/>
  <c r="U27" i="26"/>
  <c r="T27" i="26" s="1"/>
  <c r="P14" i="26"/>
  <c r="T14" i="26"/>
  <c r="S14" i="26"/>
  <c r="P36" i="26"/>
  <c r="F8" i="26"/>
  <c r="F22" i="26"/>
  <c r="F30" i="26"/>
  <c r="F5" i="26"/>
  <c r="Q27" i="26"/>
  <c r="L36" i="26"/>
  <c r="S27" i="26"/>
  <c r="F21" i="26"/>
  <c r="O36" i="26"/>
  <c r="F4" i="26"/>
  <c r="F10" i="26"/>
  <c r="F11" i="26"/>
  <c r="F24" i="26"/>
  <c r="AC32" i="25"/>
  <c r="AB33" i="25"/>
  <c r="AG34" i="25"/>
  <c r="AC19" i="25"/>
  <c r="AC23" i="25"/>
  <c r="AB19" i="25"/>
  <c r="AB24" i="25"/>
  <c r="AB23" i="25"/>
  <c r="AA24" i="25"/>
  <c r="AA23" i="25"/>
  <c r="AC6" i="25"/>
  <c r="AB10" i="25"/>
  <c r="Y10" i="25"/>
  <c r="U10" i="25"/>
  <c r="U14" i="25" s="1"/>
  <c r="T14" i="25" s="1"/>
  <c r="F30" i="25"/>
  <c r="AE30" i="25"/>
  <c r="F20" i="25"/>
  <c r="F19" i="25"/>
  <c r="F17" i="25"/>
  <c r="F6" i="25"/>
  <c r="AL36" i="25"/>
  <c r="AE11" i="25"/>
  <c r="AF18" i="24"/>
  <c r="O3" i="24"/>
  <c r="Z11" i="24"/>
  <c r="F18" i="24"/>
  <c r="AG3" i="24"/>
  <c r="AF8" i="24"/>
  <c r="AC11" i="25"/>
  <c r="AF18" i="25"/>
  <c r="AE19" i="25"/>
  <c r="AG21" i="25"/>
  <c r="AG32" i="25"/>
  <c r="AF3" i="25"/>
  <c r="M20" i="24"/>
  <c r="F4" i="25"/>
  <c r="AL14" i="25"/>
  <c r="Z11" i="25"/>
  <c r="AF8" i="25"/>
  <c r="AF12" i="25"/>
  <c r="AE3" i="25"/>
  <c r="F8" i="24"/>
  <c r="M12" i="24"/>
  <c r="AG30" i="25"/>
  <c r="AK27" i="25"/>
  <c r="U36" i="25"/>
  <c r="T36" i="25" s="1"/>
  <c r="AK36" i="25"/>
  <c r="AL27" i="25"/>
  <c r="U27" i="25"/>
  <c r="T27" i="25" s="1"/>
  <c r="AK14" i="25"/>
  <c r="F3" i="25"/>
  <c r="F10" i="25"/>
  <c r="F12" i="25"/>
  <c r="Q14" i="25"/>
  <c r="AB14" i="26" s="1"/>
  <c r="F7" i="25"/>
  <c r="F8" i="25"/>
  <c r="F24" i="25"/>
  <c r="F32" i="25"/>
  <c r="AB13" i="24"/>
  <c r="AA22" i="24"/>
  <c r="AB23" i="24"/>
  <c r="AG32" i="24"/>
  <c r="AG32" i="22"/>
  <c r="AG7" i="24"/>
  <c r="AE11" i="24"/>
  <c r="AF30" i="24"/>
  <c r="AG30" i="24"/>
  <c r="Z26" i="24"/>
  <c r="AC31" i="24"/>
  <c r="AG33" i="24"/>
  <c r="Z32" i="24"/>
  <c r="AC7" i="24"/>
  <c r="AA9" i="24"/>
  <c r="AB12" i="24"/>
  <c r="AC13" i="24"/>
  <c r="AB20" i="24"/>
  <c r="Z21" i="24"/>
  <c r="Z25" i="24"/>
  <c r="AA26" i="24"/>
  <c r="AK27" i="24"/>
  <c r="Z31" i="24"/>
  <c r="AB32" i="24"/>
  <c r="AA34" i="24"/>
  <c r="Z22" i="24"/>
  <c r="Y31" i="24"/>
  <c r="Y34" i="22"/>
  <c r="AC34" i="22"/>
  <c r="AA5" i="24"/>
  <c r="Y6" i="24"/>
  <c r="Y7" i="24"/>
  <c r="AA8" i="24"/>
  <c r="AB9" i="24"/>
  <c r="AB11" i="24"/>
  <c r="Y12" i="24"/>
  <c r="AC12" i="24"/>
  <c r="Z13" i="24"/>
  <c r="AB17" i="24"/>
  <c r="Y18" i="24"/>
  <c r="AC18" i="24"/>
  <c r="AB19" i="24"/>
  <c r="AC20" i="24"/>
  <c r="AB22" i="24"/>
  <c r="Y23" i="24"/>
  <c r="AC23" i="24"/>
  <c r="AA31" i="24"/>
  <c r="Y32" i="24"/>
  <c r="AC32" i="24"/>
  <c r="AB34" i="24"/>
  <c r="Y35" i="24"/>
  <c r="AC35" i="24"/>
  <c r="AG21" i="24"/>
  <c r="AB24" i="24"/>
  <c r="AF17" i="24"/>
  <c r="AB3" i="24"/>
  <c r="AB31" i="24"/>
  <c r="Y34" i="24"/>
  <c r="AF19" i="24"/>
  <c r="AL27" i="24"/>
  <c r="Y10" i="24"/>
  <c r="AB34" i="22"/>
  <c r="S14" i="24"/>
  <c r="AB5" i="24"/>
  <c r="AB6" i="24"/>
  <c r="Z7" i="24"/>
  <c r="AB8" i="24"/>
  <c r="Y9" i="24"/>
  <c r="AC9" i="24"/>
  <c r="AB10" i="24"/>
  <c r="AC11" i="24"/>
  <c r="AA13" i="24"/>
  <c r="AL14" i="24"/>
  <c r="S27" i="24"/>
  <c r="AC19" i="24"/>
  <c r="AB21" i="24"/>
  <c r="Y22" i="24"/>
  <c r="AC22" i="24"/>
  <c r="Z23" i="24"/>
  <c r="AB25" i="24"/>
  <c r="Y26" i="24"/>
  <c r="AC26" i="24"/>
  <c r="AB33" i="24"/>
  <c r="Z35" i="24"/>
  <c r="AG4" i="24"/>
  <c r="AE17" i="24"/>
  <c r="Y20" i="24"/>
  <c r="AB26" i="24"/>
  <c r="AF12" i="24"/>
  <c r="Y5" i="24"/>
  <c r="AC5" i="24"/>
  <c r="AC6" i="24"/>
  <c r="AB7" i="24"/>
  <c r="Y8" i="24"/>
  <c r="AC8" i="24"/>
  <c r="Z9" i="24"/>
  <c r="AC10" i="24"/>
  <c r="AA12" i="24"/>
  <c r="AA18" i="24"/>
  <c r="AA20" i="24"/>
  <c r="Y21" i="24"/>
  <c r="AC21" i="24"/>
  <c r="AA23" i="24"/>
  <c r="Y24" i="24"/>
  <c r="Y25" i="24"/>
  <c r="AC25" i="24"/>
  <c r="Q36" i="24"/>
  <c r="AA32" i="24"/>
  <c r="Y33" i="24"/>
  <c r="AC33" i="24"/>
  <c r="Z34" i="24"/>
  <c r="AA35" i="24"/>
  <c r="AL36" i="24"/>
  <c r="AF6" i="24"/>
  <c r="Z5" i="24"/>
  <c r="AA11" i="24"/>
  <c r="Y13" i="24"/>
  <c r="AB18" i="24"/>
  <c r="AC24" i="24"/>
  <c r="AC30" i="24"/>
  <c r="AB35" i="24"/>
  <c r="AF3" i="24"/>
  <c r="AG10" i="24"/>
  <c r="AF20" i="24"/>
  <c r="U36" i="24"/>
  <c r="T36" i="24" s="1"/>
  <c r="AB30" i="24"/>
  <c r="AK36" i="24"/>
  <c r="U27" i="24"/>
  <c r="T27" i="24" s="1"/>
  <c r="Y17" i="24"/>
  <c r="AC17" i="24"/>
  <c r="AC3" i="24"/>
  <c r="AK14" i="24"/>
  <c r="O6" i="24"/>
  <c r="F6" i="24"/>
  <c r="O36" i="24"/>
  <c r="U14" i="24"/>
  <c r="T14" i="24" s="1"/>
  <c r="K36" i="24"/>
  <c r="F7" i="24"/>
  <c r="O7" i="24"/>
  <c r="O10" i="24"/>
  <c r="Q14" i="24"/>
  <c r="O19" i="24"/>
  <c r="F21" i="24"/>
  <c r="F30" i="24"/>
  <c r="M30" i="24"/>
  <c r="S36" i="24"/>
  <c r="Q27" i="24"/>
  <c r="F3" i="24"/>
  <c r="M3" i="24"/>
  <c r="F17" i="24"/>
  <c r="M17" i="24"/>
  <c r="M33" i="24"/>
  <c r="M6" i="24"/>
  <c r="M10" i="24"/>
  <c r="M19" i="24"/>
  <c r="AC25" i="22"/>
  <c r="AG25" i="22"/>
  <c r="AB25" i="22"/>
  <c r="F26" i="21"/>
  <c r="O26" i="21"/>
  <c r="Y25" i="22"/>
  <c r="Z25" i="22"/>
  <c r="Z34" i="22"/>
  <c r="AA34" i="22"/>
  <c r="F25" i="22"/>
  <c r="O25" i="22"/>
  <c r="F12" i="22"/>
  <c r="U14" i="22"/>
  <c r="T14" i="22" s="1"/>
  <c r="AF12" i="22"/>
  <c r="AF17" i="22"/>
  <c r="S14" i="22"/>
  <c r="R14" i="22" s="1"/>
  <c r="Q14" i="22"/>
  <c r="M19" i="22"/>
  <c r="O7" i="22"/>
  <c r="F8" i="22"/>
  <c r="F11" i="22"/>
  <c r="M24" i="22"/>
  <c r="M4" i="22"/>
  <c r="F7" i="22"/>
  <c r="F13" i="22"/>
  <c r="O4" i="22"/>
  <c r="AA4" i="24" s="1"/>
  <c r="M8" i="22"/>
  <c r="O21" i="22"/>
  <c r="AA21" i="24" s="1"/>
  <c r="O17" i="22"/>
  <c r="AA17" i="24" s="1"/>
  <c r="M6" i="22"/>
  <c r="F6" i="22"/>
  <c r="F24" i="22"/>
  <c r="M17" i="22"/>
  <c r="O19" i="22"/>
  <c r="O6" i="22"/>
  <c r="F33" i="22"/>
  <c r="O33" i="22"/>
  <c r="AA33" i="24" s="1"/>
  <c r="M30" i="22"/>
  <c r="Q27" i="22"/>
  <c r="F17" i="22"/>
  <c r="F10" i="22"/>
  <c r="F3" i="22"/>
  <c r="U36" i="22"/>
  <c r="T36" i="22" s="1"/>
  <c r="Q36" i="22"/>
  <c r="U27" i="22"/>
  <c r="T27" i="22" s="1"/>
  <c r="K27" i="22"/>
  <c r="K3" i="22"/>
  <c r="O3" i="22"/>
  <c r="F4" i="22"/>
  <c r="M10" i="22"/>
  <c r="K11" i="22"/>
  <c r="Y11" i="24" s="1"/>
  <c r="M18" i="22"/>
  <c r="Z18" i="24" s="1"/>
  <c r="M20" i="22"/>
  <c r="O24" i="22"/>
  <c r="AA24" i="24" s="1"/>
  <c r="F26" i="22"/>
  <c r="K30" i="22"/>
  <c r="Y30" i="24" s="1"/>
  <c r="O30" i="22"/>
  <c r="AA30" i="24" s="1"/>
  <c r="S36" i="22"/>
  <c r="S27" i="22"/>
  <c r="F18" i="22"/>
  <c r="F19" i="22"/>
  <c r="F21" i="22"/>
  <c r="M33" i="22"/>
  <c r="F30" i="22"/>
  <c r="AE9" i="21"/>
  <c r="AF9" i="21"/>
  <c r="AG9" i="21"/>
  <c r="AH9" i="21"/>
  <c r="AI9" i="21"/>
  <c r="AE10" i="21"/>
  <c r="AF10" i="21"/>
  <c r="AG10" i="21"/>
  <c r="AH10" i="21"/>
  <c r="AI10" i="21"/>
  <c r="AL33" i="21"/>
  <c r="AK33" i="21"/>
  <c r="AL32" i="21"/>
  <c r="AK32" i="21"/>
  <c r="AL31" i="21"/>
  <c r="AK31" i="21"/>
  <c r="AL30" i="21"/>
  <c r="AK30" i="21"/>
  <c r="AL25" i="21"/>
  <c r="AK25" i="21"/>
  <c r="AL24" i="21"/>
  <c r="AK24" i="21"/>
  <c r="AL23" i="21"/>
  <c r="AK23" i="21"/>
  <c r="AL22" i="21"/>
  <c r="AK22" i="21"/>
  <c r="AL21" i="21"/>
  <c r="AK21" i="21"/>
  <c r="AL20" i="21"/>
  <c r="AK20" i="21"/>
  <c r="AL19" i="21"/>
  <c r="AK19" i="21"/>
  <c r="AL18" i="21"/>
  <c r="AK18" i="21"/>
  <c r="AL13" i="21"/>
  <c r="AK13" i="21"/>
  <c r="AL12" i="21"/>
  <c r="AK12" i="21"/>
  <c r="AL11" i="21"/>
  <c r="AK11" i="21"/>
  <c r="AL10" i="21"/>
  <c r="AK10" i="21"/>
  <c r="AL9" i="21"/>
  <c r="AK9" i="21"/>
  <c r="AL8" i="21"/>
  <c r="AK8" i="21"/>
  <c r="AL7" i="21"/>
  <c r="AK7" i="21"/>
  <c r="AL6" i="21"/>
  <c r="AK6" i="21"/>
  <c r="AL5" i="21"/>
  <c r="AK5" i="21"/>
  <c r="AL4" i="21"/>
  <c r="AK4" i="21"/>
  <c r="AL3" i="21"/>
  <c r="AK3" i="21"/>
  <c r="AI33" i="21"/>
  <c r="AH33" i="21"/>
  <c r="AE33" i="21"/>
  <c r="AI32" i="21"/>
  <c r="AH32" i="21"/>
  <c r="AG32" i="21"/>
  <c r="AF32" i="21"/>
  <c r="AE32" i="21"/>
  <c r="AI31" i="21"/>
  <c r="AH31" i="21"/>
  <c r="AG31" i="21"/>
  <c r="AF31" i="21"/>
  <c r="AE31" i="21"/>
  <c r="AI30" i="21"/>
  <c r="AH30" i="21"/>
  <c r="AI25" i="21"/>
  <c r="AH25" i="21"/>
  <c r="AE25" i="21"/>
  <c r="AI24" i="21"/>
  <c r="AH24" i="21"/>
  <c r="AG24" i="21"/>
  <c r="AF24" i="21"/>
  <c r="AE24" i="21"/>
  <c r="AI23" i="21"/>
  <c r="AH23" i="21"/>
  <c r="AG23" i="21"/>
  <c r="AF23" i="21"/>
  <c r="AE23" i="21"/>
  <c r="AI22" i="21"/>
  <c r="AH22" i="21"/>
  <c r="AF22" i="21"/>
  <c r="AE22" i="21"/>
  <c r="AI21" i="21"/>
  <c r="AH21" i="21"/>
  <c r="AG21" i="21"/>
  <c r="AE21" i="21"/>
  <c r="AI20" i="21"/>
  <c r="AH20" i="21"/>
  <c r="AF20" i="21"/>
  <c r="AE20" i="21"/>
  <c r="AI19" i="21"/>
  <c r="AH19" i="21"/>
  <c r="AG19" i="21"/>
  <c r="AE19" i="21"/>
  <c r="AI18" i="21"/>
  <c r="AH18" i="21"/>
  <c r="AI13" i="21"/>
  <c r="AH13" i="21"/>
  <c r="AG13" i="21"/>
  <c r="AE13" i="21"/>
  <c r="AI12" i="21"/>
  <c r="AH12" i="21"/>
  <c r="AG12" i="21"/>
  <c r="AF12" i="21"/>
  <c r="AI11" i="21"/>
  <c r="AH11" i="21"/>
  <c r="AE11" i="21"/>
  <c r="AI8" i="21"/>
  <c r="AH8" i="21"/>
  <c r="AG8" i="21"/>
  <c r="AE8" i="21"/>
  <c r="AI7" i="21"/>
  <c r="AH7" i="21"/>
  <c r="AF7" i="21"/>
  <c r="AE7" i="21"/>
  <c r="AI6" i="21"/>
  <c r="AH6" i="21"/>
  <c r="AF6" i="21"/>
  <c r="AE6" i="21"/>
  <c r="AI5" i="21"/>
  <c r="AH5" i="21"/>
  <c r="AG5" i="21"/>
  <c r="AF5" i="21"/>
  <c r="AE5" i="21"/>
  <c r="AI4" i="21"/>
  <c r="AH4" i="21"/>
  <c r="AG4" i="21"/>
  <c r="AE4" i="21"/>
  <c r="AI3" i="21"/>
  <c r="AH3" i="21"/>
  <c r="AL34" i="20"/>
  <c r="AL33" i="20"/>
  <c r="AL32" i="20"/>
  <c r="AL31" i="20"/>
  <c r="AL30" i="20"/>
  <c r="AL26" i="20"/>
  <c r="AL25" i="20"/>
  <c r="AL24" i="20"/>
  <c r="AL23" i="20"/>
  <c r="AL22" i="20"/>
  <c r="AL21" i="20"/>
  <c r="AL19" i="20"/>
  <c r="AL18" i="20"/>
  <c r="AL14" i="20"/>
  <c r="AL13" i="20"/>
  <c r="AL12" i="20"/>
  <c r="AL11" i="20"/>
  <c r="AL10" i="20"/>
  <c r="AL9" i="20"/>
  <c r="AL8" i="20"/>
  <c r="AL7" i="20"/>
  <c r="AL6" i="20"/>
  <c r="AL5" i="20"/>
  <c r="AL4" i="20"/>
  <c r="AL3" i="20"/>
  <c r="AK34" i="20"/>
  <c r="AK33" i="20"/>
  <c r="AK32" i="20"/>
  <c r="AK31" i="20"/>
  <c r="AK30" i="20"/>
  <c r="AK26" i="20"/>
  <c r="AK25" i="20"/>
  <c r="AK24" i="20"/>
  <c r="AK23" i="20"/>
  <c r="AK22" i="20"/>
  <c r="AK21" i="20"/>
  <c r="AK19" i="20"/>
  <c r="AK18" i="20"/>
  <c r="AK14" i="20"/>
  <c r="AK13" i="20"/>
  <c r="AK12" i="20"/>
  <c r="AK11" i="20"/>
  <c r="AK10" i="20"/>
  <c r="AK9" i="20"/>
  <c r="AK8" i="20"/>
  <c r="AK7" i="20"/>
  <c r="AK6" i="20"/>
  <c r="AK5" i="20"/>
  <c r="AK4" i="20"/>
  <c r="AK3" i="20"/>
  <c r="AI34" i="20"/>
  <c r="AH34" i="20"/>
  <c r="AG34" i="20"/>
  <c r="AF34" i="20"/>
  <c r="AE34" i="20"/>
  <c r="AI33" i="20"/>
  <c r="AH33" i="20"/>
  <c r="AF33" i="20"/>
  <c r="AE33" i="20"/>
  <c r="AI32" i="20"/>
  <c r="AH32" i="20"/>
  <c r="AF32" i="20"/>
  <c r="AE32" i="20"/>
  <c r="AI31" i="20"/>
  <c r="AH31" i="20"/>
  <c r="AG31" i="20"/>
  <c r="AF31" i="20"/>
  <c r="AE31" i="20"/>
  <c r="AI30" i="20"/>
  <c r="AH30" i="20"/>
  <c r="AI26" i="20"/>
  <c r="AH26" i="20"/>
  <c r="AF26" i="20"/>
  <c r="AE26" i="20"/>
  <c r="AI25" i="20"/>
  <c r="AH25" i="20"/>
  <c r="AE25" i="20"/>
  <c r="AI24" i="20"/>
  <c r="AH24" i="20"/>
  <c r="AG24" i="20"/>
  <c r="AF24" i="20"/>
  <c r="AE24" i="20"/>
  <c r="AI23" i="20"/>
  <c r="AH23" i="20"/>
  <c r="AG23" i="20"/>
  <c r="AF23" i="20"/>
  <c r="AE23" i="20"/>
  <c r="AI22" i="20"/>
  <c r="AH22" i="20"/>
  <c r="AF22" i="20"/>
  <c r="AE22" i="20"/>
  <c r="AI21" i="20"/>
  <c r="AH21" i="20"/>
  <c r="AG21" i="20"/>
  <c r="AE21" i="20"/>
  <c r="AI20" i="20"/>
  <c r="AH20" i="20"/>
  <c r="AF20" i="20"/>
  <c r="AE20" i="20"/>
  <c r="AI19" i="20"/>
  <c r="AH19" i="20"/>
  <c r="AE19" i="20"/>
  <c r="AI18" i="20"/>
  <c r="AH18" i="20"/>
  <c r="AI14" i="20"/>
  <c r="AH14" i="20"/>
  <c r="AG14" i="20"/>
  <c r="AF14" i="20"/>
  <c r="AE14" i="20"/>
  <c r="AI13" i="20"/>
  <c r="AH13" i="20"/>
  <c r="AG13" i="20"/>
  <c r="AE13" i="20"/>
  <c r="AI12" i="20"/>
  <c r="AH12" i="20"/>
  <c r="AG12" i="20"/>
  <c r="AF12" i="20"/>
  <c r="AI11" i="20"/>
  <c r="AH11" i="20"/>
  <c r="AE11" i="20"/>
  <c r="AI10" i="20"/>
  <c r="AH10" i="20"/>
  <c r="AG10" i="20"/>
  <c r="AE10" i="20"/>
  <c r="AI9" i="20"/>
  <c r="AH9" i="20"/>
  <c r="AG9" i="20"/>
  <c r="AF9" i="20"/>
  <c r="AE9" i="20"/>
  <c r="AI8" i="20"/>
  <c r="AH8" i="20"/>
  <c r="AG8" i="20"/>
  <c r="AE8" i="20"/>
  <c r="AI7" i="20"/>
  <c r="AH7" i="20"/>
  <c r="AF7" i="20"/>
  <c r="AE7" i="20"/>
  <c r="AI6" i="20"/>
  <c r="AH6" i="20"/>
  <c r="AF6" i="20"/>
  <c r="AE6" i="20"/>
  <c r="AI5" i="20"/>
  <c r="AH5" i="20"/>
  <c r="AF5" i="20"/>
  <c r="AE5" i="20"/>
  <c r="AI4" i="20"/>
  <c r="AH4" i="20"/>
  <c r="AE4" i="20"/>
  <c r="AI3" i="20"/>
  <c r="AH3" i="20"/>
  <c r="AA32" i="20"/>
  <c r="Z32" i="20"/>
  <c r="Y32" i="20"/>
  <c r="AC31" i="20"/>
  <c r="AB31" i="20"/>
  <c r="AA31" i="20"/>
  <c r="Z31" i="20"/>
  <c r="Y31" i="20"/>
  <c r="AC14" i="20"/>
  <c r="Z14" i="20"/>
  <c r="Y14" i="20"/>
  <c r="AA10" i="20"/>
  <c r="Z10" i="20"/>
  <c r="Y10" i="20"/>
  <c r="AA9" i="20"/>
  <c r="Z9" i="20"/>
  <c r="Y9" i="20"/>
  <c r="S10" i="21"/>
  <c r="Q10" i="21"/>
  <c r="O10" i="21"/>
  <c r="AA10" i="21" s="1"/>
  <c r="M10" i="21"/>
  <c r="Z10" i="21" s="1"/>
  <c r="K10" i="21"/>
  <c r="Y10" i="21" s="1"/>
  <c r="AC35" i="22"/>
  <c r="S33" i="21"/>
  <c r="AC33" i="22" s="1"/>
  <c r="S32" i="21"/>
  <c r="AC32" i="21" s="1"/>
  <c r="S31" i="21"/>
  <c r="S30" i="21"/>
  <c r="AC30" i="22" s="1"/>
  <c r="AB35" i="22"/>
  <c r="Q33" i="21"/>
  <c r="Q32" i="21"/>
  <c r="Q31" i="21"/>
  <c r="AB31" i="22" s="1"/>
  <c r="Q30" i="21"/>
  <c r="AA35" i="22"/>
  <c r="O33" i="21"/>
  <c r="O32" i="21"/>
  <c r="AA32" i="21" s="1"/>
  <c r="O31" i="21"/>
  <c r="AA31" i="22" s="1"/>
  <c r="Z35" i="22"/>
  <c r="M32" i="21"/>
  <c r="Z32" i="21" s="1"/>
  <c r="M31" i="21"/>
  <c r="Z31" i="22" s="1"/>
  <c r="Y35" i="22"/>
  <c r="K33" i="21"/>
  <c r="K32" i="21"/>
  <c r="Y32" i="21" s="1"/>
  <c r="K31" i="21"/>
  <c r="AC26" i="22"/>
  <c r="S25" i="21"/>
  <c r="S24" i="21"/>
  <c r="S23" i="21"/>
  <c r="AC22" i="22" s="1"/>
  <c r="S22" i="21"/>
  <c r="AC21" i="22" s="1"/>
  <c r="S21" i="21"/>
  <c r="S20" i="21"/>
  <c r="S19" i="21"/>
  <c r="AC18" i="22" s="1"/>
  <c r="S18" i="21"/>
  <c r="AC17" i="22" s="1"/>
  <c r="Q25" i="21"/>
  <c r="Q24" i="21"/>
  <c r="AB23" i="22" s="1"/>
  <c r="Q23" i="21"/>
  <c r="AB22" i="22" s="1"/>
  <c r="Q22" i="21"/>
  <c r="Q21" i="21"/>
  <c r="Q20" i="21"/>
  <c r="AB19" i="22" s="1"/>
  <c r="Q19" i="21"/>
  <c r="AB18" i="22" s="1"/>
  <c r="Q18" i="21"/>
  <c r="O24" i="21"/>
  <c r="AA23" i="22" s="1"/>
  <c r="O23" i="21"/>
  <c r="O21" i="21"/>
  <c r="AA20" i="22" s="1"/>
  <c r="O19" i="21"/>
  <c r="Z26" i="22"/>
  <c r="M24" i="21"/>
  <c r="M23" i="21"/>
  <c r="M22" i="21"/>
  <c r="Z21" i="22" s="1"/>
  <c r="M20" i="21"/>
  <c r="M18" i="21"/>
  <c r="Y26" i="22"/>
  <c r="K25" i="21"/>
  <c r="K24" i="21"/>
  <c r="K23" i="21"/>
  <c r="Y22" i="22" s="1"/>
  <c r="K22" i="21"/>
  <c r="Y21" i="22" s="1"/>
  <c r="K21" i="21"/>
  <c r="Y20" i="22" s="1"/>
  <c r="K20" i="21"/>
  <c r="K19" i="21"/>
  <c r="Y18" i="22" s="1"/>
  <c r="U13" i="21"/>
  <c r="U12" i="21"/>
  <c r="U11" i="21"/>
  <c r="U10" i="21"/>
  <c r="U9" i="21"/>
  <c r="U8" i="21"/>
  <c r="U7" i="21"/>
  <c r="U6" i="21"/>
  <c r="U5" i="21"/>
  <c r="U4" i="21"/>
  <c r="U3" i="21"/>
  <c r="S13" i="21"/>
  <c r="AC13" i="22" s="1"/>
  <c r="S12" i="21"/>
  <c r="S11" i="21"/>
  <c r="AC10" i="22" s="1"/>
  <c r="S9" i="21"/>
  <c r="AC9" i="22" s="1"/>
  <c r="S8" i="21"/>
  <c r="AC8" i="22" s="1"/>
  <c r="S7" i="21"/>
  <c r="AC7" i="22" s="1"/>
  <c r="S6" i="21"/>
  <c r="S5" i="21"/>
  <c r="AC5" i="22" s="1"/>
  <c r="S4" i="21"/>
  <c r="AC4" i="22" s="1"/>
  <c r="S3" i="21"/>
  <c r="AC3" i="22" s="1"/>
  <c r="Q13" i="21"/>
  <c r="AB13" i="22" s="1"/>
  <c r="Q12" i="21"/>
  <c r="AB12" i="22" s="1"/>
  <c r="Q11" i="21"/>
  <c r="AB10" i="22" s="1"/>
  <c r="Q9" i="21"/>
  <c r="AB9" i="22" s="1"/>
  <c r="Q8" i="21"/>
  <c r="AB8" i="22" s="1"/>
  <c r="Q7" i="21"/>
  <c r="Q6" i="21"/>
  <c r="Q5" i="21"/>
  <c r="AB5" i="22" s="1"/>
  <c r="Q4" i="21"/>
  <c r="AB4" i="22" s="1"/>
  <c r="Q3" i="21"/>
  <c r="O13" i="21"/>
  <c r="O12" i="21"/>
  <c r="AA11" i="22" s="1"/>
  <c r="O9" i="21"/>
  <c r="O8" i="21"/>
  <c r="AA8" i="22" s="1"/>
  <c r="O5" i="21"/>
  <c r="AA5" i="22" s="1"/>
  <c r="O4" i="21"/>
  <c r="M12" i="21"/>
  <c r="M9" i="21"/>
  <c r="M7" i="21"/>
  <c r="Z7" i="22" s="1"/>
  <c r="M6" i="21"/>
  <c r="M5" i="21"/>
  <c r="K13" i="21"/>
  <c r="Y13" i="22" s="1"/>
  <c r="K11" i="21"/>
  <c r="K9" i="21"/>
  <c r="Y9" i="21" s="1"/>
  <c r="K8" i="21"/>
  <c r="Y8" i="22" s="1"/>
  <c r="K7" i="21"/>
  <c r="Y7" i="22" s="1"/>
  <c r="K6" i="21"/>
  <c r="Y6" i="22" s="1"/>
  <c r="K5" i="21"/>
  <c r="Y5" i="22" s="1"/>
  <c r="K4" i="21"/>
  <c r="Y4" i="22" s="1"/>
  <c r="L13" i="21"/>
  <c r="AF13" i="22" s="1"/>
  <c r="L13" i="20"/>
  <c r="AF14" i="21" s="1"/>
  <c r="L33" i="21"/>
  <c r="AF33" i="21" s="1"/>
  <c r="T30" i="21"/>
  <c r="U30" i="21" s="1"/>
  <c r="L30" i="21"/>
  <c r="AF30" i="22" s="1"/>
  <c r="N30" i="21"/>
  <c r="O30" i="21" s="1"/>
  <c r="J30" i="21"/>
  <c r="K30" i="21" s="1"/>
  <c r="N25" i="21"/>
  <c r="AG24" i="22" s="1"/>
  <c r="L25" i="21"/>
  <c r="N22" i="21"/>
  <c r="O22" i="21" s="1"/>
  <c r="L21" i="21"/>
  <c r="N20" i="21"/>
  <c r="O20" i="21" s="1"/>
  <c r="L19" i="21"/>
  <c r="AF18" i="22" s="1"/>
  <c r="J18" i="21"/>
  <c r="N18" i="21"/>
  <c r="AG17" i="22" s="1"/>
  <c r="J12" i="21"/>
  <c r="N11" i="21"/>
  <c r="AG10" i="22" s="1"/>
  <c r="L11" i="21"/>
  <c r="L8" i="21"/>
  <c r="N7" i="21"/>
  <c r="AG7" i="22" s="1"/>
  <c r="N6" i="21"/>
  <c r="AG6" i="22" s="1"/>
  <c r="L4" i="21"/>
  <c r="M4" i="21" s="1"/>
  <c r="N3" i="21"/>
  <c r="L3" i="21"/>
  <c r="AF3" i="22" s="1"/>
  <c r="J3" i="21"/>
  <c r="AE3" i="22" s="1"/>
  <c r="I35" i="21"/>
  <c r="AL36" i="22" s="1"/>
  <c r="U33" i="21"/>
  <c r="U32" i="21"/>
  <c r="F32" i="21"/>
  <c r="F31" i="21"/>
  <c r="I27" i="21"/>
  <c r="U25" i="21"/>
  <c r="U24" i="21"/>
  <c r="F24" i="21"/>
  <c r="U23" i="21"/>
  <c r="F23" i="21"/>
  <c r="U22" i="21"/>
  <c r="U21" i="21"/>
  <c r="U20" i="21"/>
  <c r="U19" i="21"/>
  <c r="U18" i="21"/>
  <c r="I15" i="21"/>
  <c r="AL14" i="22" s="1"/>
  <c r="F10" i="21"/>
  <c r="F9" i="21"/>
  <c r="F5" i="21"/>
  <c r="N33" i="20"/>
  <c r="L30" i="20"/>
  <c r="M30" i="20" s="1"/>
  <c r="Z30" i="20" s="1"/>
  <c r="N30" i="20"/>
  <c r="J30" i="20"/>
  <c r="K30" i="20" s="1"/>
  <c r="Y30" i="20" s="1"/>
  <c r="U34" i="20"/>
  <c r="U33" i="20"/>
  <c r="S34" i="20"/>
  <c r="S33" i="20"/>
  <c r="AC34" i="21" s="1"/>
  <c r="S30" i="20"/>
  <c r="Q34" i="20"/>
  <c r="Q33" i="20"/>
  <c r="AB34" i="21" s="1"/>
  <c r="Q30" i="20"/>
  <c r="O34" i="20"/>
  <c r="AA34" i="20" s="1"/>
  <c r="M34" i="20"/>
  <c r="Z34" i="20" s="1"/>
  <c r="M33" i="20"/>
  <c r="Z33" i="20" s="1"/>
  <c r="K34" i="20"/>
  <c r="Y34" i="20" s="1"/>
  <c r="K33" i="20"/>
  <c r="Y34" i="21" s="1"/>
  <c r="S26" i="20"/>
  <c r="S25" i="20"/>
  <c r="AC26" i="21" s="1"/>
  <c r="S24" i="20"/>
  <c r="S23" i="20"/>
  <c r="S22" i="20"/>
  <c r="S21" i="20"/>
  <c r="S20" i="20"/>
  <c r="S19" i="20"/>
  <c r="S18" i="20"/>
  <c r="Q26" i="20"/>
  <c r="Q25" i="20"/>
  <c r="AB26" i="21" s="1"/>
  <c r="Q24" i="20"/>
  <c r="Q23" i="20"/>
  <c r="Q22" i="20"/>
  <c r="Q21" i="20"/>
  <c r="Q20" i="20"/>
  <c r="Q19" i="20"/>
  <c r="Q18" i="20"/>
  <c r="O24" i="20"/>
  <c r="AA24" i="20" s="1"/>
  <c r="O23" i="20"/>
  <c r="AA23" i="20" s="1"/>
  <c r="O21" i="20"/>
  <c r="AA21" i="20" s="1"/>
  <c r="O19" i="20"/>
  <c r="AA19" i="20" s="1"/>
  <c r="M26" i="20"/>
  <c r="Z26" i="20" s="1"/>
  <c r="M24" i="20"/>
  <c r="Z24" i="20" s="1"/>
  <c r="M23" i="20"/>
  <c r="Z23" i="20" s="1"/>
  <c r="M22" i="20"/>
  <c r="Z22" i="20" s="1"/>
  <c r="M20" i="20"/>
  <c r="Z20" i="20" s="1"/>
  <c r="K26" i="20"/>
  <c r="Y26" i="20" s="1"/>
  <c r="K25" i="20"/>
  <c r="Y25" i="20" s="1"/>
  <c r="K24" i="20"/>
  <c r="Y24" i="20" s="1"/>
  <c r="K23" i="20"/>
  <c r="Y23" i="20" s="1"/>
  <c r="K22" i="20"/>
  <c r="Y22" i="20" s="1"/>
  <c r="K21" i="20"/>
  <c r="Y21" i="20" s="1"/>
  <c r="K20" i="20"/>
  <c r="Y20" i="20" s="1"/>
  <c r="K19" i="20"/>
  <c r="Y19" i="20" s="1"/>
  <c r="N26" i="20"/>
  <c r="N25" i="20"/>
  <c r="AG26" i="21" s="1"/>
  <c r="L25" i="20"/>
  <c r="N22" i="20"/>
  <c r="AA27" i="28" l="1"/>
  <c r="AF36" i="32"/>
  <c r="AB27" i="26"/>
  <c r="N27" i="27"/>
  <c r="AG27" i="28" s="1"/>
  <c r="J14" i="29"/>
  <c r="AE14" i="29" s="1"/>
  <c r="Y19" i="25"/>
  <c r="AC27" i="26"/>
  <c r="AA21" i="25"/>
  <c r="K14" i="24"/>
  <c r="J14" i="24" s="1"/>
  <c r="Y3" i="24"/>
  <c r="K27" i="24"/>
  <c r="J27" i="24" s="1"/>
  <c r="AE27" i="25" s="1"/>
  <c r="Y36" i="29"/>
  <c r="AH14" i="29"/>
  <c r="AI36" i="31"/>
  <c r="R36" i="25"/>
  <c r="AI36" i="26" s="1"/>
  <c r="AF36" i="31"/>
  <c r="Z20" i="24"/>
  <c r="AI27" i="29"/>
  <c r="AI14" i="31"/>
  <c r="AG36" i="32"/>
  <c r="AG27" i="32"/>
  <c r="AA25" i="25"/>
  <c r="AH36" i="32"/>
  <c r="Y36" i="28"/>
  <c r="Y14" i="31"/>
  <c r="AH36" i="27"/>
  <c r="AG14" i="28"/>
  <c r="AE27" i="28"/>
  <c r="AG36" i="31"/>
  <c r="AH14" i="27"/>
  <c r="AA18" i="25"/>
  <c r="AA18" i="26"/>
  <c r="Y11" i="25"/>
  <c r="Y11" i="26"/>
  <c r="AH14" i="32"/>
  <c r="AH14" i="33"/>
  <c r="K14" i="25"/>
  <c r="J14" i="25" s="1"/>
  <c r="Z3" i="26"/>
  <c r="Z3" i="27"/>
  <c r="AG27" i="29"/>
  <c r="AG27" i="33"/>
  <c r="AA36" i="27"/>
  <c r="AH36" i="28"/>
  <c r="J36" i="27"/>
  <c r="F36" i="27" s="1"/>
  <c r="AA6" i="26"/>
  <c r="AA6" i="27"/>
  <c r="Z25" i="25"/>
  <c r="Z25" i="26"/>
  <c r="AA17" i="26"/>
  <c r="AA17" i="27"/>
  <c r="O27" i="26"/>
  <c r="N27" i="26" s="1"/>
  <c r="AA33" i="25"/>
  <c r="AA33" i="26"/>
  <c r="AI27" i="31"/>
  <c r="AA7" i="26"/>
  <c r="AA7" i="27"/>
  <c r="AI36" i="28"/>
  <c r="AE27" i="31"/>
  <c r="AF14" i="31"/>
  <c r="AE27" i="32"/>
  <c r="Y36" i="31"/>
  <c r="AH36" i="29"/>
  <c r="O14" i="25"/>
  <c r="N14" i="25" s="1"/>
  <c r="AC14" i="26"/>
  <c r="Y17" i="26"/>
  <c r="Y17" i="27"/>
  <c r="AA5" i="26"/>
  <c r="AA5" i="27"/>
  <c r="Z24" i="25"/>
  <c r="Z24" i="26"/>
  <c r="AE27" i="29"/>
  <c r="AF27" i="31"/>
  <c r="AE14" i="33"/>
  <c r="AF36" i="27"/>
  <c r="Y6" i="26"/>
  <c r="Y6" i="27"/>
  <c r="AF27" i="32"/>
  <c r="AE27" i="33"/>
  <c r="Y3" i="27"/>
  <c r="AB36" i="26"/>
  <c r="AC14" i="27"/>
  <c r="AI14" i="32"/>
  <c r="Z18" i="25"/>
  <c r="Z18" i="26"/>
  <c r="AA34" i="25"/>
  <c r="AA34" i="26"/>
  <c r="AH14" i="28"/>
  <c r="AI36" i="29"/>
  <c r="AG14" i="32"/>
  <c r="AI36" i="32"/>
  <c r="AH27" i="28"/>
  <c r="AG36" i="33"/>
  <c r="AH36" i="31"/>
  <c r="AC27" i="27"/>
  <c r="O36" i="25"/>
  <c r="AA36" i="26" s="1"/>
  <c r="AI36" i="27"/>
  <c r="Y30" i="25"/>
  <c r="Y30" i="26"/>
  <c r="J14" i="27"/>
  <c r="AE14" i="28" s="1"/>
  <c r="AA22" i="25"/>
  <c r="AA22" i="26"/>
  <c r="AE36" i="32"/>
  <c r="AH14" i="31"/>
  <c r="AF14" i="32"/>
  <c r="AI14" i="33"/>
  <c r="AF36" i="33"/>
  <c r="AA3" i="26"/>
  <c r="AA3" i="27"/>
  <c r="Y17" i="25"/>
  <c r="Z17" i="26"/>
  <c r="Z17" i="27"/>
  <c r="AG36" i="29"/>
  <c r="AG27" i="31"/>
  <c r="AI27" i="32"/>
  <c r="AB27" i="27"/>
  <c r="Y14" i="32"/>
  <c r="AH27" i="31"/>
  <c r="AH27" i="32"/>
  <c r="Z6" i="26"/>
  <c r="Z6" i="27"/>
  <c r="AF36" i="28"/>
  <c r="AC36" i="25"/>
  <c r="P36" i="24"/>
  <c r="AH36" i="25" s="1"/>
  <c r="Z17" i="25"/>
  <c r="O27" i="25"/>
  <c r="N27" i="25" s="1"/>
  <c r="AA17" i="25"/>
  <c r="R14" i="24"/>
  <c r="AI14" i="24" s="1"/>
  <c r="F36" i="32"/>
  <c r="F14" i="32"/>
  <c r="F27" i="32"/>
  <c r="F27" i="31"/>
  <c r="J14" i="31"/>
  <c r="F36" i="31"/>
  <c r="J36" i="29"/>
  <c r="F14" i="28"/>
  <c r="J36" i="28"/>
  <c r="F27" i="28"/>
  <c r="Z33" i="25"/>
  <c r="R27" i="24"/>
  <c r="AI27" i="25" s="1"/>
  <c r="AA3" i="25"/>
  <c r="Z8" i="25"/>
  <c r="Z19" i="25"/>
  <c r="Z20" i="25"/>
  <c r="Z4" i="25"/>
  <c r="AA3" i="24"/>
  <c r="AA7" i="25"/>
  <c r="Z12" i="25"/>
  <c r="K27" i="26"/>
  <c r="Z8" i="24"/>
  <c r="Z4" i="24"/>
  <c r="AA25" i="22"/>
  <c r="Z10" i="25"/>
  <c r="AA19" i="25"/>
  <c r="Z24" i="24"/>
  <c r="Z6" i="25"/>
  <c r="Z30" i="25"/>
  <c r="Y36" i="25"/>
  <c r="AA6" i="25"/>
  <c r="Z12" i="24"/>
  <c r="AB27" i="25"/>
  <c r="AH36" i="26"/>
  <c r="M27" i="26"/>
  <c r="N36" i="26"/>
  <c r="AG36" i="27" s="1"/>
  <c r="R27" i="26"/>
  <c r="P27" i="26"/>
  <c r="AH27" i="26" s="1"/>
  <c r="R14" i="26"/>
  <c r="AI14" i="26" s="1"/>
  <c r="M14" i="26"/>
  <c r="O14" i="26"/>
  <c r="K14" i="26"/>
  <c r="K36" i="26"/>
  <c r="Y36" i="26" s="1"/>
  <c r="Z3" i="24"/>
  <c r="Z3" i="25"/>
  <c r="AB36" i="25"/>
  <c r="AA10" i="24"/>
  <c r="AA10" i="25"/>
  <c r="AB14" i="25"/>
  <c r="Y27" i="25"/>
  <c r="AC27" i="25"/>
  <c r="AC14" i="25"/>
  <c r="M14" i="25"/>
  <c r="M27" i="25"/>
  <c r="P14" i="25"/>
  <c r="AH14" i="26" s="1"/>
  <c r="M36" i="25"/>
  <c r="Z36" i="26" s="1"/>
  <c r="Y26" i="21"/>
  <c r="O25" i="20"/>
  <c r="AA25" i="20" s="1"/>
  <c r="F13" i="21"/>
  <c r="Y25" i="21"/>
  <c r="AA19" i="21"/>
  <c r="AB18" i="21"/>
  <c r="AB22" i="21"/>
  <c r="Z34" i="21"/>
  <c r="AA25" i="24"/>
  <c r="AB14" i="24"/>
  <c r="O30" i="20"/>
  <c r="AA30" i="20" s="1"/>
  <c r="AF26" i="21"/>
  <c r="M25" i="20"/>
  <c r="F3" i="21"/>
  <c r="Y30" i="21"/>
  <c r="Z30" i="24"/>
  <c r="O22" i="20"/>
  <c r="AA22" i="20" s="1"/>
  <c r="O26" i="20"/>
  <c r="AA26" i="20" s="1"/>
  <c r="AA30" i="21"/>
  <c r="Z24" i="21"/>
  <c r="AA23" i="21"/>
  <c r="AC20" i="21"/>
  <c r="Z19" i="24"/>
  <c r="Z33" i="24"/>
  <c r="AA6" i="24"/>
  <c r="AC14" i="24"/>
  <c r="O33" i="20"/>
  <c r="AG34" i="21"/>
  <c r="AF25" i="21"/>
  <c r="Y20" i="21"/>
  <c r="Y24" i="21"/>
  <c r="Z20" i="21"/>
  <c r="AB21" i="21"/>
  <c r="AB25" i="21"/>
  <c r="AC21" i="21"/>
  <c r="AC25" i="21"/>
  <c r="Y33" i="21"/>
  <c r="AB33" i="21"/>
  <c r="Y33" i="20"/>
  <c r="Z10" i="24"/>
  <c r="Z17" i="24"/>
  <c r="AB27" i="24"/>
  <c r="AA7" i="24"/>
  <c r="AB36" i="24"/>
  <c r="AB30" i="21"/>
  <c r="AG33" i="21"/>
  <c r="Z6" i="24"/>
  <c r="AC36" i="24"/>
  <c r="AA19" i="24"/>
  <c r="Y27" i="24"/>
  <c r="AC27" i="24"/>
  <c r="O14" i="24"/>
  <c r="P14" i="24"/>
  <c r="M27" i="24"/>
  <c r="N36" i="24"/>
  <c r="M14" i="24"/>
  <c r="P27" i="24"/>
  <c r="AH27" i="25" s="1"/>
  <c r="J36" i="24"/>
  <c r="AE36" i="25" s="1"/>
  <c r="O27" i="24"/>
  <c r="M36" i="24"/>
  <c r="R36" i="24"/>
  <c r="AA12" i="22"/>
  <c r="F19" i="21"/>
  <c r="F12" i="21"/>
  <c r="AE12" i="22"/>
  <c r="AE11" i="22"/>
  <c r="F20" i="21"/>
  <c r="F25" i="21"/>
  <c r="F33" i="21"/>
  <c r="F4" i="21"/>
  <c r="K3" i="21"/>
  <c r="K12" i="21"/>
  <c r="Y11" i="22" s="1"/>
  <c r="AC12" i="22"/>
  <c r="M33" i="21"/>
  <c r="Z33" i="21" s="1"/>
  <c r="Z12" i="22"/>
  <c r="M19" i="21"/>
  <c r="M14" i="22"/>
  <c r="L14" i="22" s="1"/>
  <c r="AB19" i="21"/>
  <c r="AL27" i="22"/>
  <c r="AB23" i="21"/>
  <c r="AB33" i="22"/>
  <c r="O25" i="21"/>
  <c r="AC30" i="21"/>
  <c r="AC32" i="22"/>
  <c r="AA13" i="22"/>
  <c r="AG22" i="21"/>
  <c r="AF30" i="21"/>
  <c r="O11" i="21"/>
  <c r="AA10" i="22" s="1"/>
  <c r="M25" i="21"/>
  <c r="M30" i="21"/>
  <c r="Z30" i="21" s="1"/>
  <c r="AF13" i="21"/>
  <c r="AG30" i="21"/>
  <c r="AB20" i="21"/>
  <c r="AC23" i="21"/>
  <c r="AA31" i="21"/>
  <c r="Y33" i="22"/>
  <c r="Y32" i="22"/>
  <c r="Z11" i="22"/>
  <c r="AA18" i="22"/>
  <c r="M13" i="21"/>
  <c r="O6" i="21"/>
  <c r="AA6" i="22" s="1"/>
  <c r="AC18" i="21"/>
  <c r="Y22" i="21"/>
  <c r="AA24" i="21"/>
  <c r="AK27" i="22"/>
  <c r="AB30" i="22"/>
  <c r="AA22" i="22"/>
  <c r="Y24" i="22"/>
  <c r="AC6" i="22"/>
  <c r="AG30" i="22"/>
  <c r="Y10" i="22"/>
  <c r="AG3" i="22"/>
  <c r="Y19" i="22"/>
  <c r="M3" i="21"/>
  <c r="Y19" i="21"/>
  <c r="AC22" i="21"/>
  <c r="Z19" i="22"/>
  <c r="AB26" i="22"/>
  <c r="Y9" i="22"/>
  <c r="AF24" i="22"/>
  <c r="AB21" i="22"/>
  <c r="Z32" i="22"/>
  <c r="F21" i="21"/>
  <c r="M21" i="21"/>
  <c r="AF20" i="22"/>
  <c r="Z22" i="22"/>
  <c r="Z23" i="21"/>
  <c r="AK36" i="22"/>
  <c r="AG26" i="22"/>
  <c r="AF8" i="22"/>
  <c r="AB20" i="22"/>
  <c r="AF4" i="22"/>
  <c r="AF11" i="21"/>
  <c r="M11" i="21"/>
  <c r="AE17" i="22"/>
  <c r="K18" i="21"/>
  <c r="K27" i="21" s="1"/>
  <c r="AG21" i="22"/>
  <c r="F22" i="21"/>
  <c r="AE30" i="21"/>
  <c r="AE30" i="22"/>
  <c r="Z5" i="22"/>
  <c r="Z9" i="21"/>
  <c r="Z9" i="22"/>
  <c r="AA9" i="21"/>
  <c r="AA9" i="22"/>
  <c r="AB6" i="22"/>
  <c r="AC19" i="21"/>
  <c r="AA21" i="21"/>
  <c r="Y23" i="21"/>
  <c r="AB24" i="21"/>
  <c r="AB31" i="21"/>
  <c r="Y23" i="22"/>
  <c r="AF10" i="22"/>
  <c r="AB7" i="22"/>
  <c r="AC11" i="22"/>
  <c r="AC23" i="22"/>
  <c r="AC24" i="21"/>
  <c r="Y31" i="22"/>
  <c r="Y31" i="21"/>
  <c r="Z22" i="21"/>
  <c r="M8" i="21"/>
  <c r="O18" i="21"/>
  <c r="AB3" i="22"/>
  <c r="AB11" i="22"/>
  <c r="AB32" i="21"/>
  <c r="AB32" i="22"/>
  <c r="AC31" i="22"/>
  <c r="AC31" i="21"/>
  <c r="AF33" i="22"/>
  <c r="AA32" i="22"/>
  <c r="AB24" i="22"/>
  <c r="AC19" i="22"/>
  <c r="F7" i="21"/>
  <c r="O3" i="21"/>
  <c r="O7" i="21"/>
  <c r="AC24" i="22"/>
  <c r="AG19" i="22"/>
  <c r="Z23" i="22"/>
  <c r="AC20" i="22"/>
  <c r="AB17" i="22"/>
  <c r="F30" i="21"/>
  <c r="AG25" i="21"/>
  <c r="Y21" i="21"/>
  <c r="Z31" i="21"/>
  <c r="AC33" i="21"/>
  <c r="AK14" i="22"/>
  <c r="P14" i="22"/>
  <c r="O14" i="22"/>
  <c r="K14" i="22"/>
  <c r="AA30" i="22"/>
  <c r="AA33" i="22"/>
  <c r="Z4" i="22"/>
  <c r="Y30" i="22"/>
  <c r="AA19" i="22"/>
  <c r="Z6" i="22"/>
  <c r="AA4" i="22"/>
  <c r="AA21" i="22"/>
  <c r="Z17" i="22"/>
  <c r="M27" i="22"/>
  <c r="P27" i="22"/>
  <c r="P36" i="22"/>
  <c r="M36" i="22"/>
  <c r="R36" i="22"/>
  <c r="J27" i="22"/>
  <c r="R27" i="22"/>
  <c r="O36" i="22"/>
  <c r="AA36" i="24" s="1"/>
  <c r="K36" i="22"/>
  <c r="Y36" i="24" s="1"/>
  <c r="O27" i="22"/>
  <c r="Q35" i="21"/>
  <c r="P35" i="21" s="1"/>
  <c r="U15" i="21"/>
  <c r="T15" i="21" s="1"/>
  <c r="U35" i="21"/>
  <c r="T35" i="21" s="1"/>
  <c r="F11" i="21"/>
  <c r="Q27" i="21"/>
  <c r="F18" i="21"/>
  <c r="U27" i="21"/>
  <c r="T27" i="21" s="1"/>
  <c r="S15" i="21"/>
  <c r="AC14" i="22" s="1"/>
  <c r="F8" i="21"/>
  <c r="Q15" i="21"/>
  <c r="AB14" i="22" s="1"/>
  <c r="S35" i="21"/>
  <c r="AC36" i="22" s="1"/>
  <c r="S27" i="21"/>
  <c r="F6" i="21"/>
  <c r="L21" i="20"/>
  <c r="AF21" i="21" s="1"/>
  <c r="N20" i="20"/>
  <c r="AG20" i="21" s="1"/>
  <c r="L19" i="20"/>
  <c r="F19" i="20" s="1"/>
  <c r="L18" i="20"/>
  <c r="J18" i="20"/>
  <c r="AE18" i="21" s="1"/>
  <c r="N18" i="20"/>
  <c r="AG18" i="21" s="1"/>
  <c r="S13" i="20"/>
  <c r="AC13" i="21" s="1"/>
  <c r="S12" i="20"/>
  <c r="S11" i="20"/>
  <c r="AC11" i="21" s="1"/>
  <c r="S10" i="20"/>
  <c r="S9" i="20"/>
  <c r="S8" i="20"/>
  <c r="S7" i="20"/>
  <c r="S6" i="20"/>
  <c r="S5" i="20"/>
  <c r="S4" i="20"/>
  <c r="S3" i="20"/>
  <c r="AC3" i="21" s="1"/>
  <c r="Q13" i="20"/>
  <c r="AB13" i="21" s="1"/>
  <c r="Q12" i="20"/>
  <c r="Q11" i="20"/>
  <c r="Q10" i="20"/>
  <c r="Q9" i="20"/>
  <c r="Q8" i="20"/>
  <c r="Q7" i="20"/>
  <c r="Q6" i="20"/>
  <c r="AB6" i="21" s="1"/>
  <c r="Q5" i="20"/>
  <c r="AB5" i="21" s="1"/>
  <c r="Q4" i="20"/>
  <c r="Q3" i="20"/>
  <c r="O14" i="20"/>
  <c r="O13" i="20"/>
  <c r="O12" i="20"/>
  <c r="AA12" i="20" s="1"/>
  <c r="O8" i="20"/>
  <c r="AA8" i="20" s="1"/>
  <c r="O5" i="20"/>
  <c r="AA5" i="20" s="1"/>
  <c r="O4" i="20"/>
  <c r="AA4" i="20" s="1"/>
  <c r="M13" i="20"/>
  <c r="M12" i="20"/>
  <c r="Z12" i="20" s="1"/>
  <c r="M11" i="20"/>
  <c r="Z11" i="20" s="1"/>
  <c r="M7" i="20"/>
  <c r="Z7" i="20" s="1"/>
  <c r="M6" i="20"/>
  <c r="Z6" i="20" s="1"/>
  <c r="M5" i="20"/>
  <c r="Z5" i="20" s="1"/>
  <c r="K13" i="20"/>
  <c r="K11" i="20"/>
  <c r="Y11" i="20" s="1"/>
  <c r="K8" i="20"/>
  <c r="Y8" i="20" s="1"/>
  <c r="K7" i="20"/>
  <c r="Y7" i="20" s="1"/>
  <c r="K6" i="20"/>
  <c r="Y6" i="20" s="1"/>
  <c r="K5" i="20"/>
  <c r="Y5" i="20" s="1"/>
  <c r="K4" i="20"/>
  <c r="Y4" i="20" s="1"/>
  <c r="L3" i="20"/>
  <c r="AF3" i="21" s="1"/>
  <c r="N3" i="20"/>
  <c r="AG3" i="21" s="1"/>
  <c r="U3" i="20"/>
  <c r="L4" i="20"/>
  <c r="U4" i="20"/>
  <c r="U5" i="20"/>
  <c r="N6" i="20"/>
  <c r="U6" i="20"/>
  <c r="N7" i="20"/>
  <c r="AG7" i="21" s="1"/>
  <c r="U7" i="20"/>
  <c r="L8" i="20"/>
  <c r="U8" i="20"/>
  <c r="U9" i="20"/>
  <c r="U10" i="20"/>
  <c r="N11" i="20"/>
  <c r="O11" i="20" s="1"/>
  <c r="U11" i="20"/>
  <c r="U12" i="20"/>
  <c r="U13" i="20"/>
  <c r="J12" i="20"/>
  <c r="K12" i="20" s="1"/>
  <c r="Y12" i="20" s="1"/>
  <c r="J3" i="20"/>
  <c r="I35" i="20"/>
  <c r="F34" i="20"/>
  <c r="F33" i="20"/>
  <c r="U32" i="20"/>
  <c r="F32" i="20"/>
  <c r="F31" i="20"/>
  <c r="U30" i="20"/>
  <c r="S35" i="20"/>
  <c r="Q35" i="20"/>
  <c r="K35" i="20"/>
  <c r="F30" i="20"/>
  <c r="U26" i="20"/>
  <c r="U25" i="20"/>
  <c r="F25" i="20"/>
  <c r="U24" i="20"/>
  <c r="F24" i="20"/>
  <c r="U23" i="20"/>
  <c r="F23" i="20"/>
  <c r="U22" i="20"/>
  <c r="F22" i="20"/>
  <c r="U21" i="20"/>
  <c r="I27" i="20"/>
  <c r="U19" i="20"/>
  <c r="U18" i="20"/>
  <c r="S27" i="20"/>
  <c r="Q27" i="20"/>
  <c r="I15" i="20"/>
  <c r="F14" i="20"/>
  <c r="F10" i="20"/>
  <c r="F9" i="20"/>
  <c r="N33" i="19"/>
  <c r="AG33" i="20" s="1"/>
  <c r="S26" i="19"/>
  <c r="N26" i="19"/>
  <c r="AG26" i="20" s="1"/>
  <c r="AI36" i="25" l="1"/>
  <c r="F14" i="29"/>
  <c r="AE14" i="31"/>
  <c r="Y14" i="24"/>
  <c r="AE27" i="24"/>
  <c r="AI14" i="25"/>
  <c r="AA36" i="25"/>
  <c r="AG27" i="26"/>
  <c r="Y36" i="27"/>
  <c r="AI27" i="24"/>
  <c r="N36" i="25"/>
  <c r="AG36" i="26" s="1"/>
  <c r="AE14" i="25"/>
  <c r="Y14" i="25"/>
  <c r="AE36" i="28"/>
  <c r="AA14" i="26"/>
  <c r="AA14" i="27"/>
  <c r="Z14" i="26"/>
  <c r="Z14" i="27"/>
  <c r="AI14" i="27"/>
  <c r="AH27" i="27"/>
  <c r="AE36" i="29"/>
  <c r="AE36" i="31"/>
  <c r="AI27" i="26"/>
  <c r="AI27" i="27"/>
  <c r="Y27" i="26"/>
  <c r="Y27" i="27"/>
  <c r="AE14" i="32"/>
  <c r="Y14" i="26"/>
  <c r="Z27" i="26"/>
  <c r="Z27" i="27"/>
  <c r="AG27" i="27"/>
  <c r="Y14" i="27"/>
  <c r="AA27" i="26"/>
  <c r="AA27" i="27"/>
  <c r="AH36" i="24"/>
  <c r="F14" i="31"/>
  <c r="F36" i="29"/>
  <c r="F36" i="28"/>
  <c r="J27" i="26"/>
  <c r="AA27" i="25"/>
  <c r="F27" i="27"/>
  <c r="F14" i="27"/>
  <c r="N14" i="26"/>
  <c r="J36" i="26"/>
  <c r="AE36" i="26" s="1"/>
  <c r="L14" i="26"/>
  <c r="J14" i="26"/>
  <c r="AE14" i="26" s="1"/>
  <c r="L27" i="26"/>
  <c r="AF27" i="27" s="1"/>
  <c r="AA25" i="21"/>
  <c r="AA26" i="21"/>
  <c r="Z36" i="25"/>
  <c r="Z27" i="25"/>
  <c r="N14" i="24"/>
  <c r="AA14" i="25"/>
  <c r="Z14" i="25"/>
  <c r="AH14" i="25"/>
  <c r="L27" i="25"/>
  <c r="L36" i="25"/>
  <c r="L14" i="25"/>
  <c r="O35" i="20"/>
  <c r="N35" i="20" s="1"/>
  <c r="Z33" i="22"/>
  <c r="F20" i="20"/>
  <c r="F18" i="20"/>
  <c r="F21" i="20"/>
  <c r="Z25" i="21"/>
  <c r="AA11" i="20"/>
  <c r="AA11" i="21"/>
  <c r="K3" i="20"/>
  <c r="Y3" i="20" s="1"/>
  <c r="Y14" i="21"/>
  <c r="Y13" i="20"/>
  <c r="AF18" i="21"/>
  <c r="M18" i="20"/>
  <c r="AB27" i="21"/>
  <c r="AA8" i="21"/>
  <c r="Y5" i="21"/>
  <c r="AB3" i="21"/>
  <c r="AL27" i="21"/>
  <c r="AA5" i="21"/>
  <c r="Z7" i="21"/>
  <c r="Z13" i="21"/>
  <c r="Z27" i="24"/>
  <c r="Z12" i="21"/>
  <c r="Y11" i="21"/>
  <c r="AA4" i="21"/>
  <c r="M3" i="20"/>
  <c r="Z3" i="20" s="1"/>
  <c r="Z14" i="21"/>
  <c r="Z13" i="20"/>
  <c r="O6" i="20"/>
  <c r="AA6" i="20" s="1"/>
  <c r="AC14" i="21"/>
  <c r="M19" i="20"/>
  <c r="Z19" i="20" s="1"/>
  <c r="AC27" i="21"/>
  <c r="Y6" i="21"/>
  <c r="AC8" i="21"/>
  <c r="AC4" i="21"/>
  <c r="AB8" i="21"/>
  <c r="AG11" i="21"/>
  <c r="Y8" i="21"/>
  <c r="AC12" i="21"/>
  <c r="AI36" i="24"/>
  <c r="AH27" i="24"/>
  <c r="Z25" i="20"/>
  <c r="Z26" i="21"/>
  <c r="R27" i="20"/>
  <c r="P27" i="20"/>
  <c r="M4" i="20"/>
  <c r="M8" i="20"/>
  <c r="Z8" i="20" s="1"/>
  <c r="O3" i="20"/>
  <c r="AA3" i="20" s="1"/>
  <c r="O7" i="20"/>
  <c r="AA7" i="20" s="1"/>
  <c r="AA13" i="20"/>
  <c r="AA14" i="21"/>
  <c r="AB14" i="21"/>
  <c r="O18" i="20"/>
  <c r="AA18" i="20" s="1"/>
  <c r="O20" i="20"/>
  <c r="Y13" i="21"/>
  <c r="AB12" i="21"/>
  <c r="Y4" i="21"/>
  <c r="AF4" i="21"/>
  <c r="AF19" i="21"/>
  <c r="AB4" i="21"/>
  <c r="AG6" i="21"/>
  <c r="Z36" i="24"/>
  <c r="Z14" i="24"/>
  <c r="AH14" i="24"/>
  <c r="AK27" i="21"/>
  <c r="AA34" i="21"/>
  <c r="AA33" i="20"/>
  <c r="AA33" i="21"/>
  <c r="AA22" i="21"/>
  <c r="AF8" i="21"/>
  <c r="K18" i="20"/>
  <c r="Y18" i="21" s="1"/>
  <c r="M21" i="20"/>
  <c r="Z21" i="20" s="1"/>
  <c r="AE12" i="21"/>
  <c r="AC5" i="21"/>
  <c r="AE3" i="21"/>
  <c r="Z5" i="21"/>
  <c r="Z11" i="21"/>
  <c r="Y7" i="21"/>
  <c r="AC7" i="21"/>
  <c r="AB11" i="21"/>
  <c r="AA12" i="21"/>
  <c r="AA27" i="24"/>
  <c r="AA14" i="24"/>
  <c r="AC6" i="21"/>
  <c r="Z6" i="21"/>
  <c r="AB7" i="21"/>
  <c r="AA13" i="21"/>
  <c r="L36" i="24"/>
  <c r="F36" i="24" s="1"/>
  <c r="N27" i="24"/>
  <c r="AG27" i="25" s="1"/>
  <c r="L14" i="24"/>
  <c r="L27" i="24"/>
  <c r="Y3" i="22"/>
  <c r="K15" i="21"/>
  <c r="J15" i="21" s="1"/>
  <c r="Z18" i="22"/>
  <c r="Z20" i="22"/>
  <c r="Z24" i="22"/>
  <c r="Y12" i="21"/>
  <c r="Y12" i="22"/>
  <c r="M35" i="21"/>
  <c r="Z36" i="22" s="1"/>
  <c r="Z30" i="22"/>
  <c r="AA3" i="22"/>
  <c r="Z13" i="22"/>
  <c r="AA24" i="22"/>
  <c r="AA26" i="22"/>
  <c r="AB27" i="22"/>
  <c r="Z8" i="22"/>
  <c r="Z3" i="22"/>
  <c r="AA7" i="22"/>
  <c r="AC27" i="22"/>
  <c r="AB36" i="22"/>
  <c r="O15" i="21"/>
  <c r="AA14" i="22" s="1"/>
  <c r="AA17" i="22"/>
  <c r="Y27" i="22"/>
  <c r="Z10" i="22"/>
  <c r="Y17" i="22"/>
  <c r="J14" i="22"/>
  <c r="AE14" i="24" s="1"/>
  <c r="N14" i="22"/>
  <c r="AH36" i="22"/>
  <c r="L27" i="22"/>
  <c r="N27" i="22"/>
  <c r="J36" i="22"/>
  <c r="AE36" i="24" s="1"/>
  <c r="N36" i="22"/>
  <c r="AG36" i="24" s="1"/>
  <c r="L36" i="22"/>
  <c r="U35" i="20"/>
  <c r="T35" i="20" s="1"/>
  <c r="Y35" i="20"/>
  <c r="AB35" i="21"/>
  <c r="AK35" i="21"/>
  <c r="AL35" i="21"/>
  <c r="AC35" i="21"/>
  <c r="AA14" i="20"/>
  <c r="AC9" i="21"/>
  <c r="AK15" i="21"/>
  <c r="AL15" i="21"/>
  <c r="AB9" i="21"/>
  <c r="AC10" i="21"/>
  <c r="AB10" i="21"/>
  <c r="Q15" i="20"/>
  <c r="P15" i="20" s="1"/>
  <c r="S15" i="20"/>
  <c r="O27" i="21"/>
  <c r="M27" i="21"/>
  <c r="J27" i="21"/>
  <c r="M15" i="21"/>
  <c r="Z14" i="22" s="1"/>
  <c r="R35" i="21"/>
  <c r="AI36" i="22" s="1"/>
  <c r="R27" i="21"/>
  <c r="K35" i="21"/>
  <c r="Y35" i="21" s="1"/>
  <c r="P27" i="21"/>
  <c r="O35" i="21"/>
  <c r="P15" i="21"/>
  <c r="AH14" i="22" s="1"/>
  <c r="R15" i="21"/>
  <c r="AI14" i="22" s="1"/>
  <c r="J35" i="20"/>
  <c r="P35" i="20"/>
  <c r="R35" i="20"/>
  <c r="F11" i="20"/>
  <c r="F12" i="20"/>
  <c r="F4" i="20"/>
  <c r="U15" i="20"/>
  <c r="T15" i="20" s="1"/>
  <c r="F3" i="20"/>
  <c r="F5" i="20"/>
  <c r="F6" i="20"/>
  <c r="F7" i="20"/>
  <c r="F8" i="20"/>
  <c r="F13" i="20"/>
  <c r="U20" i="20"/>
  <c r="U27" i="20" s="1"/>
  <c r="T27" i="20" s="1"/>
  <c r="F26" i="20"/>
  <c r="N22" i="19"/>
  <c r="AG22" i="20" s="1"/>
  <c r="N20" i="19"/>
  <c r="AG20" i="20" s="1"/>
  <c r="I20" i="19"/>
  <c r="L4" i="19"/>
  <c r="AF4" i="20" s="1"/>
  <c r="N4" i="19"/>
  <c r="AG4" i="20" s="1"/>
  <c r="N32" i="19"/>
  <c r="AG32" i="20" s="1"/>
  <c r="L30" i="19"/>
  <c r="AF30" i="20" s="1"/>
  <c r="N30" i="19"/>
  <c r="AG30" i="20" s="1"/>
  <c r="J30" i="19"/>
  <c r="Q26" i="19"/>
  <c r="O26" i="19"/>
  <c r="M26" i="19"/>
  <c r="AC26" i="20" s="1"/>
  <c r="K26" i="19"/>
  <c r="AB26" i="20" s="1"/>
  <c r="N25" i="19"/>
  <c r="AG25" i="20" s="1"/>
  <c r="L25" i="19"/>
  <c r="AF25" i="20" s="1"/>
  <c r="L21" i="19"/>
  <c r="AF21" i="20" s="1"/>
  <c r="N19" i="19"/>
  <c r="AG19" i="20" s="1"/>
  <c r="L19" i="19"/>
  <c r="AF19" i="20" s="1"/>
  <c r="N18" i="19"/>
  <c r="AG18" i="20" s="1"/>
  <c r="J18" i="19"/>
  <c r="AE18" i="20" s="1"/>
  <c r="L18" i="19"/>
  <c r="AF18" i="20" s="1"/>
  <c r="L13" i="19"/>
  <c r="AF13" i="20" s="1"/>
  <c r="J12" i="19"/>
  <c r="AE12" i="20" s="1"/>
  <c r="AG36" i="25" l="1"/>
  <c r="AE36" i="27"/>
  <c r="AF14" i="26"/>
  <c r="AF14" i="27"/>
  <c r="AE27" i="26"/>
  <c r="AE27" i="27"/>
  <c r="AE14" i="27"/>
  <c r="AA6" i="21"/>
  <c r="AG14" i="26"/>
  <c r="AG14" i="27"/>
  <c r="AG14" i="24"/>
  <c r="Z3" i="21"/>
  <c r="AF27" i="26"/>
  <c r="K15" i="20"/>
  <c r="Y15" i="21" s="1"/>
  <c r="AF14" i="24"/>
  <c r="AF36" i="26"/>
  <c r="AG14" i="25"/>
  <c r="F14" i="26"/>
  <c r="F36" i="26"/>
  <c r="F27" i="26"/>
  <c r="AA35" i="21"/>
  <c r="Y3" i="21"/>
  <c r="AF36" i="25"/>
  <c r="AF27" i="25"/>
  <c r="AF14" i="25"/>
  <c r="F36" i="25"/>
  <c r="F14" i="25"/>
  <c r="F27" i="25"/>
  <c r="AI27" i="21"/>
  <c r="Z8" i="21"/>
  <c r="M27" i="20"/>
  <c r="Z27" i="21" s="1"/>
  <c r="AH27" i="21"/>
  <c r="O15" i="20"/>
  <c r="AA15" i="21" s="1"/>
  <c r="AA7" i="21"/>
  <c r="AA18" i="21"/>
  <c r="M15" i="20"/>
  <c r="Z15" i="21" s="1"/>
  <c r="AG27" i="24"/>
  <c r="Y18" i="20"/>
  <c r="K27" i="20"/>
  <c r="AE30" i="20"/>
  <c r="F30" i="19"/>
  <c r="AF27" i="24"/>
  <c r="AF36" i="24"/>
  <c r="AA20" i="20"/>
  <c r="AA20" i="21"/>
  <c r="Z4" i="20"/>
  <c r="Z4" i="21"/>
  <c r="Z19" i="21"/>
  <c r="AA3" i="21"/>
  <c r="Z18" i="20"/>
  <c r="Z18" i="21"/>
  <c r="AK20" i="20"/>
  <c r="AL20" i="20"/>
  <c r="Z21" i="21"/>
  <c r="F14" i="24"/>
  <c r="F27" i="24"/>
  <c r="Y14" i="22"/>
  <c r="L35" i="21"/>
  <c r="AF36" i="22" s="1"/>
  <c r="Z27" i="22"/>
  <c r="AA27" i="22"/>
  <c r="AH27" i="22"/>
  <c r="N15" i="21"/>
  <c r="AG14" i="22" s="1"/>
  <c r="Y36" i="22"/>
  <c r="AI27" i="22"/>
  <c r="AE27" i="22"/>
  <c r="AA36" i="22"/>
  <c r="F14" i="22"/>
  <c r="AE14" i="22"/>
  <c r="F27" i="22"/>
  <c r="F36" i="22"/>
  <c r="AI35" i="21"/>
  <c r="AH35" i="21"/>
  <c r="AC15" i="21"/>
  <c r="AH15" i="21"/>
  <c r="AB15" i="21"/>
  <c r="N35" i="21"/>
  <c r="AG35" i="21" s="1"/>
  <c r="L15" i="21"/>
  <c r="AF14" i="22" s="1"/>
  <c r="L27" i="21"/>
  <c r="J35" i="21"/>
  <c r="AE35" i="21" s="1"/>
  <c r="N27" i="21"/>
  <c r="R15" i="20"/>
  <c r="M35" i="20"/>
  <c r="O27" i="20"/>
  <c r="AA27" i="21" s="1"/>
  <c r="N11" i="19"/>
  <c r="AG11" i="20" s="1"/>
  <c r="L11" i="19"/>
  <c r="AF11" i="20" s="1"/>
  <c r="L8" i="19"/>
  <c r="AF8" i="20" s="1"/>
  <c r="N7" i="19"/>
  <c r="AG7" i="20" s="1"/>
  <c r="N6" i="19"/>
  <c r="AG6" i="20" s="1"/>
  <c r="O6" i="18"/>
  <c r="H6" i="18"/>
  <c r="J15" i="20" l="1"/>
  <c r="AE15" i="21" s="1"/>
  <c r="Y15" i="20"/>
  <c r="Z27" i="20"/>
  <c r="L27" i="20"/>
  <c r="AF27" i="21" s="1"/>
  <c r="Z15" i="20"/>
  <c r="L15" i="20"/>
  <c r="AF15" i="21" s="1"/>
  <c r="J27" i="20"/>
  <c r="AE27" i="21" s="1"/>
  <c r="Y27" i="20"/>
  <c r="Y27" i="21"/>
  <c r="AG36" i="22"/>
  <c r="AF27" i="22"/>
  <c r="AG27" i="22"/>
  <c r="AE36" i="22"/>
  <c r="Z35" i="21"/>
  <c r="Z35" i="20"/>
  <c r="AI15" i="21"/>
  <c r="N27" i="20"/>
  <c r="AG27" i="21" s="1"/>
  <c r="F27" i="21"/>
  <c r="F35" i="21"/>
  <c r="F15" i="21"/>
  <c r="L35" i="20"/>
  <c r="N15" i="20"/>
  <c r="L10" i="19"/>
  <c r="AF10" i="20" s="1"/>
  <c r="N5" i="19"/>
  <c r="AG5" i="19" s="1"/>
  <c r="K4" i="19"/>
  <c r="AB4" i="20" s="1"/>
  <c r="F4" i="19"/>
  <c r="F6" i="19"/>
  <c r="F7" i="19"/>
  <c r="F8" i="19"/>
  <c r="F9" i="19"/>
  <c r="F11" i="19"/>
  <c r="F12" i="19"/>
  <c r="F13" i="19"/>
  <c r="F14" i="19"/>
  <c r="F18" i="19"/>
  <c r="F19" i="19"/>
  <c r="F20" i="19"/>
  <c r="F21" i="19"/>
  <c r="F22" i="19"/>
  <c r="F23" i="19"/>
  <c r="F24" i="19"/>
  <c r="F25" i="19"/>
  <c r="F26" i="19"/>
  <c r="F31" i="19"/>
  <c r="F32" i="19"/>
  <c r="F33" i="19"/>
  <c r="F34" i="19"/>
  <c r="L3" i="19"/>
  <c r="AF3" i="20" s="1"/>
  <c r="N3" i="19"/>
  <c r="J3" i="19"/>
  <c r="AL34" i="19"/>
  <c r="AK34" i="19"/>
  <c r="AI34" i="19"/>
  <c r="AH34" i="19"/>
  <c r="AG34" i="19"/>
  <c r="AF34" i="19"/>
  <c r="AE34" i="19"/>
  <c r="AL33" i="19"/>
  <c r="AK33" i="19"/>
  <c r="AI33" i="19"/>
  <c r="AH33" i="19"/>
  <c r="AG33" i="19"/>
  <c r="AE33" i="19"/>
  <c r="AL32" i="19"/>
  <c r="AK32" i="19"/>
  <c r="AI32" i="19"/>
  <c r="AH32" i="19"/>
  <c r="AF32" i="19"/>
  <c r="AE32" i="19"/>
  <c r="AL31" i="19"/>
  <c r="AK31" i="19"/>
  <c r="AI31" i="19"/>
  <c r="AH31" i="19"/>
  <c r="AG31" i="19"/>
  <c r="AF31" i="19"/>
  <c r="AE31" i="19"/>
  <c r="AC31" i="19"/>
  <c r="AB31" i="19"/>
  <c r="AA31" i="19"/>
  <c r="Z31" i="19"/>
  <c r="Y31" i="19"/>
  <c r="AL30" i="19"/>
  <c r="AK30" i="19"/>
  <c r="AI30" i="19"/>
  <c r="AH30" i="19"/>
  <c r="AL26" i="19"/>
  <c r="AK26" i="19"/>
  <c r="AI26" i="19"/>
  <c r="AH26" i="19"/>
  <c r="AG26" i="19"/>
  <c r="AE26" i="19"/>
  <c r="AL25" i="19"/>
  <c r="AK25" i="19"/>
  <c r="AI25" i="19"/>
  <c r="AH25" i="19"/>
  <c r="AE25" i="19"/>
  <c r="AL24" i="19"/>
  <c r="AK24" i="19"/>
  <c r="AI24" i="19"/>
  <c r="AH24" i="19"/>
  <c r="AG24" i="19"/>
  <c r="AF24" i="19"/>
  <c r="AE24" i="19"/>
  <c r="AL23" i="19"/>
  <c r="AK23" i="19"/>
  <c r="AI23" i="19"/>
  <c r="AH23" i="19"/>
  <c r="AG23" i="19"/>
  <c r="AF23" i="19"/>
  <c r="AE23" i="19"/>
  <c r="AL22" i="19"/>
  <c r="AK22" i="19"/>
  <c r="AI22" i="19"/>
  <c r="AH22" i="19"/>
  <c r="AG22" i="19"/>
  <c r="AE22" i="19"/>
  <c r="AL21" i="19"/>
  <c r="AK21" i="19"/>
  <c r="AI21" i="19"/>
  <c r="AH21" i="19"/>
  <c r="AG21" i="19"/>
  <c r="AE21" i="19"/>
  <c r="AI20" i="19"/>
  <c r="AH20" i="19"/>
  <c r="AF20" i="19"/>
  <c r="AE20" i="19"/>
  <c r="AL19" i="19"/>
  <c r="AK19" i="19"/>
  <c r="AI19" i="19"/>
  <c r="AH19" i="19"/>
  <c r="AG19" i="19"/>
  <c r="AE19" i="19"/>
  <c r="AL18" i="19"/>
  <c r="AK18" i="19"/>
  <c r="AI18" i="19"/>
  <c r="AH18" i="19"/>
  <c r="AL14" i="19"/>
  <c r="AK14" i="19"/>
  <c r="AI14" i="19"/>
  <c r="AH14" i="19"/>
  <c r="AG14" i="19"/>
  <c r="AF14" i="19"/>
  <c r="AE14" i="19"/>
  <c r="AC14" i="19"/>
  <c r="AB14" i="19"/>
  <c r="Z14" i="19"/>
  <c r="AL13" i="19"/>
  <c r="AK13" i="19"/>
  <c r="AI13" i="19"/>
  <c r="AH13" i="19"/>
  <c r="AG13" i="19"/>
  <c r="AE13" i="19"/>
  <c r="AL12" i="19"/>
  <c r="AK12" i="19"/>
  <c r="AI12" i="19"/>
  <c r="AH12" i="19"/>
  <c r="AG12" i="19"/>
  <c r="AF12" i="19"/>
  <c r="AE12" i="19"/>
  <c r="AL11" i="19"/>
  <c r="AK11" i="19"/>
  <c r="AI11" i="19"/>
  <c r="AH11" i="19"/>
  <c r="AG11" i="19"/>
  <c r="AE11" i="19"/>
  <c r="AL10" i="19"/>
  <c r="AK10" i="19"/>
  <c r="AI10" i="19"/>
  <c r="AH10" i="19"/>
  <c r="AG10" i="19"/>
  <c r="AE10" i="19"/>
  <c r="AL9" i="19"/>
  <c r="AK9" i="19"/>
  <c r="AI9" i="19"/>
  <c r="AH9" i="19"/>
  <c r="AG9" i="19"/>
  <c r="AF9" i="19"/>
  <c r="AE9" i="19"/>
  <c r="AL8" i="19"/>
  <c r="AK8" i="19"/>
  <c r="AI8" i="19"/>
  <c r="AH8" i="19"/>
  <c r="AG8" i="19"/>
  <c r="AE8" i="19"/>
  <c r="AL7" i="19"/>
  <c r="AK7" i="19"/>
  <c r="AI7" i="19"/>
  <c r="AH7" i="19"/>
  <c r="AF7" i="19"/>
  <c r="AE7" i="19"/>
  <c r="AL6" i="19"/>
  <c r="AK6" i="19"/>
  <c r="AI6" i="19"/>
  <c r="AH6" i="19"/>
  <c r="AG6" i="19"/>
  <c r="AF6" i="19"/>
  <c r="AE6" i="19"/>
  <c r="AL5" i="19"/>
  <c r="AK5" i="19"/>
  <c r="AI5" i="19"/>
  <c r="AH5" i="19"/>
  <c r="AF5" i="19"/>
  <c r="AE5" i="19"/>
  <c r="AL4" i="19"/>
  <c r="AK4" i="19"/>
  <c r="AI4" i="19"/>
  <c r="AE4" i="19"/>
  <c r="AL3" i="19"/>
  <c r="AK3" i="19"/>
  <c r="AI3" i="19"/>
  <c r="AH3" i="19"/>
  <c r="I35" i="19"/>
  <c r="S34" i="19"/>
  <c r="Q34" i="19"/>
  <c r="O34" i="19"/>
  <c r="M34" i="19"/>
  <c r="AC34" i="20" s="1"/>
  <c r="K34" i="19"/>
  <c r="AB34" i="20" s="1"/>
  <c r="S33" i="19"/>
  <c r="Q33" i="19"/>
  <c r="O33" i="19"/>
  <c r="M33" i="19"/>
  <c r="AC33" i="20" s="1"/>
  <c r="K33" i="19"/>
  <c r="AB33" i="20" s="1"/>
  <c r="U32" i="19"/>
  <c r="S32" i="19"/>
  <c r="Q32" i="19"/>
  <c r="O32" i="19"/>
  <c r="M32" i="19"/>
  <c r="AC32" i="20" s="1"/>
  <c r="K32" i="19"/>
  <c r="AB32" i="20" s="1"/>
  <c r="U30" i="19"/>
  <c r="S30" i="19"/>
  <c r="Q30" i="19"/>
  <c r="O30" i="19"/>
  <c r="M30" i="19"/>
  <c r="AC30" i="20" s="1"/>
  <c r="K30" i="19"/>
  <c r="AB30" i="20" s="1"/>
  <c r="U26" i="19"/>
  <c r="U25" i="19"/>
  <c r="S25" i="19"/>
  <c r="Q25" i="19"/>
  <c r="O25" i="19"/>
  <c r="K25" i="19"/>
  <c r="AB25" i="20" s="1"/>
  <c r="U24" i="19"/>
  <c r="S24" i="19"/>
  <c r="Q24" i="19"/>
  <c r="O24" i="19"/>
  <c r="M24" i="19"/>
  <c r="AC24" i="20" s="1"/>
  <c r="K24" i="19"/>
  <c r="AB24" i="20" s="1"/>
  <c r="U23" i="19"/>
  <c r="S23" i="19"/>
  <c r="Q23" i="19"/>
  <c r="O23" i="19"/>
  <c r="M23" i="19"/>
  <c r="AC23" i="20" s="1"/>
  <c r="K23" i="19"/>
  <c r="AB23" i="20" s="1"/>
  <c r="U22" i="19"/>
  <c r="S22" i="19"/>
  <c r="Q22" i="19"/>
  <c r="O22" i="19"/>
  <c r="M22" i="19"/>
  <c r="AC22" i="20" s="1"/>
  <c r="K22" i="19"/>
  <c r="AB22" i="20" s="1"/>
  <c r="U21" i="19"/>
  <c r="S21" i="19"/>
  <c r="Q21" i="19"/>
  <c r="O21" i="19"/>
  <c r="M21" i="19"/>
  <c r="AC21" i="20" s="1"/>
  <c r="K21" i="19"/>
  <c r="AB21" i="20" s="1"/>
  <c r="U20" i="19"/>
  <c r="S20" i="19"/>
  <c r="Q20" i="19"/>
  <c r="O20" i="19"/>
  <c r="M20" i="19"/>
  <c r="AC20" i="20" s="1"/>
  <c r="K20" i="19"/>
  <c r="AB20" i="20" s="1"/>
  <c r="I27" i="19"/>
  <c r="U19" i="19"/>
  <c r="S19" i="19"/>
  <c r="Q19" i="19"/>
  <c r="O19" i="19"/>
  <c r="M19" i="19"/>
  <c r="AC19" i="20" s="1"/>
  <c r="K19" i="19"/>
  <c r="AB19" i="20" s="1"/>
  <c r="U18" i="19"/>
  <c r="S18" i="19"/>
  <c r="Q18" i="19"/>
  <c r="O18" i="19"/>
  <c r="M18" i="19"/>
  <c r="AC18" i="20" s="1"/>
  <c r="K18" i="19"/>
  <c r="AB18" i="20" s="1"/>
  <c r="I15" i="19"/>
  <c r="O14" i="19"/>
  <c r="K14" i="19"/>
  <c r="AB14" i="20" s="1"/>
  <c r="U13" i="19"/>
  <c r="S13" i="19"/>
  <c r="Q13" i="19"/>
  <c r="O13" i="19"/>
  <c r="M13" i="19"/>
  <c r="AC13" i="20" s="1"/>
  <c r="K13" i="19"/>
  <c r="AB13" i="20" s="1"/>
  <c r="U12" i="19"/>
  <c r="S12" i="19"/>
  <c r="Q12" i="19"/>
  <c r="O12" i="19"/>
  <c r="M12" i="19"/>
  <c r="AC12" i="20" s="1"/>
  <c r="K12" i="19"/>
  <c r="AB12" i="20" s="1"/>
  <c r="U11" i="19"/>
  <c r="S11" i="19"/>
  <c r="Q11" i="19"/>
  <c r="O11" i="19"/>
  <c r="M11" i="19"/>
  <c r="AC11" i="20" s="1"/>
  <c r="K11" i="19"/>
  <c r="AB11" i="20" s="1"/>
  <c r="U10" i="19"/>
  <c r="S10" i="19"/>
  <c r="Q10" i="19"/>
  <c r="O10" i="19"/>
  <c r="K10" i="19"/>
  <c r="AB10" i="20" s="1"/>
  <c r="U9" i="19"/>
  <c r="S9" i="19"/>
  <c r="Q9" i="19"/>
  <c r="O9" i="19"/>
  <c r="M9" i="19"/>
  <c r="AC9" i="20" s="1"/>
  <c r="K9" i="19"/>
  <c r="AB9" i="20" s="1"/>
  <c r="U8" i="19"/>
  <c r="S8" i="19"/>
  <c r="Q8" i="19"/>
  <c r="O8" i="19"/>
  <c r="M8" i="19"/>
  <c r="AC8" i="20" s="1"/>
  <c r="K8" i="19"/>
  <c r="AB8" i="20" s="1"/>
  <c r="U7" i="19"/>
  <c r="S7" i="19"/>
  <c r="Q7" i="19"/>
  <c r="O7" i="19"/>
  <c r="M7" i="19"/>
  <c r="AC7" i="20" s="1"/>
  <c r="K7" i="19"/>
  <c r="AB7" i="20" s="1"/>
  <c r="U6" i="19"/>
  <c r="S6" i="19"/>
  <c r="Q6" i="19"/>
  <c r="O6" i="19"/>
  <c r="M6" i="19"/>
  <c r="AC6" i="20" s="1"/>
  <c r="K6" i="19"/>
  <c r="AB6" i="20" s="1"/>
  <c r="U5" i="19"/>
  <c r="S5" i="19"/>
  <c r="Q5" i="19"/>
  <c r="M5" i="19"/>
  <c r="AC5" i="20" s="1"/>
  <c r="K5" i="19"/>
  <c r="AB5" i="20" s="1"/>
  <c r="U4" i="19"/>
  <c r="S4" i="19"/>
  <c r="Q4" i="19"/>
  <c r="M4" i="19"/>
  <c r="AC4" i="20" s="1"/>
  <c r="U3" i="19"/>
  <c r="S3" i="19"/>
  <c r="Q3" i="19"/>
  <c r="I14" i="18"/>
  <c r="E14" i="18"/>
  <c r="H32" i="18"/>
  <c r="AG32" i="19" s="1"/>
  <c r="F10" i="18"/>
  <c r="G10" i="18" s="1"/>
  <c r="H7" i="17"/>
  <c r="F7" i="17"/>
  <c r="Z7" i="18" s="1"/>
  <c r="N30" i="18"/>
  <c r="O30" i="18" s="1"/>
  <c r="F30" i="18"/>
  <c r="G30" i="18" s="1"/>
  <c r="H30" i="18"/>
  <c r="I30" i="18" s="1"/>
  <c r="D30" i="18"/>
  <c r="E30" i="18" s="1"/>
  <c r="F33" i="18"/>
  <c r="AF33" i="19" s="1"/>
  <c r="F26" i="18"/>
  <c r="G26" i="18" s="1"/>
  <c r="H25" i="18"/>
  <c r="I25" i="18" s="1"/>
  <c r="F25" i="18"/>
  <c r="AF25" i="19" s="1"/>
  <c r="F22" i="18"/>
  <c r="AF22" i="19" s="1"/>
  <c r="F21" i="18"/>
  <c r="AF21" i="19" s="1"/>
  <c r="H20" i="18"/>
  <c r="AG20" i="19" s="1"/>
  <c r="C20" i="18"/>
  <c r="C27" i="18" s="1"/>
  <c r="F19" i="18"/>
  <c r="G19" i="18" s="1"/>
  <c r="F18" i="18"/>
  <c r="G18" i="18" s="1"/>
  <c r="D18" i="18"/>
  <c r="E18" i="18" s="1"/>
  <c r="H18" i="18"/>
  <c r="I18" i="18" s="1"/>
  <c r="F13" i="18"/>
  <c r="G13" i="18" s="1"/>
  <c r="F11" i="18"/>
  <c r="AF11" i="19" s="1"/>
  <c r="F8" i="18"/>
  <c r="G8" i="18" s="1"/>
  <c r="H7" i="18"/>
  <c r="I7" i="18" s="1"/>
  <c r="I6" i="18"/>
  <c r="H4" i="18"/>
  <c r="I4" i="18" s="1"/>
  <c r="J4" i="18"/>
  <c r="AB4" i="18" s="1"/>
  <c r="F4" i="18"/>
  <c r="G4" i="18" s="1"/>
  <c r="F3" i="18"/>
  <c r="G3" i="18" s="1"/>
  <c r="D3" i="18"/>
  <c r="E3" i="18" s="1"/>
  <c r="I3" i="18"/>
  <c r="K3" i="18"/>
  <c r="M3" i="18"/>
  <c r="E4" i="18"/>
  <c r="M4" i="18"/>
  <c r="E5" i="18"/>
  <c r="G5" i="18"/>
  <c r="I5" i="18"/>
  <c r="K5" i="18"/>
  <c r="M5" i="18"/>
  <c r="E6" i="18"/>
  <c r="G6" i="18"/>
  <c r="K6" i="18"/>
  <c r="M6" i="18"/>
  <c r="E7" i="18"/>
  <c r="G7" i="18"/>
  <c r="K7" i="18"/>
  <c r="M7" i="18"/>
  <c r="E8" i="18"/>
  <c r="I8" i="18"/>
  <c r="K8" i="18"/>
  <c r="M8" i="18"/>
  <c r="E9" i="18"/>
  <c r="G9" i="18"/>
  <c r="I9" i="18"/>
  <c r="K9" i="18"/>
  <c r="M9" i="18"/>
  <c r="E10" i="18"/>
  <c r="I10" i="18"/>
  <c r="K10" i="18"/>
  <c r="M10" i="18"/>
  <c r="E11" i="18"/>
  <c r="I11" i="18"/>
  <c r="K11" i="18"/>
  <c r="M11" i="18"/>
  <c r="E12" i="18"/>
  <c r="G12" i="18"/>
  <c r="I12" i="18"/>
  <c r="K12" i="18"/>
  <c r="M12" i="18"/>
  <c r="E13" i="18"/>
  <c r="I13" i="18"/>
  <c r="K13" i="18"/>
  <c r="M13" i="18"/>
  <c r="C15" i="18"/>
  <c r="C35" i="18"/>
  <c r="E19" i="18"/>
  <c r="E21" i="18"/>
  <c r="E22" i="18"/>
  <c r="E23" i="18"/>
  <c r="E24" i="18"/>
  <c r="E25" i="18"/>
  <c r="E26" i="18"/>
  <c r="Y26" i="19" s="1"/>
  <c r="E32" i="18"/>
  <c r="E33" i="18"/>
  <c r="E34" i="18"/>
  <c r="G23" i="18"/>
  <c r="G24" i="18"/>
  <c r="G32" i="18"/>
  <c r="G34" i="18"/>
  <c r="Y14" i="17"/>
  <c r="Z14" i="17"/>
  <c r="AA14" i="17"/>
  <c r="AB14" i="17"/>
  <c r="AC14" i="17"/>
  <c r="O14" i="17"/>
  <c r="M14" i="17"/>
  <c r="W14" i="18" s="1"/>
  <c r="K14" i="17"/>
  <c r="V14" i="18" s="1"/>
  <c r="I14" i="17"/>
  <c r="G14" i="17"/>
  <c r="T14" i="18" s="1"/>
  <c r="E14" i="17"/>
  <c r="Y14" i="18"/>
  <c r="Z14" i="18"/>
  <c r="AA14" i="18"/>
  <c r="AB14" i="18"/>
  <c r="AC14" i="18"/>
  <c r="AF34" i="18"/>
  <c r="AE34" i="18"/>
  <c r="AC34" i="18"/>
  <c r="AB34" i="18"/>
  <c r="AA34" i="18"/>
  <c r="Z34" i="18"/>
  <c r="Y34" i="18"/>
  <c r="AF33" i="18"/>
  <c r="AE33" i="18"/>
  <c r="AC33" i="18"/>
  <c r="AB33" i="18"/>
  <c r="Y33" i="18"/>
  <c r="AF32" i="18"/>
  <c r="AE32" i="18"/>
  <c r="AC32" i="18"/>
  <c r="AB32" i="18"/>
  <c r="Z32" i="18"/>
  <c r="Y32" i="18"/>
  <c r="AF31" i="18"/>
  <c r="AE31" i="18"/>
  <c r="AC31" i="18"/>
  <c r="AB31" i="18"/>
  <c r="AA31" i="18"/>
  <c r="Z31" i="18"/>
  <c r="Y31" i="18"/>
  <c r="W31" i="18"/>
  <c r="V31" i="18"/>
  <c r="U31" i="18"/>
  <c r="T31" i="18"/>
  <c r="S31" i="18"/>
  <c r="AF30" i="18"/>
  <c r="AE30" i="18"/>
  <c r="AC30" i="18"/>
  <c r="AB30" i="18"/>
  <c r="AF26" i="18"/>
  <c r="AE26" i="18"/>
  <c r="AC26" i="18"/>
  <c r="AB26" i="18"/>
  <c r="AA26" i="18"/>
  <c r="Y26" i="18"/>
  <c r="AF25" i="18"/>
  <c r="AE25" i="18"/>
  <c r="AC25" i="18"/>
  <c r="AB25" i="18"/>
  <c r="Y25" i="18"/>
  <c r="AF24" i="18"/>
  <c r="AE24" i="18"/>
  <c r="AC24" i="18"/>
  <c r="AB24" i="18"/>
  <c r="AA24" i="18"/>
  <c r="Z24" i="18"/>
  <c r="Y24" i="18"/>
  <c r="AF23" i="18"/>
  <c r="AE23" i="18"/>
  <c r="AC23" i="18"/>
  <c r="AB23" i="18"/>
  <c r="AA23" i="18"/>
  <c r="Z23" i="18"/>
  <c r="Y23" i="18"/>
  <c r="AF22" i="18"/>
  <c r="AE22" i="18"/>
  <c r="AC22" i="18"/>
  <c r="AB22" i="18"/>
  <c r="AA22" i="18"/>
  <c r="Y22" i="18"/>
  <c r="AF21" i="18"/>
  <c r="AE21" i="18"/>
  <c r="AC21" i="18"/>
  <c r="AB21" i="18"/>
  <c r="Y21" i="18"/>
  <c r="AC20" i="18"/>
  <c r="AB20" i="18"/>
  <c r="Y20" i="18"/>
  <c r="AF19" i="18"/>
  <c r="AE19" i="18"/>
  <c r="AC19" i="18"/>
  <c r="AB19" i="18"/>
  <c r="AA19" i="18"/>
  <c r="Y19" i="18"/>
  <c r="AF18" i="18"/>
  <c r="AE18" i="18"/>
  <c r="AC18" i="18"/>
  <c r="AB18" i="18"/>
  <c r="AF14" i="18"/>
  <c r="AE14" i="18"/>
  <c r="AF13" i="18"/>
  <c r="AE13" i="18"/>
  <c r="AC13" i="18"/>
  <c r="AB13" i="18"/>
  <c r="AA13" i="18"/>
  <c r="Y13" i="18"/>
  <c r="AF12" i="18"/>
  <c r="AE12" i="18"/>
  <c r="AC12" i="18"/>
  <c r="AB12" i="18"/>
  <c r="AA12" i="18"/>
  <c r="Z12" i="18"/>
  <c r="Y12" i="18"/>
  <c r="AF11" i="18"/>
  <c r="AE11" i="18"/>
  <c r="AC11" i="18"/>
  <c r="AB11" i="18"/>
  <c r="AA11" i="18"/>
  <c r="Y11" i="18"/>
  <c r="AF10" i="18"/>
  <c r="AE10" i="18"/>
  <c r="AC10" i="18"/>
  <c r="AB10" i="18"/>
  <c r="AA10" i="18"/>
  <c r="Y10" i="18"/>
  <c r="AF9" i="18"/>
  <c r="AE9" i="18"/>
  <c r="AC9" i="18"/>
  <c r="AB9" i="18"/>
  <c r="AA9" i="18"/>
  <c r="Z9" i="18"/>
  <c r="Y9" i="18"/>
  <c r="AF8" i="18"/>
  <c r="AE8" i="18"/>
  <c r="AC8" i="18"/>
  <c r="AB8" i="18"/>
  <c r="AA8" i="18"/>
  <c r="Y8" i="18"/>
  <c r="AF7" i="18"/>
  <c r="AE7" i="18"/>
  <c r="AC7" i="18"/>
  <c r="AB7" i="18"/>
  <c r="Y7" i="18"/>
  <c r="AF6" i="18"/>
  <c r="AE6" i="18"/>
  <c r="AC6" i="18"/>
  <c r="AB6" i="18"/>
  <c r="Y6" i="18"/>
  <c r="AF5" i="18"/>
  <c r="AE5" i="18"/>
  <c r="AC5" i="18"/>
  <c r="AB5" i="18"/>
  <c r="AA5" i="18"/>
  <c r="Y5" i="18"/>
  <c r="AF4" i="18"/>
  <c r="AE4" i="18"/>
  <c r="AC4" i="18"/>
  <c r="Y4" i="18"/>
  <c r="AF3" i="18"/>
  <c r="AE3" i="18"/>
  <c r="AC3" i="18"/>
  <c r="AB3" i="18"/>
  <c r="M34" i="18"/>
  <c r="K34" i="18"/>
  <c r="I34" i="18"/>
  <c r="M33" i="18"/>
  <c r="K33" i="18"/>
  <c r="I33" i="18"/>
  <c r="O32" i="18"/>
  <c r="M32" i="18"/>
  <c r="K32" i="18"/>
  <c r="M30" i="18"/>
  <c r="K30" i="18"/>
  <c r="O26" i="18"/>
  <c r="M26" i="18"/>
  <c r="AC26" i="19" s="1"/>
  <c r="K26" i="18"/>
  <c r="AB26" i="19" s="1"/>
  <c r="I26" i="18"/>
  <c r="AA26" i="19" s="1"/>
  <c r="O25" i="18"/>
  <c r="M25" i="18"/>
  <c r="K25" i="18"/>
  <c r="O24" i="18"/>
  <c r="M24" i="18"/>
  <c r="K24" i="18"/>
  <c r="I24" i="18"/>
  <c r="O23" i="18"/>
  <c r="M23" i="18"/>
  <c r="K23" i="18"/>
  <c r="I23" i="18"/>
  <c r="O22" i="18"/>
  <c r="M22" i="18"/>
  <c r="K22" i="18"/>
  <c r="I22" i="18"/>
  <c r="O21" i="18"/>
  <c r="M21" i="18"/>
  <c r="K21" i="18"/>
  <c r="I21" i="18"/>
  <c r="O19" i="18"/>
  <c r="M19" i="18"/>
  <c r="K19" i="18"/>
  <c r="I19" i="18"/>
  <c r="O18" i="18"/>
  <c r="M18" i="18"/>
  <c r="K18" i="18"/>
  <c r="O13" i="18"/>
  <c r="O12" i="18"/>
  <c r="O11" i="18"/>
  <c r="O10" i="18"/>
  <c r="O9" i="18"/>
  <c r="O8" i="18"/>
  <c r="O7" i="18"/>
  <c r="O5" i="18"/>
  <c r="O4" i="18"/>
  <c r="O3" i="18"/>
  <c r="AE34" i="17"/>
  <c r="AE33" i="17"/>
  <c r="AE32" i="17"/>
  <c r="AE31" i="17"/>
  <c r="AE30" i="17"/>
  <c r="AE26" i="17"/>
  <c r="AE25" i="17"/>
  <c r="AE24" i="17"/>
  <c r="AE23" i="17"/>
  <c r="AE22" i="17"/>
  <c r="AE21" i="17"/>
  <c r="AE19" i="17"/>
  <c r="AE18" i="17"/>
  <c r="AE14" i="17"/>
  <c r="AE13" i="17"/>
  <c r="AE12" i="17"/>
  <c r="AE11" i="17"/>
  <c r="AE10" i="17"/>
  <c r="AE9" i="17"/>
  <c r="AE8" i="17"/>
  <c r="AE7" i="17"/>
  <c r="AE6" i="17"/>
  <c r="AE5" i="17"/>
  <c r="AE4" i="17"/>
  <c r="AE3" i="17"/>
  <c r="AF34" i="17"/>
  <c r="AF33" i="17"/>
  <c r="AF32" i="17"/>
  <c r="AF31" i="17"/>
  <c r="AF30" i="17"/>
  <c r="AF26" i="17"/>
  <c r="AF25" i="17"/>
  <c r="AF24" i="17"/>
  <c r="AF23" i="17"/>
  <c r="AF22" i="17"/>
  <c r="AF21" i="17"/>
  <c r="AF19" i="17"/>
  <c r="AF18" i="17"/>
  <c r="AF14" i="17"/>
  <c r="AF13" i="17"/>
  <c r="AF12" i="17"/>
  <c r="AF11" i="17"/>
  <c r="AF10" i="17"/>
  <c r="AF9" i="17"/>
  <c r="AF8" i="17"/>
  <c r="AF7" i="17"/>
  <c r="AF6" i="17"/>
  <c r="AF5" i="17"/>
  <c r="AF4" i="17"/>
  <c r="AF3" i="17"/>
  <c r="F33" i="17"/>
  <c r="H33" i="17"/>
  <c r="AA33" i="18" s="1"/>
  <c r="F10" i="19" l="1"/>
  <c r="O5" i="19"/>
  <c r="AA5" i="19" s="1"/>
  <c r="I32" i="18"/>
  <c r="AA32" i="19" s="1"/>
  <c r="AK15" i="20"/>
  <c r="AL15" i="20"/>
  <c r="AA15" i="20"/>
  <c r="AL35" i="20"/>
  <c r="AK35" i="20"/>
  <c r="AA35" i="20"/>
  <c r="AL27" i="20"/>
  <c r="AK27" i="20"/>
  <c r="F3" i="19"/>
  <c r="AE3" i="20"/>
  <c r="AA27" i="20"/>
  <c r="O3" i="19"/>
  <c r="AA3" i="19" s="1"/>
  <c r="AG3" i="20"/>
  <c r="F5" i="19"/>
  <c r="AG5" i="20"/>
  <c r="AF35" i="21"/>
  <c r="AG15" i="21"/>
  <c r="F27" i="20"/>
  <c r="F35" i="20"/>
  <c r="F15" i="20"/>
  <c r="K3" i="19"/>
  <c r="Y3" i="19" s="1"/>
  <c r="Z4" i="19"/>
  <c r="Y5" i="19"/>
  <c r="AC5" i="19"/>
  <c r="Y7" i="19"/>
  <c r="AC7" i="19"/>
  <c r="AA8" i="19"/>
  <c r="Y9" i="19"/>
  <c r="AC9" i="19"/>
  <c r="AB10" i="19"/>
  <c r="AB12" i="19"/>
  <c r="Z13" i="19"/>
  <c r="AA19" i="19"/>
  <c r="AL27" i="19"/>
  <c r="AB22" i="19"/>
  <c r="AB24" i="19"/>
  <c r="AB30" i="19"/>
  <c r="Z32" i="19"/>
  <c r="AB33" i="19"/>
  <c r="AA34" i="19"/>
  <c r="AE3" i="19"/>
  <c r="Y4" i="19"/>
  <c r="AB3" i="19"/>
  <c r="Z5" i="19"/>
  <c r="AC10" i="19"/>
  <c r="AA13" i="19"/>
  <c r="Y14" i="19"/>
  <c r="Y30" i="19"/>
  <c r="AK20" i="19"/>
  <c r="AE30" i="19"/>
  <c r="AC6" i="19"/>
  <c r="AA7" i="19"/>
  <c r="AC8" i="19"/>
  <c r="AB11" i="19"/>
  <c r="AA18" i="19"/>
  <c r="Z24" i="19"/>
  <c r="AG4" i="19"/>
  <c r="AG7" i="19"/>
  <c r="AL20" i="19"/>
  <c r="Y18" i="19"/>
  <c r="Z7" i="19"/>
  <c r="AB8" i="19"/>
  <c r="Z9" i="19"/>
  <c r="AA11" i="19"/>
  <c r="Y12" i="19"/>
  <c r="AC12" i="19"/>
  <c r="Z18" i="19"/>
  <c r="AB19" i="19"/>
  <c r="AA21" i="19"/>
  <c r="Y22" i="19"/>
  <c r="AC22" i="19"/>
  <c r="AA23" i="19"/>
  <c r="Y24" i="19"/>
  <c r="AC24" i="19"/>
  <c r="AB25" i="19"/>
  <c r="AC30" i="19"/>
  <c r="Y33" i="19"/>
  <c r="AC33" i="19"/>
  <c r="AB34" i="19"/>
  <c r="AG3" i="19"/>
  <c r="AH4" i="19"/>
  <c r="AF13" i="19"/>
  <c r="AE18" i="19"/>
  <c r="AF19" i="19"/>
  <c r="AF3" i="19"/>
  <c r="AG25" i="19"/>
  <c r="AC4" i="19"/>
  <c r="Y6" i="19"/>
  <c r="Y8" i="19"/>
  <c r="AA9" i="19"/>
  <c r="Y10" i="19"/>
  <c r="Z12" i="19"/>
  <c r="AB13" i="19"/>
  <c r="AA14" i="19"/>
  <c r="Y19" i="19"/>
  <c r="AC19" i="19"/>
  <c r="AB21" i="19"/>
  <c r="AB23" i="19"/>
  <c r="AC25" i="19"/>
  <c r="AB32" i="19"/>
  <c r="Y34" i="19"/>
  <c r="AC34" i="19"/>
  <c r="AF18" i="19"/>
  <c r="AF26" i="19"/>
  <c r="AF30" i="19"/>
  <c r="M3" i="19"/>
  <c r="AC18" i="19"/>
  <c r="Z23" i="19"/>
  <c r="AA25" i="19"/>
  <c r="AB5" i="19"/>
  <c r="Z6" i="19"/>
  <c r="AB7" i="19"/>
  <c r="Z8" i="19"/>
  <c r="AB9" i="19"/>
  <c r="AA10" i="19"/>
  <c r="Y11" i="19"/>
  <c r="AC11" i="19"/>
  <c r="AA12" i="19"/>
  <c r="Y13" i="19"/>
  <c r="AC13" i="19"/>
  <c r="AL15" i="19"/>
  <c r="Z19" i="19"/>
  <c r="Y21" i="19"/>
  <c r="AC21" i="19"/>
  <c r="AA22" i="19"/>
  <c r="Y23" i="19"/>
  <c r="AC23" i="19"/>
  <c r="AA24" i="19"/>
  <c r="Y25" i="19"/>
  <c r="AA30" i="19"/>
  <c r="Y32" i="19"/>
  <c r="AC32" i="19"/>
  <c r="AA33" i="19"/>
  <c r="Z34" i="19"/>
  <c r="AL35" i="19"/>
  <c r="AF4" i="19"/>
  <c r="AF8" i="19"/>
  <c r="AG18" i="19"/>
  <c r="AG30" i="19"/>
  <c r="AF10" i="19"/>
  <c r="AB6" i="19"/>
  <c r="AA6" i="19"/>
  <c r="M35" i="19"/>
  <c r="U35" i="19"/>
  <c r="T35" i="19" s="1"/>
  <c r="Q27" i="19"/>
  <c r="P27" i="19" s="1"/>
  <c r="S15" i="19"/>
  <c r="R15" i="19" s="1"/>
  <c r="AI15" i="20" s="1"/>
  <c r="Z30" i="19"/>
  <c r="AK35" i="19"/>
  <c r="S27" i="19"/>
  <c r="R27" i="19" s="1"/>
  <c r="U27" i="19"/>
  <c r="T27" i="19" s="1"/>
  <c r="AK27" i="19"/>
  <c r="K27" i="19"/>
  <c r="O27" i="19"/>
  <c r="N27" i="19" s="1"/>
  <c r="AG27" i="19" s="1"/>
  <c r="AB18" i="19"/>
  <c r="U15" i="19"/>
  <c r="T15" i="19" s="1"/>
  <c r="AC3" i="19"/>
  <c r="AK15" i="19"/>
  <c r="O35" i="19"/>
  <c r="N35" i="19" s="1"/>
  <c r="Q15" i="19"/>
  <c r="P15" i="19" s="1"/>
  <c r="AH15" i="20" s="1"/>
  <c r="O4" i="19"/>
  <c r="AA4" i="19" s="1"/>
  <c r="M10" i="19"/>
  <c r="M25" i="19"/>
  <c r="AC25" i="20" s="1"/>
  <c r="Z26" i="19"/>
  <c r="Q35" i="19"/>
  <c r="P35" i="19" s="1"/>
  <c r="K35" i="19"/>
  <c r="S35" i="19"/>
  <c r="R35" i="19" s="1"/>
  <c r="U14" i="18"/>
  <c r="S14" i="18"/>
  <c r="G11" i="18"/>
  <c r="G15" i="18" s="1"/>
  <c r="F15" i="18" s="1"/>
  <c r="AA7" i="18"/>
  <c r="G20" i="18"/>
  <c r="Z20" i="19" s="1"/>
  <c r="AA18" i="18"/>
  <c r="G25" i="18"/>
  <c r="G33" i="18"/>
  <c r="G35" i="18" s="1"/>
  <c r="AA25" i="18"/>
  <c r="K4" i="18"/>
  <c r="AB4" i="19" s="1"/>
  <c r="G22" i="18"/>
  <c r="Z22" i="19" s="1"/>
  <c r="G21" i="18"/>
  <c r="Z21" i="19" s="1"/>
  <c r="AA20" i="18"/>
  <c r="K35" i="18"/>
  <c r="E15" i="18"/>
  <c r="D15" i="18" s="1"/>
  <c r="I15" i="18"/>
  <c r="H15" i="18" s="1"/>
  <c r="M15" i="18"/>
  <c r="L15" i="18" s="1"/>
  <c r="O35" i="18"/>
  <c r="E35" i="18"/>
  <c r="E20" i="18"/>
  <c r="E27" i="18" s="1"/>
  <c r="Z33" i="18"/>
  <c r="M35" i="18"/>
  <c r="O15" i="18"/>
  <c r="N15" i="18" s="1"/>
  <c r="I20" i="18"/>
  <c r="AA20" i="19" s="1"/>
  <c r="K20" i="18"/>
  <c r="AB20" i="19" s="1"/>
  <c r="M20" i="18"/>
  <c r="AC20" i="19" s="1"/>
  <c r="O20" i="18"/>
  <c r="O27" i="18" s="1"/>
  <c r="H32" i="17"/>
  <c r="AA32" i="18" s="1"/>
  <c r="N30" i="17"/>
  <c r="O30" i="17" s="1"/>
  <c r="F30" i="17"/>
  <c r="Z30" i="18" s="1"/>
  <c r="D30" i="17"/>
  <c r="E30" i="17" s="1"/>
  <c r="S30" i="18" s="1"/>
  <c r="H30" i="17"/>
  <c r="AA30" i="18" s="1"/>
  <c r="F26" i="17"/>
  <c r="Z26" i="18" s="1"/>
  <c r="F25" i="17"/>
  <c r="Z25" i="18" s="1"/>
  <c r="F22" i="17"/>
  <c r="H21" i="17"/>
  <c r="AA21" i="18" s="1"/>
  <c r="F21" i="17"/>
  <c r="Z21" i="18" s="1"/>
  <c r="F20" i="17"/>
  <c r="Z20" i="18" s="1"/>
  <c r="C20" i="17"/>
  <c r="AE20" i="18" s="1"/>
  <c r="F19" i="17"/>
  <c r="F18" i="17"/>
  <c r="Z18" i="18" s="1"/>
  <c r="D18" i="17"/>
  <c r="F13" i="17"/>
  <c r="G13" i="17" s="1"/>
  <c r="T13" i="18" s="1"/>
  <c r="F11" i="17"/>
  <c r="Z11" i="18" s="1"/>
  <c r="F10" i="17"/>
  <c r="Z10" i="18" s="1"/>
  <c r="F8" i="17"/>
  <c r="Z8" i="18" s="1"/>
  <c r="H6" i="17"/>
  <c r="AA6" i="18" s="1"/>
  <c r="F6" i="17"/>
  <c r="Z6" i="18" s="1"/>
  <c r="F5" i="17"/>
  <c r="Z5" i="18" s="1"/>
  <c r="F4" i="17"/>
  <c r="Z4" i="18" s="1"/>
  <c r="F4" i="16"/>
  <c r="H4" i="17"/>
  <c r="AA4" i="18" s="1"/>
  <c r="H3" i="17"/>
  <c r="F3" i="17"/>
  <c r="Z3" i="18" s="1"/>
  <c r="D3" i="17"/>
  <c r="Y3" i="18" s="1"/>
  <c r="W31" i="17"/>
  <c r="V31" i="17"/>
  <c r="U31" i="17"/>
  <c r="T31" i="17"/>
  <c r="S31" i="17"/>
  <c r="AC34" i="17"/>
  <c r="AB34" i="17"/>
  <c r="AA34" i="17"/>
  <c r="Z34" i="17"/>
  <c r="Y34" i="17"/>
  <c r="AC33" i="17"/>
  <c r="AB33" i="17"/>
  <c r="Y33" i="17"/>
  <c r="AC32" i="17"/>
  <c r="AB32" i="17"/>
  <c r="Z32" i="17"/>
  <c r="Y32" i="17"/>
  <c r="AC31" i="17"/>
  <c r="AB31" i="17"/>
  <c r="AA31" i="17"/>
  <c r="Z31" i="17"/>
  <c r="Y31" i="17"/>
  <c r="AC30" i="17"/>
  <c r="AB30" i="17"/>
  <c r="AC26" i="17"/>
  <c r="AB26" i="17"/>
  <c r="Y26" i="17"/>
  <c r="AC25" i="17"/>
  <c r="AB25" i="17"/>
  <c r="AA25" i="17"/>
  <c r="Y25" i="17"/>
  <c r="AC24" i="17"/>
  <c r="AB24" i="17"/>
  <c r="AA24" i="17"/>
  <c r="Z24" i="17"/>
  <c r="Y24" i="17"/>
  <c r="AC23" i="17"/>
  <c r="AB23" i="17"/>
  <c r="AA23" i="17"/>
  <c r="Z23" i="17"/>
  <c r="Y23" i="17"/>
  <c r="AC22" i="17"/>
  <c r="AB22" i="17"/>
  <c r="Y22" i="17"/>
  <c r="AC21" i="17"/>
  <c r="AB21" i="17"/>
  <c r="Y21" i="17"/>
  <c r="AC20" i="17"/>
  <c r="AB20" i="17"/>
  <c r="Y20" i="17"/>
  <c r="AC19" i="17"/>
  <c r="AB19" i="17"/>
  <c r="Y19" i="17"/>
  <c r="AC18" i="17"/>
  <c r="AB18" i="17"/>
  <c r="AC13" i="17"/>
  <c r="AB13" i="17"/>
  <c r="AA13" i="17"/>
  <c r="Y13" i="17"/>
  <c r="AC12" i="17"/>
  <c r="AB12" i="17"/>
  <c r="AA12" i="17"/>
  <c r="Z12" i="17"/>
  <c r="Y12" i="17"/>
  <c r="AC11" i="17"/>
  <c r="AB11" i="17"/>
  <c r="AA11" i="17"/>
  <c r="Y11" i="17"/>
  <c r="AC10" i="17"/>
  <c r="AB10" i="17"/>
  <c r="AA10" i="17"/>
  <c r="Y10" i="17"/>
  <c r="AC9" i="17"/>
  <c r="AB9" i="17"/>
  <c r="AA9" i="17"/>
  <c r="Z9" i="17"/>
  <c r="Y9" i="17"/>
  <c r="AC8" i="17"/>
  <c r="AB8" i="17"/>
  <c r="AA8" i="17"/>
  <c r="AC7" i="17"/>
  <c r="AB7" i="17"/>
  <c r="AA7" i="17"/>
  <c r="Y7" i="17"/>
  <c r="AC6" i="17"/>
  <c r="AB6" i="17"/>
  <c r="AC5" i="17"/>
  <c r="AB5" i="17"/>
  <c r="AA5" i="17"/>
  <c r="Y5" i="17"/>
  <c r="AC4" i="17"/>
  <c r="AB4" i="17"/>
  <c r="Y4" i="17"/>
  <c r="AC3" i="17"/>
  <c r="AB3" i="17"/>
  <c r="C35" i="17"/>
  <c r="M34" i="17"/>
  <c r="W34" i="18" s="1"/>
  <c r="K34" i="17"/>
  <c r="V34" i="18" s="1"/>
  <c r="I34" i="17"/>
  <c r="U34" i="18" s="1"/>
  <c r="G34" i="17"/>
  <c r="T34" i="18" s="1"/>
  <c r="E34" i="17"/>
  <c r="S34" i="18" s="1"/>
  <c r="M33" i="17"/>
  <c r="W33" i="18" s="1"/>
  <c r="K33" i="17"/>
  <c r="V33" i="18" s="1"/>
  <c r="I33" i="17"/>
  <c r="U33" i="18" s="1"/>
  <c r="E33" i="17"/>
  <c r="S33" i="18" s="1"/>
  <c r="O32" i="17"/>
  <c r="M32" i="17"/>
  <c r="W32" i="18" s="1"/>
  <c r="K32" i="17"/>
  <c r="V32" i="18" s="1"/>
  <c r="G32" i="17"/>
  <c r="T32" i="18" s="1"/>
  <c r="E32" i="17"/>
  <c r="S32" i="18" s="1"/>
  <c r="M30" i="17"/>
  <c r="W30" i="18" s="1"/>
  <c r="K30" i="17"/>
  <c r="V30" i="18" s="1"/>
  <c r="O26" i="17"/>
  <c r="M26" i="17"/>
  <c r="W26" i="18" s="1"/>
  <c r="K26" i="17"/>
  <c r="V26" i="18" s="1"/>
  <c r="I26" i="17"/>
  <c r="U26" i="18" s="1"/>
  <c r="E26" i="17"/>
  <c r="S26" i="18" s="1"/>
  <c r="O25" i="17"/>
  <c r="M25" i="17"/>
  <c r="W25" i="18" s="1"/>
  <c r="K25" i="17"/>
  <c r="V25" i="18" s="1"/>
  <c r="I25" i="17"/>
  <c r="U25" i="18" s="1"/>
  <c r="E25" i="17"/>
  <c r="S25" i="18" s="1"/>
  <c r="O24" i="17"/>
  <c r="M24" i="17"/>
  <c r="W24" i="18" s="1"/>
  <c r="K24" i="17"/>
  <c r="V24" i="18" s="1"/>
  <c r="I24" i="17"/>
  <c r="U24" i="18" s="1"/>
  <c r="G24" i="17"/>
  <c r="T24" i="18" s="1"/>
  <c r="E24" i="17"/>
  <c r="S24" i="18" s="1"/>
  <c r="O23" i="17"/>
  <c r="M23" i="17"/>
  <c r="W23" i="18" s="1"/>
  <c r="K23" i="17"/>
  <c r="V23" i="18" s="1"/>
  <c r="I23" i="17"/>
  <c r="U23" i="18" s="1"/>
  <c r="G23" i="17"/>
  <c r="T23" i="18" s="1"/>
  <c r="E23" i="17"/>
  <c r="S23" i="18" s="1"/>
  <c r="O22" i="17"/>
  <c r="M22" i="17"/>
  <c r="W22" i="18" s="1"/>
  <c r="K22" i="17"/>
  <c r="V22" i="18" s="1"/>
  <c r="I22" i="17"/>
  <c r="U22" i="18" s="1"/>
  <c r="E22" i="17"/>
  <c r="S22" i="18" s="1"/>
  <c r="O21" i="17"/>
  <c r="M21" i="17"/>
  <c r="W21" i="18" s="1"/>
  <c r="K21" i="17"/>
  <c r="V21" i="18" s="1"/>
  <c r="E21" i="17"/>
  <c r="S21" i="18" s="1"/>
  <c r="O19" i="17"/>
  <c r="M19" i="17"/>
  <c r="W19" i="18" s="1"/>
  <c r="K19" i="17"/>
  <c r="V19" i="18" s="1"/>
  <c r="I19" i="17"/>
  <c r="U19" i="18" s="1"/>
  <c r="E19" i="17"/>
  <c r="S19" i="18" s="1"/>
  <c r="O18" i="17"/>
  <c r="M18" i="17"/>
  <c r="W18" i="18" s="1"/>
  <c r="K18" i="17"/>
  <c r="V18" i="18" s="1"/>
  <c r="I18" i="17"/>
  <c r="U18" i="18" s="1"/>
  <c r="C15" i="17"/>
  <c r="O13" i="17"/>
  <c r="M13" i="17"/>
  <c r="W13" i="18" s="1"/>
  <c r="K13" i="17"/>
  <c r="V13" i="18" s="1"/>
  <c r="I13" i="17"/>
  <c r="U13" i="18" s="1"/>
  <c r="E13" i="17"/>
  <c r="S13" i="18" s="1"/>
  <c r="O12" i="17"/>
  <c r="M12" i="17"/>
  <c r="W12" i="18" s="1"/>
  <c r="K12" i="17"/>
  <c r="V12" i="18" s="1"/>
  <c r="I12" i="17"/>
  <c r="U12" i="18" s="1"/>
  <c r="G12" i="17"/>
  <c r="T12" i="18" s="1"/>
  <c r="E12" i="17"/>
  <c r="S12" i="18" s="1"/>
  <c r="O11" i="17"/>
  <c r="M11" i="17"/>
  <c r="W11" i="18" s="1"/>
  <c r="K11" i="17"/>
  <c r="V11" i="18" s="1"/>
  <c r="I11" i="17"/>
  <c r="U11" i="18" s="1"/>
  <c r="E11" i="17"/>
  <c r="S11" i="18" s="1"/>
  <c r="O10" i="17"/>
  <c r="M10" i="17"/>
  <c r="W10" i="18" s="1"/>
  <c r="K10" i="17"/>
  <c r="V10" i="18" s="1"/>
  <c r="I10" i="17"/>
  <c r="U10" i="18" s="1"/>
  <c r="E10" i="17"/>
  <c r="S10" i="18" s="1"/>
  <c r="O9" i="17"/>
  <c r="M9" i="17"/>
  <c r="W9" i="18" s="1"/>
  <c r="K9" i="17"/>
  <c r="V9" i="18" s="1"/>
  <c r="I9" i="17"/>
  <c r="U9" i="18" s="1"/>
  <c r="G9" i="17"/>
  <c r="T9" i="18" s="1"/>
  <c r="E9" i="17"/>
  <c r="S9" i="18" s="1"/>
  <c r="O8" i="17"/>
  <c r="M8" i="17"/>
  <c r="W8" i="18" s="1"/>
  <c r="K8" i="17"/>
  <c r="V8" i="18" s="1"/>
  <c r="I8" i="17"/>
  <c r="U8" i="18" s="1"/>
  <c r="O7" i="17"/>
  <c r="M7" i="17"/>
  <c r="W7" i="18" s="1"/>
  <c r="K7" i="17"/>
  <c r="V7" i="18" s="1"/>
  <c r="I7" i="17"/>
  <c r="U7" i="18" s="1"/>
  <c r="E7" i="17"/>
  <c r="S7" i="18" s="1"/>
  <c r="O6" i="17"/>
  <c r="M6" i="17"/>
  <c r="W6" i="18" s="1"/>
  <c r="K6" i="17"/>
  <c r="V6" i="18" s="1"/>
  <c r="O5" i="17"/>
  <c r="M5" i="17"/>
  <c r="W5" i="18" s="1"/>
  <c r="K5" i="17"/>
  <c r="V5" i="18" s="1"/>
  <c r="I5" i="17"/>
  <c r="U5" i="18" s="1"/>
  <c r="E5" i="17"/>
  <c r="S5" i="18" s="1"/>
  <c r="O4" i="17"/>
  <c r="M4" i="17"/>
  <c r="W4" i="18" s="1"/>
  <c r="K4" i="17"/>
  <c r="E4" i="17"/>
  <c r="S4" i="18" s="1"/>
  <c r="O3" i="17"/>
  <c r="M3" i="17"/>
  <c r="W3" i="18" s="1"/>
  <c r="K3" i="17"/>
  <c r="V3" i="18" s="1"/>
  <c r="Y10" i="16"/>
  <c r="AA10" i="16"/>
  <c r="AC10" i="16"/>
  <c r="F10" i="16"/>
  <c r="H32" i="16"/>
  <c r="Y31" i="16"/>
  <c r="Z31" i="16"/>
  <c r="AA31" i="16"/>
  <c r="AB31" i="16"/>
  <c r="AC31" i="16"/>
  <c r="Y32" i="16"/>
  <c r="Z32" i="16"/>
  <c r="AB32" i="16"/>
  <c r="AC32" i="16"/>
  <c r="AF34" i="16"/>
  <c r="AF33" i="16"/>
  <c r="AF32" i="16"/>
  <c r="AF31" i="16"/>
  <c r="AF30" i="16"/>
  <c r="AF14" i="16"/>
  <c r="AF13" i="16"/>
  <c r="AF12" i="16"/>
  <c r="AF11" i="16"/>
  <c r="AF10" i="16"/>
  <c r="AF9" i="16"/>
  <c r="AF8" i="16"/>
  <c r="AF7" i="16"/>
  <c r="AF6" i="16"/>
  <c r="AF5" i="16"/>
  <c r="AF4" i="16"/>
  <c r="AF3" i="16"/>
  <c r="AF25" i="16"/>
  <c r="AF24" i="16"/>
  <c r="AF23" i="16"/>
  <c r="AF22" i="16"/>
  <c r="AF21" i="16"/>
  <c r="AF19" i="16"/>
  <c r="AF18" i="16"/>
  <c r="AF26" i="16"/>
  <c r="AE34" i="16"/>
  <c r="AE33" i="16"/>
  <c r="AE32" i="16"/>
  <c r="AE31" i="16"/>
  <c r="AE30" i="16"/>
  <c r="AE26" i="16"/>
  <c r="AE25" i="16"/>
  <c r="AE24" i="16"/>
  <c r="AE23" i="16"/>
  <c r="AE22" i="16"/>
  <c r="AE21" i="16"/>
  <c r="AE19" i="16"/>
  <c r="AE18" i="16"/>
  <c r="AE4" i="16"/>
  <c r="AE5" i="16"/>
  <c r="AE6" i="16"/>
  <c r="AE7" i="16"/>
  <c r="AE8" i="16"/>
  <c r="AE9" i="16"/>
  <c r="AE10" i="16"/>
  <c r="AE11" i="16"/>
  <c r="AE12" i="16"/>
  <c r="AE13" i="16"/>
  <c r="AE14" i="16"/>
  <c r="AE3" i="16"/>
  <c r="N30" i="16"/>
  <c r="F30" i="16"/>
  <c r="H30" i="16"/>
  <c r="D30" i="16"/>
  <c r="AC34" i="16"/>
  <c r="AB34" i="16"/>
  <c r="AA34" i="16"/>
  <c r="Z34" i="16"/>
  <c r="Y34" i="16"/>
  <c r="AC33" i="16"/>
  <c r="AB33" i="16"/>
  <c r="Y33" i="16"/>
  <c r="W31" i="16"/>
  <c r="V31" i="16"/>
  <c r="U31" i="16"/>
  <c r="T31" i="16"/>
  <c r="S31" i="16"/>
  <c r="AC30" i="16"/>
  <c r="AB30" i="16"/>
  <c r="AC26" i="16"/>
  <c r="AB26" i="16"/>
  <c r="Z26" i="16"/>
  <c r="Y26" i="16"/>
  <c r="AC25" i="16"/>
  <c r="AB25" i="16"/>
  <c r="AA25" i="16"/>
  <c r="Y25" i="16"/>
  <c r="AC24" i="16"/>
  <c r="AB24" i="16"/>
  <c r="Z24" i="16"/>
  <c r="Y24" i="16"/>
  <c r="AC23" i="16"/>
  <c r="AB23" i="16"/>
  <c r="AA23" i="16"/>
  <c r="Z23" i="16"/>
  <c r="Y23" i="16"/>
  <c r="AC22" i="16"/>
  <c r="AB22" i="16"/>
  <c r="Z22" i="16"/>
  <c r="Y22" i="16"/>
  <c r="AC21" i="16"/>
  <c r="AB21" i="16"/>
  <c r="AC20" i="16"/>
  <c r="AB20" i="16"/>
  <c r="Z20" i="16"/>
  <c r="Y20" i="16"/>
  <c r="AC19" i="16"/>
  <c r="AB19" i="16"/>
  <c r="Y19" i="16"/>
  <c r="AC18" i="16"/>
  <c r="AB18" i="16"/>
  <c r="AC14" i="16"/>
  <c r="AB14" i="16"/>
  <c r="AA14" i="16"/>
  <c r="Z14" i="16"/>
  <c r="Y14" i="16"/>
  <c r="AC13" i="16"/>
  <c r="AB13" i="16"/>
  <c r="AA13" i="16"/>
  <c r="Y13" i="16"/>
  <c r="AC12" i="16"/>
  <c r="AB12" i="16"/>
  <c r="AA12" i="16"/>
  <c r="Z12" i="16"/>
  <c r="Y12" i="16"/>
  <c r="AC11" i="16"/>
  <c r="AB11" i="16"/>
  <c r="AC9" i="16"/>
  <c r="AB9" i="16"/>
  <c r="AA9" i="16"/>
  <c r="Z9" i="16"/>
  <c r="Y9" i="16"/>
  <c r="AC8" i="16"/>
  <c r="AB8" i="16"/>
  <c r="AA8" i="16"/>
  <c r="AC7" i="16"/>
  <c r="AB7" i="16"/>
  <c r="AC6" i="16"/>
  <c r="AB6" i="16"/>
  <c r="AC5" i="16"/>
  <c r="AB5" i="16"/>
  <c r="Z5" i="16"/>
  <c r="AC4" i="16"/>
  <c r="AB4" i="16"/>
  <c r="AC3" i="16"/>
  <c r="AB3" i="16"/>
  <c r="F33" i="16"/>
  <c r="Z33" i="17" s="1"/>
  <c r="H33" i="16"/>
  <c r="H21" i="16"/>
  <c r="AA21" i="16" s="1"/>
  <c r="F21" i="16"/>
  <c r="H4" i="16"/>
  <c r="H26" i="16"/>
  <c r="F25" i="16"/>
  <c r="H22" i="16"/>
  <c r="H20" i="16"/>
  <c r="H19" i="16"/>
  <c r="D18" i="16"/>
  <c r="H18" i="16"/>
  <c r="F18" i="16"/>
  <c r="F18" i="15"/>
  <c r="I35" i="18" l="1"/>
  <c r="AA35" i="19" s="1"/>
  <c r="J35" i="19"/>
  <c r="AB35" i="20"/>
  <c r="Z10" i="19"/>
  <c r="AC10" i="20"/>
  <c r="AI27" i="20"/>
  <c r="AI27" i="19"/>
  <c r="AH27" i="20"/>
  <c r="AH27" i="19"/>
  <c r="K15" i="19"/>
  <c r="Y15" i="19" s="1"/>
  <c r="AB3" i="20"/>
  <c r="AG27" i="20"/>
  <c r="AH35" i="20"/>
  <c r="AH35" i="19"/>
  <c r="J27" i="19"/>
  <c r="AB27" i="20"/>
  <c r="L35" i="19"/>
  <c r="AC35" i="20"/>
  <c r="AI35" i="20"/>
  <c r="AI35" i="19"/>
  <c r="AG35" i="20"/>
  <c r="AG35" i="19"/>
  <c r="Z3" i="19"/>
  <c r="AC3" i="20"/>
  <c r="Z25" i="19"/>
  <c r="AC35" i="19"/>
  <c r="Z11" i="19"/>
  <c r="Y35" i="19"/>
  <c r="AC15" i="19"/>
  <c r="AB35" i="19"/>
  <c r="Z33" i="19"/>
  <c r="Z35" i="19"/>
  <c r="Y27" i="19"/>
  <c r="Y20" i="19"/>
  <c r="AI15" i="19"/>
  <c r="M27" i="19"/>
  <c r="M15" i="19"/>
  <c r="O15" i="19"/>
  <c r="N15" i="19" s="1"/>
  <c r="AG15" i="20" s="1"/>
  <c r="I6" i="17"/>
  <c r="U6" i="18" s="1"/>
  <c r="AA6" i="17"/>
  <c r="O20" i="17"/>
  <c r="O27" i="17" s="1"/>
  <c r="AF20" i="18"/>
  <c r="Z20" i="17"/>
  <c r="Z26" i="17"/>
  <c r="G26" i="17"/>
  <c r="T26" i="18" s="1"/>
  <c r="G20" i="17"/>
  <c r="T20" i="18" s="1"/>
  <c r="G3" i="17"/>
  <c r="T3" i="18" s="1"/>
  <c r="I32" i="17"/>
  <c r="U32" i="18" s="1"/>
  <c r="Z13" i="18"/>
  <c r="Y18" i="17"/>
  <c r="V4" i="18"/>
  <c r="Y18" i="18"/>
  <c r="AA3" i="17"/>
  <c r="AA3" i="18"/>
  <c r="Z19" i="17"/>
  <c r="Z19" i="18"/>
  <c r="K15" i="18"/>
  <c r="J15" i="18" s="1"/>
  <c r="Z18" i="16"/>
  <c r="C27" i="17"/>
  <c r="AF20" i="17"/>
  <c r="AE20" i="17"/>
  <c r="G22" i="17"/>
  <c r="T22" i="18" s="1"/>
  <c r="Z22" i="18"/>
  <c r="Y30" i="18"/>
  <c r="G27" i="18"/>
  <c r="AE35" i="18"/>
  <c r="AF35" i="18"/>
  <c r="AF15" i="18"/>
  <c r="AE15" i="18"/>
  <c r="M27" i="18"/>
  <c r="AC27" i="19" s="1"/>
  <c r="K27" i="18"/>
  <c r="AB27" i="19" s="1"/>
  <c r="I27" i="18"/>
  <c r="AA27" i="19" s="1"/>
  <c r="E20" i="17"/>
  <c r="S20" i="18" s="1"/>
  <c r="M20" i="17"/>
  <c r="M27" i="17" s="1"/>
  <c r="G25" i="17"/>
  <c r="T25" i="18" s="1"/>
  <c r="Z22" i="17"/>
  <c r="K20" i="17"/>
  <c r="V20" i="18" s="1"/>
  <c r="G19" i="17"/>
  <c r="T19" i="18" s="1"/>
  <c r="I3" i="17"/>
  <c r="U3" i="18" s="1"/>
  <c r="Z18" i="17"/>
  <c r="Z21" i="17"/>
  <c r="AA4" i="17"/>
  <c r="AA20" i="17"/>
  <c r="AA21" i="17"/>
  <c r="Z30" i="17"/>
  <c r="AA30" i="17"/>
  <c r="G6" i="17"/>
  <c r="T6" i="18" s="1"/>
  <c r="G5" i="17"/>
  <c r="T5" i="18" s="1"/>
  <c r="Z5" i="17"/>
  <c r="Z4" i="17"/>
  <c r="G10" i="17"/>
  <c r="T10" i="18" s="1"/>
  <c r="E8" i="17"/>
  <c r="S8" i="18" s="1"/>
  <c r="I4" i="17"/>
  <c r="U4" i="18" s="1"/>
  <c r="G7" i="17"/>
  <c r="T7" i="18" s="1"/>
  <c r="I21" i="17"/>
  <c r="U21" i="18" s="1"/>
  <c r="G18" i="17"/>
  <c r="T18" i="18" s="1"/>
  <c r="Z25" i="17"/>
  <c r="I20" i="17"/>
  <c r="U20" i="18" s="1"/>
  <c r="AA19" i="17"/>
  <c r="O35" i="17"/>
  <c r="N35" i="17" s="1"/>
  <c r="G11" i="17"/>
  <c r="T11" i="18" s="1"/>
  <c r="Y30" i="17"/>
  <c r="AA32" i="17"/>
  <c r="G4" i="17"/>
  <c r="T4" i="18" s="1"/>
  <c r="G8" i="17"/>
  <c r="T8" i="18" s="1"/>
  <c r="Z10" i="17"/>
  <c r="AA18" i="17"/>
  <c r="AA22" i="17"/>
  <c r="AA26" i="17"/>
  <c r="AA33" i="17"/>
  <c r="E35" i="17"/>
  <c r="S35" i="18" s="1"/>
  <c r="M15" i="17"/>
  <c r="W15" i="18" s="1"/>
  <c r="O15" i="17"/>
  <c r="N15" i="17" s="1"/>
  <c r="M35" i="17"/>
  <c r="W35" i="18" s="1"/>
  <c r="E6" i="17"/>
  <c r="S6" i="18" s="1"/>
  <c r="E18" i="17"/>
  <c r="S18" i="18" s="1"/>
  <c r="G33" i="17"/>
  <c r="T33" i="18" s="1"/>
  <c r="G21" i="17"/>
  <c r="T21" i="18" s="1"/>
  <c r="E3" i="17"/>
  <c r="S3" i="18" s="1"/>
  <c r="K15" i="17"/>
  <c r="G30" i="17"/>
  <c r="T30" i="18" s="1"/>
  <c r="K35" i="17"/>
  <c r="V35" i="18" s="1"/>
  <c r="I30" i="17"/>
  <c r="U30" i="18" s="1"/>
  <c r="F13" i="16"/>
  <c r="F11" i="16"/>
  <c r="AF35" i="19" l="1"/>
  <c r="AF35" i="20"/>
  <c r="L15" i="19"/>
  <c r="AF15" i="20" s="1"/>
  <c r="AC15" i="20"/>
  <c r="L27" i="19"/>
  <c r="F27" i="19" s="1"/>
  <c r="AC27" i="20"/>
  <c r="AE27" i="20"/>
  <c r="AE27" i="19"/>
  <c r="J15" i="19"/>
  <c r="AB15" i="20"/>
  <c r="AE35" i="20"/>
  <c r="F35" i="19"/>
  <c r="AE35" i="19"/>
  <c r="AA15" i="19"/>
  <c r="AG15" i="19"/>
  <c r="Z15" i="19"/>
  <c r="Z27" i="19"/>
  <c r="AH15" i="19"/>
  <c r="AB15" i="19"/>
  <c r="V15" i="18"/>
  <c r="K27" i="17"/>
  <c r="J27" i="17" s="1"/>
  <c r="AB27" i="18" s="1"/>
  <c r="N27" i="17"/>
  <c r="W20" i="18"/>
  <c r="W27" i="18"/>
  <c r="AF27" i="18"/>
  <c r="AE27" i="18"/>
  <c r="I27" i="17"/>
  <c r="H27" i="17" s="1"/>
  <c r="AA27" i="18" s="1"/>
  <c r="Z11" i="17"/>
  <c r="Z13" i="17"/>
  <c r="L15" i="17"/>
  <c r="AC15" i="18" s="1"/>
  <c r="J15" i="17"/>
  <c r="AB15" i="18" s="1"/>
  <c r="I15" i="17"/>
  <c r="U15" i="18" s="1"/>
  <c r="L35" i="17"/>
  <c r="AC35" i="18" s="1"/>
  <c r="G15" i="17"/>
  <c r="T15" i="18" s="1"/>
  <c r="G27" i="17"/>
  <c r="T27" i="18" s="1"/>
  <c r="D35" i="17"/>
  <c r="Y35" i="18" s="1"/>
  <c r="E27" i="17"/>
  <c r="S27" i="18" s="1"/>
  <c r="L27" i="17"/>
  <c r="AC27" i="18" s="1"/>
  <c r="E15" i="17"/>
  <c r="S15" i="18" s="1"/>
  <c r="G35" i="17"/>
  <c r="T35" i="18" s="1"/>
  <c r="I35" i="17"/>
  <c r="U35" i="18" s="1"/>
  <c r="J35" i="17"/>
  <c r="AB35" i="18" s="1"/>
  <c r="D8" i="16"/>
  <c r="E8" i="16" s="1"/>
  <c r="S8" i="17" s="1"/>
  <c r="F8" i="16"/>
  <c r="F7" i="16"/>
  <c r="D6" i="16"/>
  <c r="F6" i="16"/>
  <c r="F3" i="16"/>
  <c r="D3" i="16"/>
  <c r="C35" i="16"/>
  <c r="M34" i="16"/>
  <c r="K34" i="16"/>
  <c r="I34" i="16"/>
  <c r="G34" i="16"/>
  <c r="E34" i="16"/>
  <c r="M33" i="16"/>
  <c r="K33" i="16"/>
  <c r="E33" i="16"/>
  <c r="O32" i="16"/>
  <c r="M32" i="16"/>
  <c r="K32" i="16"/>
  <c r="I32" i="16"/>
  <c r="G32" i="16"/>
  <c r="E32" i="16"/>
  <c r="O30" i="16"/>
  <c r="M30" i="16"/>
  <c r="K30" i="16"/>
  <c r="E30" i="16"/>
  <c r="O26" i="16"/>
  <c r="M26" i="16"/>
  <c r="K26" i="16"/>
  <c r="G26" i="16"/>
  <c r="E26" i="16"/>
  <c r="O25" i="16"/>
  <c r="M25" i="16"/>
  <c r="K25" i="16"/>
  <c r="I25" i="16"/>
  <c r="E25" i="16"/>
  <c r="O24" i="16"/>
  <c r="M24" i="16"/>
  <c r="K24" i="16"/>
  <c r="G24" i="16"/>
  <c r="E24" i="16"/>
  <c r="O23" i="16"/>
  <c r="M23" i="16"/>
  <c r="K23" i="16"/>
  <c r="I23" i="16"/>
  <c r="G23" i="16"/>
  <c r="E23" i="16"/>
  <c r="O22" i="16"/>
  <c r="M22" i="16"/>
  <c r="K22" i="16"/>
  <c r="I22" i="16"/>
  <c r="G22" i="16"/>
  <c r="E22" i="16"/>
  <c r="O21" i="16"/>
  <c r="M21" i="16"/>
  <c r="K21" i="16"/>
  <c r="I21" i="16"/>
  <c r="U21" i="17" s="1"/>
  <c r="C27" i="16"/>
  <c r="O19" i="16"/>
  <c r="M19" i="16"/>
  <c r="K19" i="16"/>
  <c r="I19" i="16"/>
  <c r="E19" i="16"/>
  <c r="O18" i="16"/>
  <c r="M18" i="16"/>
  <c r="K18" i="16"/>
  <c r="E18" i="16"/>
  <c r="C15" i="16"/>
  <c r="O14" i="16"/>
  <c r="M14" i="16"/>
  <c r="K14" i="16"/>
  <c r="I14" i="16"/>
  <c r="G14" i="16"/>
  <c r="E14" i="16"/>
  <c r="O13" i="16"/>
  <c r="M13" i="16"/>
  <c r="K13" i="16"/>
  <c r="I13" i="16"/>
  <c r="E13" i="16"/>
  <c r="O12" i="16"/>
  <c r="M12" i="16"/>
  <c r="K12" i="16"/>
  <c r="I12" i="16"/>
  <c r="G12" i="16"/>
  <c r="E12" i="16"/>
  <c r="O11" i="16"/>
  <c r="M11" i="16"/>
  <c r="K11" i="16"/>
  <c r="O10" i="16"/>
  <c r="M10" i="16"/>
  <c r="K10" i="16"/>
  <c r="I10" i="16"/>
  <c r="E10" i="16"/>
  <c r="O9" i="16"/>
  <c r="M9" i="16"/>
  <c r="K9" i="16"/>
  <c r="I9" i="16"/>
  <c r="G9" i="16"/>
  <c r="E9" i="16"/>
  <c r="O8" i="16"/>
  <c r="M8" i="16"/>
  <c r="K8" i="16"/>
  <c r="I8" i="16"/>
  <c r="O7" i="16"/>
  <c r="M7" i="16"/>
  <c r="K7" i="16"/>
  <c r="O6" i="16"/>
  <c r="M6" i="16"/>
  <c r="K6" i="16"/>
  <c r="O5" i="16"/>
  <c r="M5" i="16"/>
  <c r="K5" i="16"/>
  <c r="I5" i="16"/>
  <c r="G5" i="16"/>
  <c r="O4" i="16"/>
  <c r="M4" i="16"/>
  <c r="K4" i="16"/>
  <c r="G4" i="16"/>
  <c r="O3" i="16"/>
  <c r="M3" i="16"/>
  <c r="K3" i="16"/>
  <c r="I3" i="16"/>
  <c r="U3" i="17" s="1"/>
  <c r="E34" i="15"/>
  <c r="G34" i="15"/>
  <c r="I34" i="15"/>
  <c r="K34" i="15"/>
  <c r="M34" i="15"/>
  <c r="AB18" i="15"/>
  <c r="AC18" i="15"/>
  <c r="Y19" i="15"/>
  <c r="AB19" i="15"/>
  <c r="AC19" i="15"/>
  <c r="Y20" i="15"/>
  <c r="AB20" i="15"/>
  <c r="AC20" i="15"/>
  <c r="AB21" i="15"/>
  <c r="AC21" i="15"/>
  <c r="Y22" i="15"/>
  <c r="Z22" i="15"/>
  <c r="AB22" i="15"/>
  <c r="AC22" i="15"/>
  <c r="Y23" i="15"/>
  <c r="Z23" i="15"/>
  <c r="AA23" i="15"/>
  <c r="AB23" i="15"/>
  <c r="AC23" i="15"/>
  <c r="Y24" i="15"/>
  <c r="Z24" i="15"/>
  <c r="AB24" i="15"/>
  <c r="AC24" i="15"/>
  <c r="Y25" i="15"/>
  <c r="AA25" i="15"/>
  <c r="AB25" i="15"/>
  <c r="AC25" i="15"/>
  <c r="Y26" i="15"/>
  <c r="Z26" i="15"/>
  <c r="AB26" i="15"/>
  <c r="AC26" i="15"/>
  <c r="D18" i="13"/>
  <c r="N18" i="15"/>
  <c r="F33" i="15"/>
  <c r="Z33" i="16" s="1"/>
  <c r="H33" i="15"/>
  <c r="AA33" i="16" s="1"/>
  <c r="H32" i="15"/>
  <c r="AA32" i="16" s="1"/>
  <c r="N30" i="15"/>
  <c r="F30" i="15"/>
  <c r="Z30" i="16" s="1"/>
  <c r="H30" i="15"/>
  <c r="AA30" i="16" s="1"/>
  <c r="D30" i="15"/>
  <c r="Y30" i="16" s="1"/>
  <c r="H26" i="15"/>
  <c r="AA26" i="16" s="1"/>
  <c r="F25" i="15"/>
  <c r="Z25" i="16" s="1"/>
  <c r="H24" i="15"/>
  <c r="AA24" i="16" s="1"/>
  <c r="H22" i="15"/>
  <c r="AA22" i="16" s="1"/>
  <c r="D21" i="15"/>
  <c r="F21" i="15"/>
  <c r="Z21" i="16" s="1"/>
  <c r="H20" i="15"/>
  <c r="AA20" i="16" s="1"/>
  <c r="C20" i="15"/>
  <c r="H19" i="15"/>
  <c r="AA19" i="16" s="1"/>
  <c r="F19" i="15"/>
  <c r="D18" i="15"/>
  <c r="Y18" i="16" s="1"/>
  <c r="H18" i="15"/>
  <c r="AA18" i="16" s="1"/>
  <c r="K14" i="15"/>
  <c r="K13" i="15"/>
  <c r="K12" i="15"/>
  <c r="K11" i="15"/>
  <c r="K9" i="15"/>
  <c r="K8" i="15"/>
  <c r="K7" i="15"/>
  <c r="I14" i="15"/>
  <c r="I13" i="15"/>
  <c r="I12" i="15"/>
  <c r="I10" i="15"/>
  <c r="I9" i="15"/>
  <c r="I8" i="15"/>
  <c r="G14" i="15"/>
  <c r="G12" i="15"/>
  <c r="G9" i="15"/>
  <c r="G7" i="15"/>
  <c r="E14" i="15"/>
  <c r="E13" i="15"/>
  <c r="E12" i="15"/>
  <c r="E10" i="15"/>
  <c r="E9" i="15"/>
  <c r="E8" i="15"/>
  <c r="F13" i="15"/>
  <c r="G13" i="15" s="1"/>
  <c r="H11" i="15"/>
  <c r="F11" i="15"/>
  <c r="G11" i="15" s="1"/>
  <c r="D11" i="15"/>
  <c r="J10" i="15"/>
  <c r="F10" i="15"/>
  <c r="F8" i="15"/>
  <c r="G8" i="15" s="1"/>
  <c r="H7" i="15"/>
  <c r="D7" i="15"/>
  <c r="H6" i="15"/>
  <c r="AA6" i="16" s="1"/>
  <c r="D6" i="15"/>
  <c r="E6" i="15" s="1"/>
  <c r="H5" i="15"/>
  <c r="AA5" i="16" s="1"/>
  <c r="D5" i="15"/>
  <c r="Y5" i="16" s="1"/>
  <c r="H4" i="15"/>
  <c r="AA4" i="16" s="1"/>
  <c r="D4" i="15"/>
  <c r="Y4" i="16" s="1"/>
  <c r="F4" i="15"/>
  <c r="Z4" i="16" s="1"/>
  <c r="AF15" i="19" l="1"/>
  <c r="AE15" i="20"/>
  <c r="AE15" i="19"/>
  <c r="AF27" i="20"/>
  <c r="AF27" i="19"/>
  <c r="F15" i="19"/>
  <c r="V27" i="18"/>
  <c r="U27" i="18"/>
  <c r="AF15" i="17"/>
  <c r="AE15" i="17"/>
  <c r="AF35" i="17"/>
  <c r="AE35" i="17"/>
  <c r="AE27" i="17"/>
  <c r="AF27" i="17"/>
  <c r="W9" i="17"/>
  <c r="U12" i="16"/>
  <c r="U12" i="17"/>
  <c r="W21" i="17"/>
  <c r="S23" i="17"/>
  <c r="U25" i="17"/>
  <c r="V32" i="17"/>
  <c r="Y3" i="17"/>
  <c r="Z19" i="15"/>
  <c r="Z19" i="16"/>
  <c r="V3" i="17"/>
  <c r="V4" i="17"/>
  <c r="U5" i="17"/>
  <c r="V6" i="17"/>
  <c r="W7" i="17"/>
  <c r="V8" i="16"/>
  <c r="V8" i="17"/>
  <c r="T9" i="16"/>
  <c r="T9" i="17"/>
  <c r="W10" i="17"/>
  <c r="V12" i="16"/>
  <c r="V12" i="17"/>
  <c r="U13" i="16"/>
  <c r="U13" i="17"/>
  <c r="S14" i="16"/>
  <c r="S14" i="17"/>
  <c r="W14" i="17"/>
  <c r="V18" i="17"/>
  <c r="U19" i="17"/>
  <c r="V22" i="17"/>
  <c r="T23" i="17"/>
  <c r="W24" i="17"/>
  <c r="V25" i="17"/>
  <c r="T26" i="17"/>
  <c r="S30" i="17"/>
  <c r="S32" i="17"/>
  <c r="W32" i="17"/>
  <c r="W33" i="17"/>
  <c r="V34" i="16"/>
  <c r="V34" i="17"/>
  <c r="Z3" i="17"/>
  <c r="Z8" i="16"/>
  <c r="Z8" i="17"/>
  <c r="S18" i="17"/>
  <c r="Z11" i="16"/>
  <c r="V7" i="16"/>
  <c r="V7" i="17"/>
  <c r="U8" i="16"/>
  <c r="U8" i="17"/>
  <c r="V10" i="17"/>
  <c r="S13" i="16"/>
  <c r="S13" i="17"/>
  <c r="V14" i="16"/>
  <c r="V14" i="17"/>
  <c r="U22" i="17"/>
  <c r="V24" i="17"/>
  <c r="S26" i="17"/>
  <c r="U34" i="16"/>
  <c r="U34" i="17"/>
  <c r="Z7" i="16"/>
  <c r="Z7" i="17"/>
  <c r="G10" i="15"/>
  <c r="Z10" i="16"/>
  <c r="I11" i="15"/>
  <c r="AA11" i="16"/>
  <c r="Y21" i="15"/>
  <c r="Y21" i="16"/>
  <c r="W3" i="17"/>
  <c r="V5" i="17"/>
  <c r="W6" i="17"/>
  <c r="W8" i="17"/>
  <c r="U9" i="16"/>
  <c r="U9" i="17"/>
  <c r="S10" i="16"/>
  <c r="S10" i="17"/>
  <c r="S12" i="16"/>
  <c r="S12" i="17"/>
  <c r="W12" i="17"/>
  <c r="V13" i="16"/>
  <c r="V13" i="17"/>
  <c r="T14" i="16"/>
  <c r="T14" i="17"/>
  <c r="W18" i="17"/>
  <c r="V19" i="17"/>
  <c r="S22" i="17"/>
  <c r="W22" i="17"/>
  <c r="U23" i="17"/>
  <c r="S24" i="17"/>
  <c r="W25" i="17"/>
  <c r="V26" i="17"/>
  <c r="V30" i="17"/>
  <c r="T32" i="17"/>
  <c r="S34" i="16"/>
  <c r="S34" i="17"/>
  <c r="W34" i="16"/>
  <c r="W34" i="17"/>
  <c r="Z6" i="16"/>
  <c r="Z6" i="17"/>
  <c r="Y8" i="16"/>
  <c r="Y8" i="17"/>
  <c r="I7" i="15"/>
  <c r="AA7" i="16"/>
  <c r="E11" i="15"/>
  <c r="Y11" i="16"/>
  <c r="S9" i="16"/>
  <c r="S9" i="17"/>
  <c r="W11" i="17"/>
  <c r="S19" i="17"/>
  <c r="W23" i="17"/>
  <c r="V33" i="17"/>
  <c r="E7" i="15"/>
  <c r="Y7" i="16"/>
  <c r="K10" i="15"/>
  <c r="V10" i="16" s="1"/>
  <c r="AB10" i="16"/>
  <c r="AE20" i="16"/>
  <c r="AF20" i="16"/>
  <c r="W5" i="17"/>
  <c r="S8" i="16"/>
  <c r="V9" i="16"/>
  <c r="V9" i="17"/>
  <c r="U10" i="16"/>
  <c r="U10" i="17"/>
  <c r="V11" i="16"/>
  <c r="V11" i="17"/>
  <c r="T12" i="16"/>
  <c r="T12" i="17"/>
  <c r="W13" i="17"/>
  <c r="U14" i="16"/>
  <c r="U14" i="17"/>
  <c r="W19" i="17"/>
  <c r="V21" i="17"/>
  <c r="T22" i="17"/>
  <c r="V23" i="17"/>
  <c r="T24" i="17"/>
  <c r="S25" i="17"/>
  <c r="W26" i="17"/>
  <c r="W30" i="17"/>
  <c r="U32" i="17"/>
  <c r="S33" i="17"/>
  <c r="T34" i="16"/>
  <c r="T34" i="17"/>
  <c r="Y6" i="16"/>
  <c r="Y6" i="17"/>
  <c r="Z13" i="16"/>
  <c r="T5" i="17"/>
  <c r="T4" i="17"/>
  <c r="W4" i="17"/>
  <c r="H15" i="17"/>
  <c r="AA15" i="18" s="1"/>
  <c r="D15" i="17"/>
  <c r="Y15" i="18" s="1"/>
  <c r="F15" i="17"/>
  <c r="Z15" i="18" s="1"/>
  <c r="F27" i="17"/>
  <c r="Z27" i="18" s="1"/>
  <c r="F35" i="17"/>
  <c r="Z35" i="18" s="1"/>
  <c r="H35" i="17"/>
  <c r="AA35" i="18" s="1"/>
  <c r="D27" i="17"/>
  <c r="Y27" i="18" s="1"/>
  <c r="Y18" i="15"/>
  <c r="G6" i="16"/>
  <c r="G7" i="16"/>
  <c r="I7" i="16"/>
  <c r="I11" i="16"/>
  <c r="E20" i="16"/>
  <c r="O35" i="16"/>
  <c r="N35" i="16" s="1"/>
  <c r="G20" i="16"/>
  <c r="G25" i="16"/>
  <c r="M35" i="16"/>
  <c r="G13" i="16"/>
  <c r="G18" i="16"/>
  <c r="I6" i="16"/>
  <c r="I24" i="16"/>
  <c r="E3" i="16"/>
  <c r="E6" i="16"/>
  <c r="M20" i="16"/>
  <c r="G33" i="16"/>
  <c r="G8" i="16"/>
  <c r="E4" i="16"/>
  <c r="G19" i="16"/>
  <c r="K20" i="16"/>
  <c r="G21" i="16"/>
  <c r="I26" i="16"/>
  <c r="E35" i="16"/>
  <c r="I4" i="16"/>
  <c r="M15" i="16"/>
  <c r="W15" i="17" s="1"/>
  <c r="E11" i="16"/>
  <c r="G3" i="16"/>
  <c r="G11" i="16"/>
  <c r="I18" i="16"/>
  <c r="G30" i="16"/>
  <c r="E5" i="16"/>
  <c r="O15" i="16"/>
  <c r="N15" i="16" s="1"/>
  <c r="K15" i="16"/>
  <c r="G10" i="16"/>
  <c r="E7" i="16"/>
  <c r="E21" i="16"/>
  <c r="K35" i="16"/>
  <c r="I33" i="16"/>
  <c r="O20" i="16"/>
  <c r="O27" i="16" s="1"/>
  <c r="N27" i="16" s="1"/>
  <c r="I20" i="16"/>
  <c r="I30" i="16"/>
  <c r="H3" i="15"/>
  <c r="AA3" i="16" s="1"/>
  <c r="D3" i="15"/>
  <c r="Y3" i="16" s="1"/>
  <c r="F3" i="15"/>
  <c r="G3" i="15" s="1"/>
  <c r="AC34" i="15"/>
  <c r="AB34" i="15"/>
  <c r="AA34" i="15"/>
  <c r="Z34" i="15"/>
  <c r="Y34" i="15"/>
  <c r="AC33" i="15"/>
  <c r="AB33" i="15"/>
  <c r="Y33" i="15"/>
  <c r="AC32" i="15"/>
  <c r="AB32" i="15"/>
  <c r="Y32" i="15"/>
  <c r="AC31" i="15"/>
  <c r="AB31" i="15"/>
  <c r="AA31" i="15"/>
  <c r="Z31" i="15"/>
  <c r="Y31" i="15"/>
  <c r="W31" i="15"/>
  <c r="V31" i="15"/>
  <c r="U31" i="15"/>
  <c r="T31" i="15"/>
  <c r="S31" i="15"/>
  <c r="AC30" i="15"/>
  <c r="AB30" i="15"/>
  <c r="AC14" i="15"/>
  <c r="AB14" i="15"/>
  <c r="AA14" i="15"/>
  <c r="Z14" i="15"/>
  <c r="Y14" i="15"/>
  <c r="AC13" i="15"/>
  <c r="AB13" i="15"/>
  <c r="AA13" i="15"/>
  <c r="Y13" i="15"/>
  <c r="AC12" i="15"/>
  <c r="AB12" i="15"/>
  <c r="AA12" i="15"/>
  <c r="Z12" i="15"/>
  <c r="Y12" i="15"/>
  <c r="AC11" i="15"/>
  <c r="AB11" i="15"/>
  <c r="AA11" i="15"/>
  <c r="Y11" i="15"/>
  <c r="AC10" i="15"/>
  <c r="AB10" i="15"/>
  <c r="AA10" i="15"/>
  <c r="Y10" i="15"/>
  <c r="AC9" i="15"/>
  <c r="Y9" i="15"/>
  <c r="AC8" i="15"/>
  <c r="AB8" i="15"/>
  <c r="AA8" i="15"/>
  <c r="AC7" i="15"/>
  <c r="AB7" i="15"/>
  <c r="Z7" i="15"/>
  <c r="Y7" i="15"/>
  <c r="AC6" i="15"/>
  <c r="AB6" i="15"/>
  <c r="Z6" i="15"/>
  <c r="Y6" i="15"/>
  <c r="AC5" i="15"/>
  <c r="AB5" i="15"/>
  <c r="Z5" i="15"/>
  <c r="Y5" i="15"/>
  <c r="AC4" i="15"/>
  <c r="AB4" i="15"/>
  <c r="Y4" i="15"/>
  <c r="AC3" i="15"/>
  <c r="AB3" i="15"/>
  <c r="I4" i="15"/>
  <c r="C35" i="15"/>
  <c r="AF35" i="16" s="1"/>
  <c r="M33" i="15"/>
  <c r="W33" i="16" s="1"/>
  <c r="K33" i="15"/>
  <c r="V33" i="16" s="1"/>
  <c r="E33" i="15"/>
  <c r="S33" i="16" s="1"/>
  <c r="O32" i="15"/>
  <c r="M32" i="15"/>
  <c r="W32" i="16" s="1"/>
  <c r="K32" i="15"/>
  <c r="V32" i="16" s="1"/>
  <c r="E32" i="15"/>
  <c r="S32" i="16" s="1"/>
  <c r="O30" i="15"/>
  <c r="M30" i="15"/>
  <c r="W30" i="16" s="1"/>
  <c r="K30" i="15"/>
  <c r="V30" i="16" s="1"/>
  <c r="E30" i="15"/>
  <c r="S30" i="16" s="1"/>
  <c r="C27" i="15"/>
  <c r="AF27" i="16" s="1"/>
  <c r="O26" i="15"/>
  <c r="M26" i="15"/>
  <c r="W26" i="16" s="1"/>
  <c r="K26" i="15"/>
  <c r="V26" i="16" s="1"/>
  <c r="G26" i="15"/>
  <c r="T26" i="16" s="1"/>
  <c r="E26" i="15"/>
  <c r="S26" i="16" s="1"/>
  <c r="O25" i="15"/>
  <c r="M25" i="15"/>
  <c r="W25" i="16" s="1"/>
  <c r="K25" i="15"/>
  <c r="V25" i="16" s="1"/>
  <c r="I25" i="15"/>
  <c r="U25" i="16" s="1"/>
  <c r="E25" i="15"/>
  <c r="S25" i="16" s="1"/>
  <c r="O24" i="15"/>
  <c r="M24" i="15"/>
  <c r="W24" i="16" s="1"/>
  <c r="K24" i="15"/>
  <c r="V24" i="16" s="1"/>
  <c r="G24" i="15"/>
  <c r="T24" i="16" s="1"/>
  <c r="E24" i="15"/>
  <c r="S24" i="16" s="1"/>
  <c r="O23" i="15"/>
  <c r="M23" i="15"/>
  <c r="W23" i="16" s="1"/>
  <c r="K23" i="15"/>
  <c r="V23" i="16" s="1"/>
  <c r="I23" i="15"/>
  <c r="U23" i="16" s="1"/>
  <c r="G23" i="15"/>
  <c r="T23" i="16" s="1"/>
  <c r="E23" i="15"/>
  <c r="S23" i="16" s="1"/>
  <c r="O22" i="15"/>
  <c r="M22" i="15"/>
  <c r="W22" i="16" s="1"/>
  <c r="K22" i="15"/>
  <c r="V22" i="16" s="1"/>
  <c r="I22" i="15"/>
  <c r="U22" i="16" s="1"/>
  <c r="G22" i="15"/>
  <c r="T22" i="16" s="1"/>
  <c r="E22" i="15"/>
  <c r="S22" i="16" s="1"/>
  <c r="O21" i="15"/>
  <c r="M21" i="15"/>
  <c r="W21" i="16" s="1"/>
  <c r="K21" i="15"/>
  <c r="V21" i="16" s="1"/>
  <c r="I21" i="15"/>
  <c r="U21" i="16" s="1"/>
  <c r="E21" i="15"/>
  <c r="O20" i="15"/>
  <c r="M20" i="15"/>
  <c r="K20" i="15"/>
  <c r="E20" i="15"/>
  <c r="O19" i="15"/>
  <c r="M19" i="15"/>
  <c r="W19" i="16" s="1"/>
  <c r="K19" i="15"/>
  <c r="V19" i="16" s="1"/>
  <c r="I19" i="15"/>
  <c r="U19" i="16" s="1"/>
  <c r="G19" i="15"/>
  <c r="E19" i="15"/>
  <c r="S19" i="16" s="1"/>
  <c r="O18" i="15"/>
  <c r="M18" i="15"/>
  <c r="W18" i="16" s="1"/>
  <c r="K18" i="15"/>
  <c r="V18" i="16" s="1"/>
  <c r="I18" i="15"/>
  <c r="E18" i="15"/>
  <c r="S18" i="16" s="1"/>
  <c r="C15" i="15"/>
  <c r="AF15" i="16" s="1"/>
  <c r="O14" i="15"/>
  <c r="M14" i="15"/>
  <c r="W14" i="16" s="1"/>
  <c r="O13" i="15"/>
  <c r="M13" i="15"/>
  <c r="W13" i="16" s="1"/>
  <c r="O12" i="15"/>
  <c r="M12" i="15"/>
  <c r="W12" i="16" s="1"/>
  <c r="O11" i="15"/>
  <c r="M11" i="15"/>
  <c r="W11" i="16" s="1"/>
  <c r="O10" i="15"/>
  <c r="M10" i="15"/>
  <c r="W10" i="16" s="1"/>
  <c r="O9" i="15"/>
  <c r="M9" i="15"/>
  <c r="W9" i="16" s="1"/>
  <c r="O8" i="15"/>
  <c r="M8" i="15"/>
  <c r="W8" i="16" s="1"/>
  <c r="O7" i="15"/>
  <c r="M7" i="15"/>
  <c r="W7" i="16" s="1"/>
  <c r="O6" i="15"/>
  <c r="M6" i="15"/>
  <c r="W6" i="16" s="1"/>
  <c r="K6" i="15"/>
  <c r="V6" i="16" s="1"/>
  <c r="G6" i="15"/>
  <c r="O5" i="15"/>
  <c r="M5" i="15"/>
  <c r="W5" i="16" s="1"/>
  <c r="K5" i="15"/>
  <c r="V5" i="16" s="1"/>
  <c r="G5" i="15"/>
  <c r="T5" i="16" s="1"/>
  <c r="E5" i="15"/>
  <c r="O4" i="15"/>
  <c r="M4" i="15"/>
  <c r="W4" i="16" s="1"/>
  <c r="K4" i="15"/>
  <c r="V4" i="16" s="1"/>
  <c r="E4" i="15"/>
  <c r="O3" i="15"/>
  <c r="M3" i="15"/>
  <c r="W3" i="16" s="1"/>
  <c r="K3" i="15"/>
  <c r="V3" i="16" s="1"/>
  <c r="H32" i="12"/>
  <c r="F32" i="13"/>
  <c r="Z32" i="15" s="1"/>
  <c r="H32" i="13"/>
  <c r="I32" i="13" s="1"/>
  <c r="AC34" i="13"/>
  <c r="AB34" i="13"/>
  <c r="AA34" i="13"/>
  <c r="Z34" i="13"/>
  <c r="Y34" i="13"/>
  <c r="AC33" i="13"/>
  <c r="AB33" i="13"/>
  <c r="Y33" i="13"/>
  <c r="AC32" i="13"/>
  <c r="AB32" i="13"/>
  <c r="Y32" i="13"/>
  <c r="AC31" i="13"/>
  <c r="AB31" i="13"/>
  <c r="AA31" i="13"/>
  <c r="Z31" i="13"/>
  <c r="Y31" i="13"/>
  <c r="W31" i="13"/>
  <c r="V31" i="13"/>
  <c r="U31" i="13"/>
  <c r="T31" i="13"/>
  <c r="S31" i="13"/>
  <c r="AB30" i="13"/>
  <c r="AC26" i="13"/>
  <c r="AB26" i="13"/>
  <c r="Z26" i="13"/>
  <c r="Y26" i="13"/>
  <c r="AC25" i="13"/>
  <c r="AB25" i="13"/>
  <c r="Y25" i="13"/>
  <c r="AC24" i="13"/>
  <c r="AB24" i="13"/>
  <c r="Z24" i="13"/>
  <c r="Y24" i="13"/>
  <c r="AC23" i="13"/>
  <c r="AB23" i="13"/>
  <c r="AA23" i="13"/>
  <c r="Z23" i="13"/>
  <c r="Y23" i="13"/>
  <c r="AC22" i="13"/>
  <c r="AB22" i="13"/>
  <c r="Z22" i="13"/>
  <c r="Y22" i="13"/>
  <c r="AC21" i="13"/>
  <c r="AB21" i="13"/>
  <c r="Y21" i="13"/>
  <c r="AC20" i="13"/>
  <c r="AB20" i="13"/>
  <c r="Y20" i="13"/>
  <c r="AC19" i="13"/>
  <c r="AB19" i="13"/>
  <c r="Z19" i="13"/>
  <c r="Y19" i="13"/>
  <c r="AC18" i="13"/>
  <c r="AB18" i="13"/>
  <c r="AC14" i="13"/>
  <c r="AB14" i="13"/>
  <c r="AA14" i="13"/>
  <c r="Z14" i="13"/>
  <c r="Y14" i="13"/>
  <c r="AC13" i="13"/>
  <c r="AB13" i="13"/>
  <c r="AA13" i="13"/>
  <c r="Y13" i="13"/>
  <c r="AC12" i="13"/>
  <c r="AB12" i="13"/>
  <c r="Z12" i="13"/>
  <c r="Y12" i="13"/>
  <c r="AC11" i="13"/>
  <c r="AB11" i="13"/>
  <c r="Y11" i="13"/>
  <c r="AC10" i="13"/>
  <c r="AB10" i="13"/>
  <c r="AA10" i="13"/>
  <c r="Y10" i="13"/>
  <c r="AC9" i="13"/>
  <c r="Y9" i="13"/>
  <c r="AC8" i="13"/>
  <c r="AB8" i="13"/>
  <c r="AA8" i="13"/>
  <c r="AC7" i="13"/>
  <c r="AB7" i="13"/>
  <c r="Z7" i="13"/>
  <c r="AC6" i="13"/>
  <c r="AB6" i="13"/>
  <c r="Z6" i="13"/>
  <c r="Y6" i="13"/>
  <c r="AC5" i="13"/>
  <c r="AB5" i="13"/>
  <c r="Z5" i="13"/>
  <c r="Y5" i="13"/>
  <c r="AC4" i="13"/>
  <c r="AB4" i="13"/>
  <c r="Y4" i="13"/>
  <c r="AC3" i="13"/>
  <c r="AB3" i="13"/>
  <c r="H7" i="13"/>
  <c r="I7" i="13" s="1"/>
  <c r="F33" i="13"/>
  <c r="H33" i="13"/>
  <c r="H5" i="13"/>
  <c r="I5" i="13" s="1"/>
  <c r="H24" i="13"/>
  <c r="H26" i="13"/>
  <c r="H22" i="13"/>
  <c r="AA22" i="15" s="1"/>
  <c r="H21" i="13"/>
  <c r="F21" i="13"/>
  <c r="F20" i="13"/>
  <c r="H20" i="13"/>
  <c r="F13" i="13"/>
  <c r="F11" i="13"/>
  <c r="F10" i="13"/>
  <c r="G10" i="13" s="1"/>
  <c r="H9" i="13"/>
  <c r="F9" i="13"/>
  <c r="J9" i="13"/>
  <c r="K9" i="13" s="1"/>
  <c r="H6" i="13"/>
  <c r="H6" i="12"/>
  <c r="F4" i="13"/>
  <c r="G4" i="13" s="1"/>
  <c r="H4" i="13"/>
  <c r="H4" i="12"/>
  <c r="AA4" i="12" s="1"/>
  <c r="N30" i="13"/>
  <c r="O30" i="13" s="1"/>
  <c r="N30" i="12"/>
  <c r="O30" i="12" s="1"/>
  <c r="F30" i="13"/>
  <c r="Z30" i="15" s="1"/>
  <c r="D30" i="13"/>
  <c r="E30" i="13" s="1"/>
  <c r="H30" i="13"/>
  <c r="F25" i="13"/>
  <c r="H19" i="13"/>
  <c r="AA19" i="13" s="1"/>
  <c r="H18" i="13"/>
  <c r="I18" i="13" s="1"/>
  <c r="F18" i="13"/>
  <c r="E18" i="13"/>
  <c r="F8" i="13"/>
  <c r="D8" i="13"/>
  <c r="F3" i="13"/>
  <c r="G3" i="13" s="1"/>
  <c r="H3" i="13"/>
  <c r="I3" i="13" s="1"/>
  <c r="D3" i="13"/>
  <c r="O14" i="13"/>
  <c r="O13" i="13"/>
  <c r="O12" i="13"/>
  <c r="O11" i="13"/>
  <c r="O10" i="13"/>
  <c r="O9" i="13"/>
  <c r="O8" i="13"/>
  <c r="O7" i="13"/>
  <c r="O6" i="13"/>
  <c r="O5" i="13"/>
  <c r="O4" i="13"/>
  <c r="M14" i="13"/>
  <c r="M13" i="13"/>
  <c r="M12" i="13"/>
  <c r="M11" i="13"/>
  <c r="M10" i="13"/>
  <c r="M9" i="13"/>
  <c r="M8" i="13"/>
  <c r="M7" i="13"/>
  <c r="M6" i="13"/>
  <c r="M5" i="13"/>
  <c r="M4" i="13"/>
  <c r="K14" i="13"/>
  <c r="K13" i="13"/>
  <c r="K12" i="13"/>
  <c r="K11" i="13"/>
  <c r="K10" i="13"/>
  <c r="K8" i="13"/>
  <c r="K7" i="13"/>
  <c r="K6" i="13"/>
  <c r="K5" i="13"/>
  <c r="K4" i="13"/>
  <c r="I14" i="13"/>
  <c r="I13" i="13"/>
  <c r="I12" i="13"/>
  <c r="I11" i="13"/>
  <c r="I10" i="13"/>
  <c r="U10" i="15" s="1"/>
  <c r="I8" i="13"/>
  <c r="G14" i="13"/>
  <c r="G12" i="13"/>
  <c r="G7" i="13"/>
  <c r="G6" i="13"/>
  <c r="G5" i="13"/>
  <c r="E14" i="13"/>
  <c r="E13" i="13"/>
  <c r="S13" i="15" s="1"/>
  <c r="E12" i="13"/>
  <c r="E11" i="13"/>
  <c r="E10" i="13"/>
  <c r="E9" i="13"/>
  <c r="E7" i="13"/>
  <c r="E6" i="13"/>
  <c r="E5" i="13"/>
  <c r="E4" i="13"/>
  <c r="O3" i="13"/>
  <c r="M3" i="13"/>
  <c r="K3" i="13"/>
  <c r="G34" i="13"/>
  <c r="T34" i="15" s="1"/>
  <c r="M33" i="13"/>
  <c r="K33" i="13"/>
  <c r="E33" i="13"/>
  <c r="O32" i="13"/>
  <c r="M32" i="13"/>
  <c r="K32" i="13"/>
  <c r="E32" i="13"/>
  <c r="K30" i="13"/>
  <c r="O26" i="13"/>
  <c r="M26" i="13"/>
  <c r="K26" i="13"/>
  <c r="G26" i="13"/>
  <c r="E26" i="13"/>
  <c r="O25" i="13"/>
  <c r="M25" i="13"/>
  <c r="K25" i="13"/>
  <c r="I25" i="13"/>
  <c r="E25" i="13"/>
  <c r="O24" i="13"/>
  <c r="M24" i="13"/>
  <c r="K24" i="13"/>
  <c r="G24" i="13"/>
  <c r="E24" i="13"/>
  <c r="O23" i="13"/>
  <c r="M23" i="13"/>
  <c r="K23" i="13"/>
  <c r="I23" i="13"/>
  <c r="G23" i="13"/>
  <c r="E23" i="13"/>
  <c r="O22" i="13"/>
  <c r="M22" i="13"/>
  <c r="K22" i="13"/>
  <c r="G22" i="13"/>
  <c r="E22" i="13"/>
  <c r="O21" i="13"/>
  <c r="M21" i="13"/>
  <c r="K21" i="13"/>
  <c r="E21" i="13"/>
  <c r="O19" i="13"/>
  <c r="M19" i="13"/>
  <c r="K19" i="13"/>
  <c r="G19" i="13"/>
  <c r="E19" i="13"/>
  <c r="O18" i="13"/>
  <c r="M18" i="13"/>
  <c r="K18" i="13"/>
  <c r="C15" i="13"/>
  <c r="H18" i="12"/>
  <c r="H24" i="12"/>
  <c r="AA24" i="12" s="1"/>
  <c r="AC34" i="12"/>
  <c r="AB34" i="12"/>
  <c r="AA34" i="12"/>
  <c r="Z34" i="12"/>
  <c r="Y34" i="12"/>
  <c r="AC33" i="12"/>
  <c r="AB33" i="12"/>
  <c r="Y33" i="12"/>
  <c r="AC32" i="12"/>
  <c r="AB32" i="12"/>
  <c r="Z32" i="12"/>
  <c r="Y32" i="12"/>
  <c r="AC31" i="12"/>
  <c r="AB31" i="12"/>
  <c r="AA31" i="12"/>
  <c r="Z31" i="12"/>
  <c r="Y31" i="12"/>
  <c r="AB30" i="12"/>
  <c r="AC26" i="12"/>
  <c r="AB26" i="12"/>
  <c r="Z26" i="12"/>
  <c r="Y26" i="12"/>
  <c r="AC25" i="12"/>
  <c r="AB25" i="12"/>
  <c r="Y25" i="12"/>
  <c r="AC24" i="12"/>
  <c r="AB24" i="12"/>
  <c r="Z24" i="12"/>
  <c r="Y24" i="12"/>
  <c r="AC23" i="12"/>
  <c r="AB23" i="12"/>
  <c r="AA23" i="12"/>
  <c r="Z23" i="12"/>
  <c r="Y23" i="12"/>
  <c r="AC22" i="12"/>
  <c r="AB22" i="12"/>
  <c r="Z22" i="12"/>
  <c r="Y22" i="12"/>
  <c r="AC21" i="12"/>
  <c r="AB21" i="12"/>
  <c r="Y21" i="12"/>
  <c r="AC20" i="12"/>
  <c r="AB20" i="12"/>
  <c r="Z20" i="12"/>
  <c r="Y20" i="12"/>
  <c r="AC19" i="12"/>
  <c r="AB19" i="12"/>
  <c r="AA19" i="12"/>
  <c r="Y19" i="12"/>
  <c r="AC18" i="12"/>
  <c r="AB18" i="12"/>
  <c r="AC14" i="12"/>
  <c r="AB14" i="12"/>
  <c r="AA14" i="12"/>
  <c r="Z14" i="12"/>
  <c r="Y14" i="12"/>
  <c r="AC13" i="12"/>
  <c r="AB13" i="12"/>
  <c r="AA13" i="12"/>
  <c r="Y13" i="12"/>
  <c r="AC12" i="12"/>
  <c r="AB12" i="12"/>
  <c r="Z12" i="12"/>
  <c r="Y12" i="12"/>
  <c r="AC11" i="12"/>
  <c r="AB11" i="12"/>
  <c r="Y11" i="12"/>
  <c r="AC10" i="12"/>
  <c r="AB10" i="12"/>
  <c r="AA10" i="12"/>
  <c r="Y10" i="12"/>
  <c r="AC9" i="12"/>
  <c r="AB9" i="12"/>
  <c r="AA9" i="12"/>
  <c r="Z9" i="12"/>
  <c r="Y9" i="12"/>
  <c r="AC8" i="12"/>
  <c r="AB8" i="12"/>
  <c r="AA8" i="12"/>
  <c r="Y8" i="12"/>
  <c r="AC7" i="12"/>
  <c r="AB7" i="12"/>
  <c r="Z7" i="12"/>
  <c r="AC6" i="12"/>
  <c r="AB6" i="12"/>
  <c r="Z6" i="12"/>
  <c r="Y6" i="12"/>
  <c r="AC5" i="12"/>
  <c r="AB5" i="12"/>
  <c r="Z5" i="12"/>
  <c r="Y5" i="12"/>
  <c r="AC4" i="12"/>
  <c r="AB4" i="12"/>
  <c r="Y4" i="12"/>
  <c r="AC3" i="12"/>
  <c r="AB3" i="12"/>
  <c r="W31" i="12"/>
  <c r="V31" i="12"/>
  <c r="U31" i="12"/>
  <c r="T31" i="12"/>
  <c r="S31" i="12"/>
  <c r="C34" i="12"/>
  <c r="G34" i="12" s="1"/>
  <c r="H12" i="12"/>
  <c r="H33" i="12"/>
  <c r="I33" i="12" s="1"/>
  <c r="F33" i="12"/>
  <c r="Z33" i="12" s="1"/>
  <c r="M33" i="12"/>
  <c r="K33" i="12"/>
  <c r="E33" i="12"/>
  <c r="O32" i="12"/>
  <c r="M32" i="12"/>
  <c r="K32" i="12"/>
  <c r="G32" i="12"/>
  <c r="E32" i="12"/>
  <c r="K30" i="12"/>
  <c r="L30" i="12"/>
  <c r="H30" i="12"/>
  <c r="D30" i="12"/>
  <c r="E30" i="12" s="1"/>
  <c r="F30" i="12"/>
  <c r="G30" i="12" s="1"/>
  <c r="O18" i="12"/>
  <c r="M18" i="12"/>
  <c r="K18" i="12"/>
  <c r="D18" i="12"/>
  <c r="E18" i="12" s="1"/>
  <c r="F18" i="12"/>
  <c r="G18" i="12" s="1"/>
  <c r="H26" i="12"/>
  <c r="I26" i="12" s="1"/>
  <c r="H25" i="12"/>
  <c r="F25" i="12"/>
  <c r="G25" i="12" s="1"/>
  <c r="H22" i="12"/>
  <c r="I22" i="12" s="1"/>
  <c r="H21" i="12"/>
  <c r="I21" i="12" s="1"/>
  <c r="F21" i="12"/>
  <c r="H20" i="12"/>
  <c r="C20" i="12"/>
  <c r="G20" i="12" s="1"/>
  <c r="O26" i="12"/>
  <c r="O25" i="12"/>
  <c r="O24" i="12"/>
  <c r="O23" i="12"/>
  <c r="O22" i="12"/>
  <c r="O21" i="12"/>
  <c r="O19" i="12"/>
  <c r="M26" i="12"/>
  <c r="M25" i="12"/>
  <c r="M24" i="12"/>
  <c r="M23" i="12"/>
  <c r="M22" i="12"/>
  <c r="M21" i="12"/>
  <c r="M19" i="12"/>
  <c r="K26" i="12"/>
  <c r="K25" i="12"/>
  <c r="K24" i="12"/>
  <c r="K23" i="12"/>
  <c r="K22" i="12"/>
  <c r="K21" i="12"/>
  <c r="K19" i="12"/>
  <c r="I23" i="12"/>
  <c r="I19" i="12"/>
  <c r="G26" i="12"/>
  <c r="G24" i="12"/>
  <c r="G23" i="12"/>
  <c r="G22" i="12"/>
  <c r="G19" i="12"/>
  <c r="E26" i="12"/>
  <c r="E25" i="12"/>
  <c r="E24" i="12"/>
  <c r="E23" i="12"/>
  <c r="E22" i="12"/>
  <c r="E21" i="12"/>
  <c r="E19" i="12"/>
  <c r="F4" i="12"/>
  <c r="Z4" i="12" s="1"/>
  <c r="H5" i="12"/>
  <c r="F13" i="12"/>
  <c r="G13" i="12" s="1"/>
  <c r="H11" i="12"/>
  <c r="F11" i="12"/>
  <c r="G11" i="12" s="1"/>
  <c r="F10" i="12"/>
  <c r="Z10" i="12" s="1"/>
  <c r="H7" i="12"/>
  <c r="I7" i="12" s="1"/>
  <c r="O14" i="12"/>
  <c r="O13" i="12"/>
  <c r="O12" i="12"/>
  <c r="O11" i="12"/>
  <c r="O10" i="12"/>
  <c r="O9" i="12"/>
  <c r="O8" i="12"/>
  <c r="O7" i="12"/>
  <c r="O6" i="12"/>
  <c r="O5" i="12"/>
  <c r="O4" i="12"/>
  <c r="M14" i="12"/>
  <c r="M13" i="12"/>
  <c r="M12" i="12"/>
  <c r="M11" i="12"/>
  <c r="M10" i="12"/>
  <c r="M9" i="12"/>
  <c r="M8" i="12"/>
  <c r="M7" i="12"/>
  <c r="M6" i="12"/>
  <c r="M5" i="12"/>
  <c r="M4" i="12"/>
  <c r="K14" i="12"/>
  <c r="K13" i="12"/>
  <c r="K12" i="12"/>
  <c r="V12" i="12" s="1"/>
  <c r="K11" i="12"/>
  <c r="K10" i="12"/>
  <c r="K9" i="12"/>
  <c r="K8" i="12"/>
  <c r="K7" i="12"/>
  <c r="K6" i="12"/>
  <c r="K5" i="12"/>
  <c r="K4" i="12"/>
  <c r="I14" i="12"/>
  <c r="I13" i="12"/>
  <c r="I10" i="12"/>
  <c r="I9" i="12"/>
  <c r="I8" i="12"/>
  <c r="G12" i="12"/>
  <c r="G9" i="12"/>
  <c r="G7" i="12"/>
  <c r="G6" i="12"/>
  <c r="G5" i="12"/>
  <c r="E13" i="12"/>
  <c r="E12" i="12"/>
  <c r="E11" i="12"/>
  <c r="E10" i="12"/>
  <c r="E9" i="12"/>
  <c r="E8" i="12"/>
  <c r="E6" i="12"/>
  <c r="E5" i="12"/>
  <c r="E4" i="12"/>
  <c r="F8" i="12"/>
  <c r="Z8" i="12" s="1"/>
  <c r="G14" i="12"/>
  <c r="E14" i="12"/>
  <c r="K3" i="12"/>
  <c r="H3" i="12"/>
  <c r="I3" i="12" s="1"/>
  <c r="F3" i="12"/>
  <c r="G3" i="12" s="1"/>
  <c r="C15" i="12"/>
  <c r="O3" i="12"/>
  <c r="M3" i="12"/>
  <c r="E3" i="12"/>
  <c r="H30" i="11"/>
  <c r="I30" i="11" s="1"/>
  <c r="F30" i="11"/>
  <c r="D30" i="11"/>
  <c r="H18" i="11"/>
  <c r="I18" i="11" s="1"/>
  <c r="F18" i="11"/>
  <c r="D18" i="11"/>
  <c r="H3" i="11"/>
  <c r="I3" i="11" s="1"/>
  <c r="F3" i="11"/>
  <c r="G3" i="11" s="1"/>
  <c r="D3" i="11"/>
  <c r="E3" i="11" s="1"/>
  <c r="H33" i="11"/>
  <c r="I33" i="11" s="1"/>
  <c r="H32" i="11"/>
  <c r="AA26" i="11"/>
  <c r="H25" i="11"/>
  <c r="F25" i="11"/>
  <c r="H21" i="11"/>
  <c r="I21" i="11" s="1"/>
  <c r="F21" i="11"/>
  <c r="Z21" i="11" s="1"/>
  <c r="H20" i="11"/>
  <c r="F19" i="11"/>
  <c r="Z13" i="11"/>
  <c r="E13" i="11"/>
  <c r="Y31" i="11"/>
  <c r="Z31" i="11"/>
  <c r="AA31" i="11"/>
  <c r="AB31" i="11"/>
  <c r="AC31" i="11"/>
  <c r="Y32" i="11"/>
  <c r="Z32" i="11"/>
  <c r="AB32" i="11"/>
  <c r="AC32" i="11"/>
  <c r="Y33" i="11"/>
  <c r="AB33" i="11"/>
  <c r="AC33" i="11"/>
  <c r="Y34" i="11"/>
  <c r="Z34" i="11"/>
  <c r="AA34" i="11"/>
  <c r="AB34" i="11"/>
  <c r="AC34" i="11"/>
  <c r="AC30" i="11"/>
  <c r="AB30" i="11"/>
  <c r="S31" i="11"/>
  <c r="T31" i="11"/>
  <c r="U31" i="11"/>
  <c r="V31" i="11"/>
  <c r="W31" i="11"/>
  <c r="Y19" i="11"/>
  <c r="AB19" i="11"/>
  <c r="AC19" i="11"/>
  <c r="Y20" i="11"/>
  <c r="Z20" i="11"/>
  <c r="AB20" i="11"/>
  <c r="AC20" i="11"/>
  <c r="Y21" i="11"/>
  <c r="AB21" i="11"/>
  <c r="AC21" i="11"/>
  <c r="Y22" i="11"/>
  <c r="Z22" i="11"/>
  <c r="AA22" i="11"/>
  <c r="AB22" i="11"/>
  <c r="AC22" i="11"/>
  <c r="Y23" i="11"/>
  <c r="Z23" i="11"/>
  <c r="AA23" i="11"/>
  <c r="AB23" i="11"/>
  <c r="AC23" i="11"/>
  <c r="Y24" i="11"/>
  <c r="Z24" i="11"/>
  <c r="AA24" i="11"/>
  <c r="AB24" i="11"/>
  <c r="AC24" i="11"/>
  <c r="Y25" i="11"/>
  <c r="AB25" i="11"/>
  <c r="AC25" i="11"/>
  <c r="Y26" i="11"/>
  <c r="Z26" i="11"/>
  <c r="AB26" i="11"/>
  <c r="AC26" i="11"/>
  <c r="AC18" i="11"/>
  <c r="AB18" i="11"/>
  <c r="V12" i="11"/>
  <c r="Y4" i="11"/>
  <c r="Z4" i="11"/>
  <c r="AB4" i="11"/>
  <c r="AC4" i="11"/>
  <c r="Z5" i="11"/>
  <c r="AB5" i="11"/>
  <c r="AC5" i="11"/>
  <c r="Y6" i="11"/>
  <c r="Z6" i="11"/>
  <c r="AB6" i="11"/>
  <c r="AC6" i="11"/>
  <c r="Y7" i="11"/>
  <c r="Z7" i="11"/>
  <c r="AB7" i="11"/>
  <c r="AC7" i="11"/>
  <c r="Y8" i="11"/>
  <c r="AB8" i="11"/>
  <c r="AC8" i="11"/>
  <c r="Y9" i="11"/>
  <c r="Z9" i="11"/>
  <c r="AA9" i="11"/>
  <c r="AB9" i="11"/>
  <c r="AC9" i="11"/>
  <c r="Y10" i="11"/>
  <c r="Z10" i="11"/>
  <c r="AA10" i="11"/>
  <c r="AB10" i="11"/>
  <c r="AC10" i="11"/>
  <c r="Y11" i="11"/>
  <c r="AB11" i="11"/>
  <c r="AC11" i="11"/>
  <c r="Y12" i="11"/>
  <c r="Z12" i="11"/>
  <c r="AA12" i="11"/>
  <c r="AB12" i="11"/>
  <c r="AC12" i="11"/>
  <c r="Y13" i="11"/>
  <c r="AA13" i="11"/>
  <c r="AB13" i="11"/>
  <c r="AC13" i="11"/>
  <c r="Y14" i="11"/>
  <c r="Z14" i="11"/>
  <c r="AA14" i="11"/>
  <c r="AB14" i="11"/>
  <c r="AC14" i="11"/>
  <c r="AC3" i="11"/>
  <c r="AB3" i="11"/>
  <c r="H11" i="11"/>
  <c r="F11" i="11"/>
  <c r="I8" i="11"/>
  <c r="H7" i="11"/>
  <c r="I7" i="11" s="1"/>
  <c r="H6" i="11"/>
  <c r="H5" i="11"/>
  <c r="AA5" i="11" s="1"/>
  <c r="C35" i="11"/>
  <c r="M34" i="11"/>
  <c r="K34" i="11"/>
  <c r="I34" i="11"/>
  <c r="G34" i="11"/>
  <c r="E34" i="11"/>
  <c r="M33" i="11"/>
  <c r="K33" i="11"/>
  <c r="E33" i="11"/>
  <c r="M32" i="11"/>
  <c r="K32" i="11"/>
  <c r="G32" i="11"/>
  <c r="E32" i="11"/>
  <c r="O32" i="11" s="1"/>
  <c r="M30" i="11"/>
  <c r="K30" i="11"/>
  <c r="C27" i="11"/>
  <c r="K26" i="11"/>
  <c r="I26" i="11"/>
  <c r="G26" i="11"/>
  <c r="E26" i="11"/>
  <c r="M26" i="11" s="1"/>
  <c r="K25" i="11"/>
  <c r="E25" i="11"/>
  <c r="M25" i="11" s="1"/>
  <c r="K24" i="11"/>
  <c r="I24" i="11"/>
  <c r="G24" i="11"/>
  <c r="O24" i="11" s="1"/>
  <c r="E24" i="11"/>
  <c r="K23" i="11"/>
  <c r="I23" i="11"/>
  <c r="G23" i="11"/>
  <c r="O23" i="11" s="1"/>
  <c r="E23" i="11"/>
  <c r="K22" i="11"/>
  <c r="I22" i="11"/>
  <c r="G22" i="11"/>
  <c r="O22" i="11" s="1"/>
  <c r="E22" i="11"/>
  <c r="K21" i="11"/>
  <c r="E21" i="11"/>
  <c r="K20" i="11"/>
  <c r="G20" i="11"/>
  <c r="E20" i="11"/>
  <c r="K19" i="11"/>
  <c r="I19" i="11"/>
  <c r="E19" i="11"/>
  <c r="K18" i="11"/>
  <c r="C15" i="11"/>
  <c r="O14" i="11"/>
  <c r="M14" i="11"/>
  <c r="K14" i="11"/>
  <c r="I14" i="11"/>
  <c r="G14" i="11"/>
  <c r="E14" i="11"/>
  <c r="O13" i="11"/>
  <c r="M13" i="11"/>
  <c r="K13" i="11"/>
  <c r="I13" i="11"/>
  <c r="G13" i="11"/>
  <c r="O12" i="11"/>
  <c r="M12" i="11"/>
  <c r="I12" i="11"/>
  <c r="G12" i="11"/>
  <c r="E12" i="11"/>
  <c r="O11" i="11"/>
  <c r="M11" i="11"/>
  <c r="K11" i="11"/>
  <c r="E11" i="11"/>
  <c r="O10" i="11"/>
  <c r="M10" i="11"/>
  <c r="K10" i="11"/>
  <c r="I10" i="11"/>
  <c r="G10" i="11"/>
  <c r="E10" i="11"/>
  <c r="O9" i="11"/>
  <c r="M9" i="11"/>
  <c r="K9" i="11"/>
  <c r="I9" i="11"/>
  <c r="G9" i="11"/>
  <c r="E9" i="11"/>
  <c r="O8" i="11"/>
  <c r="M8" i="11"/>
  <c r="K8" i="11"/>
  <c r="E8" i="11"/>
  <c r="O7" i="11"/>
  <c r="M7" i="11"/>
  <c r="K7" i="11"/>
  <c r="G7" i="11"/>
  <c r="E7" i="11"/>
  <c r="O6" i="11"/>
  <c r="M6" i="11"/>
  <c r="K6" i="11"/>
  <c r="E6" i="11"/>
  <c r="O5" i="11"/>
  <c r="M5" i="11"/>
  <c r="K5" i="11"/>
  <c r="G5" i="11"/>
  <c r="E5" i="11"/>
  <c r="O4" i="11"/>
  <c r="M4" i="11"/>
  <c r="K4" i="11"/>
  <c r="I4" i="11"/>
  <c r="G4" i="11"/>
  <c r="E4" i="11"/>
  <c r="O3" i="11"/>
  <c r="M3" i="11"/>
  <c r="K3" i="11"/>
  <c r="AA32" i="10"/>
  <c r="F30" i="10"/>
  <c r="H30" i="10"/>
  <c r="I30" i="10" s="1"/>
  <c r="D30" i="10"/>
  <c r="Y30" i="10" s="1"/>
  <c r="H33" i="10"/>
  <c r="AA33" i="10" s="1"/>
  <c r="F33" i="10"/>
  <c r="Z33" i="10" s="1"/>
  <c r="H25" i="10"/>
  <c r="I25" i="10" s="1"/>
  <c r="F25" i="10"/>
  <c r="H21" i="10"/>
  <c r="AA21" i="10" s="1"/>
  <c r="H20" i="10"/>
  <c r="AA20" i="10" s="1"/>
  <c r="H19" i="10"/>
  <c r="AA19" i="10" s="1"/>
  <c r="F19" i="10"/>
  <c r="H18" i="10"/>
  <c r="F18" i="10"/>
  <c r="D18" i="10"/>
  <c r="E18" i="10" s="1"/>
  <c r="H11" i="10"/>
  <c r="I11" i="10" s="1"/>
  <c r="F11" i="10"/>
  <c r="H8" i="10"/>
  <c r="AA8" i="11" s="1"/>
  <c r="F8" i="10"/>
  <c r="G8" i="10" s="1"/>
  <c r="H7" i="10"/>
  <c r="H6" i="10"/>
  <c r="I6" i="10" s="1"/>
  <c r="D5" i="10"/>
  <c r="Y5" i="10" s="1"/>
  <c r="H4" i="10"/>
  <c r="F3" i="10"/>
  <c r="D3" i="10"/>
  <c r="AC3" i="10"/>
  <c r="AB3" i="10"/>
  <c r="W31" i="10"/>
  <c r="V31" i="10"/>
  <c r="U31" i="10"/>
  <c r="T31" i="10"/>
  <c r="S31" i="10"/>
  <c r="V12" i="10"/>
  <c r="Y3" i="6"/>
  <c r="E10" i="9"/>
  <c r="AC34" i="10"/>
  <c r="AB34" i="10"/>
  <c r="AA34" i="10"/>
  <c r="Z34" i="10"/>
  <c r="Y34" i="10"/>
  <c r="AC33" i="10"/>
  <c r="AB33" i="10"/>
  <c r="Y33" i="10"/>
  <c r="AC32" i="10"/>
  <c r="AB32" i="10"/>
  <c r="Z32" i="10"/>
  <c r="Y32" i="10"/>
  <c r="AC31" i="10"/>
  <c r="AB31" i="10"/>
  <c r="AA31" i="10"/>
  <c r="Z31" i="10"/>
  <c r="Y31" i="10"/>
  <c r="AC30" i="10"/>
  <c r="AB30" i="10"/>
  <c r="AC26" i="10"/>
  <c r="AB26" i="10"/>
  <c r="AA26" i="10"/>
  <c r="Z26" i="10"/>
  <c r="Y26" i="10"/>
  <c r="AC25" i="10"/>
  <c r="AB25" i="10"/>
  <c r="Y25" i="10"/>
  <c r="AC24" i="10"/>
  <c r="AB24" i="10"/>
  <c r="AA24" i="10"/>
  <c r="Z24" i="10"/>
  <c r="Y24" i="10"/>
  <c r="AC23" i="10"/>
  <c r="AB23" i="10"/>
  <c r="AA23" i="10"/>
  <c r="Z23" i="10"/>
  <c r="Y23" i="10"/>
  <c r="AC22" i="10"/>
  <c r="AB22" i="10"/>
  <c r="AA22" i="10"/>
  <c r="Z22" i="10"/>
  <c r="Y22" i="10"/>
  <c r="AC21" i="10"/>
  <c r="AB21" i="10"/>
  <c r="Z21" i="10"/>
  <c r="Y21" i="10"/>
  <c r="AC20" i="10"/>
  <c r="AB20" i="10"/>
  <c r="Z20" i="10"/>
  <c r="Y20" i="10"/>
  <c r="AC19" i="10"/>
  <c r="AB19" i="10"/>
  <c r="Y19" i="10"/>
  <c r="AC18" i="10"/>
  <c r="AB18" i="10"/>
  <c r="Y4" i="10"/>
  <c r="Z4" i="10"/>
  <c r="AB4" i="10"/>
  <c r="AC4" i="10"/>
  <c r="Z5" i="10"/>
  <c r="AB5" i="10"/>
  <c r="AC5" i="10"/>
  <c r="Y6" i="10"/>
  <c r="Z6" i="10"/>
  <c r="AB6" i="10"/>
  <c r="AC6" i="10"/>
  <c r="Y7" i="10"/>
  <c r="Z7" i="10"/>
  <c r="AB7" i="10"/>
  <c r="AC7" i="10"/>
  <c r="Y8" i="10"/>
  <c r="AB8" i="10"/>
  <c r="AC8" i="10"/>
  <c r="Y9" i="10"/>
  <c r="Z9" i="10"/>
  <c r="AA9" i="10"/>
  <c r="AB9" i="10"/>
  <c r="AC9" i="10"/>
  <c r="Y10" i="10"/>
  <c r="Z10" i="10"/>
  <c r="AA10" i="10"/>
  <c r="AB10" i="10"/>
  <c r="AC10" i="10"/>
  <c r="Y11" i="10"/>
  <c r="AB11" i="10"/>
  <c r="AC11" i="10"/>
  <c r="Y12" i="10"/>
  <c r="Z12" i="10"/>
  <c r="AA12" i="10"/>
  <c r="AB12" i="10"/>
  <c r="AC12" i="10"/>
  <c r="Y13" i="10"/>
  <c r="Z13" i="10"/>
  <c r="AA13" i="10"/>
  <c r="AB13" i="10"/>
  <c r="AC13" i="10"/>
  <c r="Y14" i="10"/>
  <c r="Z14" i="10"/>
  <c r="AA14" i="10"/>
  <c r="AB14" i="10"/>
  <c r="AC14" i="10"/>
  <c r="C35" i="10"/>
  <c r="M34" i="10"/>
  <c r="K34" i="10"/>
  <c r="I34" i="10"/>
  <c r="G34" i="10"/>
  <c r="E34" i="10"/>
  <c r="O34" i="10" s="1"/>
  <c r="M33" i="10"/>
  <c r="K33" i="10"/>
  <c r="E33" i="10"/>
  <c r="O33" i="10" s="1"/>
  <c r="M32" i="10"/>
  <c r="K32" i="10"/>
  <c r="G32" i="10"/>
  <c r="E32" i="10"/>
  <c r="O32" i="10" s="1"/>
  <c r="M30" i="10"/>
  <c r="K30" i="10"/>
  <c r="C27" i="10"/>
  <c r="K26" i="10"/>
  <c r="I26" i="10"/>
  <c r="G26" i="10"/>
  <c r="O26" i="10" s="1"/>
  <c r="E26" i="10"/>
  <c r="M26" i="10" s="1"/>
  <c r="K25" i="10"/>
  <c r="E25" i="10"/>
  <c r="M25" i="10" s="1"/>
  <c r="K24" i="10"/>
  <c r="I24" i="10"/>
  <c r="G24" i="10"/>
  <c r="O24" i="10" s="1"/>
  <c r="E24" i="10"/>
  <c r="K23" i="10"/>
  <c r="I23" i="10"/>
  <c r="G23" i="10"/>
  <c r="O23" i="10" s="1"/>
  <c r="E23" i="10"/>
  <c r="K22" i="10"/>
  <c r="I22" i="10"/>
  <c r="G22" i="10"/>
  <c r="O22" i="10" s="1"/>
  <c r="E22" i="10"/>
  <c r="K21" i="10"/>
  <c r="G21" i="10"/>
  <c r="O21" i="10" s="1"/>
  <c r="E21" i="10"/>
  <c r="K20" i="10"/>
  <c r="G20" i="10"/>
  <c r="O20" i="10" s="1"/>
  <c r="E20" i="10"/>
  <c r="K19" i="10"/>
  <c r="E19" i="10"/>
  <c r="K18" i="10"/>
  <c r="C15" i="10"/>
  <c r="O14" i="10"/>
  <c r="M14" i="10"/>
  <c r="K14" i="10"/>
  <c r="I14" i="10"/>
  <c r="G14" i="10"/>
  <c r="E14" i="10"/>
  <c r="O13" i="10"/>
  <c r="M13" i="10"/>
  <c r="K13" i="10"/>
  <c r="I13" i="10"/>
  <c r="G13" i="10"/>
  <c r="E13" i="10"/>
  <c r="O12" i="10"/>
  <c r="M12" i="10"/>
  <c r="I12" i="10"/>
  <c r="G12" i="10"/>
  <c r="E12" i="10"/>
  <c r="O11" i="10"/>
  <c r="M11" i="10"/>
  <c r="K11" i="10"/>
  <c r="E11" i="10"/>
  <c r="O10" i="10"/>
  <c r="M10" i="10"/>
  <c r="K10" i="10"/>
  <c r="I10" i="10"/>
  <c r="G10" i="10"/>
  <c r="E10" i="10"/>
  <c r="O9" i="10"/>
  <c r="M9" i="10"/>
  <c r="K9" i="10"/>
  <c r="I9" i="10"/>
  <c r="G9" i="10"/>
  <c r="E9" i="10"/>
  <c r="O8" i="10"/>
  <c r="M8" i="10"/>
  <c r="K8" i="10"/>
  <c r="E8" i="10"/>
  <c r="O7" i="10"/>
  <c r="M7" i="10"/>
  <c r="K7" i="10"/>
  <c r="G7" i="10"/>
  <c r="E7" i="10"/>
  <c r="O6" i="10"/>
  <c r="M6" i="10"/>
  <c r="K6" i="10"/>
  <c r="G6" i="10"/>
  <c r="E6" i="10"/>
  <c r="O5" i="10"/>
  <c r="M5" i="10"/>
  <c r="K5" i="10"/>
  <c r="I5" i="10"/>
  <c r="G5" i="10"/>
  <c r="O4" i="10"/>
  <c r="M4" i="10"/>
  <c r="K4" i="10"/>
  <c r="G4" i="10"/>
  <c r="E4" i="10"/>
  <c r="O3" i="10"/>
  <c r="M3" i="10"/>
  <c r="K3" i="10"/>
  <c r="I3" i="10"/>
  <c r="H30" i="8"/>
  <c r="F30" i="8"/>
  <c r="D30" i="8"/>
  <c r="H18" i="8"/>
  <c r="F18" i="8"/>
  <c r="D18" i="8"/>
  <c r="E30" i="10" l="1"/>
  <c r="E35" i="10" s="1"/>
  <c r="Z32" i="13"/>
  <c r="AE15" i="16"/>
  <c r="U4" i="16"/>
  <c r="U4" i="17"/>
  <c r="V20" i="16"/>
  <c r="V20" i="17"/>
  <c r="U24" i="17"/>
  <c r="S20" i="16"/>
  <c r="S20" i="17"/>
  <c r="S7" i="16"/>
  <c r="S7" i="17"/>
  <c r="S5" i="16"/>
  <c r="S5" i="17"/>
  <c r="T3" i="16"/>
  <c r="T3" i="17"/>
  <c r="S35" i="17"/>
  <c r="T19" i="16"/>
  <c r="T19" i="17"/>
  <c r="W20" i="16"/>
  <c r="W20" i="17"/>
  <c r="U6" i="17"/>
  <c r="T25" i="17"/>
  <c r="U11" i="16"/>
  <c r="U11" i="17"/>
  <c r="U20" i="17"/>
  <c r="S21" i="16"/>
  <c r="S21" i="17"/>
  <c r="T11" i="16"/>
  <c r="T11" i="17"/>
  <c r="T33" i="17"/>
  <c r="W35" i="17"/>
  <c r="T6" i="16"/>
  <c r="T6" i="17"/>
  <c r="U33" i="17"/>
  <c r="T10" i="16"/>
  <c r="T10" i="17"/>
  <c r="T30" i="17"/>
  <c r="S11" i="16"/>
  <c r="S11" i="17"/>
  <c r="U26" i="17"/>
  <c r="S4" i="16"/>
  <c r="S4" i="17"/>
  <c r="S6" i="16"/>
  <c r="S6" i="17"/>
  <c r="T18" i="17"/>
  <c r="T20" i="17"/>
  <c r="U7" i="16"/>
  <c r="U7" i="17"/>
  <c r="Z3" i="16"/>
  <c r="S11" i="15"/>
  <c r="U30" i="17"/>
  <c r="V35" i="17"/>
  <c r="V15" i="17"/>
  <c r="U18" i="16"/>
  <c r="U18" i="17"/>
  <c r="T21" i="17"/>
  <c r="T8" i="16"/>
  <c r="T8" i="17"/>
  <c r="S3" i="17"/>
  <c r="T13" i="16"/>
  <c r="T13" i="17"/>
  <c r="T7" i="16"/>
  <c r="T7" i="17"/>
  <c r="AE35" i="16"/>
  <c r="AE27" i="16"/>
  <c r="L15" i="16"/>
  <c r="W13" i="15"/>
  <c r="AA32" i="12"/>
  <c r="U8" i="15"/>
  <c r="U12" i="15"/>
  <c r="V18" i="15"/>
  <c r="T19" i="15"/>
  <c r="S23" i="15"/>
  <c r="W23" i="15"/>
  <c r="V24" i="15"/>
  <c r="U25" i="15"/>
  <c r="S26" i="15"/>
  <c r="W32" i="15"/>
  <c r="AA24" i="15"/>
  <c r="Y8" i="13"/>
  <c r="I6" i="13"/>
  <c r="Z20" i="13"/>
  <c r="Z20" i="15"/>
  <c r="G33" i="13"/>
  <c r="S5" i="15"/>
  <c r="S21" i="15"/>
  <c r="V22" i="15"/>
  <c r="T23" i="15"/>
  <c r="W24" i="15"/>
  <c r="V25" i="15"/>
  <c r="T26" i="15"/>
  <c r="V30" i="15"/>
  <c r="V33" i="15"/>
  <c r="S14" i="15"/>
  <c r="Z25" i="15"/>
  <c r="AA26" i="15"/>
  <c r="Z18" i="15"/>
  <c r="AA9" i="13"/>
  <c r="G32" i="13"/>
  <c r="W21" i="15"/>
  <c r="AA30" i="15"/>
  <c r="S32" i="15"/>
  <c r="AA33" i="15"/>
  <c r="Y3" i="15"/>
  <c r="G8" i="13"/>
  <c r="AA4" i="15"/>
  <c r="AB9" i="13"/>
  <c r="G11" i="13"/>
  <c r="T11" i="15" s="1"/>
  <c r="AA7" i="15"/>
  <c r="V4" i="15"/>
  <c r="T5" i="15"/>
  <c r="W11" i="15"/>
  <c r="U14" i="15"/>
  <c r="S18" i="15"/>
  <c r="V19" i="15"/>
  <c r="S22" i="15"/>
  <c r="W22" i="15"/>
  <c r="U23" i="15"/>
  <c r="S24" i="15"/>
  <c r="W25" i="15"/>
  <c r="V26" i="15"/>
  <c r="S30" i="15"/>
  <c r="AA32" i="15"/>
  <c r="S33" i="15"/>
  <c r="W33" i="15"/>
  <c r="Z21" i="15"/>
  <c r="AA18" i="15"/>
  <c r="Z9" i="13"/>
  <c r="G13" i="13"/>
  <c r="I21" i="13"/>
  <c r="AA21" i="15"/>
  <c r="S9" i="15"/>
  <c r="U18" i="15"/>
  <c r="S19" i="15"/>
  <c r="W19" i="15"/>
  <c r="V21" i="15"/>
  <c r="T22" i="15"/>
  <c r="V23" i="15"/>
  <c r="T24" i="15"/>
  <c r="S25" i="15"/>
  <c r="W26" i="15"/>
  <c r="V32" i="15"/>
  <c r="Z33" i="15"/>
  <c r="AA20" i="15"/>
  <c r="AA19" i="15"/>
  <c r="L35" i="16"/>
  <c r="D35" i="16"/>
  <c r="M27" i="16"/>
  <c r="K27" i="16"/>
  <c r="I15" i="16"/>
  <c r="G27" i="16"/>
  <c r="G15" i="16"/>
  <c r="J15" i="16"/>
  <c r="E27" i="16"/>
  <c r="J35" i="16"/>
  <c r="E15" i="16"/>
  <c r="I35" i="16"/>
  <c r="G35" i="16"/>
  <c r="I27" i="16"/>
  <c r="W18" i="15"/>
  <c r="W5" i="15"/>
  <c r="W6" i="15"/>
  <c r="U7" i="15"/>
  <c r="S10" i="15"/>
  <c r="AA3" i="15"/>
  <c r="Z8" i="15"/>
  <c r="AB9" i="15"/>
  <c r="Z10" i="15"/>
  <c r="Z13" i="15"/>
  <c r="S4" i="15"/>
  <c r="V7" i="15"/>
  <c r="V8" i="15"/>
  <c r="V12" i="15"/>
  <c r="V14" i="15"/>
  <c r="Z4" i="15"/>
  <c r="AA5" i="15"/>
  <c r="V3" i="15"/>
  <c r="T6" i="15"/>
  <c r="S7" i="15"/>
  <c r="W7" i="15"/>
  <c r="W8" i="15"/>
  <c r="W9" i="15"/>
  <c r="V10" i="15"/>
  <c r="U11" i="15"/>
  <c r="S12" i="15"/>
  <c r="W12" i="15"/>
  <c r="U13" i="15"/>
  <c r="W14" i="15"/>
  <c r="AA6" i="15"/>
  <c r="Z9" i="15"/>
  <c r="T3" i="15"/>
  <c r="W3" i="15"/>
  <c r="W4" i="15"/>
  <c r="V5" i="15"/>
  <c r="V6" i="15"/>
  <c r="T7" i="15"/>
  <c r="W10" i="15"/>
  <c r="V11" i="15"/>
  <c r="T12" i="15"/>
  <c r="V13" i="15"/>
  <c r="T14" i="15"/>
  <c r="Y8" i="15"/>
  <c r="AA9" i="15"/>
  <c r="Z11" i="15"/>
  <c r="Y30" i="15"/>
  <c r="Z3" i="15"/>
  <c r="S3" i="12"/>
  <c r="AA6" i="10"/>
  <c r="I33" i="10"/>
  <c r="U33" i="11" s="1"/>
  <c r="I19" i="13"/>
  <c r="S6" i="15"/>
  <c r="U23" i="11"/>
  <c r="W26" i="11"/>
  <c r="S11" i="12"/>
  <c r="I19" i="10"/>
  <c r="U19" i="11" s="1"/>
  <c r="I20" i="10"/>
  <c r="W4" i="11"/>
  <c r="I5" i="11"/>
  <c r="U5" i="11" s="1"/>
  <c r="S6" i="11"/>
  <c r="S7" i="11"/>
  <c r="T26" i="13"/>
  <c r="S10" i="10"/>
  <c r="W26" i="13"/>
  <c r="E8" i="13"/>
  <c r="S8" i="15" s="1"/>
  <c r="U7" i="12"/>
  <c r="AA18" i="12"/>
  <c r="V19" i="13"/>
  <c r="S4" i="13"/>
  <c r="U7" i="13"/>
  <c r="V5" i="13"/>
  <c r="V9" i="13"/>
  <c r="V13" i="13"/>
  <c r="W6" i="13"/>
  <c r="W10" i="13"/>
  <c r="W14" i="13"/>
  <c r="AA8" i="10"/>
  <c r="G33" i="10"/>
  <c r="G21" i="11"/>
  <c r="O21" i="11" s="1"/>
  <c r="G4" i="15"/>
  <c r="I8" i="10"/>
  <c r="U8" i="11" s="1"/>
  <c r="Y30" i="11"/>
  <c r="G9" i="13"/>
  <c r="AA30" i="13"/>
  <c r="AA22" i="13"/>
  <c r="S4" i="11"/>
  <c r="V9" i="11"/>
  <c r="T6" i="13"/>
  <c r="I32" i="11"/>
  <c r="I35" i="11" s="1"/>
  <c r="V3" i="12"/>
  <c r="G8" i="12"/>
  <c r="S8" i="12"/>
  <c r="S12" i="12"/>
  <c r="T7" i="12"/>
  <c r="U8" i="12"/>
  <c r="U14" i="12"/>
  <c r="V7" i="12"/>
  <c r="V11" i="12"/>
  <c r="W8" i="12"/>
  <c r="S22" i="12"/>
  <c r="T24" i="12"/>
  <c r="AA30" i="12"/>
  <c r="S33" i="12"/>
  <c r="T10" i="15"/>
  <c r="T10" i="11"/>
  <c r="W12" i="11"/>
  <c r="S25" i="13"/>
  <c r="U3" i="13"/>
  <c r="W33" i="11"/>
  <c r="V34" i="11"/>
  <c r="AA6" i="11"/>
  <c r="V32" i="12"/>
  <c r="T19" i="13"/>
  <c r="W24" i="13"/>
  <c r="V30" i="13"/>
  <c r="W32" i="13"/>
  <c r="AA4" i="13"/>
  <c r="M35" i="15"/>
  <c r="W35" i="16" s="1"/>
  <c r="V23" i="13"/>
  <c r="W8" i="11"/>
  <c r="S10" i="11"/>
  <c r="W10" i="11"/>
  <c r="W11" i="11"/>
  <c r="W32" i="11"/>
  <c r="AA3" i="11"/>
  <c r="Z8" i="11"/>
  <c r="G10" i="12"/>
  <c r="T10" i="13" s="1"/>
  <c r="W14" i="12"/>
  <c r="V22" i="12"/>
  <c r="V26" i="12"/>
  <c r="AA20" i="12"/>
  <c r="AA7" i="11"/>
  <c r="I7" i="10"/>
  <c r="U7" i="11" s="1"/>
  <c r="I11" i="11"/>
  <c r="U11" i="11" s="1"/>
  <c r="AA11" i="11"/>
  <c r="AA6" i="12"/>
  <c r="Z19" i="12"/>
  <c r="Z19" i="11"/>
  <c r="T20" i="11"/>
  <c r="W4" i="12"/>
  <c r="W12" i="12"/>
  <c r="S26" i="12"/>
  <c r="S33" i="13"/>
  <c r="E3" i="13"/>
  <c r="S3" i="13" s="1"/>
  <c r="U9" i="11"/>
  <c r="I21" i="10"/>
  <c r="U21" i="11" s="1"/>
  <c r="T4" i="11"/>
  <c r="V5" i="11"/>
  <c r="V6" i="11"/>
  <c r="T7" i="11"/>
  <c r="S8" i="11"/>
  <c r="S9" i="11"/>
  <c r="W9" i="11"/>
  <c r="U10" i="11"/>
  <c r="S12" i="11"/>
  <c r="W13" i="11"/>
  <c r="V20" i="11"/>
  <c r="V21" i="11"/>
  <c r="V22" i="11"/>
  <c r="V23" i="11"/>
  <c r="V24" i="11"/>
  <c r="T26" i="11"/>
  <c r="E30" i="11"/>
  <c r="S30" i="12" s="1"/>
  <c r="Z3" i="11"/>
  <c r="Y5" i="11"/>
  <c r="AA20" i="11"/>
  <c r="AA25" i="11"/>
  <c r="Z18" i="11"/>
  <c r="S14" i="12"/>
  <c r="S4" i="12"/>
  <c r="S9" i="12"/>
  <c r="S13" i="12"/>
  <c r="T9" i="12"/>
  <c r="U9" i="12"/>
  <c r="V4" i="12"/>
  <c r="V8" i="12"/>
  <c r="W5" i="12"/>
  <c r="W9" i="12"/>
  <c r="W13" i="12"/>
  <c r="AA11" i="12"/>
  <c r="AA11" i="13"/>
  <c r="S23" i="12"/>
  <c r="I24" i="12"/>
  <c r="U24" i="12" s="1"/>
  <c r="V23" i="12"/>
  <c r="Z21" i="12"/>
  <c r="I25" i="12"/>
  <c r="U25" i="13" s="1"/>
  <c r="AA25" i="13"/>
  <c r="I18" i="12"/>
  <c r="U18" i="12" s="1"/>
  <c r="V30" i="12"/>
  <c r="W32" i="12"/>
  <c r="V33" i="12"/>
  <c r="U33" i="12"/>
  <c r="Y3" i="12"/>
  <c r="S19" i="13"/>
  <c r="W19" i="13"/>
  <c r="V21" i="13"/>
  <c r="T22" i="13"/>
  <c r="S23" i="13"/>
  <c r="W23" i="13"/>
  <c r="V24" i="13"/>
  <c r="S26" i="13"/>
  <c r="V3" i="13"/>
  <c r="U23" i="12"/>
  <c r="Z25" i="12"/>
  <c r="AC30" i="12"/>
  <c r="AC30" i="13"/>
  <c r="S22" i="13"/>
  <c r="T24" i="13"/>
  <c r="S12" i="13"/>
  <c r="AA20" i="13"/>
  <c r="W3" i="11"/>
  <c r="W5" i="11"/>
  <c r="W6" i="11"/>
  <c r="V7" i="11"/>
  <c r="V8" i="11"/>
  <c r="T9" i="11"/>
  <c r="V10" i="11"/>
  <c r="V11" i="11"/>
  <c r="T12" i="11"/>
  <c r="T13" i="11"/>
  <c r="V14" i="11"/>
  <c r="V19" i="11"/>
  <c r="S22" i="11"/>
  <c r="S24" i="11"/>
  <c r="T34" i="11"/>
  <c r="AA32" i="11"/>
  <c r="T3" i="12"/>
  <c r="T14" i="12"/>
  <c r="S5" i="12"/>
  <c r="S10" i="12"/>
  <c r="T5" i="12"/>
  <c r="U10" i="12"/>
  <c r="V5" i="12"/>
  <c r="V9" i="12"/>
  <c r="V13" i="12"/>
  <c r="W6" i="12"/>
  <c r="W10" i="12"/>
  <c r="T13" i="12"/>
  <c r="S19" i="12"/>
  <c r="S24" i="12"/>
  <c r="T22" i="12"/>
  <c r="T26" i="12"/>
  <c r="V19" i="12"/>
  <c r="V24" i="12"/>
  <c r="W25" i="12"/>
  <c r="U21" i="12"/>
  <c r="U26" i="12"/>
  <c r="V18" i="12"/>
  <c r="S32" i="12"/>
  <c r="W33" i="12"/>
  <c r="AA12" i="12"/>
  <c r="AA12" i="13"/>
  <c r="AA3" i="12"/>
  <c r="AA7" i="12"/>
  <c r="V18" i="13"/>
  <c r="W21" i="13"/>
  <c r="V22" i="13"/>
  <c r="T23" i="13"/>
  <c r="V25" i="13"/>
  <c r="W33" i="13"/>
  <c r="W3" i="13"/>
  <c r="S6" i="13"/>
  <c r="S10" i="13"/>
  <c r="S14" i="13"/>
  <c r="U10" i="13"/>
  <c r="U14" i="13"/>
  <c r="V7" i="13"/>
  <c r="V11" i="13"/>
  <c r="W4" i="13"/>
  <c r="W8" i="13"/>
  <c r="W12" i="13"/>
  <c r="T3" i="13"/>
  <c r="S18" i="13"/>
  <c r="Y18" i="13"/>
  <c r="T5" i="11"/>
  <c r="U12" i="11"/>
  <c r="U13" i="11"/>
  <c r="W14" i="11"/>
  <c r="S20" i="11"/>
  <c r="Z11" i="11"/>
  <c r="AA21" i="11"/>
  <c r="W3" i="12"/>
  <c r="U3" i="12"/>
  <c r="S6" i="12"/>
  <c r="T12" i="12"/>
  <c r="U13" i="12"/>
  <c r="V6" i="12"/>
  <c r="V10" i="12"/>
  <c r="V14" i="12"/>
  <c r="W7" i="12"/>
  <c r="W11" i="12"/>
  <c r="I5" i="12"/>
  <c r="AA5" i="13"/>
  <c r="S21" i="12"/>
  <c r="S25" i="12"/>
  <c r="T23" i="12"/>
  <c r="U19" i="12"/>
  <c r="V21" i="12"/>
  <c r="V25" i="12"/>
  <c r="W26" i="12"/>
  <c r="T20" i="12"/>
  <c r="U22" i="12"/>
  <c r="T32" i="12"/>
  <c r="T34" i="12"/>
  <c r="W18" i="13"/>
  <c r="S21" i="13"/>
  <c r="W22" i="13"/>
  <c r="U23" i="13"/>
  <c r="S24" i="13"/>
  <c r="W25" i="13"/>
  <c r="V26" i="13"/>
  <c r="S32" i="13"/>
  <c r="T14" i="13"/>
  <c r="AA21" i="13"/>
  <c r="AA3" i="13"/>
  <c r="V32" i="13"/>
  <c r="V33" i="13"/>
  <c r="S5" i="13"/>
  <c r="S9" i="13"/>
  <c r="S13" i="13"/>
  <c r="T7" i="13"/>
  <c r="T12" i="13"/>
  <c r="U8" i="13"/>
  <c r="U13" i="13"/>
  <c r="V6" i="13"/>
  <c r="V10" i="13"/>
  <c r="V14" i="13"/>
  <c r="W7" i="13"/>
  <c r="W11" i="13"/>
  <c r="S30" i="13"/>
  <c r="Z10" i="13"/>
  <c r="Z11" i="13"/>
  <c r="Z21" i="13"/>
  <c r="AA7" i="13"/>
  <c r="AA32" i="13"/>
  <c r="T34" i="13"/>
  <c r="S11" i="13"/>
  <c r="T5" i="13"/>
  <c r="V4" i="13"/>
  <c r="V8" i="13"/>
  <c r="V12" i="13"/>
  <c r="W5" i="13"/>
  <c r="W9" i="13"/>
  <c r="W13" i="13"/>
  <c r="Z25" i="13"/>
  <c r="Z13" i="13"/>
  <c r="G20" i="15"/>
  <c r="T20" i="16" s="1"/>
  <c r="G33" i="15"/>
  <c r="T33" i="16" s="1"/>
  <c r="O15" i="15"/>
  <c r="N15" i="15" s="1"/>
  <c r="V9" i="15"/>
  <c r="I6" i="15"/>
  <c r="U6" i="16" s="1"/>
  <c r="G21" i="15"/>
  <c r="T21" i="16" s="1"/>
  <c r="I24" i="15"/>
  <c r="U24" i="16" s="1"/>
  <c r="E3" i="15"/>
  <c r="S3" i="16" s="1"/>
  <c r="I3" i="15"/>
  <c r="I5" i="15"/>
  <c r="I20" i="15"/>
  <c r="U20" i="16" s="1"/>
  <c r="G30" i="15"/>
  <c r="T30" i="16" s="1"/>
  <c r="I32" i="15"/>
  <c r="G25" i="15"/>
  <c r="T25" i="16" s="1"/>
  <c r="I26" i="15"/>
  <c r="U26" i="16" s="1"/>
  <c r="O27" i="15"/>
  <c r="N27" i="15" s="1"/>
  <c r="O35" i="15"/>
  <c r="N35" i="15" s="1"/>
  <c r="K27" i="15"/>
  <c r="M27" i="15"/>
  <c r="M15" i="15"/>
  <c r="L15" i="15" s="1"/>
  <c r="E27" i="15"/>
  <c r="E35" i="15"/>
  <c r="S35" i="16" s="1"/>
  <c r="G18" i="15"/>
  <c r="T18" i="16" s="1"/>
  <c r="G32" i="15"/>
  <c r="T32" i="16" s="1"/>
  <c r="I33" i="15"/>
  <c r="U33" i="16" s="1"/>
  <c r="K35" i="15"/>
  <c r="V35" i="16" s="1"/>
  <c r="I30" i="15"/>
  <c r="U30" i="16" s="1"/>
  <c r="Y30" i="13"/>
  <c r="G18" i="13"/>
  <c r="T18" i="13" s="1"/>
  <c r="Z4" i="13"/>
  <c r="Z8" i="13"/>
  <c r="Z18" i="13"/>
  <c r="Z30" i="13"/>
  <c r="Z33" i="13"/>
  <c r="Y3" i="13"/>
  <c r="AA6" i="13"/>
  <c r="AA18" i="13"/>
  <c r="AA24" i="13"/>
  <c r="AA26" i="13"/>
  <c r="AA33" i="13"/>
  <c r="Z3" i="13"/>
  <c r="O35" i="13"/>
  <c r="I9" i="13"/>
  <c r="U9" i="15" s="1"/>
  <c r="I4" i="13"/>
  <c r="U4" i="15" s="1"/>
  <c r="G30" i="13"/>
  <c r="T30" i="13" s="1"/>
  <c r="M30" i="13"/>
  <c r="I26" i="13"/>
  <c r="U26" i="13" s="1"/>
  <c r="I20" i="13"/>
  <c r="G25" i="13"/>
  <c r="T25" i="13" s="1"/>
  <c r="G21" i="13"/>
  <c r="I22" i="13"/>
  <c r="I24" i="13"/>
  <c r="I33" i="13"/>
  <c r="U33" i="13" s="1"/>
  <c r="I34" i="13"/>
  <c r="O15" i="13"/>
  <c r="N15" i="13" s="1"/>
  <c r="O20" i="13"/>
  <c r="O27" i="13" s="1"/>
  <c r="C27" i="13"/>
  <c r="M20" i="13"/>
  <c r="W20" i="15" s="1"/>
  <c r="G20" i="13"/>
  <c r="T20" i="13" s="1"/>
  <c r="K20" i="13"/>
  <c r="V20" i="15" s="1"/>
  <c r="E20" i="13"/>
  <c r="S20" i="15" s="1"/>
  <c r="M15" i="13"/>
  <c r="I30" i="13"/>
  <c r="K15" i="13"/>
  <c r="E34" i="13"/>
  <c r="M34" i="13"/>
  <c r="K34" i="13"/>
  <c r="C35" i="13"/>
  <c r="Y18" i="12"/>
  <c r="Y30" i="12"/>
  <c r="AA25" i="12"/>
  <c r="M30" i="12"/>
  <c r="W30" i="12" s="1"/>
  <c r="AA21" i="12"/>
  <c r="Z18" i="12"/>
  <c r="I12" i="12"/>
  <c r="U12" i="12" s="1"/>
  <c r="K20" i="12"/>
  <c r="V20" i="12" s="1"/>
  <c r="M20" i="12"/>
  <c r="O20" i="12"/>
  <c r="I20" i="12"/>
  <c r="M34" i="12"/>
  <c r="W34" i="12" s="1"/>
  <c r="Z13" i="12"/>
  <c r="AA22" i="12"/>
  <c r="AA26" i="12"/>
  <c r="Z30" i="12"/>
  <c r="AA33" i="12"/>
  <c r="AA5" i="12"/>
  <c r="C27" i="12"/>
  <c r="E20" i="12"/>
  <c r="S20" i="12" s="1"/>
  <c r="Z3" i="12"/>
  <c r="Z11" i="12"/>
  <c r="I30" i="12"/>
  <c r="U30" i="12" s="1"/>
  <c r="D7" i="12"/>
  <c r="I6" i="12"/>
  <c r="G33" i="12"/>
  <c r="E34" i="12"/>
  <c r="S34" i="12" s="1"/>
  <c r="I34" i="12"/>
  <c r="U34" i="12" s="1"/>
  <c r="C35" i="12"/>
  <c r="K34" i="12"/>
  <c r="V34" i="12" s="1"/>
  <c r="I32" i="12"/>
  <c r="G21" i="12"/>
  <c r="I4" i="12"/>
  <c r="U4" i="12" s="1"/>
  <c r="G4" i="12"/>
  <c r="T4" i="12" s="1"/>
  <c r="I11" i="12"/>
  <c r="O15" i="12"/>
  <c r="N15" i="12" s="1"/>
  <c r="I18" i="10"/>
  <c r="U18" i="11" s="1"/>
  <c r="T14" i="11"/>
  <c r="S19" i="11"/>
  <c r="I25" i="11"/>
  <c r="U25" i="11" s="1"/>
  <c r="V30" i="11"/>
  <c r="U3" i="11"/>
  <c r="V3" i="11"/>
  <c r="U14" i="11"/>
  <c r="V25" i="11"/>
  <c r="W30" i="11"/>
  <c r="V33" i="11"/>
  <c r="Y3" i="11"/>
  <c r="AA4" i="11"/>
  <c r="AA19" i="11"/>
  <c r="Z25" i="11"/>
  <c r="Y18" i="11"/>
  <c r="T32" i="11"/>
  <c r="S34" i="11"/>
  <c r="S13" i="11"/>
  <c r="AA18" i="11"/>
  <c r="E3" i="10"/>
  <c r="S3" i="11" s="1"/>
  <c r="V13" i="11"/>
  <c r="U26" i="11"/>
  <c r="Z30" i="11"/>
  <c r="I20" i="11"/>
  <c r="U22" i="11"/>
  <c r="U24" i="11"/>
  <c r="V26" i="11"/>
  <c r="V32" i="11"/>
  <c r="U34" i="11"/>
  <c r="G11" i="11"/>
  <c r="T11" i="12" s="1"/>
  <c r="AA30" i="11"/>
  <c r="AA33" i="11"/>
  <c r="S11" i="11"/>
  <c r="W7" i="11"/>
  <c r="V4" i="11"/>
  <c r="U30" i="11"/>
  <c r="S14" i="11"/>
  <c r="V18" i="11"/>
  <c r="S21" i="11"/>
  <c r="S23" i="11"/>
  <c r="W25" i="11"/>
  <c r="S33" i="11"/>
  <c r="W34" i="11"/>
  <c r="Z33" i="11"/>
  <c r="K15" i="12"/>
  <c r="M15" i="12"/>
  <c r="E18" i="11"/>
  <c r="M18" i="11" s="1"/>
  <c r="W18" i="12" s="1"/>
  <c r="S32" i="11"/>
  <c r="O26" i="11"/>
  <c r="S26" i="11"/>
  <c r="G25" i="11"/>
  <c r="T25" i="12" s="1"/>
  <c r="S25" i="11"/>
  <c r="T24" i="11"/>
  <c r="T23" i="11"/>
  <c r="T22" i="11"/>
  <c r="G6" i="11"/>
  <c r="T6" i="11" s="1"/>
  <c r="O15" i="11"/>
  <c r="N15" i="11" s="1"/>
  <c r="M35" i="11"/>
  <c r="M20" i="11"/>
  <c r="E15" i="11"/>
  <c r="M15" i="11"/>
  <c r="I6" i="11"/>
  <c r="U6" i="11" s="1"/>
  <c r="G18" i="11"/>
  <c r="T18" i="12" s="1"/>
  <c r="M19" i="11"/>
  <c r="W19" i="12" s="1"/>
  <c r="G30" i="11"/>
  <c r="T30" i="12" s="1"/>
  <c r="K15" i="11"/>
  <c r="M21" i="11"/>
  <c r="W21" i="12" s="1"/>
  <c r="G33" i="11"/>
  <c r="O20" i="11"/>
  <c r="G8" i="11"/>
  <c r="T8" i="11" s="1"/>
  <c r="K27" i="11"/>
  <c r="K35" i="11"/>
  <c r="M23" i="11"/>
  <c r="W23" i="12" s="1"/>
  <c r="M24" i="11"/>
  <c r="O33" i="11"/>
  <c r="O34" i="11"/>
  <c r="M22" i="11"/>
  <c r="W22" i="12" s="1"/>
  <c r="G19" i="11"/>
  <c r="I32" i="10"/>
  <c r="G30" i="10"/>
  <c r="M35" i="10"/>
  <c r="L35" i="10" s="1"/>
  <c r="E5" i="10"/>
  <c r="S5" i="11" s="1"/>
  <c r="M15" i="10"/>
  <c r="O30" i="10"/>
  <c r="O35" i="10" s="1"/>
  <c r="N35" i="10" s="1"/>
  <c r="M19" i="10"/>
  <c r="M23" i="10"/>
  <c r="E27" i="10"/>
  <c r="K27" i="10"/>
  <c r="O15" i="10"/>
  <c r="N15" i="10" s="1"/>
  <c r="M22" i="10"/>
  <c r="M24" i="10"/>
  <c r="K35" i="10"/>
  <c r="K15" i="10"/>
  <c r="M21" i="10"/>
  <c r="G19" i="10"/>
  <c r="I4" i="10"/>
  <c r="U4" i="11" s="1"/>
  <c r="G18" i="10"/>
  <c r="M18" i="10"/>
  <c r="G25" i="10"/>
  <c r="M20" i="10"/>
  <c r="G11" i="10"/>
  <c r="G3" i="10"/>
  <c r="T3" i="11" s="1"/>
  <c r="H3" i="8"/>
  <c r="D3" i="8"/>
  <c r="F3" i="8"/>
  <c r="H30" i="9"/>
  <c r="AA30" i="10" s="1"/>
  <c r="F30" i="9"/>
  <c r="Z30" i="10" s="1"/>
  <c r="N18" i="9"/>
  <c r="H18" i="9"/>
  <c r="AA18" i="10" s="1"/>
  <c r="F18" i="9"/>
  <c r="Z18" i="10" s="1"/>
  <c r="D18" i="9"/>
  <c r="Y18" i="10" s="1"/>
  <c r="H3" i="9"/>
  <c r="AA3" i="10" s="1"/>
  <c r="F3" i="9"/>
  <c r="Z3" i="10" s="1"/>
  <c r="D3" i="9"/>
  <c r="Y3" i="10" s="1"/>
  <c r="M35" i="12" l="1"/>
  <c r="L35" i="12" s="1"/>
  <c r="E35" i="12"/>
  <c r="D35" i="12" s="1"/>
  <c r="W15" i="16"/>
  <c r="U3" i="15"/>
  <c r="U3" i="16"/>
  <c r="U15" i="17"/>
  <c r="AC35" i="17"/>
  <c r="U35" i="17"/>
  <c r="AB15" i="17"/>
  <c r="V27" i="16"/>
  <c r="V27" i="17"/>
  <c r="U32" i="15"/>
  <c r="U32" i="16"/>
  <c r="S27" i="16"/>
  <c r="S27" i="17"/>
  <c r="S15" i="17"/>
  <c r="W27" i="16"/>
  <c r="W27" i="17"/>
  <c r="T35" i="17"/>
  <c r="U5" i="15"/>
  <c r="U5" i="16"/>
  <c r="T4" i="15"/>
  <c r="T4" i="16"/>
  <c r="U27" i="17"/>
  <c r="AB35" i="17"/>
  <c r="T27" i="17"/>
  <c r="Y35" i="17"/>
  <c r="AC15" i="16"/>
  <c r="AC15" i="17"/>
  <c r="T15" i="17"/>
  <c r="T11" i="13"/>
  <c r="T32" i="13"/>
  <c r="T13" i="15"/>
  <c r="T21" i="11"/>
  <c r="T32" i="15"/>
  <c r="T13" i="13"/>
  <c r="T8" i="15"/>
  <c r="T33" i="13"/>
  <c r="U26" i="15"/>
  <c r="S3" i="15"/>
  <c r="U21" i="13"/>
  <c r="U34" i="15"/>
  <c r="W30" i="15"/>
  <c r="I35" i="10"/>
  <c r="H35" i="10" s="1"/>
  <c r="S8" i="13"/>
  <c r="W34" i="15"/>
  <c r="U19" i="13"/>
  <c r="S34" i="15"/>
  <c r="U21" i="15"/>
  <c r="V34" i="15"/>
  <c r="U22" i="13"/>
  <c r="U9" i="13"/>
  <c r="U6" i="15"/>
  <c r="T33" i="15"/>
  <c r="T8" i="13"/>
  <c r="T9" i="13"/>
  <c r="L27" i="16"/>
  <c r="H15" i="16"/>
  <c r="F27" i="16"/>
  <c r="J27" i="16"/>
  <c r="D15" i="16"/>
  <c r="F35" i="16"/>
  <c r="H35" i="16"/>
  <c r="H27" i="16"/>
  <c r="D27" i="16"/>
  <c r="F15" i="16"/>
  <c r="U20" i="15"/>
  <c r="L35" i="15"/>
  <c r="AC35" i="16" s="1"/>
  <c r="T9" i="15"/>
  <c r="U19" i="15"/>
  <c r="U33" i="15"/>
  <c r="T25" i="15"/>
  <c r="U24" i="15"/>
  <c r="T20" i="15"/>
  <c r="T21" i="15"/>
  <c r="U30" i="15"/>
  <c r="T18" i="15"/>
  <c r="T30" i="15"/>
  <c r="U22" i="15"/>
  <c r="W15" i="15"/>
  <c r="U5" i="12"/>
  <c r="T10" i="12"/>
  <c r="U20" i="11"/>
  <c r="E15" i="10"/>
  <c r="S15" i="11" s="1"/>
  <c r="E35" i="11"/>
  <c r="U24" i="13"/>
  <c r="T33" i="11"/>
  <c r="E27" i="12"/>
  <c r="D27" i="12" s="1"/>
  <c r="U5" i="13"/>
  <c r="I27" i="10"/>
  <c r="H27" i="10" s="1"/>
  <c r="W20" i="12"/>
  <c r="S34" i="13"/>
  <c r="T21" i="12"/>
  <c r="W15" i="12"/>
  <c r="U11" i="12"/>
  <c r="U32" i="12"/>
  <c r="U20" i="12"/>
  <c r="V34" i="13"/>
  <c r="U18" i="13"/>
  <c r="W34" i="13"/>
  <c r="U34" i="13"/>
  <c r="T21" i="13"/>
  <c r="W30" i="13"/>
  <c r="U12" i="13"/>
  <c r="W15" i="11"/>
  <c r="K27" i="12"/>
  <c r="V27" i="12" s="1"/>
  <c r="U6" i="12"/>
  <c r="S20" i="13"/>
  <c r="W24" i="11"/>
  <c r="S18" i="12"/>
  <c r="I27" i="11"/>
  <c r="W20" i="11"/>
  <c r="Y7" i="12"/>
  <c r="Y7" i="13"/>
  <c r="V15" i="13"/>
  <c r="V20" i="13"/>
  <c r="U20" i="13"/>
  <c r="U4" i="13"/>
  <c r="K15" i="15"/>
  <c r="T6" i="12"/>
  <c r="U32" i="13"/>
  <c r="U25" i="12"/>
  <c r="V15" i="11"/>
  <c r="U30" i="13"/>
  <c r="U6" i="13"/>
  <c r="T19" i="11"/>
  <c r="O30" i="11"/>
  <c r="O35" i="11" s="1"/>
  <c r="N35" i="11" s="1"/>
  <c r="S18" i="11"/>
  <c r="S30" i="11"/>
  <c r="T33" i="12"/>
  <c r="W15" i="13"/>
  <c r="W20" i="13"/>
  <c r="U11" i="13"/>
  <c r="T4" i="13"/>
  <c r="W24" i="12"/>
  <c r="T19" i="12"/>
  <c r="T8" i="12"/>
  <c r="J27" i="15"/>
  <c r="I27" i="15"/>
  <c r="U27" i="16" s="1"/>
  <c r="G35" i="15"/>
  <c r="T35" i="16" s="1"/>
  <c r="I15" i="15"/>
  <c r="H15" i="15" s="1"/>
  <c r="G15" i="15"/>
  <c r="F15" i="15" s="1"/>
  <c r="E15" i="15"/>
  <c r="D15" i="15" s="1"/>
  <c r="L27" i="15"/>
  <c r="D27" i="15"/>
  <c r="I35" i="15"/>
  <c r="U35" i="16" s="1"/>
  <c r="J35" i="15"/>
  <c r="AB35" i="16" s="1"/>
  <c r="G27" i="15"/>
  <c r="T27" i="16" s="1"/>
  <c r="D35" i="15"/>
  <c r="Y35" i="16" s="1"/>
  <c r="N35" i="13"/>
  <c r="G35" i="13"/>
  <c r="F35" i="13" s="1"/>
  <c r="I27" i="13"/>
  <c r="N27" i="13"/>
  <c r="M35" i="13"/>
  <c r="J15" i="13"/>
  <c r="L15" i="13"/>
  <c r="G15" i="13"/>
  <c r="G27" i="13"/>
  <c r="K27" i="13"/>
  <c r="V27" i="15" s="1"/>
  <c r="E27" i="13"/>
  <c r="S27" i="15" s="1"/>
  <c r="I35" i="13"/>
  <c r="K35" i="13"/>
  <c r="I15" i="13"/>
  <c r="E35" i="13"/>
  <c r="M27" i="13"/>
  <c r="W27" i="15" s="1"/>
  <c r="J15" i="12"/>
  <c r="V15" i="12"/>
  <c r="E7" i="12"/>
  <c r="I15" i="12"/>
  <c r="K35" i="12"/>
  <c r="G15" i="12"/>
  <c r="W23" i="11"/>
  <c r="W21" i="11"/>
  <c r="W18" i="11"/>
  <c r="U32" i="11"/>
  <c r="W35" i="11"/>
  <c r="W22" i="11"/>
  <c r="E27" i="11"/>
  <c r="S27" i="11" s="1"/>
  <c r="T30" i="11"/>
  <c r="T18" i="11"/>
  <c r="V27" i="11"/>
  <c r="W19" i="11"/>
  <c r="T11" i="11"/>
  <c r="V35" i="11"/>
  <c r="I35" i="12"/>
  <c r="U35" i="12" s="1"/>
  <c r="L15" i="12"/>
  <c r="G35" i="12"/>
  <c r="O35" i="12"/>
  <c r="N35" i="12" s="1"/>
  <c r="M27" i="12"/>
  <c r="I27" i="12"/>
  <c r="G27" i="12"/>
  <c r="O25" i="11"/>
  <c r="T25" i="11"/>
  <c r="D15" i="11"/>
  <c r="L35" i="11"/>
  <c r="AC35" i="11" s="1"/>
  <c r="J35" i="11"/>
  <c r="G15" i="11"/>
  <c r="H35" i="11"/>
  <c r="J15" i="11"/>
  <c r="L15" i="11"/>
  <c r="O19" i="11"/>
  <c r="J27" i="11"/>
  <c r="I15" i="11"/>
  <c r="G35" i="11"/>
  <c r="G27" i="11"/>
  <c r="O18" i="11"/>
  <c r="M27" i="11"/>
  <c r="G35" i="10"/>
  <c r="F35" i="10" s="1"/>
  <c r="D35" i="10"/>
  <c r="O25" i="10"/>
  <c r="O19" i="10"/>
  <c r="J27" i="10"/>
  <c r="D27" i="10"/>
  <c r="L15" i="10"/>
  <c r="G15" i="10"/>
  <c r="J35" i="10"/>
  <c r="M27" i="10"/>
  <c r="G27" i="10"/>
  <c r="O18" i="10"/>
  <c r="J15" i="10"/>
  <c r="I15" i="10"/>
  <c r="H25" i="9"/>
  <c r="AA25" i="10" s="1"/>
  <c r="F25" i="9"/>
  <c r="Z25" i="10" s="1"/>
  <c r="W35" i="12" l="1"/>
  <c r="S35" i="12"/>
  <c r="AA27" i="17"/>
  <c r="AB27" i="16"/>
  <c r="AB27" i="17"/>
  <c r="J15" i="15"/>
  <c r="AB15" i="16" s="1"/>
  <c r="V15" i="16"/>
  <c r="AA35" i="17"/>
  <c r="Z27" i="17"/>
  <c r="U15" i="16"/>
  <c r="Z35" i="17"/>
  <c r="AA15" i="16"/>
  <c r="AA15" i="17"/>
  <c r="Y27" i="16"/>
  <c r="Y27" i="17"/>
  <c r="Y15" i="16"/>
  <c r="Y15" i="17"/>
  <c r="AC27" i="16"/>
  <c r="AC27" i="17"/>
  <c r="T15" i="16"/>
  <c r="S15" i="16"/>
  <c r="Z15" i="16"/>
  <c r="Z15" i="17"/>
  <c r="U27" i="11"/>
  <c r="U35" i="15"/>
  <c r="D15" i="10"/>
  <c r="Y15" i="11" s="1"/>
  <c r="S35" i="13"/>
  <c r="AC15" i="15"/>
  <c r="V35" i="15"/>
  <c r="W35" i="13"/>
  <c r="U35" i="11"/>
  <c r="U27" i="15"/>
  <c r="T15" i="15"/>
  <c r="T27" i="15"/>
  <c r="H27" i="15"/>
  <c r="AA27" i="16" s="1"/>
  <c r="T35" i="15"/>
  <c r="S35" i="15"/>
  <c r="W35" i="15"/>
  <c r="V15" i="15"/>
  <c r="U15" i="15"/>
  <c r="J27" i="12"/>
  <c r="AB27" i="12" s="1"/>
  <c r="S35" i="11"/>
  <c r="D35" i="11"/>
  <c r="Y35" i="12" s="1"/>
  <c r="S27" i="13"/>
  <c r="W27" i="11"/>
  <c r="AC35" i="12"/>
  <c r="AB35" i="11"/>
  <c r="T35" i="12"/>
  <c r="T27" i="13"/>
  <c r="AB27" i="11"/>
  <c r="U27" i="12"/>
  <c r="T15" i="13"/>
  <c r="AB15" i="12"/>
  <c r="U15" i="12"/>
  <c r="T35" i="11"/>
  <c r="W27" i="12"/>
  <c r="S7" i="12"/>
  <c r="S7" i="13"/>
  <c r="AC15" i="13"/>
  <c r="D27" i="11"/>
  <c r="Y27" i="12" s="1"/>
  <c r="U15" i="11"/>
  <c r="H27" i="11"/>
  <c r="AA27" i="11" s="1"/>
  <c r="T27" i="12"/>
  <c r="U15" i="13"/>
  <c r="AB15" i="13"/>
  <c r="V35" i="13"/>
  <c r="S27" i="12"/>
  <c r="AC15" i="12"/>
  <c r="W27" i="13"/>
  <c r="U35" i="13"/>
  <c r="F35" i="15"/>
  <c r="Z35" i="16" s="1"/>
  <c r="H35" i="15"/>
  <c r="AA35" i="16" s="1"/>
  <c r="F27" i="15"/>
  <c r="Z27" i="16" s="1"/>
  <c r="H27" i="13"/>
  <c r="U27" i="13"/>
  <c r="J27" i="13"/>
  <c r="AB27" i="15" s="1"/>
  <c r="V27" i="13"/>
  <c r="T35" i="13"/>
  <c r="H15" i="12"/>
  <c r="L27" i="13"/>
  <c r="E15" i="13"/>
  <c r="F15" i="13"/>
  <c r="Z15" i="15" s="1"/>
  <c r="D35" i="13"/>
  <c r="D27" i="13"/>
  <c r="Y27" i="13" s="1"/>
  <c r="H15" i="13"/>
  <c r="F27" i="13"/>
  <c r="J35" i="13"/>
  <c r="H35" i="13"/>
  <c r="L35" i="13"/>
  <c r="F15" i="12"/>
  <c r="T15" i="12"/>
  <c r="J35" i="12"/>
  <c r="AB35" i="12" s="1"/>
  <c r="V35" i="12"/>
  <c r="E15" i="12"/>
  <c r="S15" i="12" s="1"/>
  <c r="AB15" i="11"/>
  <c r="AC15" i="11"/>
  <c r="AA35" i="11"/>
  <c r="T27" i="11"/>
  <c r="T15" i="11"/>
  <c r="H35" i="12"/>
  <c r="AA35" i="12" s="1"/>
  <c r="O27" i="12"/>
  <c r="N27" i="12" s="1"/>
  <c r="L27" i="12"/>
  <c r="F27" i="12"/>
  <c r="F35" i="12"/>
  <c r="Z35" i="13" s="1"/>
  <c r="H27" i="12"/>
  <c r="O27" i="11"/>
  <c r="N27" i="11" s="1"/>
  <c r="F27" i="11"/>
  <c r="F35" i="11"/>
  <c r="Z35" i="11" s="1"/>
  <c r="F15" i="11"/>
  <c r="L27" i="11"/>
  <c r="H15" i="11"/>
  <c r="O27" i="10"/>
  <c r="N27" i="10" s="1"/>
  <c r="F27" i="10"/>
  <c r="F15" i="10"/>
  <c r="L27" i="10"/>
  <c r="H15" i="10"/>
  <c r="F19" i="9"/>
  <c r="F11" i="9"/>
  <c r="Z11" i="10" s="1"/>
  <c r="H11" i="9"/>
  <c r="I11" i="9" s="1"/>
  <c r="F8" i="9"/>
  <c r="H7" i="9"/>
  <c r="AA7" i="10" s="1"/>
  <c r="Y31" i="9"/>
  <c r="Z31" i="9"/>
  <c r="AA31" i="9"/>
  <c r="AB31" i="9"/>
  <c r="AC31" i="9"/>
  <c r="Y32" i="9"/>
  <c r="Z32" i="9"/>
  <c r="AA32" i="9"/>
  <c r="AB32" i="9"/>
  <c r="AC32" i="9"/>
  <c r="Y33" i="9"/>
  <c r="AB33" i="9"/>
  <c r="AC33" i="9"/>
  <c r="Y34" i="9"/>
  <c r="Z34" i="9"/>
  <c r="AA34" i="9"/>
  <c r="AB34" i="9"/>
  <c r="AC34" i="9"/>
  <c r="AC30" i="9"/>
  <c r="AB30" i="9"/>
  <c r="AA30" i="9"/>
  <c r="Z30" i="9"/>
  <c r="Y30" i="9"/>
  <c r="S31" i="9"/>
  <c r="T31" i="9"/>
  <c r="U31" i="9"/>
  <c r="V31" i="9"/>
  <c r="W31" i="9"/>
  <c r="S32" i="9"/>
  <c r="S33" i="9"/>
  <c r="S34" i="9"/>
  <c r="S30" i="9"/>
  <c r="Y19" i="9"/>
  <c r="AB19" i="9"/>
  <c r="AC19" i="9"/>
  <c r="Y20" i="9"/>
  <c r="Z20" i="9"/>
  <c r="AB20" i="9"/>
  <c r="AC20" i="9"/>
  <c r="Y21" i="9"/>
  <c r="AB21" i="9"/>
  <c r="AC21" i="9"/>
  <c r="Y22" i="9"/>
  <c r="Z22" i="9"/>
  <c r="AB22" i="9"/>
  <c r="AC22" i="9"/>
  <c r="Y23" i="9"/>
  <c r="Z23" i="9"/>
  <c r="AA23" i="9"/>
  <c r="AB23" i="9"/>
  <c r="AC23" i="9"/>
  <c r="Y24" i="9"/>
  <c r="Z24" i="9"/>
  <c r="AA24" i="9"/>
  <c r="AB24" i="9"/>
  <c r="AC24" i="9"/>
  <c r="Y25" i="9"/>
  <c r="AB25" i="9"/>
  <c r="AC25" i="9"/>
  <c r="Y26" i="9"/>
  <c r="Z26" i="9"/>
  <c r="AA26" i="9"/>
  <c r="AB26" i="9"/>
  <c r="AC26" i="9"/>
  <c r="AC18" i="9"/>
  <c r="AB18" i="9"/>
  <c r="AA18" i="9"/>
  <c r="Z18" i="9"/>
  <c r="Y18" i="9"/>
  <c r="S19" i="9"/>
  <c r="S20" i="9"/>
  <c r="S21" i="9"/>
  <c r="S22" i="9"/>
  <c r="S23" i="9"/>
  <c r="S24" i="9"/>
  <c r="S25" i="9"/>
  <c r="S26" i="9"/>
  <c r="S18" i="9"/>
  <c r="Y4" i="9"/>
  <c r="Z4" i="9"/>
  <c r="AB4" i="9"/>
  <c r="AC4" i="9"/>
  <c r="Y5" i="9"/>
  <c r="Z5" i="9"/>
  <c r="AB5" i="9"/>
  <c r="AC5" i="9"/>
  <c r="Y6" i="9"/>
  <c r="Z6" i="9"/>
  <c r="AB6" i="9"/>
  <c r="AC6" i="9"/>
  <c r="Y7" i="9"/>
  <c r="Z7" i="9"/>
  <c r="AB7" i="9"/>
  <c r="AC7" i="9"/>
  <c r="Y8" i="9"/>
  <c r="AB8" i="9"/>
  <c r="AC8" i="9"/>
  <c r="Y9" i="9"/>
  <c r="Z9" i="9"/>
  <c r="AA9" i="9"/>
  <c r="AB9" i="9"/>
  <c r="AC9" i="9"/>
  <c r="Y10" i="9"/>
  <c r="AA10" i="9"/>
  <c r="AB10" i="9"/>
  <c r="AC10" i="9"/>
  <c r="Y11" i="9"/>
  <c r="AB11" i="9"/>
  <c r="AC11" i="9"/>
  <c r="Y12" i="9"/>
  <c r="Z12" i="9"/>
  <c r="AA12" i="9"/>
  <c r="AB12" i="9"/>
  <c r="AC12" i="9"/>
  <c r="Y13" i="9"/>
  <c r="Z13" i="9"/>
  <c r="AA13" i="9"/>
  <c r="AB13" i="9"/>
  <c r="AC13" i="9"/>
  <c r="Y14" i="9"/>
  <c r="Z14" i="9"/>
  <c r="AA14" i="9"/>
  <c r="AB14" i="9"/>
  <c r="AC14" i="9"/>
  <c r="AC3" i="9"/>
  <c r="AB3" i="9"/>
  <c r="AA3" i="9"/>
  <c r="Z3" i="9"/>
  <c r="Y3" i="9"/>
  <c r="S4" i="9"/>
  <c r="S5" i="9"/>
  <c r="S6" i="9"/>
  <c r="S7" i="9"/>
  <c r="S8" i="9"/>
  <c r="S9" i="9"/>
  <c r="S10" i="9"/>
  <c r="S11" i="9"/>
  <c r="S12" i="9"/>
  <c r="V12" i="9"/>
  <c r="S13" i="9"/>
  <c r="S14" i="9"/>
  <c r="S3" i="9"/>
  <c r="H5" i="9"/>
  <c r="AA5" i="10" s="1"/>
  <c r="H4" i="9"/>
  <c r="AA4" i="10" s="1"/>
  <c r="C35" i="9"/>
  <c r="M34" i="9"/>
  <c r="K34" i="9"/>
  <c r="V34" i="10" s="1"/>
  <c r="I34" i="9"/>
  <c r="G34" i="9"/>
  <c r="T34" i="10" s="1"/>
  <c r="E34" i="9"/>
  <c r="M33" i="9"/>
  <c r="K33" i="9"/>
  <c r="V33" i="10" s="1"/>
  <c r="I33" i="9"/>
  <c r="E33" i="9"/>
  <c r="M32" i="9"/>
  <c r="K32" i="9"/>
  <c r="V32" i="10" s="1"/>
  <c r="I32" i="9"/>
  <c r="U32" i="10" s="1"/>
  <c r="G32" i="9"/>
  <c r="T32" i="10" s="1"/>
  <c r="E32" i="9"/>
  <c r="S32" i="10" s="1"/>
  <c r="M30" i="9"/>
  <c r="W30" i="10" s="1"/>
  <c r="K30" i="9"/>
  <c r="V30" i="10" s="1"/>
  <c r="I30" i="9"/>
  <c r="U30" i="10" s="1"/>
  <c r="G30" i="9"/>
  <c r="T30" i="10" s="1"/>
  <c r="E30" i="9"/>
  <c r="C27" i="9"/>
  <c r="K26" i="9"/>
  <c r="I26" i="9"/>
  <c r="G26" i="9"/>
  <c r="E26" i="9"/>
  <c r="K25" i="9"/>
  <c r="G25" i="9"/>
  <c r="E25" i="9"/>
  <c r="K24" i="9"/>
  <c r="I24" i="9"/>
  <c r="U24" i="10" s="1"/>
  <c r="G24" i="9"/>
  <c r="E24" i="9"/>
  <c r="K23" i="9"/>
  <c r="I23" i="9"/>
  <c r="G23" i="9"/>
  <c r="E23" i="9"/>
  <c r="K22" i="9"/>
  <c r="I22" i="9"/>
  <c r="G22" i="9"/>
  <c r="E22" i="9"/>
  <c r="K21" i="9"/>
  <c r="I21" i="9"/>
  <c r="G21" i="9"/>
  <c r="E21" i="9"/>
  <c r="K20" i="9"/>
  <c r="V20" i="10" s="1"/>
  <c r="I20" i="9"/>
  <c r="U20" i="10" s="1"/>
  <c r="G20" i="9"/>
  <c r="E20" i="9"/>
  <c r="K19" i="9"/>
  <c r="I19" i="9"/>
  <c r="E19" i="9"/>
  <c r="K18" i="9"/>
  <c r="V18" i="10" s="1"/>
  <c r="I18" i="9"/>
  <c r="U18" i="10" s="1"/>
  <c r="G18" i="9"/>
  <c r="T18" i="10" s="1"/>
  <c r="E18" i="9"/>
  <c r="C15" i="9"/>
  <c r="O14" i="9"/>
  <c r="M14" i="9"/>
  <c r="K14" i="9"/>
  <c r="I14" i="9"/>
  <c r="G14" i="9"/>
  <c r="T14" i="10" s="1"/>
  <c r="E14" i="9"/>
  <c r="O13" i="9"/>
  <c r="M13" i="9"/>
  <c r="K13" i="9"/>
  <c r="I13" i="9"/>
  <c r="G13" i="9"/>
  <c r="T13" i="10" s="1"/>
  <c r="E13" i="9"/>
  <c r="O12" i="9"/>
  <c r="M12" i="9"/>
  <c r="W12" i="10" s="1"/>
  <c r="I12" i="9"/>
  <c r="U12" i="10" s="1"/>
  <c r="G12" i="9"/>
  <c r="T12" i="10" s="1"/>
  <c r="E12" i="9"/>
  <c r="S12" i="10" s="1"/>
  <c r="O11" i="9"/>
  <c r="M11" i="9"/>
  <c r="W11" i="10" s="1"/>
  <c r="K11" i="9"/>
  <c r="E11" i="9"/>
  <c r="O10" i="9"/>
  <c r="M10" i="9"/>
  <c r="K10" i="9"/>
  <c r="I10" i="9"/>
  <c r="G10" i="9"/>
  <c r="T10" i="10" s="1"/>
  <c r="O9" i="9"/>
  <c r="M9" i="9"/>
  <c r="K9" i="9"/>
  <c r="I9" i="9"/>
  <c r="G9" i="9"/>
  <c r="T9" i="10" s="1"/>
  <c r="E9" i="9"/>
  <c r="O8" i="9"/>
  <c r="M8" i="9"/>
  <c r="W8" i="10" s="1"/>
  <c r="K8" i="9"/>
  <c r="I8" i="9"/>
  <c r="E8" i="9"/>
  <c r="O7" i="9"/>
  <c r="M7" i="9"/>
  <c r="K7" i="9"/>
  <c r="G7" i="9"/>
  <c r="T7" i="10" s="1"/>
  <c r="E7" i="9"/>
  <c r="O6" i="9"/>
  <c r="M6" i="9"/>
  <c r="K6" i="9"/>
  <c r="G6" i="9"/>
  <c r="T6" i="10" s="1"/>
  <c r="E6" i="9"/>
  <c r="S6" i="10" s="1"/>
  <c r="O5" i="9"/>
  <c r="M5" i="9"/>
  <c r="W5" i="10" s="1"/>
  <c r="K5" i="9"/>
  <c r="V5" i="10" s="1"/>
  <c r="G5" i="9"/>
  <c r="T5" i="10" s="1"/>
  <c r="E5" i="9"/>
  <c r="S5" i="10" s="1"/>
  <c r="O4" i="9"/>
  <c r="M4" i="9"/>
  <c r="W4" i="10" s="1"/>
  <c r="K4" i="9"/>
  <c r="V4" i="10" s="1"/>
  <c r="G4" i="9"/>
  <c r="T4" i="10" s="1"/>
  <c r="E4" i="9"/>
  <c r="S4" i="10" s="1"/>
  <c r="O3" i="9"/>
  <c r="M3" i="9"/>
  <c r="W3" i="10" s="1"/>
  <c r="K3" i="9"/>
  <c r="V3" i="10" s="1"/>
  <c r="I3" i="9"/>
  <c r="U3" i="10" s="1"/>
  <c r="G3" i="9"/>
  <c r="T3" i="10" s="1"/>
  <c r="E3" i="9"/>
  <c r="S3" i="10" s="1"/>
  <c r="Y31" i="8"/>
  <c r="Z31" i="8"/>
  <c r="AA31" i="8"/>
  <c r="AB31" i="8"/>
  <c r="AC31" i="8"/>
  <c r="Y32" i="8"/>
  <c r="Z32" i="8"/>
  <c r="AA32" i="8"/>
  <c r="AB32" i="8"/>
  <c r="AC32" i="8"/>
  <c r="Y33" i="8"/>
  <c r="AB33" i="8"/>
  <c r="AC33" i="8"/>
  <c r="Y34" i="8"/>
  <c r="Z34" i="8"/>
  <c r="AA34" i="8"/>
  <c r="AB34" i="8"/>
  <c r="AC34" i="8"/>
  <c r="AC30" i="8"/>
  <c r="AB30" i="8"/>
  <c r="AA30" i="8"/>
  <c r="Z30" i="8"/>
  <c r="Y30" i="8"/>
  <c r="Y19" i="8"/>
  <c r="AB19" i="8"/>
  <c r="AC19" i="8"/>
  <c r="Y20" i="8"/>
  <c r="Z20" i="8"/>
  <c r="AB20" i="8"/>
  <c r="AC20" i="8"/>
  <c r="Y21" i="8"/>
  <c r="AB21" i="8"/>
  <c r="AC21" i="8"/>
  <c r="Y22" i="8"/>
  <c r="AB22" i="8"/>
  <c r="AC22" i="8"/>
  <c r="Y23" i="8"/>
  <c r="Z23" i="8"/>
  <c r="AA23" i="8"/>
  <c r="AB23" i="8"/>
  <c r="AC23" i="8"/>
  <c r="Y24" i="8"/>
  <c r="Z24" i="8"/>
  <c r="AA24" i="8"/>
  <c r="AB24" i="8"/>
  <c r="AC24" i="8"/>
  <c r="Y25" i="8"/>
  <c r="AB25" i="8"/>
  <c r="AC25" i="8"/>
  <c r="Y26" i="8"/>
  <c r="Z26" i="8"/>
  <c r="AB26" i="8"/>
  <c r="AC26" i="8"/>
  <c r="AC18" i="8"/>
  <c r="AB18" i="8"/>
  <c r="AA18" i="8"/>
  <c r="Z18" i="8"/>
  <c r="Y18" i="8"/>
  <c r="Y4" i="8"/>
  <c r="Z4" i="8"/>
  <c r="AB4" i="8"/>
  <c r="AC4" i="8"/>
  <c r="Y5" i="8"/>
  <c r="Z5" i="8"/>
  <c r="AB5" i="8"/>
  <c r="AC5" i="8"/>
  <c r="Y6" i="8"/>
  <c r="Z6" i="8"/>
  <c r="AB6" i="8"/>
  <c r="AC6" i="8"/>
  <c r="Y7" i="8"/>
  <c r="Z7" i="8"/>
  <c r="AB7" i="8"/>
  <c r="AC7" i="8"/>
  <c r="Y8" i="8"/>
  <c r="AB8" i="8"/>
  <c r="AC8" i="8"/>
  <c r="Y9" i="8"/>
  <c r="Z9" i="8"/>
  <c r="AA9" i="8"/>
  <c r="AB9" i="8"/>
  <c r="AC9" i="8"/>
  <c r="Y10" i="8"/>
  <c r="AA10" i="8"/>
  <c r="AB10" i="8"/>
  <c r="AC10" i="8"/>
  <c r="Y11" i="8"/>
  <c r="AB11" i="8"/>
  <c r="AC11" i="8"/>
  <c r="Y12" i="8"/>
  <c r="Z12" i="8"/>
  <c r="AB12" i="8"/>
  <c r="AC12" i="8"/>
  <c r="Y13" i="8"/>
  <c r="Z13" i="8"/>
  <c r="AA13" i="8"/>
  <c r="AB13" i="8"/>
  <c r="AC13" i="8"/>
  <c r="Y14" i="8"/>
  <c r="Z14" i="8"/>
  <c r="AA14" i="8"/>
  <c r="AB14" i="8"/>
  <c r="AC14" i="8"/>
  <c r="S31" i="8"/>
  <c r="S32" i="8"/>
  <c r="S33" i="8"/>
  <c r="S34" i="8"/>
  <c r="S30" i="8"/>
  <c r="S19" i="8"/>
  <c r="S20" i="8"/>
  <c r="S21" i="8"/>
  <c r="S22" i="8"/>
  <c r="S23" i="8"/>
  <c r="S24" i="8"/>
  <c r="S25" i="8"/>
  <c r="S26" i="8"/>
  <c r="S18" i="8"/>
  <c r="S4" i="8"/>
  <c r="S5" i="8"/>
  <c r="S6" i="8"/>
  <c r="S7" i="8"/>
  <c r="S8" i="8"/>
  <c r="S9" i="8"/>
  <c r="S10" i="8"/>
  <c r="S11" i="8"/>
  <c r="S12" i="8"/>
  <c r="V12" i="8"/>
  <c r="S13" i="8"/>
  <c r="S14" i="8"/>
  <c r="AC3" i="8"/>
  <c r="AB3" i="8"/>
  <c r="AA3" i="8"/>
  <c r="Z3" i="8"/>
  <c r="Y3" i="8"/>
  <c r="S3" i="8"/>
  <c r="F33" i="8"/>
  <c r="Z33" i="9" s="1"/>
  <c r="H33" i="8"/>
  <c r="AA33" i="9" s="1"/>
  <c r="H25" i="8"/>
  <c r="AA25" i="9" s="1"/>
  <c r="F25" i="8"/>
  <c r="H22" i="8"/>
  <c r="AA22" i="9" s="1"/>
  <c r="H21" i="8"/>
  <c r="AA21" i="8" s="1"/>
  <c r="F21" i="8"/>
  <c r="Z21" i="9" s="1"/>
  <c r="H20" i="8"/>
  <c r="H19" i="8"/>
  <c r="AA19" i="9" s="1"/>
  <c r="F19" i="8"/>
  <c r="G19" i="8" s="1"/>
  <c r="O19" i="8" s="1"/>
  <c r="F11" i="8"/>
  <c r="Z11" i="8" s="1"/>
  <c r="H11" i="8"/>
  <c r="I11" i="8" s="1"/>
  <c r="F10" i="8"/>
  <c r="G10" i="8" s="1"/>
  <c r="H8" i="8"/>
  <c r="AA8" i="9" s="1"/>
  <c r="F8" i="8"/>
  <c r="Z8" i="8" s="1"/>
  <c r="H7" i="8"/>
  <c r="I7" i="8" s="1"/>
  <c r="H6" i="8"/>
  <c r="AA6" i="9" s="1"/>
  <c r="H5" i="8"/>
  <c r="H4" i="8"/>
  <c r="I4" i="8" s="1"/>
  <c r="C35" i="8"/>
  <c r="M34" i="8"/>
  <c r="K34" i="8"/>
  <c r="I34" i="8"/>
  <c r="G34" i="8"/>
  <c r="E34" i="8"/>
  <c r="O34" i="8" s="1"/>
  <c r="M33" i="8"/>
  <c r="K33" i="8"/>
  <c r="E33" i="8"/>
  <c r="O33" i="8" s="1"/>
  <c r="M32" i="8"/>
  <c r="K32" i="8"/>
  <c r="I32" i="8"/>
  <c r="G32" i="8"/>
  <c r="E32" i="8"/>
  <c r="O32" i="8" s="1"/>
  <c r="M30" i="8"/>
  <c r="K30" i="8"/>
  <c r="I30" i="8"/>
  <c r="G30" i="8"/>
  <c r="E30" i="8"/>
  <c r="C27" i="8"/>
  <c r="K26" i="8"/>
  <c r="G26" i="8"/>
  <c r="O26" i="8" s="1"/>
  <c r="E26" i="8"/>
  <c r="M26" i="8" s="1"/>
  <c r="K25" i="8"/>
  <c r="E25" i="8"/>
  <c r="K24" i="8"/>
  <c r="I24" i="8"/>
  <c r="G24" i="8"/>
  <c r="O24" i="8" s="1"/>
  <c r="E24" i="8"/>
  <c r="M24" i="8" s="1"/>
  <c r="K23" i="8"/>
  <c r="I23" i="8"/>
  <c r="G23" i="8"/>
  <c r="O23" i="8" s="1"/>
  <c r="E23" i="8"/>
  <c r="M23" i="8" s="1"/>
  <c r="K22" i="8"/>
  <c r="G22" i="8"/>
  <c r="O22" i="8" s="1"/>
  <c r="E22" i="8"/>
  <c r="M22" i="8" s="1"/>
  <c r="K21" i="8"/>
  <c r="E21" i="8"/>
  <c r="K20" i="8"/>
  <c r="G20" i="8"/>
  <c r="O20" i="8" s="1"/>
  <c r="E20" i="8"/>
  <c r="K19" i="8"/>
  <c r="E19" i="8"/>
  <c r="M19" i="8" s="1"/>
  <c r="K18" i="8"/>
  <c r="I18" i="8"/>
  <c r="G18" i="8"/>
  <c r="E18" i="8"/>
  <c r="M18" i="8" s="1"/>
  <c r="C15" i="8"/>
  <c r="O14" i="8"/>
  <c r="M14" i="8"/>
  <c r="K14" i="8"/>
  <c r="I14" i="8"/>
  <c r="G14" i="8"/>
  <c r="E14" i="8"/>
  <c r="O13" i="8"/>
  <c r="M13" i="8"/>
  <c r="K13" i="8"/>
  <c r="I13" i="8"/>
  <c r="G13" i="8"/>
  <c r="E13" i="8"/>
  <c r="O12" i="8"/>
  <c r="M12" i="8"/>
  <c r="I12" i="8"/>
  <c r="G12" i="8"/>
  <c r="E12" i="8"/>
  <c r="O11" i="8"/>
  <c r="M11" i="8"/>
  <c r="K11" i="8"/>
  <c r="E11" i="8"/>
  <c r="O10" i="8"/>
  <c r="M10" i="8"/>
  <c r="K10" i="8"/>
  <c r="I10" i="8"/>
  <c r="E10" i="8"/>
  <c r="T10" i="9" s="1"/>
  <c r="O9" i="8"/>
  <c r="M9" i="8"/>
  <c r="K9" i="8"/>
  <c r="I9" i="8"/>
  <c r="G9" i="8"/>
  <c r="E9" i="8"/>
  <c r="O8" i="8"/>
  <c r="M8" i="8"/>
  <c r="K8" i="8"/>
  <c r="E8" i="8"/>
  <c r="O7" i="8"/>
  <c r="M7" i="8"/>
  <c r="K7" i="8"/>
  <c r="G7" i="8"/>
  <c r="E7" i="8"/>
  <c r="O6" i="8"/>
  <c r="M6" i="8"/>
  <c r="K6" i="8"/>
  <c r="G6" i="8"/>
  <c r="E6" i="8"/>
  <c r="O5" i="8"/>
  <c r="M5" i="8"/>
  <c r="K5" i="8"/>
  <c r="G5" i="8"/>
  <c r="E5" i="8"/>
  <c r="O4" i="8"/>
  <c r="M4" i="8"/>
  <c r="K4" i="8"/>
  <c r="G4" i="8"/>
  <c r="E4" i="8"/>
  <c r="O3" i="8"/>
  <c r="M3" i="8"/>
  <c r="K3" i="8"/>
  <c r="I3" i="8"/>
  <c r="G3" i="8"/>
  <c r="E3" i="8"/>
  <c r="H12" i="7"/>
  <c r="AA12" i="8" s="1"/>
  <c r="G12" i="7"/>
  <c r="H26" i="7"/>
  <c r="AA26" i="7" s="1"/>
  <c r="F21" i="7"/>
  <c r="G21" i="7" s="1"/>
  <c r="O21" i="7" s="1"/>
  <c r="H5" i="7"/>
  <c r="I5" i="7" s="1"/>
  <c r="Z5" i="7"/>
  <c r="H4" i="7"/>
  <c r="I4" i="7" s="1"/>
  <c r="E32" i="7"/>
  <c r="O32" i="7" s="1"/>
  <c r="F25" i="7"/>
  <c r="G25" i="7" s="1"/>
  <c r="O25" i="7" s="1"/>
  <c r="H25" i="7"/>
  <c r="AA25" i="7" s="1"/>
  <c r="H22" i="7"/>
  <c r="AA22" i="7" s="1"/>
  <c r="F22" i="7"/>
  <c r="Z22" i="8" s="1"/>
  <c r="H20" i="7"/>
  <c r="AA20" i="7" s="1"/>
  <c r="H11" i="7"/>
  <c r="I11" i="7" s="1"/>
  <c r="H6" i="7"/>
  <c r="I6" i="7" s="1"/>
  <c r="AC34" i="7"/>
  <c r="AC33" i="7"/>
  <c r="AC32" i="7"/>
  <c r="AC31" i="7"/>
  <c r="AC30" i="7"/>
  <c r="AB34" i="7"/>
  <c r="AB33" i="7"/>
  <c r="AB32" i="7"/>
  <c r="AB31" i="7"/>
  <c r="AB30" i="7"/>
  <c r="AA34" i="7"/>
  <c r="AA33" i="7"/>
  <c r="AA32" i="7"/>
  <c r="AA31" i="7"/>
  <c r="AA30" i="7"/>
  <c r="Z34" i="7"/>
  <c r="Z33" i="7"/>
  <c r="Z32" i="7"/>
  <c r="Z31" i="7"/>
  <c r="Z30" i="7"/>
  <c r="Y34" i="7"/>
  <c r="Y33" i="7"/>
  <c r="Y32" i="7"/>
  <c r="Y31" i="7"/>
  <c r="Y30" i="7"/>
  <c r="S34" i="7"/>
  <c r="S33" i="7"/>
  <c r="S32" i="7"/>
  <c r="S31" i="7"/>
  <c r="S30" i="7"/>
  <c r="AC26" i="7"/>
  <c r="AC25" i="7"/>
  <c r="AC24" i="7"/>
  <c r="AC23" i="7"/>
  <c r="AC22" i="7"/>
  <c r="AC21" i="7"/>
  <c r="AC20" i="7"/>
  <c r="AC19" i="7"/>
  <c r="AC18" i="7"/>
  <c r="AB26" i="7"/>
  <c r="AB25" i="7"/>
  <c r="AB24" i="7"/>
  <c r="AB23" i="7"/>
  <c r="AB22" i="7"/>
  <c r="AB21" i="7"/>
  <c r="AB20" i="7"/>
  <c r="AB19" i="7"/>
  <c r="AB18" i="7"/>
  <c r="AA24" i="7"/>
  <c r="AA23" i="7"/>
  <c r="AA21" i="7"/>
  <c r="AA19" i="7"/>
  <c r="AA18" i="7"/>
  <c r="Z26" i="7"/>
  <c r="Z24" i="7"/>
  <c r="Z23" i="7"/>
  <c r="Z20" i="7"/>
  <c r="Z19" i="7"/>
  <c r="Z18" i="7"/>
  <c r="Y26" i="7"/>
  <c r="Y25" i="7"/>
  <c r="Y24" i="7"/>
  <c r="Y23" i="7"/>
  <c r="Y22" i="7"/>
  <c r="Y21" i="7"/>
  <c r="Y20" i="7"/>
  <c r="Y19" i="7"/>
  <c r="Y18" i="7"/>
  <c r="S19" i="7"/>
  <c r="S20" i="7"/>
  <c r="S21" i="7"/>
  <c r="S22" i="7"/>
  <c r="S23" i="7"/>
  <c r="S24" i="7"/>
  <c r="S25" i="7"/>
  <c r="S26" i="7"/>
  <c r="S18" i="7"/>
  <c r="AC4" i="7"/>
  <c r="AC5" i="7"/>
  <c r="AC6" i="7"/>
  <c r="AC7" i="7"/>
  <c r="AC8" i="7"/>
  <c r="AC9" i="7"/>
  <c r="AC10" i="7"/>
  <c r="AC11" i="7"/>
  <c r="AC12" i="7"/>
  <c r="AC13" i="7"/>
  <c r="AC14" i="7"/>
  <c r="AC3" i="7"/>
  <c r="AB4" i="7"/>
  <c r="AB5" i="7"/>
  <c r="AB6" i="7"/>
  <c r="AB7" i="7"/>
  <c r="AB8" i="7"/>
  <c r="AB9" i="7"/>
  <c r="AB10" i="7"/>
  <c r="AB11" i="7"/>
  <c r="AB12" i="7"/>
  <c r="AB13" i="7"/>
  <c r="AB14" i="7"/>
  <c r="AB3" i="7"/>
  <c r="AA7" i="7"/>
  <c r="AA9" i="7"/>
  <c r="AA10" i="7"/>
  <c r="AA13" i="7"/>
  <c r="AA14" i="7"/>
  <c r="AA3" i="7"/>
  <c r="Z4" i="7"/>
  <c r="Z6" i="7"/>
  <c r="Z7" i="7"/>
  <c r="Z9" i="7"/>
  <c r="Z10" i="7"/>
  <c r="Z11" i="7"/>
  <c r="Z12" i="7"/>
  <c r="Z13" i="7"/>
  <c r="Z14" i="7"/>
  <c r="Z3" i="7"/>
  <c r="Y4" i="7"/>
  <c r="Y5" i="7"/>
  <c r="Y6" i="7"/>
  <c r="Y7" i="7"/>
  <c r="Y8" i="7"/>
  <c r="Y9" i="7"/>
  <c r="Y10" i="7"/>
  <c r="Y11" i="7"/>
  <c r="Y12" i="7"/>
  <c r="Y13" i="7"/>
  <c r="Y14" i="7"/>
  <c r="Y3" i="7"/>
  <c r="V12" i="7"/>
  <c r="S4" i="7"/>
  <c r="S5" i="7"/>
  <c r="S6" i="7"/>
  <c r="S7" i="7"/>
  <c r="S8" i="7"/>
  <c r="S9" i="7"/>
  <c r="S10" i="7"/>
  <c r="S11" i="7"/>
  <c r="S12" i="7"/>
  <c r="S13" i="7"/>
  <c r="S14" i="7"/>
  <c r="S3" i="7"/>
  <c r="C35" i="7"/>
  <c r="M34" i="7"/>
  <c r="K34" i="7"/>
  <c r="I34" i="7"/>
  <c r="G34" i="7"/>
  <c r="E34" i="7"/>
  <c r="O34" i="7" s="1"/>
  <c r="M33" i="7"/>
  <c r="K33" i="7"/>
  <c r="I33" i="7"/>
  <c r="G33" i="7"/>
  <c r="E33" i="7"/>
  <c r="O33" i="7" s="1"/>
  <c r="M32" i="7"/>
  <c r="K32" i="7"/>
  <c r="I32" i="7"/>
  <c r="G32" i="7"/>
  <c r="M31" i="7"/>
  <c r="K31" i="7"/>
  <c r="I31" i="7"/>
  <c r="G31" i="7"/>
  <c r="E31" i="7"/>
  <c r="O31" i="7" s="1"/>
  <c r="M30" i="7"/>
  <c r="K30" i="7"/>
  <c r="I30" i="7"/>
  <c r="G30" i="7"/>
  <c r="E30" i="7"/>
  <c r="C27" i="7"/>
  <c r="K26" i="7"/>
  <c r="G26" i="7"/>
  <c r="O26" i="7" s="1"/>
  <c r="E26" i="7"/>
  <c r="M26" i="7" s="1"/>
  <c r="K25" i="7"/>
  <c r="E25" i="7"/>
  <c r="M25" i="7" s="1"/>
  <c r="K24" i="7"/>
  <c r="I24" i="7"/>
  <c r="G24" i="7"/>
  <c r="O24" i="7" s="1"/>
  <c r="E24" i="7"/>
  <c r="M24" i="7" s="1"/>
  <c r="K23" i="7"/>
  <c r="I23" i="7"/>
  <c r="G23" i="7"/>
  <c r="O23" i="7" s="1"/>
  <c r="E23" i="7"/>
  <c r="M23" i="7" s="1"/>
  <c r="K22" i="7"/>
  <c r="E22" i="7"/>
  <c r="M22" i="7" s="1"/>
  <c r="K21" i="7"/>
  <c r="I21" i="7"/>
  <c r="E21" i="7"/>
  <c r="M21" i="7" s="1"/>
  <c r="K20" i="7"/>
  <c r="G20" i="7"/>
  <c r="O20" i="7" s="1"/>
  <c r="E20" i="7"/>
  <c r="M20" i="7" s="1"/>
  <c r="K19" i="7"/>
  <c r="I19" i="7"/>
  <c r="G19" i="7"/>
  <c r="O19" i="7" s="1"/>
  <c r="E19" i="7"/>
  <c r="K18" i="7"/>
  <c r="I18" i="7"/>
  <c r="G18" i="7"/>
  <c r="O18" i="7" s="1"/>
  <c r="E18" i="7"/>
  <c r="M18" i="7" s="1"/>
  <c r="C15" i="7"/>
  <c r="O14" i="7"/>
  <c r="M14" i="7"/>
  <c r="K14" i="7"/>
  <c r="I14" i="7"/>
  <c r="G14" i="7"/>
  <c r="E14" i="7"/>
  <c r="O13" i="7"/>
  <c r="M13" i="7"/>
  <c r="K13" i="7"/>
  <c r="I13" i="7"/>
  <c r="G13" i="7"/>
  <c r="E13" i="7"/>
  <c r="O12" i="7"/>
  <c r="M12" i="7"/>
  <c r="E12" i="7"/>
  <c r="O11" i="7"/>
  <c r="M11" i="7"/>
  <c r="K11" i="7"/>
  <c r="G11" i="7"/>
  <c r="E11" i="7"/>
  <c r="O10" i="7"/>
  <c r="M10" i="7"/>
  <c r="K10" i="7"/>
  <c r="I10" i="7"/>
  <c r="G10" i="7"/>
  <c r="E10" i="7"/>
  <c r="O9" i="7"/>
  <c r="M9" i="7"/>
  <c r="K9" i="7"/>
  <c r="I9" i="7"/>
  <c r="G9" i="7"/>
  <c r="E9" i="7"/>
  <c r="O8" i="7"/>
  <c r="M8" i="7"/>
  <c r="K8" i="7"/>
  <c r="I8" i="7"/>
  <c r="G8" i="7"/>
  <c r="E8" i="7"/>
  <c r="O7" i="7"/>
  <c r="M7" i="7"/>
  <c r="K7" i="7"/>
  <c r="I7" i="7"/>
  <c r="G7" i="7"/>
  <c r="E7" i="7"/>
  <c r="O6" i="7"/>
  <c r="M6" i="7"/>
  <c r="K6" i="7"/>
  <c r="G6" i="7"/>
  <c r="E6" i="7"/>
  <c r="O5" i="7"/>
  <c r="M5" i="7"/>
  <c r="K5" i="7"/>
  <c r="G5" i="7"/>
  <c r="E5" i="7"/>
  <c r="O4" i="7"/>
  <c r="M4" i="7"/>
  <c r="K4" i="7"/>
  <c r="G4" i="7"/>
  <c r="E4" i="7"/>
  <c r="O3" i="7"/>
  <c r="M3" i="7"/>
  <c r="K3" i="7"/>
  <c r="I3" i="7"/>
  <c r="G3" i="7"/>
  <c r="E3" i="7"/>
  <c r="Y31" i="6"/>
  <c r="Z31" i="6"/>
  <c r="AA31" i="6"/>
  <c r="AB31" i="6"/>
  <c r="AC31" i="6"/>
  <c r="Y32" i="6"/>
  <c r="Z32" i="6"/>
  <c r="AA32" i="6"/>
  <c r="AB32" i="6"/>
  <c r="AC32" i="6"/>
  <c r="Y33" i="6"/>
  <c r="Z33" i="6"/>
  <c r="AA33" i="6"/>
  <c r="AB33" i="6"/>
  <c r="AC33" i="6"/>
  <c r="Y34" i="6"/>
  <c r="Z34" i="6"/>
  <c r="AA34" i="6"/>
  <c r="AB34" i="6"/>
  <c r="AC34" i="6"/>
  <c r="AC30" i="6"/>
  <c r="AB30" i="6"/>
  <c r="AA30" i="6"/>
  <c r="Z30" i="6"/>
  <c r="Y30" i="6"/>
  <c r="Y19" i="6"/>
  <c r="Z19" i="6"/>
  <c r="AA19" i="6"/>
  <c r="AB19" i="6"/>
  <c r="AC19" i="6"/>
  <c r="Y20" i="6"/>
  <c r="Z20" i="6"/>
  <c r="AA20" i="6"/>
  <c r="AB20" i="6"/>
  <c r="AC20" i="6"/>
  <c r="Y21" i="6"/>
  <c r="Z21" i="6"/>
  <c r="AA21" i="6"/>
  <c r="AB21" i="6"/>
  <c r="AC21" i="6"/>
  <c r="Y22" i="6"/>
  <c r="Z22" i="6"/>
  <c r="AA22" i="6"/>
  <c r="AB22" i="6"/>
  <c r="AC22" i="6"/>
  <c r="Y23" i="6"/>
  <c r="Z23" i="6"/>
  <c r="AA23" i="6"/>
  <c r="AB23" i="6"/>
  <c r="AC23" i="6"/>
  <c r="Y24" i="6"/>
  <c r="Z24" i="6"/>
  <c r="AA24" i="6"/>
  <c r="AB24" i="6"/>
  <c r="AC24" i="6"/>
  <c r="Y25" i="6"/>
  <c r="Z25" i="6"/>
  <c r="AA25" i="6"/>
  <c r="AB25" i="6"/>
  <c r="AC25" i="6"/>
  <c r="Y26" i="6"/>
  <c r="Z26" i="6"/>
  <c r="AA26" i="6"/>
  <c r="AB26" i="6"/>
  <c r="AC26" i="6"/>
  <c r="AC18" i="6"/>
  <c r="AB18" i="6"/>
  <c r="AA18" i="6"/>
  <c r="Z18" i="6"/>
  <c r="Y18" i="6"/>
  <c r="Y4" i="6"/>
  <c r="Z4" i="6"/>
  <c r="AA4" i="6"/>
  <c r="AB4" i="6"/>
  <c r="AC4" i="6"/>
  <c r="Y5" i="6"/>
  <c r="Z5" i="6"/>
  <c r="AA5" i="6"/>
  <c r="AB5" i="6"/>
  <c r="AC5" i="6"/>
  <c r="Y6" i="6"/>
  <c r="Z6" i="6"/>
  <c r="AB6" i="6"/>
  <c r="AC6" i="6"/>
  <c r="Y7" i="6"/>
  <c r="Z7" i="6"/>
  <c r="AA7" i="6"/>
  <c r="AB7" i="6"/>
  <c r="AC7" i="6"/>
  <c r="Y8" i="6"/>
  <c r="AB8" i="6"/>
  <c r="AC8" i="6"/>
  <c r="Y9" i="6"/>
  <c r="Z9" i="6"/>
  <c r="AA9" i="6"/>
  <c r="AB9" i="6"/>
  <c r="AC9" i="6"/>
  <c r="Y10" i="6"/>
  <c r="Z10" i="6"/>
  <c r="AA10" i="6"/>
  <c r="AB10" i="6"/>
  <c r="AC10" i="6"/>
  <c r="Y11" i="6"/>
  <c r="Z11" i="6"/>
  <c r="AA11" i="6"/>
  <c r="AB11" i="6"/>
  <c r="AC11" i="6"/>
  <c r="Y12" i="6"/>
  <c r="Z12" i="6"/>
  <c r="AA12" i="6"/>
  <c r="AB12" i="6"/>
  <c r="AC12" i="6"/>
  <c r="Y13" i="6"/>
  <c r="Z13" i="6"/>
  <c r="AA13" i="6"/>
  <c r="AB13" i="6"/>
  <c r="AC13" i="6"/>
  <c r="Y14" i="6"/>
  <c r="Z14" i="6"/>
  <c r="AA14" i="6"/>
  <c r="AB14" i="6"/>
  <c r="AC14" i="6"/>
  <c r="AC3" i="6"/>
  <c r="AB3" i="6"/>
  <c r="AA3" i="6"/>
  <c r="Z3" i="6"/>
  <c r="AB15" i="15" l="1"/>
  <c r="T19" i="8"/>
  <c r="I20" i="7"/>
  <c r="AA15" i="15"/>
  <c r="AC27" i="15"/>
  <c r="AC35" i="13"/>
  <c r="S15" i="15"/>
  <c r="Z27" i="15"/>
  <c r="Y27" i="15"/>
  <c r="AA27" i="15"/>
  <c r="AB35" i="15"/>
  <c r="Y35" i="13"/>
  <c r="Z35" i="15"/>
  <c r="AA35" i="15"/>
  <c r="Y35" i="15"/>
  <c r="AC35" i="15"/>
  <c r="AA4" i="7"/>
  <c r="Y35" i="11"/>
  <c r="T3" i="9"/>
  <c r="I22" i="8"/>
  <c r="U22" i="9" s="1"/>
  <c r="Z25" i="7"/>
  <c r="AA7" i="8"/>
  <c r="T4" i="9"/>
  <c r="V25" i="8"/>
  <c r="W5" i="9"/>
  <c r="Z21" i="7"/>
  <c r="U30" i="9"/>
  <c r="I26" i="7"/>
  <c r="Z15" i="12"/>
  <c r="V21" i="8"/>
  <c r="V34" i="8"/>
  <c r="I7" i="9"/>
  <c r="U7" i="9" s="1"/>
  <c r="AA15" i="13"/>
  <c r="T7" i="8"/>
  <c r="AA12" i="7"/>
  <c r="AA5" i="7"/>
  <c r="I33" i="8"/>
  <c r="U33" i="8" s="1"/>
  <c r="AC27" i="11"/>
  <c r="G8" i="8"/>
  <c r="T9" i="8"/>
  <c r="W9" i="8"/>
  <c r="W33" i="8"/>
  <c r="AA5" i="8"/>
  <c r="G33" i="8"/>
  <c r="G35" i="8" s="1"/>
  <c r="F35" i="8" s="1"/>
  <c r="S15" i="13"/>
  <c r="AA27" i="13"/>
  <c r="T14" i="8"/>
  <c r="U10" i="8"/>
  <c r="W7" i="8"/>
  <c r="W23" i="8"/>
  <c r="T25" i="8"/>
  <c r="I5" i="9"/>
  <c r="U5" i="10" s="1"/>
  <c r="T8" i="8"/>
  <c r="U9" i="8"/>
  <c r="W11" i="8"/>
  <c r="V20" i="8"/>
  <c r="AA11" i="8"/>
  <c r="AA20" i="8"/>
  <c r="Z25" i="8"/>
  <c r="AA27" i="12"/>
  <c r="AB35" i="13"/>
  <c r="AA15" i="12"/>
  <c r="T32" i="8"/>
  <c r="AC27" i="12"/>
  <c r="V14" i="8"/>
  <c r="W22" i="8"/>
  <c r="W8" i="8"/>
  <c r="G22" i="7"/>
  <c r="O22" i="7" s="1"/>
  <c r="O27" i="7" s="1"/>
  <c r="N27" i="7" s="1"/>
  <c r="Z22" i="7"/>
  <c r="T5" i="8"/>
  <c r="W6" i="8"/>
  <c r="V7" i="8"/>
  <c r="W14" i="8"/>
  <c r="V19" i="8"/>
  <c r="T21" i="8"/>
  <c r="I25" i="8"/>
  <c r="V26" i="8"/>
  <c r="W34" i="8"/>
  <c r="AA19" i="8"/>
  <c r="T20" i="9"/>
  <c r="Y27" i="11"/>
  <c r="AA35" i="13"/>
  <c r="AC27" i="13"/>
  <c r="V6" i="8"/>
  <c r="V4" i="8"/>
  <c r="T6" i="8"/>
  <c r="I8" i="8"/>
  <c r="U8" i="8" s="1"/>
  <c r="V10" i="8"/>
  <c r="U11" i="8"/>
  <c r="V13" i="8"/>
  <c r="T20" i="8"/>
  <c r="I21" i="8"/>
  <c r="U21" i="8" s="1"/>
  <c r="U23" i="8"/>
  <c r="U24" i="8"/>
  <c r="U32" i="8"/>
  <c r="U7" i="8"/>
  <c r="Z35" i="12"/>
  <c r="AB27" i="13"/>
  <c r="W24" i="8"/>
  <c r="W32" i="8"/>
  <c r="W4" i="8"/>
  <c r="V5" i="8"/>
  <c r="V8" i="8"/>
  <c r="W10" i="8"/>
  <c r="V11" i="8"/>
  <c r="T13" i="8"/>
  <c r="W13" i="8"/>
  <c r="U14" i="8"/>
  <c r="V22" i="8"/>
  <c r="V23" i="8"/>
  <c r="V24" i="8"/>
  <c r="W26" i="8"/>
  <c r="V32" i="8"/>
  <c r="V33" i="8"/>
  <c r="U34" i="8"/>
  <c r="U4" i="8"/>
  <c r="Z33" i="8"/>
  <c r="T33" i="9"/>
  <c r="AA15" i="11"/>
  <c r="Z27" i="12"/>
  <c r="Z27" i="13"/>
  <c r="Z15" i="13"/>
  <c r="D15" i="13"/>
  <c r="D15" i="12"/>
  <c r="Y15" i="12" s="1"/>
  <c r="W3" i="8"/>
  <c r="W12" i="8"/>
  <c r="G25" i="8"/>
  <c r="O25" i="8" s="1"/>
  <c r="W5" i="8"/>
  <c r="T4" i="8"/>
  <c r="T24" i="8"/>
  <c r="AA8" i="8"/>
  <c r="Z21" i="8"/>
  <c r="AA33" i="8"/>
  <c r="W7" i="9"/>
  <c r="W7" i="10"/>
  <c r="V10" i="9"/>
  <c r="V10" i="10"/>
  <c r="V13" i="9"/>
  <c r="V13" i="10"/>
  <c r="V19" i="9"/>
  <c r="V19" i="10"/>
  <c r="V21" i="9"/>
  <c r="V21" i="10"/>
  <c r="V23" i="9"/>
  <c r="V23" i="10"/>
  <c r="M26" i="9"/>
  <c r="S26" i="10"/>
  <c r="U33" i="10"/>
  <c r="W11" i="9"/>
  <c r="Z25" i="9"/>
  <c r="AA20" i="9"/>
  <c r="V34" i="9"/>
  <c r="Z11" i="9"/>
  <c r="U18" i="8"/>
  <c r="V6" i="9"/>
  <c r="V6" i="10"/>
  <c r="U9" i="9"/>
  <c r="U9" i="10"/>
  <c r="W10" i="9"/>
  <c r="W10" i="10"/>
  <c r="W13" i="9"/>
  <c r="W13" i="10"/>
  <c r="M20" i="9"/>
  <c r="S20" i="10"/>
  <c r="M22" i="9"/>
  <c r="S22" i="10"/>
  <c r="M24" i="9"/>
  <c r="S24" i="10"/>
  <c r="O26" i="9"/>
  <c r="T26" i="10"/>
  <c r="AA4" i="9"/>
  <c r="T34" i="9"/>
  <c r="I12" i="7"/>
  <c r="U12" i="7" s="1"/>
  <c r="V18" i="8"/>
  <c r="V30" i="8"/>
  <c r="S35" i="8"/>
  <c r="G11" i="8"/>
  <c r="T10" i="8"/>
  <c r="T22" i="8"/>
  <c r="AA6" i="8"/>
  <c r="AA22" i="8"/>
  <c r="Z19" i="8"/>
  <c r="W6" i="9"/>
  <c r="W6" i="10"/>
  <c r="T8" i="9"/>
  <c r="S8" i="10"/>
  <c r="V9" i="9"/>
  <c r="V9" i="10"/>
  <c r="M18" i="9"/>
  <c r="W18" i="10" s="1"/>
  <c r="S18" i="10"/>
  <c r="O20" i="9"/>
  <c r="T20" i="10"/>
  <c r="O22" i="9"/>
  <c r="T22" i="10"/>
  <c r="O24" i="9"/>
  <c r="T24" i="10"/>
  <c r="U26" i="10"/>
  <c r="W33" i="9"/>
  <c r="W33" i="10"/>
  <c r="V5" i="9"/>
  <c r="AA7" i="9"/>
  <c r="Z19" i="9"/>
  <c r="Z19" i="10"/>
  <c r="I25" i="7"/>
  <c r="W30" i="9"/>
  <c r="W31" i="8"/>
  <c r="AA25" i="8"/>
  <c r="U8" i="10"/>
  <c r="W9" i="9"/>
  <c r="W9" i="10"/>
  <c r="T11" i="9"/>
  <c r="S11" i="10"/>
  <c r="T14" i="9"/>
  <c r="S14" i="10"/>
  <c r="U22" i="10"/>
  <c r="V26" i="9"/>
  <c r="V26" i="10"/>
  <c r="O34" i="9"/>
  <c r="S34" i="10"/>
  <c r="AA21" i="9"/>
  <c r="V33" i="9"/>
  <c r="T33" i="8"/>
  <c r="V31" i="8"/>
  <c r="AA4" i="8"/>
  <c r="T7" i="9"/>
  <c r="S7" i="10"/>
  <c r="V8" i="9"/>
  <c r="V8" i="10"/>
  <c r="U11" i="9"/>
  <c r="U11" i="10"/>
  <c r="V22" i="9"/>
  <c r="V22" i="10"/>
  <c r="V24" i="9"/>
  <c r="V24" i="10"/>
  <c r="W8" i="9"/>
  <c r="T5" i="9"/>
  <c r="AA5" i="9"/>
  <c r="Z15" i="11"/>
  <c r="T12" i="8"/>
  <c r="U13" i="8"/>
  <c r="T11" i="8"/>
  <c r="V9" i="8"/>
  <c r="T23" i="8"/>
  <c r="U31" i="8"/>
  <c r="I4" i="9"/>
  <c r="V11" i="9"/>
  <c r="V11" i="10"/>
  <c r="T13" i="9"/>
  <c r="S13" i="10"/>
  <c r="U14" i="9"/>
  <c r="U14" i="10"/>
  <c r="M21" i="9"/>
  <c r="S21" i="10"/>
  <c r="M23" i="9"/>
  <c r="S23" i="10"/>
  <c r="M25" i="9"/>
  <c r="S25" i="10"/>
  <c r="O30" i="9"/>
  <c r="S30" i="10"/>
  <c r="U34" i="9"/>
  <c r="U34" i="10"/>
  <c r="Z10" i="9"/>
  <c r="AA11" i="7"/>
  <c r="U3" i="8"/>
  <c r="I6" i="8"/>
  <c r="U6" i="8" s="1"/>
  <c r="S15" i="8"/>
  <c r="S27" i="8"/>
  <c r="T26" i="8"/>
  <c r="T31" i="8"/>
  <c r="AA26" i="8"/>
  <c r="V14" i="9"/>
  <c r="V14" i="10"/>
  <c r="M19" i="9"/>
  <c r="S19" i="10"/>
  <c r="O21" i="9"/>
  <c r="T21" i="10"/>
  <c r="O23" i="9"/>
  <c r="T23" i="10"/>
  <c r="O25" i="9"/>
  <c r="T25" i="10"/>
  <c r="W4" i="9"/>
  <c r="V20" i="9"/>
  <c r="Z8" i="9"/>
  <c r="Z8" i="10"/>
  <c r="Z27" i="11"/>
  <c r="V3" i="8"/>
  <c r="W18" i="8"/>
  <c r="T30" i="8"/>
  <c r="T34" i="8"/>
  <c r="Z10" i="8"/>
  <c r="V7" i="9"/>
  <c r="V7" i="10"/>
  <c r="T9" i="9"/>
  <c r="S9" i="10"/>
  <c r="U10" i="9"/>
  <c r="U10" i="10"/>
  <c r="U13" i="9"/>
  <c r="U13" i="10"/>
  <c r="W14" i="9"/>
  <c r="W14" i="10"/>
  <c r="U19" i="10"/>
  <c r="U21" i="10"/>
  <c r="U23" i="9"/>
  <c r="U23" i="10"/>
  <c r="V25" i="9"/>
  <c r="V25" i="10"/>
  <c r="O33" i="9"/>
  <c r="S33" i="10"/>
  <c r="W34" i="9"/>
  <c r="W34" i="10"/>
  <c r="T6" i="9"/>
  <c r="V4" i="9"/>
  <c r="U24" i="9"/>
  <c r="AA11" i="9"/>
  <c r="AA11" i="10"/>
  <c r="T32" i="9"/>
  <c r="M35" i="9"/>
  <c r="W35" i="10" s="1"/>
  <c r="W32" i="10"/>
  <c r="W32" i="9"/>
  <c r="V32" i="9"/>
  <c r="U32" i="9"/>
  <c r="U30" i="8"/>
  <c r="W30" i="8"/>
  <c r="V30" i="9"/>
  <c r="S35" i="9"/>
  <c r="T18" i="8"/>
  <c r="U18" i="9"/>
  <c r="S27" i="9"/>
  <c r="V18" i="9"/>
  <c r="T18" i="9"/>
  <c r="U3" i="9"/>
  <c r="T3" i="8"/>
  <c r="V3" i="9"/>
  <c r="W3" i="9"/>
  <c r="T12" i="9"/>
  <c r="S15" i="9"/>
  <c r="W12" i="9"/>
  <c r="U12" i="9"/>
  <c r="T30" i="9"/>
  <c r="T26" i="9"/>
  <c r="T25" i="9"/>
  <c r="T24" i="9"/>
  <c r="T23" i="9"/>
  <c r="T22" i="9"/>
  <c r="T21" i="9"/>
  <c r="T19" i="9"/>
  <c r="M15" i="9"/>
  <c r="W15" i="10" s="1"/>
  <c r="K27" i="9"/>
  <c r="V27" i="10" s="1"/>
  <c r="O15" i="9"/>
  <c r="N15" i="9" s="1"/>
  <c r="K15" i="9"/>
  <c r="I35" i="9"/>
  <c r="U35" i="10" s="1"/>
  <c r="I6" i="9"/>
  <c r="G11" i="9"/>
  <c r="T11" i="10" s="1"/>
  <c r="G19" i="9"/>
  <c r="I25" i="9"/>
  <c r="E27" i="9"/>
  <c r="O32" i="9"/>
  <c r="O18" i="9"/>
  <c r="E35" i="9"/>
  <c r="S35" i="10" s="1"/>
  <c r="G8" i="9"/>
  <c r="T8" i="10" s="1"/>
  <c r="E15" i="9"/>
  <c r="S15" i="10" s="1"/>
  <c r="G33" i="9"/>
  <c r="K35" i="9"/>
  <c r="V35" i="10" s="1"/>
  <c r="E35" i="8"/>
  <c r="I19" i="8"/>
  <c r="U19" i="8" s="1"/>
  <c r="K15" i="8"/>
  <c r="M35" i="8"/>
  <c r="K27" i="8"/>
  <c r="K35" i="8"/>
  <c r="M25" i="8"/>
  <c r="W25" i="8" s="1"/>
  <c r="M21" i="8"/>
  <c r="W21" i="8" s="1"/>
  <c r="E15" i="8"/>
  <c r="O15" i="8"/>
  <c r="N15" i="8" s="1"/>
  <c r="M15" i="8"/>
  <c r="I5" i="8"/>
  <c r="U5" i="8" s="1"/>
  <c r="O18" i="8"/>
  <c r="M20" i="8"/>
  <c r="W20" i="8" s="1"/>
  <c r="I26" i="8"/>
  <c r="E27" i="8"/>
  <c r="I20" i="8"/>
  <c r="G21" i="8"/>
  <c r="O21" i="8" s="1"/>
  <c r="O30" i="8"/>
  <c r="O35" i="8" s="1"/>
  <c r="N35" i="8" s="1"/>
  <c r="G35" i="7"/>
  <c r="F35" i="7" s="1"/>
  <c r="I22" i="7"/>
  <c r="I35" i="7"/>
  <c r="M15" i="7"/>
  <c r="E27" i="7"/>
  <c r="M35" i="7"/>
  <c r="O15" i="7"/>
  <c r="N15" i="7" s="1"/>
  <c r="M19" i="7"/>
  <c r="E35" i="7"/>
  <c r="O30" i="7"/>
  <c r="O35" i="7" s="1"/>
  <c r="N35" i="7" s="1"/>
  <c r="G15" i="7"/>
  <c r="F15" i="7" s="1"/>
  <c r="K27" i="7"/>
  <c r="K35" i="7"/>
  <c r="E15" i="7"/>
  <c r="K15" i="7"/>
  <c r="H8" i="6"/>
  <c r="F8" i="6"/>
  <c r="U20" i="8" l="1"/>
  <c r="I35" i="8"/>
  <c r="H35" i="8" s="1"/>
  <c r="U33" i="9"/>
  <c r="Y15" i="15"/>
  <c r="U26" i="8"/>
  <c r="U7" i="10"/>
  <c r="G27" i="7"/>
  <c r="F27" i="7" s="1"/>
  <c r="I15" i="7"/>
  <c r="H15" i="7" s="1"/>
  <c r="U21" i="9"/>
  <c r="G15" i="8"/>
  <c r="F15" i="8" s="1"/>
  <c r="Z15" i="8" s="1"/>
  <c r="O35" i="9"/>
  <c r="N35" i="9" s="1"/>
  <c r="M27" i="9"/>
  <c r="W27" i="10" s="1"/>
  <c r="Y15" i="13"/>
  <c r="W18" i="9"/>
  <c r="U8" i="9"/>
  <c r="U25" i="8"/>
  <c r="U12" i="8"/>
  <c r="T35" i="8"/>
  <c r="U25" i="9"/>
  <c r="U25" i="10"/>
  <c r="W26" i="9"/>
  <c r="W26" i="10"/>
  <c r="W20" i="10"/>
  <c r="W20" i="9"/>
  <c r="T27" i="9"/>
  <c r="S27" i="10"/>
  <c r="O19" i="9"/>
  <c r="O27" i="9" s="1"/>
  <c r="N27" i="9" s="1"/>
  <c r="T19" i="10"/>
  <c r="W25" i="9"/>
  <c r="W25" i="10"/>
  <c r="U5" i="9"/>
  <c r="U26" i="9"/>
  <c r="Z35" i="8"/>
  <c r="U6" i="9"/>
  <c r="U6" i="10"/>
  <c r="U19" i="9"/>
  <c r="U22" i="8"/>
  <c r="G35" i="9"/>
  <c r="F35" i="9" s="1"/>
  <c r="Z35" i="10" s="1"/>
  <c r="T33" i="10"/>
  <c r="Z8" i="6"/>
  <c r="Z8" i="7"/>
  <c r="U20" i="9"/>
  <c r="W23" i="9"/>
  <c r="W23" i="10"/>
  <c r="W22" i="10"/>
  <c r="W22" i="9"/>
  <c r="V35" i="8"/>
  <c r="AA8" i="6"/>
  <c r="AA8" i="7"/>
  <c r="T27" i="8"/>
  <c r="V15" i="9"/>
  <c r="V15" i="10"/>
  <c r="W19" i="9"/>
  <c r="W19" i="10"/>
  <c r="U4" i="10"/>
  <c r="U4" i="9"/>
  <c r="W24" i="9"/>
  <c r="W24" i="10"/>
  <c r="W21" i="9"/>
  <c r="W21" i="10"/>
  <c r="W19" i="8"/>
  <c r="L35" i="9"/>
  <c r="AC35" i="10" s="1"/>
  <c r="V35" i="9"/>
  <c r="T35" i="9"/>
  <c r="L35" i="8"/>
  <c r="W35" i="8"/>
  <c r="W35" i="9"/>
  <c r="V27" i="9"/>
  <c r="J27" i="8"/>
  <c r="V27" i="8"/>
  <c r="J15" i="8"/>
  <c r="V15" i="8"/>
  <c r="T15" i="9"/>
  <c r="L15" i="8"/>
  <c r="W15" i="8"/>
  <c r="D15" i="8"/>
  <c r="T15" i="8"/>
  <c r="W15" i="9"/>
  <c r="J27" i="9"/>
  <c r="AB27" i="10" s="1"/>
  <c r="G15" i="9"/>
  <c r="L15" i="9"/>
  <c r="I27" i="9"/>
  <c r="U27" i="10" s="1"/>
  <c r="J35" i="9"/>
  <c r="D27" i="9"/>
  <c r="Y27" i="10" s="1"/>
  <c r="H35" i="9"/>
  <c r="AA35" i="10" s="1"/>
  <c r="I15" i="9"/>
  <c r="U15" i="10" s="1"/>
  <c r="D15" i="9"/>
  <c r="G27" i="9"/>
  <c r="D35" i="9"/>
  <c r="Y35" i="10" s="1"/>
  <c r="J15" i="9"/>
  <c r="D35" i="8"/>
  <c r="J35" i="8"/>
  <c r="I27" i="8"/>
  <c r="H27" i="8" s="1"/>
  <c r="O27" i="8"/>
  <c r="N27" i="8" s="1"/>
  <c r="I15" i="8"/>
  <c r="M27" i="8"/>
  <c r="D27" i="8"/>
  <c r="G27" i="8"/>
  <c r="F27" i="8" s="1"/>
  <c r="D35" i="7"/>
  <c r="H35" i="7"/>
  <c r="I27" i="7"/>
  <c r="M27" i="7"/>
  <c r="D15" i="7"/>
  <c r="J35" i="7"/>
  <c r="L35" i="7"/>
  <c r="D27" i="7"/>
  <c r="J15" i="7"/>
  <c r="J27" i="7"/>
  <c r="L15" i="7"/>
  <c r="H6" i="6"/>
  <c r="AA6" i="7" s="1"/>
  <c r="C35" i="6"/>
  <c r="S35" i="7" s="1"/>
  <c r="S34" i="6"/>
  <c r="M34" i="6"/>
  <c r="W34" i="7" s="1"/>
  <c r="K34" i="6"/>
  <c r="V34" i="7" s="1"/>
  <c r="I34" i="6"/>
  <c r="U34" i="7" s="1"/>
  <c r="G34" i="6"/>
  <c r="E34" i="6"/>
  <c r="T34" i="7" s="1"/>
  <c r="S33" i="6"/>
  <c r="M33" i="6"/>
  <c r="W33" i="7" s="1"/>
  <c r="K33" i="6"/>
  <c r="V33" i="7" s="1"/>
  <c r="I33" i="6"/>
  <c r="U33" i="7" s="1"/>
  <c r="G33" i="6"/>
  <c r="E33" i="6"/>
  <c r="S32" i="6"/>
  <c r="M32" i="6"/>
  <c r="W32" i="7" s="1"/>
  <c r="K32" i="6"/>
  <c r="V32" i="7" s="1"/>
  <c r="I32" i="6"/>
  <c r="U32" i="7" s="1"/>
  <c r="G32" i="6"/>
  <c r="E32" i="6"/>
  <c r="T32" i="7" s="1"/>
  <c r="S31" i="6"/>
  <c r="M31" i="6"/>
  <c r="W31" i="7" s="1"/>
  <c r="K31" i="6"/>
  <c r="V31" i="7" s="1"/>
  <c r="I31" i="6"/>
  <c r="U31" i="7" s="1"/>
  <c r="G31" i="6"/>
  <c r="E31" i="6"/>
  <c r="S30" i="6"/>
  <c r="M30" i="6"/>
  <c r="W30" i="7" s="1"/>
  <c r="K30" i="6"/>
  <c r="V30" i="7" s="1"/>
  <c r="I30" i="6"/>
  <c r="U30" i="7" s="1"/>
  <c r="G30" i="6"/>
  <c r="E30" i="6"/>
  <c r="T30" i="7" s="1"/>
  <c r="C27" i="6"/>
  <c r="S27" i="7" s="1"/>
  <c r="S26" i="6"/>
  <c r="K26" i="6"/>
  <c r="V26" i="7" s="1"/>
  <c r="I26" i="6"/>
  <c r="U26" i="7" s="1"/>
  <c r="G26" i="6"/>
  <c r="O26" i="6" s="1"/>
  <c r="E26" i="6"/>
  <c r="T26" i="7" s="1"/>
  <c r="S25" i="6"/>
  <c r="K25" i="6"/>
  <c r="V25" i="7" s="1"/>
  <c r="I25" i="6"/>
  <c r="U25" i="7" s="1"/>
  <c r="G25" i="6"/>
  <c r="O25" i="6" s="1"/>
  <c r="E25" i="6"/>
  <c r="T25" i="7" s="1"/>
  <c r="S24" i="6"/>
  <c r="K24" i="6"/>
  <c r="V24" i="7" s="1"/>
  <c r="I24" i="6"/>
  <c r="U24" i="7" s="1"/>
  <c r="G24" i="6"/>
  <c r="O24" i="6" s="1"/>
  <c r="E24" i="6"/>
  <c r="T24" i="7" s="1"/>
  <c r="S23" i="6"/>
  <c r="K23" i="6"/>
  <c r="V23" i="7" s="1"/>
  <c r="I23" i="6"/>
  <c r="U23" i="7" s="1"/>
  <c r="G23" i="6"/>
  <c r="O23" i="6" s="1"/>
  <c r="E23" i="6"/>
  <c r="T23" i="7" s="1"/>
  <c r="S22" i="6"/>
  <c r="K22" i="6"/>
  <c r="V22" i="7" s="1"/>
  <c r="I22" i="6"/>
  <c r="U22" i="7" s="1"/>
  <c r="G22" i="6"/>
  <c r="O22" i="6" s="1"/>
  <c r="E22" i="6"/>
  <c r="T22" i="7" s="1"/>
  <c r="S21" i="6"/>
  <c r="K21" i="6"/>
  <c r="V21" i="7" s="1"/>
  <c r="I21" i="6"/>
  <c r="U21" i="7" s="1"/>
  <c r="G21" i="6"/>
  <c r="O21" i="6" s="1"/>
  <c r="E21" i="6"/>
  <c r="T21" i="7" s="1"/>
  <c r="S20" i="6"/>
  <c r="K20" i="6"/>
  <c r="V20" i="7" s="1"/>
  <c r="I20" i="6"/>
  <c r="U20" i="7" s="1"/>
  <c r="G20" i="6"/>
  <c r="O20" i="6" s="1"/>
  <c r="E20" i="6"/>
  <c r="T20" i="7" s="1"/>
  <c r="S19" i="6"/>
  <c r="K19" i="6"/>
  <c r="V19" i="7" s="1"/>
  <c r="I19" i="6"/>
  <c r="U19" i="7" s="1"/>
  <c r="G19" i="6"/>
  <c r="O19" i="6" s="1"/>
  <c r="E19" i="6"/>
  <c r="T19" i="7" s="1"/>
  <c r="S18" i="6"/>
  <c r="K18" i="6"/>
  <c r="V18" i="7" s="1"/>
  <c r="I18" i="6"/>
  <c r="U18" i="7" s="1"/>
  <c r="G18" i="6"/>
  <c r="O18" i="6" s="1"/>
  <c r="E18" i="6"/>
  <c r="T18" i="7" s="1"/>
  <c r="C15" i="6"/>
  <c r="S15" i="7" s="1"/>
  <c r="S14" i="6"/>
  <c r="O14" i="6"/>
  <c r="M14" i="6"/>
  <c r="W14" i="7" s="1"/>
  <c r="K14" i="6"/>
  <c r="V14" i="7" s="1"/>
  <c r="I14" i="6"/>
  <c r="U14" i="7" s="1"/>
  <c r="G14" i="6"/>
  <c r="E14" i="6"/>
  <c r="T14" i="7" s="1"/>
  <c r="S13" i="6"/>
  <c r="O13" i="6"/>
  <c r="M13" i="6"/>
  <c r="W13" i="7" s="1"/>
  <c r="K13" i="6"/>
  <c r="V13" i="7" s="1"/>
  <c r="I13" i="6"/>
  <c r="U13" i="7" s="1"/>
  <c r="G13" i="6"/>
  <c r="E13" i="6"/>
  <c r="T13" i="7" s="1"/>
  <c r="S12" i="6"/>
  <c r="O12" i="6"/>
  <c r="M12" i="6"/>
  <c r="W12" i="7" s="1"/>
  <c r="E12" i="6"/>
  <c r="T12" i="7" s="1"/>
  <c r="S11" i="6"/>
  <c r="O11" i="6"/>
  <c r="M11" i="6"/>
  <c r="W11" i="7" s="1"/>
  <c r="K11" i="6"/>
  <c r="V11" i="7" s="1"/>
  <c r="I11" i="6"/>
  <c r="U11" i="7" s="1"/>
  <c r="G11" i="6"/>
  <c r="E11" i="6"/>
  <c r="T11" i="7" s="1"/>
  <c r="S10" i="6"/>
  <c r="O10" i="6"/>
  <c r="M10" i="6"/>
  <c r="W10" i="7" s="1"/>
  <c r="K10" i="6"/>
  <c r="V10" i="7" s="1"/>
  <c r="I10" i="6"/>
  <c r="U10" i="7" s="1"/>
  <c r="G10" i="6"/>
  <c r="E10" i="6"/>
  <c r="T10" i="7" s="1"/>
  <c r="S9" i="6"/>
  <c r="O9" i="6"/>
  <c r="M9" i="6"/>
  <c r="W9" i="7" s="1"/>
  <c r="K9" i="6"/>
  <c r="V9" i="7" s="1"/>
  <c r="I9" i="6"/>
  <c r="U9" i="7" s="1"/>
  <c r="G9" i="6"/>
  <c r="E9" i="6"/>
  <c r="T9" i="7" s="1"/>
  <c r="S8" i="6"/>
  <c r="O8" i="6"/>
  <c r="M8" i="6"/>
  <c r="W8" i="7" s="1"/>
  <c r="K8" i="6"/>
  <c r="V8" i="7" s="1"/>
  <c r="I8" i="6"/>
  <c r="U8" i="7" s="1"/>
  <c r="G8" i="6"/>
  <c r="E8" i="6"/>
  <c r="T8" i="7" s="1"/>
  <c r="S7" i="6"/>
  <c r="O7" i="6"/>
  <c r="M7" i="6"/>
  <c r="W7" i="7" s="1"/>
  <c r="K7" i="6"/>
  <c r="V7" i="7" s="1"/>
  <c r="I7" i="6"/>
  <c r="U7" i="7" s="1"/>
  <c r="G7" i="6"/>
  <c r="E7" i="6"/>
  <c r="T7" i="7" s="1"/>
  <c r="S6" i="6"/>
  <c r="O6" i="6"/>
  <c r="M6" i="6"/>
  <c r="W6" i="7" s="1"/>
  <c r="K6" i="6"/>
  <c r="V6" i="7" s="1"/>
  <c r="I6" i="6"/>
  <c r="U6" i="7" s="1"/>
  <c r="G6" i="6"/>
  <c r="E6" i="6"/>
  <c r="T6" i="7" s="1"/>
  <c r="S5" i="6"/>
  <c r="O5" i="6"/>
  <c r="M5" i="6"/>
  <c r="W5" i="7" s="1"/>
  <c r="K5" i="6"/>
  <c r="V5" i="7" s="1"/>
  <c r="I5" i="6"/>
  <c r="U5" i="7" s="1"/>
  <c r="G5" i="6"/>
  <c r="E5" i="6"/>
  <c r="T5" i="7" s="1"/>
  <c r="S4" i="6"/>
  <c r="O4" i="6"/>
  <c r="M4" i="6"/>
  <c r="W4" i="7" s="1"/>
  <c r="K4" i="6"/>
  <c r="V4" i="7" s="1"/>
  <c r="I4" i="6"/>
  <c r="U4" i="7" s="1"/>
  <c r="G4" i="6"/>
  <c r="E4" i="6"/>
  <c r="T4" i="7" s="1"/>
  <c r="S3" i="6"/>
  <c r="O3" i="6"/>
  <c r="M3" i="6"/>
  <c r="W3" i="7" s="1"/>
  <c r="K3" i="6"/>
  <c r="V3" i="7" s="1"/>
  <c r="I3" i="6"/>
  <c r="U3" i="7" s="1"/>
  <c r="G3" i="6"/>
  <c r="E3" i="6"/>
  <c r="T3" i="7" s="1"/>
  <c r="C15" i="5"/>
  <c r="I12" i="4"/>
  <c r="U12" i="6" s="1"/>
  <c r="G12" i="4"/>
  <c r="E12" i="4"/>
  <c r="Y31" i="5"/>
  <c r="Z31" i="5"/>
  <c r="AA31" i="5"/>
  <c r="AB31" i="5"/>
  <c r="AC31" i="5"/>
  <c r="Y32" i="5"/>
  <c r="Z32" i="5"/>
  <c r="AA32" i="5"/>
  <c r="AB32" i="5"/>
  <c r="AC32" i="5"/>
  <c r="Y33" i="5"/>
  <c r="Z33" i="5"/>
  <c r="AA33" i="5"/>
  <c r="AB33" i="5"/>
  <c r="AC33" i="5"/>
  <c r="Y34" i="5"/>
  <c r="Z34" i="5"/>
  <c r="AA34" i="5"/>
  <c r="AB34" i="5"/>
  <c r="AC34" i="5"/>
  <c r="AC30" i="5"/>
  <c r="AB30" i="5"/>
  <c r="AA30" i="5"/>
  <c r="Z30" i="5"/>
  <c r="Y30" i="5"/>
  <c r="Y19" i="5"/>
  <c r="Z19" i="5"/>
  <c r="AA19" i="5"/>
  <c r="AB19" i="5"/>
  <c r="AC19" i="5"/>
  <c r="Y20" i="5"/>
  <c r="Z20" i="5"/>
  <c r="AA20" i="5"/>
  <c r="AB20" i="5"/>
  <c r="AC20" i="5"/>
  <c r="Y21" i="5"/>
  <c r="Z21" i="5"/>
  <c r="AA21" i="5"/>
  <c r="AB21" i="5"/>
  <c r="AC21" i="5"/>
  <c r="Y22" i="5"/>
  <c r="Z22" i="5"/>
  <c r="AA22" i="5"/>
  <c r="AB22" i="5"/>
  <c r="AC22" i="5"/>
  <c r="Y23" i="5"/>
  <c r="Z23" i="5"/>
  <c r="AA23" i="5"/>
  <c r="AB23" i="5"/>
  <c r="AC23" i="5"/>
  <c r="Y24" i="5"/>
  <c r="Z24" i="5"/>
  <c r="AA24" i="5"/>
  <c r="AB24" i="5"/>
  <c r="AC24" i="5"/>
  <c r="Y25" i="5"/>
  <c r="Z25" i="5"/>
  <c r="AA25" i="5"/>
  <c r="AB25" i="5"/>
  <c r="AC25" i="5"/>
  <c r="Y26" i="5"/>
  <c r="Z26" i="5"/>
  <c r="AA26" i="5"/>
  <c r="AB26" i="5"/>
  <c r="AC26" i="5"/>
  <c r="AC18" i="5"/>
  <c r="AB18" i="5"/>
  <c r="AA18" i="5"/>
  <c r="Z18" i="5"/>
  <c r="Y18" i="5"/>
  <c r="Y4" i="5"/>
  <c r="Z4" i="5"/>
  <c r="AA4" i="5"/>
  <c r="AB4" i="5"/>
  <c r="AC4" i="5"/>
  <c r="Y5" i="5"/>
  <c r="Z5" i="5"/>
  <c r="AA5" i="5"/>
  <c r="AB5" i="5"/>
  <c r="AC5" i="5"/>
  <c r="Y6" i="5"/>
  <c r="Z6" i="5"/>
  <c r="AA6" i="5"/>
  <c r="AB6" i="5"/>
  <c r="AC6" i="5"/>
  <c r="Y7" i="5"/>
  <c r="Z7" i="5"/>
  <c r="AA7" i="5"/>
  <c r="AB7" i="5"/>
  <c r="AC7" i="5"/>
  <c r="Y8" i="5"/>
  <c r="Z8" i="5"/>
  <c r="AA8" i="5"/>
  <c r="AB8" i="5"/>
  <c r="AC8" i="5"/>
  <c r="Y9" i="5"/>
  <c r="Z9" i="5"/>
  <c r="AA9" i="5"/>
  <c r="AB9" i="5"/>
  <c r="AC9" i="5"/>
  <c r="Y10" i="5"/>
  <c r="Z10" i="5"/>
  <c r="AA10" i="5"/>
  <c r="AB10" i="5"/>
  <c r="AC10" i="5"/>
  <c r="Y11" i="5"/>
  <c r="Z11" i="5"/>
  <c r="AA11" i="5"/>
  <c r="AB11" i="5"/>
  <c r="AC11" i="5"/>
  <c r="Y12" i="5"/>
  <c r="Z12" i="5"/>
  <c r="AA12" i="5"/>
  <c r="AB12" i="5"/>
  <c r="AC12" i="5"/>
  <c r="Y13" i="5"/>
  <c r="Z13" i="5"/>
  <c r="AA13" i="5"/>
  <c r="AB13" i="5"/>
  <c r="AC13" i="5"/>
  <c r="Y14" i="5"/>
  <c r="Z14" i="5"/>
  <c r="AA14" i="5"/>
  <c r="AB14" i="5"/>
  <c r="AC14" i="5"/>
  <c r="AC3" i="5"/>
  <c r="AB3" i="5"/>
  <c r="AA3" i="5"/>
  <c r="Z3" i="5"/>
  <c r="Y3" i="5"/>
  <c r="S31" i="5"/>
  <c r="S32" i="5"/>
  <c r="S33" i="5"/>
  <c r="S34" i="5"/>
  <c r="S30" i="5"/>
  <c r="S19" i="5"/>
  <c r="S20" i="5"/>
  <c r="S21" i="5"/>
  <c r="S22" i="5"/>
  <c r="S23" i="5"/>
  <c r="S24" i="5"/>
  <c r="S25" i="5"/>
  <c r="S26" i="5"/>
  <c r="S18" i="5"/>
  <c r="S4" i="5"/>
  <c r="S5" i="5"/>
  <c r="S6" i="5"/>
  <c r="S7" i="5"/>
  <c r="S8" i="5"/>
  <c r="S9" i="5"/>
  <c r="S10" i="5"/>
  <c r="S11" i="5"/>
  <c r="S12" i="5"/>
  <c r="S13" i="5"/>
  <c r="S14" i="5"/>
  <c r="S3" i="5"/>
  <c r="U35" i="8" l="1"/>
  <c r="U35" i="9"/>
  <c r="Z27" i="8"/>
  <c r="Y27" i="8"/>
  <c r="Y15" i="8"/>
  <c r="AA35" i="8"/>
  <c r="L27" i="9"/>
  <c r="AC27" i="10" s="1"/>
  <c r="AC35" i="8"/>
  <c r="T35" i="10"/>
  <c r="AB15" i="9"/>
  <c r="AB15" i="10"/>
  <c r="W27" i="8"/>
  <c r="AC15" i="9"/>
  <c r="AC15" i="10"/>
  <c r="AC15" i="8"/>
  <c r="F27" i="9"/>
  <c r="Z27" i="10" s="1"/>
  <c r="T27" i="10"/>
  <c r="F15" i="9"/>
  <c r="T15" i="10"/>
  <c r="O31" i="6"/>
  <c r="T31" i="7"/>
  <c r="U12" i="5"/>
  <c r="O33" i="6"/>
  <c r="T33" i="7"/>
  <c r="U27" i="8"/>
  <c r="AB15" i="8"/>
  <c r="AB35" i="8"/>
  <c r="Y35" i="8"/>
  <c r="AB27" i="8"/>
  <c r="AB35" i="9"/>
  <c r="AB35" i="10"/>
  <c r="Z35" i="9"/>
  <c r="Y15" i="9"/>
  <c r="Y15" i="10"/>
  <c r="AA35" i="9"/>
  <c r="Y35" i="9"/>
  <c r="AC35" i="9"/>
  <c r="AB27" i="9"/>
  <c r="W27" i="9"/>
  <c r="Y27" i="9"/>
  <c r="U27" i="9"/>
  <c r="H15" i="8"/>
  <c r="AA15" i="8" s="1"/>
  <c r="U15" i="8"/>
  <c r="U15" i="9"/>
  <c r="H27" i="9"/>
  <c r="H15" i="9"/>
  <c r="L27" i="8"/>
  <c r="H27" i="7"/>
  <c r="L27" i="7"/>
  <c r="AA6" i="6"/>
  <c r="E35" i="6"/>
  <c r="T12" i="6"/>
  <c r="I27" i="6"/>
  <c r="H27" i="6" s="1"/>
  <c r="I15" i="6"/>
  <c r="K35" i="6"/>
  <c r="O34" i="6"/>
  <c r="G35" i="6"/>
  <c r="F35" i="6" s="1"/>
  <c r="Z35" i="7" s="1"/>
  <c r="O30" i="6"/>
  <c r="O32" i="6"/>
  <c r="M35" i="6"/>
  <c r="M26" i="6"/>
  <c r="W26" i="7" s="1"/>
  <c r="G27" i="6"/>
  <c r="F27" i="6" s="1"/>
  <c r="Z27" i="7" s="1"/>
  <c r="K27" i="6"/>
  <c r="K15" i="6"/>
  <c r="E15" i="6"/>
  <c r="M15" i="6"/>
  <c r="G15" i="6"/>
  <c r="F15" i="6" s="1"/>
  <c r="Z15" i="7" s="1"/>
  <c r="O15" i="6"/>
  <c r="N15" i="6" s="1"/>
  <c r="O27" i="6"/>
  <c r="N27" i="6" s="1"/>
  <c r="M18" i="6"/>
  <c r="W18" i="7" s="1"/>
  <c r="M20" i="6"/>
  <c r="W20" i="7" s="1"/>
  <c r="M21" i="6"/>
  <c r="W21" i="7" s="1"/>
  <c r="M23" i="6"/>
  <c r="W23" i="7" s="1"/>
  <c r="M25" i="6"/>
  <c r="W25" i="7" s="1"/>
  <c r="E27" i="6"/>
  <c r="T27" i="7" s="1"/>
  <c r="M19" i="6"/>
  <c r="W19" i="7" s="1"/>
  <c r="M22" i="6"/>
  <c r="W22" i="7" s="1"/>
  <c r="M24" i="6"/>
  <c r="W24" i="7" s="1"/>
  <c r="I35" i="6"/>
  <c r="U35" i="7" s="1"/>
  <c r="E12" i="5"/>
  <c r="T12" i="5" s="1"/>
  <c r="Z27" i="9" l="1"/>
  <c r="AC27" i="9"/>
  <c r="AA27" i="7"/>
  <c r="Z15" i="9"/>
  <c r="Z15" i="10"/>
  <c r="J15" i="6"/>
  <c r="AB15" i="7" s="1"/>
  <c r="V15" i="7"/>
  <c r="D15" i="6"/>
  <c r="Y15" i="7" s="1"/>
  <c r="T15" i="7"/>
  <c r="J35" i="6"/>
  <c r="AB35" i="7" s="1"/>
  <c r="V35" i="7"/>
  <c r="J27" i="6"/>
  <c r="AB27" i="7" s="1"/>
  <c r="V27" i="7"/>
  <c r="H15" i="6"/>
  <c r="AA15" i="7" s="1"/>
  <c r="U15" i="7"/>
  <c r="AC27" i="8"/>
  <c r="U27" i="7"/>
  <c r="AA15" i="9"/>
  <c r="AA15" i="10"/>
  <c r="AA27" i="8"/>
  <c r="AA27" i="9"/>
  <c r="AA27" i="10"/>
  <c r="D35" i="6"/>
  <c r="Y35" i="7" s="1"/>
  <c r="T35" i="7"/>
  <c r="L35" i="6"/>
  <c r="AC35" i="7" s="1"/>
  <c r="W35" i="7"/>
  <c r="L15" i="6"/>
  <c r="AC15" i="7" s="1"/>
  <c r="W15" i="7"/>
  <c r="O35" i="6"/>
  <c r="N35" i="6" s="1"/>
  <c r="D27" i="6"/>
  <c r="Y27" i="7" s="1"/>
  <c r="H35" i="6"/>
  <c r="AA35" i="7" s="1"/>
  <c r="M27" i="6"/>
  <c r="W27" i="7" s="1"/>
  <c r="K13" i="5"/>
  <c r="I13" i="5"/>
  <c r="G13" i="5"/>
  <c r="E13" i="5"/>
  <c r="L27" i="6" l="1"/>
  <c r="AC27" i="7" s="1"/>
  <c r="O6" i="5"/>
  <c r="M6" i="5"/>
  <c r="K6" i="5"/>
  <c r="I6" i="5"/>
  <c r="G6" i="5"/>
  <c r="E6" i="5"/>
  <c r="C35" i="5"/>
  <c r="M34" i="5"/>
  <c r="K34" i="5"/>
  <c r="I34" i="5"/>
  <c r="G34" i="5"/>
  <c r="E34" i="5"/>
  <c r="M33" i="5"/>
  <c r="K33" i="5"/>
  <c r="I33" i="5"/>
  <c r="G33" i="5"/>
  <c r="E33" i="5"/>
  <c r="M32" i="5"/>
  <c r="K32" i="5"/>
  <c r="I32" i="5"/>
  <c r="G32" i="5"/>
  <c r="E32" i="5"/>
  <c r="M31" i="5"/>
  <c r="K31" i="5"/>
  <c r="I31" i="5"/>
  <c r="G31" i="5"/>
  <c r="E31" i="5"/>
  <c r="M30" i="5"/>
  <c r="K30" i="5"/>
  <c r="I30" i="5"/>
  <c r="G30" i="5"/>
  <c r="E30" i="5"/>
  <c r="C27" i="5"/>
  <c r="K26" i="5"/>
  <c r="I26" i="5"/>
  <c r="G26" i="5"/>
  <c r="O26" i="5" s="1"/>
  <c r="E26" i="5"/>
  <c r="K25" i="5"/>
  <c r="I25" i="5"/>
  <c r="G25" i="5"/>
  <c r="O25" i="5" s="1"/>
  <c r="E25" i="5"/>
  <c r="K24" i="5"/>
  <c r="I24" i="5"/>
  <c r="G24" i="5"/>
  <c r="O24" i="5" s="1"/>
  <c r="E24" i="5"/>
  <c r="K23" i="5"/>
  <c r="I23" i="5"/>
  <c r="G23" i="5"/>
  <c r="O23" i="5" s="1"/>
  <c r="E23" i="5"/>
  <c r="K22" i="5"/>
  <c r="I22" i="5"/>
  <c r="G22" i="5"/>
  <c r="O22" i="5" s="1"/>
  <c r="E22" i="5"/>
  <c r="K21" i="5"/>
  <c r="I21" i="5"/>
  <c r="G21" i="5"/>
  <c r="O21" i="5" s="1"/>
  <c r="E21" i="5"/>
  <c r="K20" i="5"/>
  <c r="I20" i="5"/>
  <c r="G20" i="5"/>
  <c r="O20" i="5" s="1"/>
  <c r="E20" i="5"/>
  <c r="K19" i="5"/>
  <c r="I19" i="5"/>
  <c r="G19" i="5"/>
  <c r="O19" i="5" s="1"/>
  <c r="E19" i="5"/>
  <c r="K18" i="5"/>
  <c r="I18" i="5"/>
  <c r="G18" i="5"/>
  <c r="O18" i="5" s="1"/>
  <c r="E18" i="5"/>
  <c r="O14" i="5"/>
  <c r="M14" i="5"/>
  <c r="K14" i="5"/>
  <c r="I14" i="5"/>
  <c r="G14" i="5"/>
  <c r="E14" i="5"/>
  <c r="O13" i="5"/>
  <c r="M13" i="5"/>
  <c r="O12" i="5"/>
  <c r="M12" i="5"/>
  <c r="O11" i="5"/>
  <c r="M11" i="5"/>
  <c r="K11" i="5"/>
  <c r="I11" i="5"/>
  <c r="G11" i="5"/>
  <c r="E11" i="5"/>
  <c r="O10" i="5"/>
  <c r="M10" i="5"/>
  <c r="K10" i="5"/>
  <c r="I10" i="5"/>
  <c r="G10" i="5"/>
  <c r="E10" i="5"/>
  <c r="O9" i="5"/>
  <c r="M9" i="5"/>
  <c r="K9" i="5"/>
  <c r="I9" i="5"/>
  <c r="G9" i="5"/>
  <c r="E9" i="5"/>
  <c r="O8" i="5"/>
  <c r="M8" i="5"/>
  <c r="K8" i="5"/>
  <c r="I8" i="5"/>
  <c r="G8" i="5"/>
  <c r="E8" i="5"/>
  <c r="O7" i="5"/>
  <c r="M7" i="5"/>
  <c r="K7" i="5"/>
  <c r="I7" i="5"/>
  <c r="G7" i="5"/>
  <c r="E7" i="5"/>
  <c r="O5" i="5"/>
  <c r="M5" i="5"/>
  <c r="K5" i="5"/>
  <c r="I5" i="5"/>
  <c r="G5" i="5"/>
  <c r="E5" i="5"/>
  <c r="O4" i="5"/>
  <c r="M4" i="5"/>
  <c r="K4" i="5"/>
  <c r="I4" i="5"/>
  <c r="G4" i="5"/>
  <c r="E4" i="5"/>
  <c r="O3" i="5"/>
  <c r="M3" i="5"/>
  <c r="K3" i="5"/>
  <c r="I3" i="5"/>
  <c r="G3" i="5"/>
  <c r="E3" i="5"/>
  <c r="C35" i="4"/>
  <c r="S35" i="6" s="1"/>
  <c r="AC34" i="4"/>
  <c r="AB34" i="4"/>
  <c r="AA34" i="4"/>
  <c r="Z34" i="4"/>
  <c r="Y34" i="4"/>
  <c r="M34" i="4"/>
  <c r="K34" i="4"/>
  <c r="I34" i="4"/>
  <c r="G34" i="4"/>
  <c r="E34" i="4"/>
  <c r="AC33" i="4"/>
  <c r="AB33" i="4"/>
  <c r="AA33" i="4"/>
  <c r="Z33" i="4"/>
  <c r="Y33" i="4"/>
  <c r="M33" i="4"/>
  <c r="K33" i="4"/>
  <c r="I33" i="4"/>
  <c r="G33" i="4"/>
  <c r="E33" i="4"/>
  <c r="AC32" i="4"/>
  <c r="AB32" i="4"/>
  <c r="AA32" i="4"/>
  <c r="Z32" i="4"/>
  <c r="Y32" i="4"/>
  <c r="M32" i="4"/>
  <c r="K32" i="4"/>
  <c r="I32" i="4"/>
  <c r="G32" i="4"/>
  <c r="E32" i="4"/>
  <c r="AC31" i="4"/>
  <c r="AB31" i="4"/>
  <c r="AA31" i="4"/>
  <c r="Z31" i="4"/>
  <c r="Y31" i="4"/>
  <c r="M31" i="4"/>
  <c r="K31" i="4"/>
  <c r="I31" i="4"/>
  <c r="G31" i="4"/>
  <c r="E31" i="4"/>
  <c r="AC30" i="4"/>
  <c r="AB30" i="4"/>
  <c r="AA30" i="4"/>
  <c r="Z30" i="4"/>
  <c r="Y30" i="4"/>
  <c r="M30" i="4"/>
  <c r="K30" i="4"/>
  <c r="I30" i="4"/>
  <c r="U30" i="6" s="1"/>
  <c r="G30" i="4"/>
  <c r="E30" i="4"/>
  <c r="T30" i="6" s="1"/>
  <c r="C27" i="4"/>
  <c r="S27" i="6" s="1"/>
  <c r="AC26" i="4"/>
  <c r="AB26" i="4"/>
  <c r="AA26" i="4"/>
  <c r="Z26" i="4"/>
  <c r="Y26" i="4"/>
  <c r="K26" i="4"/>
  <c r="I26" i="4"/>
  <c r="G26" i="4"/>
  <c r="O26" i="4" s="1"/>
  <c r="E26" i="4"/>
  <c r="AC25" i="4"/>
  <c r="AB25" i="4"/>
  <c r="AA25" i="4"/>
  <c r="Z25" i="4"/>
  <c r="Y25" i="4"/>
  <c r="K25" i="4"/>
  <c r="I25" i="4"/>
  <c r="G25" i="4"/>
  <c r="O25" i="4" s="1"/>
  <c r="E25" i="4"/>
  <c r="AC24" i="4"/>
  <c r="AB24" i="4"/>
  <c r="AA24" i="4"/>
  <c r="Z24" i="4"/>
  <c r="Y24" i="4"/>
  <c r="K24" i="4"/>
  <c r="I24" i="4"/>
  <c r="G24" i="4"/>
  <c r="O24" i="4" s="1"/>
  <c r="E24" i="4"/>
  <c r="AC23" i="4"/>
  <c r="AB23" i="4"/>
  <c r="AA23" i="4"/>
  <c r="Z23" i="4"/>
  <c r="Y23" i="4"/>
  <c r="K23" i="4"/>
  <c r="I23" i="4"/>
  <c r="G23" i="4"/>
  <c r="O23" i="4" s="1"/>
  <c r="E23" i="4"/>
  <c r="AC22" i="4"/>
  <c r="AB22" i="4"/>
  <c r="AA22" i="4"/>
  <c r="Z22" i="4"/>
  <c r="Y22" i="4"/>
  <c r="K22" i="4"/>
  <c r="I22" i="4"/>
  <c r="G22" i="4"/>
  <c r="O22" i="4" s="1"/>
  <c r="E22" i="4"/>
  <c r="AC21" i="4"/>
  <c r="AB21" i="4"/>
  <c r="AA21" i="4"/>
  <c r="Z21" i="4"/>
  <c r="Y21" i="4"/>
  <c r="K21" i="4"/>
  <c r="I21" i="4"/>
  <c r="G21" i="4"/>
  <c r="O21" i="4" s="1"/>
  <c r="E21" i="4"/>
  <c r="AC20" i="4"/>
  <c r="AB20" i="4"/>
  <c r="AA20" i="4"/>
  <c r="Z20" i="4"/>
  <c r="Y20" i="4"/>
  <c r="K20" i="4"/>
  <c r="I20" i="4"/>
  <c r="G20" i="4"/>
  <c r="O20" i="4" s="1"/>
  <c r="E20" i="4"/>
  <c r="AC19" i="4"/>
  <c r="AB19" i="4"/>
  <c r="AA19" i="4"/>
  <c r="Z19" i="4"/>
  <c r="Y19" i="4"/>
  <c r="K19" i="4"/>
  <c r="I19" i="4"/>
  <c r="G19" i="4"/>
  <c r="O19" i="4" s="1"/>
  <c r="E19" i="4"/>
  <c r="AC18" i="4"/>
  <c r="AB18" i="4"/>
  <c r="AA18" i="4"/>
  <c r="Z18" i="4"/>
  <c r="Y18" i="4"/>
  <c r="K18" i="4"/>
  <c r="I18" i="4"/>
  <c r="G18" i="4"/>
  <c r="O18" i="4" s="1"/>
  <c r="E18" i="4"/>
  <c r="C15" i="4"/>
  <c r="AC14" i="4"/>
  <c r="AB14" i="4"/>
  <c r="AA14" i="4"/>
  <c r="Z14" i="4"/>
  <c r="Y14" i="4"/>
  <c r="O14" i="4"/>
  <c r="M14" i="4"/>
  <c r="K14" i="4"/>
  <c r="I14" i="4"/>
  <c r="G14" i="4"/>
  <c r="E14" i="4"/>
  <c r="AC13" i="4"/>
  <c r="AB13" i="4"/>
  <c r="AA13" i="4"/>
  <c r="Z13" i="4"/>
  <c r="Y13" i="4"/>
  <c r="O13" i="4"/>
  <c r="M13" i="4"/>
  <c r="K13" i="4"/>
  <c r="V13" i="5" s="1"/>
  <c r="I13" i="4"/>
  <c r="G13" i="4"/>
  <c r="E13" i="4"/>
  <c r="AC12" i="4"/>
  <c r="AB12" i="4"/>
  <c r="AA12" i="4"/>
  <c r="Z12" i="4"/>
  <c r="Y12" i="4"/>
  <c r="O12" i="4"/>
  <c r="M12" i="4"/>
  <c r="K12" i="4"/>
  <c r="V12" i="6" s="1"/>
  <c r="AC11" i="4"/>
  <c r="AB11" i="4"/>
  <c r="AA11" i="4"/>
  <c r="Z11" i="4"/>
  <c r="Y11" i="4"/>
  <c r="O11" i="4"/>
  <c r="M11" i="4"/>
  <c r="K11" i="4"/>
  <c r="I11" i="4"/>
  <c r="G11" i="4"/>
  <c r="E11" i="4"/>
  <c r="AC10" i="4"/>
  <c r="AB10" i="4"/>
  <c r="AA10" i="4"/>
  <c r="Z10" i="4"/>
  <c r="Y10" i="4"/>
  <c r="O10" i="4"/>
  <c r="M10" i="4"/>
  <c r="K10" i="4"/>
  <c r="I10" i="4"/>
  <c r="G10" i="4"/>
  <c r="E10" i="4"/>
  <c r="AC9" i="4"/>
  <c r="AB9" i="4"/>
  <c r="AA9" i="4"/>
  <c r="Z9" i="4"/>
  <c r="Y9" i="4"/>
  <c r="O9" i="4"/>
  <c r="M9" i="4"/>
  <c r="K9" i="4"/>
  <c r="I9" i="4"/>
  <c r="G9" i="4"/>
  <c r="E9" i="4"/>
  <c r="AC8" i="4"/>
  <c r="AB8" i="4"/>
  <c r="AA8" i="4"/>
  <c r="Z8" i="4"/>
  <c r="Y8" i="4"/>
  <c r="O8" i="4"/>
  <c r="M8" i="4"/>
  <c r="K8" i="4"/>
  <c r="I8" i="4"/>
  <c r="G8" i="4"/>
  <c r="E8" i="4"/>
  <c r="AC7" i="4"/>
  <c r="AB7" i="4"/>
  <c r="AA7" i="4"/>
  <c r="Z7" i="4"/>
  <c r="Y7" i="4"/>
  <c r="O7" i="4"/>
  <c r="M7" i="4"/>
  <c r="K7" i="4"/>
  <c r="I7" i="4"/>
  <c r="G7" i="4"/>
  <c r="E7" i="4"/>
  <c r="AC6" i="4"/>
  <c r="AB6" i="4"/>
  <c r="AA6" i="4"/>
  <c r="Z6" i="4"/>
  <c r="Y6" i="4"/>
  <c r="O6" i="4"/>
  <c r="M6" i="4"/>
  <c r="K6" i="4"/>
  <c r="I6" i="4"/>
  <c r="G6" i="4"/>
  <c r="E6" i="4"/>
  <c r="AC5" i="4"/>
  <c r="Y5" i="4"/>
  <c r="O5" i="4"/>
  <c r="M5" i="4"/>
  <c r="K5" i="4"/>
  <c r="I5" i="4"/>
  <c r="G5" i="4"/>
  <c r="E5" i="4"/>
  <c r="AC4" i="4"/>
  <c r="AB4" i="4"/>
  <c r="AA4" i="4"/>
  <c r="Z4" i="4"/>
  <c r="Y4" i="4"/>
  <c r="O4" i="4"/>
  <c r="M4" i="4"/>
  <c r="K4" i="4"/>
  <c r="I4" i="4"/>
  <c r="G4" i="4"/>
  <c r="E4" i="4"/>
  <c r="AC3" i="4"/>
  <c r="AB3" i="4"/>
  <c r="AA3" i="4"/>
  <c r="Z3" i="4"/>
  <c r="Y3" i="4"/>
  <c r="O3" i="4"/>
  <c r="M3" i="4"/>
  <c r="K3" i="4"/>
  <c r="V3" i="6" s="1"/>
  <c r="I3" i="4"/>
  <c r="G3" i="4"/>
  <c r="E3" i="4"/>
  <c r="AC3" i="3"/>
  <c r="Y19" i="3"/>
  <c r="Z19" i="3"/>
  <c r="AA19" i="3"/>
  <c r="AB19" i="3"/>
  <c r="AC19" i="3"/>
  <c r="Y20" i="3"/>
  <c r="Z20" i="3"/>
  <c r="AA20" i="3"/>
  <c r="AB20" i="3"/>
  <c r="AC20" i="3"/>
  <c r="Y21" i="3"/>
  <c r="Z21" i="3"/>
  <c r="AA21" i="3"/>
  <c r="AB21" i="3"/>
  <c r="AC21" i="3"/>
  <c r="Y22" i="3"/>
  <c r="Z22" i="3"/>
  <c r="AA22" i="3"/>
  <c r="AB22" i="3"/>
  <c r="AC22" i="3"/>
  <c r="Y23" i="3"/>
  <c r="Z23" i="3"/>
  <c r="AA23" i="3"/>
  <c r="AB23" i="3"/>
  <c r="AC23" i="3"/>
  <c r="Y24" i="3"/>
  <c r="Z24" i="3"/>
  <c r="AA24" i="3"/>
  <c r="AB24" i="3"/>
  <c r="AC24" i="3"/>
  <c r="Y25" i="3"/>
  <c r="Z25" i="3"/>
  <c r="AA25" i="3"/>
  <c r="AB25" i="3"/>
  <c r="AC25" i="3"/>
  <c r="Y26" i="3"/>
  <c r="Z26" i="3"/>
  <c r="AA26" i="3"/>
  <c r="AB26" i="3"/>
  <c r="AC26" i="3"/>
  <c r="Y31" i="3"/>
  <c r="Z31" i="3"/>
  <c r="AA31" i="3"/>
  <c r="AB31" i="3"/>
  <c r="AC31" i="3"/>
  <c r="Y32" i="3"/>
  <c r="Z32" i="3"/>
  <c r="AA32" i="3"/>
  <c r="AB32" i="3"/>
  <c r="AC32" i="3"/>
  <c r="Y33" i="3"/>
  <c r="Z33" i="3"/>
  <c r="AA33" i="3"/>
  <c r="AB33" i="3"/>
  <c r="AC33" i="3"/>
  <c r="Y34" i="3"/>
  <c r="Z34" i="3"/>
  <c r="AA34" i="3"/>
  <c r="AB34" i="3"/>
  <c r="AC34" i="3"/>
  <c r="AC30" i="3"/>
  <c r="AB30" i="3"/>
  <c r="AA30" i="3"/>
  <c r="Z30" i="3"/>
  <c r="Y30" i="3"/>
  <c r="AC18" i="3"/>
  <c r="AB18" i="3"/>
  <c r="AA18" i="3"/>
  <c r="Z18" i="3"/>
  <c r="Y18" i="3"/>
  <c r="Y4" i="3"/>
  <c r="Z4" i="3"/>
  <c r="AA4" i="3"/>
  <c r="AB4" i="3"/>
  <c r="AC4" i="3"/>
  <c r="Y5" i="3"/>
  <c r="AC5" i="3"/>
  <c r="Y6" i="3"/>
  <c r="Z6" i="3"/>
  <c r="AA6" i="3"/>
  <c r="AB6" i="3"/>
  <c r="AC6" i="3"/>
  <c r="Y7" i="3"/>
  <c r="Z7" i="3"/>
  <c r="AA7" i="3"/>
  <c r="AB7" i="3"/>
  <c r="AC7" i="3"/>
  <c r="Y8" i="3"/>
  <c r="Z8" i="3"/>
  <c r="AA8" i="3"/>
  <c r="AB8" i="3"/>
  <c r="AC8" i="3"/>
  <c r="Y9" i="3"/>
  <c r="Z9" i="3"/>
  <c r="AA9" i="3"/>
  <c r="AB9" i="3"/>
  <c r="AC9" i="3"/>
  <c r="Y10" i="3"/>
  <c r="Z10" i="3"/>
  <c r="AA10" i="3"/>
  <c r="AB10" i="3"/>
  <c r="AC10" i="3"/>
  <c r="Y11" i="3"/>
  <c r="Z11" i="3"/>
  <c r="AA11" i="3"/>
  <c r="AB11" i="3"/>
  <c r="AC11" i="3"/>
  <c r="Y12" i="3"/>
  <c r="Z12" i="3"/>
  <c r="AA12" i="3"/>
  <c r="AB12" i="3"/>
  <c r="AC12" i="3"/>
  <c r="Y13" i="3"/>
  <c r="Z13" i="3"/>
  <c r="AA13" i="3"/>
  <c r="AB13" i="3"/>
  <c r="AC13" i="3"/>
  <c r="Y14" i="3"/>
  <c r="Z14" i="3"/>
  <c r="AA14" i="3"/>
  <c r="AB14" i="3"/>
  <c r="AC14" i="3"/>
  <c r="AB3" i="3"/>
  <c r="AA3" i="3"/>
  <c r="Z3" i="3"/>
  <c r="Y3" i="3"/>
  <c r="C35" i="3"/>
  <c r="M34" i="3"/>
  <c r="K34" i="3"/>
  <c r="I34" i="3"/>
  <c r="G34" i="3"/>
  <c r="E34" i="3"/>
  <c r="M33" i="3"/>
  <c r="K33" i="3"/>
  <c r="I33" i="3"/>
  <c r="G33" i="3"/>
  <c r="E33" i="3"/>
  <c r="M32" i="3"/>
  <c r="K32" i="3"/>
  <c r="I32" i="3"/>
  <c r="G32" i="3"/>
  <c r="E32" i="3"/>
  <c r="M31" i="3"/>
  <c r="K31" i="3"/>
  <c r="I31" i="3"/>
  <c r="G31" i="3"/>
  <c r="E31" i="3"/>
  <c r="M30" i="3"/>
  <c r="K30" i="3"/>
  <c r="I30" i="3"/>
  <c r="G30" i="3"/>
  <c r="E30" i="3"/>
  <c r="C27" i="3"/>
  <c r="K26" i="3"/>
  <c r="I26" i="3"/>
  <c r="G26" i="3"/>
  <c r="O26" i="3" s="1"/>
  <c r="E26" i="3"/>
  <c r="M26" i="3" s="1"/>
  <c r="K25" i="3"/>
  <c r="I25" i="3"/>
  <c r="G25" i="3"/>
  <c r="O25" i="3" s="1"/>
  <c r="E25" i="3"/>
  <c r="M25" i="3" s="1"/>
  <c r="K24" i="3"/>
  <c r="I24" i="3"/>
  <c r="G24" i="3"/>
  <c r="O24" i="3" s="1"/>
  <c r="E24" i="3"/>
  <c r="M24" i="3" s="1"/>
  <c r="K23" i="3"/>
  <c r="I23" i="3"/>
  <c r="G23" i="3"/>
  <c r="O23" i="3" s="1"/>
  <c r="E23" i="3"/>
  <c r="M23" i="3" s="1"/>
  <c r="K22" i="3"/>
  <c r="I22" i="3"/>
  <c r="G22" i="3"/>
  <c r="O22" i="3" s="1"/>
  <c r="E22" i="3"/>
  <c r="M22" i="3" s="1"/>
  <c r="K21" i="3"/>
  <c r="I21" i="3"/>
  <c r="G21" i="3"/>
  <c r="O21" i="3" s="1"/>
  <c r="E21" i="3"/>
  <c r="M21" i="3" s="1"/>
  <c r="K20" i="3"/>
  <c r="I20" i="3"/>
  <c r="G20" i="3"/>
  <c r="O20" i="3" s="1"/>
  <c r="E20" i="3"/>
  <c r="M20" i="3" s="1"/>
  <c r="K19" i="3"/>
  <c r="I19" i="3"/>
  <c r="G19" i="3"/>
  <c r="O19" i="3" s="1"/>
  <c r="E19" i="3"/>
  <c r="M19" i="3" s="1"/>
  <c r="K18" i="3"/>
  <c r="I18" i="3"/>
  <c r="G18" i="3"/>
  <c r="O18" i="3" s="1"/>
  <c r="E18" i="3"/>
  <c r="M18" i="3" s="1"/>
  <c r="C15" i="3"/>
  <c r="O14" i="3"/>
  <c r="M14" i="3"/>
  <c r="K14" i="3"/>
  <c r="I14" i="3"/>
  <c r="G14" i="3"/>
  <c r="E14" i="3"/>
  <c r="O13" i="3"/>
  <c r="M13" i="3"/>
  <c r="K13" i="3"/>
  <c r="I13" i="3"/>
  <c r="G13" i="3"/>
  <c r="E13" i="3"/>
  <c r="O12" i="3"/>
  <c r="M12" i="3"/>
  <c r="K12" i="3"/>
  <c r="I12" i="3"/>
  <c r="G12" i="3"/>
  <c r="E12" i="3"/>
  <c r="O11" i="3"/>
  <c r="M11" i="3"/>
  <c r="K11" i="3"/>
  <c r="I11" i="3"/>
  <c r="G11" i="3"/>
  <c r="E11" i="3"/>
  <c r="O10" i="3"/>
  <c r="M10" i="3"/>
  <c r="K10" i="3"/>
  <c r="I10" i="3"/>
  <c r="G10" i="3"/>
  <c r="E10" i="3"/>
  <c r="O9" i="3"/>
  <c r="M9" i="3"/>
  <c r="K9" i="3"/>
  <c r="I9" i="3"/>
  <c r="G9" i="3"/>
  <c r="E9" i="3"/>
  <c r="O8" i="3"/>
  <c r="M8" i="3"/>
  <c r="K8" i="3"/>
  <c r="I8" i="3"/>
  <c r="G8" i="3"/>
  <c r="E8" i="3"/>
  <c r="O7" i="3"/>
  <c r="M7" i="3"/>
  <c r="K7" i="3"/>
  <c r="I7" i="3"/>
  <c r="G7" i="3"/>
  <c r="E7" i="3"/>
  <c r="O6" i="3"/>
  <c r="M6" i="3"/>
  <c r="K6" i="3"/>
  <c r="I6" i="3"/>
  <c r="G6" i="3"/>
  <c r="E6" i="3"/>
  <c r="O5" i="3"/>
  <c r="M5" i="3"/>
  <c r="K5" i="3"/>
  <c r="I5" i="3"/>
  <c r="E5" i="3"/>
  <c r="O4" i="3"/>
  <c r="M4" i="3"/>
  <c r="K4" i="3"/>
  <c r="I4" i="3"/>
  <c r="G4" i="3"/>
  <c r="E4" i="3"/>
  <c r="O3" i="3"/>
  <c r="M3" i="3"/>
  <c r="K3" i="3"/>
  <c r="I3" i="3"/>
  <c r="G3" i="3"/>
  <c r="E3" i="3"/>
  <c r="U3" i="5" l="1"/>
  <c r="T4" i="5"/>
  <c r="U5" i="5"/>
  <c r="T7" i="5"/>
  <c r="T9" i="5"/>
  <c r="U10" i="5"/>
  <c r="T11" i="5"/>
  <c r="U14" i="5"/>
  <c r="S27" i="5"/>
  <c r="V30" i="5"/>
  <c r="U31" i="5"/>
  <c r="T33" i="5"/>
  <c r="V34" i="5"/>
  <c r="U4" i="6"/>
  <c r="V5" i="6"/>
  <c r="U8" i="6"/>
  <c r="V9" i="6"/>
  <c r="T14" i="6"/>
  <c r="S15" i="5"/>
  <c r="S15" i="6"/>
  <c r="U23" i="6"/>
  <c r="V26" i="6"/>
  <c r="M20" i="5"/>
  <c r="T20" i="5"/>
  <c r="M24" i="5"/>
  <c r="T24" i="5"/>
  <c r="U3" i="6"/>
  <c r="V4" i="6"/>
  <c r="T5" i="6"/>
  <c r="U7" i="6"/>
  <c r="V8" i="6"/>
  <c r="T9" i="6"/>
  <c r="U11" i="6"/>
  <c r="T13" i="6"/>
  <c r="M18" i="4"/>
  <c r="T18" i="6"/>
  <c r="V19" i="6"/>
  <c r="U20" i="6"/>
  <c r="M22" i="4"/>
  <c r="T22" i="6"/>
  <c r="V23" i="6"/>
  <c r="U24" i="6"/>
  <c r="M26" i="4"/>
  <c r="T26" i="6"/>
  <c r="T31" i="6"/>
  <c r="U32" i="6"/>
  <c r="T33" i="6"/>
  <c r="U34" i="6"/>
  <c r="V3" i="5"/>
  <c r="V5" i="5"/>
  <c r="V8" i="5"/>
  <c r="V10" i="5"/>
  <c r="V14" i="5"/>
  <c r="T30" i="5"/>
  <c r="V31" i="5"/>
  <c r="U32" i="5"/>
  <c r="T34" i="5"/>
  <c r="U6" i="5"/>
  <c r="V13" i="6"/>
  <c r="V18" i="6"/>
  <c r="U19" i="6"/>
  <c r="V22" i="6"/>
  <c r="V31" i="6"/>
  <c r="U8" i="5"/>
  <c r="M18" i="5"/>
  <c r="T18" i="5"/>
  <c r="M22" i="5"/>
  <c r="T22" i="5"/>
  <c r="M25" i="5"/>
  <c r="T25" i="5"/>
  <c r="T4" i="6"/>
  <c r="U6" i="6"/>
  <c r="V7" i="6"/>
  <c r="T8" i="6"/>
  <c r="U10" i="6"/>
  <c r="V11" i="6"/>
  <c r="U14" i="6"/>
  <c r="M19" i="4"/>
  <c r="T19" i="6"/>
  <c r="V20" i="6"/>
  <c r="U21" i="6"/>
  <c r="M23" i="4"/>
  <c r="T23" i="6"/>
  <c r="V24" i="6"/>
  <c r="U25" i="6"/>
  <c r="V30" i="6"/>
  <c r="V32" i="6"/>
  <c r="V34" i="6"/>
  <c r="T3" i="5"/>
  <c r="U4" i="5"/>
  <c r="T5" i="5"/>
  <c r="U7" i="5"/>
  <c r="T8" i="5"/>
  <c r="U9" i="5"/>
  <c r="T10" i="5"/>
  <c r="U11" i="5"/>
  <c r="T14" i="5"/>
  <c r="U18" i="5"/>
  <c r="U19" i="5"/>
  <c r="U20" i="5"/>
  <c r="U21" i="5"/>
  <c r="U22" i="5"/>
  <c r="U23" i="5"/>
  <c r="U24" i="5"/>
  <c r="U25" i="5"/>
  <c r="U26" i="5"/>
  <c r="T31" i="5"/>
  <c r="V32" i="5"/>
  <c r="U33" i="5"/>
  <c r="S35" i="5"/>
  <c r="V6" i="5"/>
  <c r="T13" i="5"/>
  <c r="T6" i="6"/>
  <c r="T10" i="6"/>
  <c r="M21" i="4"/>
  <c r="T21" i="6"/>
  <c r="M25" i="4"/>
  <c r="T25" i="6"/>
  <c r="V33" i="6"/>
  <c r="M19" i="5"/>
  <c r="T19" i="5"/>
  <c r="M21" i="5"/>
  <c r="T21" i="5"/>
  <c r="M23" i="5"/>
  <c r="T23" i="5"/>
  <c r="M26" i="5"/>
  <c r="T26" i="5"/>
  <c r="T3" i="6"/>
  <c r="U5" i="6"/>
  <c r="V6" i="6"/>
  <c r="T7" i="6"/>
  <c r="U9" i="6"/>
  <c r="V10" i="6"/>
  <c r="T11" i="6"/>
  <c r="U13" i="6"/>
  <c r="V14" i="6"/>
  <c r="U18" i="6"/>
  <c r="M20" i="4"/>
  <c r="T20" i="6"/>
  <c r="V21" i="6"/>
  <c r="U22" i="6"/>
  <c r="M24" i="4"/>
  <c r="T24" i="6"/>
  <c r="V25" i="6"/>
  <c r="U26" i="6"/>
  <c r="U31" i="6"/>
  <c r="T32" i="6"/>
  <c r="U33" i="6"/>
  <c r="T34" i="6"/>
  <c r="V4" i="5"/>
  <c r="V7" i="5"/>
  <c r="V9" i="5"/>
  <c r="V11" i="5"/>
  <c r="V18" i="5"/>
  <c r="V19" i="5"/>
  <c r="V20" i="5"/>
  <c r="V21" i="5"/>
  <c r="V22" i="5"/>
  <c r="V23" i="5"/>
  <c r="V24" i="5"/>
  <c r="V25" i="5"/>
  <c r="V26" i="5"/>
  <c r="U30" i="5"/>
  <c r="T32" i="5"/>
  <c r="V33" i="5"/>
  <c r="U34" i="5"/>
  <c r="T6" i="5"/>
  <c r="U13" i="5"/>
  <c r="V12" i="5"/>
  <c r="I35" i="5"/>
  <c r="G15" i="5"/>
  <c r="O15" i="5"/>
  <c r="N15" i="5" s="1"/>
  <c r="E35" i="5"/>
  <c r="E15" i="5"/>
  <c r="D15" i="5" s="1"/>
  <c r="Y15" i="6" s="1"/>
  <c r="M35" i="5"/>
  <c r="G35" i="5"/>
  <c r="E27" i="5"/>
  <c r="M15" i="5"/>
  <c r="K15" i="5"/>
  <c r="O27" i="5"/>
  <c r="N27" i="5" s="1"/>
  <c r="I15" i="5"/>
  <c r="K35" i="5"/>
  <c r="I27" i="5"/>
  <c r="G27" i="5"/>
  <c r="K27" i="5"/>
  <c r="O30" i="5"/>
  <c r="O31" i="5"/>
  <c r="O32" i="5"/>
  <c r="O33" i="5"/>
  <c r="O34" i="5"/>
  <c r="E35" i="4"/>
  <c r="M35" i="4"/>
  <c r="G35" i="4"/>
  <c r="F35" i="4" s="1"/>
  <c r="I35" i="4"/>
  <c r="O27" i="4"/>
  <c r="N27" i="4" s="1"/>
  <c r="M15" i="4"/>
  <c r="G15" i="4"/>
  <c r="E27" i="4"/>
  <c r="O15" i="4"/>
  <c r="N15" i="4" s="1"/>
  <c r="K15" i="4"/>
  <c r="V15" i="6" s="1"/>
  <c r="E15" i="4"/>
  <c r="T15" i="6" s="1"/>
  <c r="I15" i="4"/>
  <c r="K35" i="4"/>
  <c r="V35" i="6" s="1"/>
  <c r="I27" i="4"/>
  <c r="U27" i="6" s="1"/>
  <c r="G27" i="4"/>
  <c r="K27" i="4"/>
  <c r="V27" i="6" s="1"/>
  <c r="O30" i="4"/>
  <c r="O31" i="4"/>
  <c r="O32" i="4"/>
  <c r="O33" i="4"/>
  <c r="O34" i="4"/>
  <c r="E35" i="3"/>
  <c r="G35" i="3"/>
  <c r="M35" i="3"/>
  <c r="K35" i="3"/>
  <c r="I35" i="3"/>
  <c r="O27" i="3"/>
  <c r="N27" i="3" s="1"/>
  <c r="E27" i="3"/>
  <c r="O15" i="3"/>
  <c r="N15" i="3" s="1"/>
  <c r="E15" i="3"/>
  <c r="M27" i="3"/>
  <c r="K15" i="3"/>
  <c r="I27" i="3"/>
  <c r="M15" i="3"/>
  <c r="I15" i="3"/>
  <c r="G5" i="3"/>
  <c r="G27" i="3"/>
  <c r="K27" i="3"/>
  <c r="O30" i="3"/>
  <c r="O31" i="3"/>
  <c r="O32" i="3"/>
  <c r="O33" i="3"/>
  <c r="O34" i="3"/>
  <c r="O4" i="2"/>
  <c r="O5" i="2"/>
  <c r="O6" i="2"/>
  <c r="O7" i="2"/>
  <c r="O8" i="2"/>
  <c r="O9" i="2"/>
  <c r="O10" i="2"/>
  <c r="O11" i="2"/>
  <c r="O12" i="2"/>
  <c r="O13" i="2"/>
  <c r="O14" i="2"/>
  <c r="O3" i="2"/>
  <c r="M4" i="2"/>
  <c r="M5" i="2"/>
  <c r="M6" i="2"/>
  <c r="W6" i="5" s="1"/>
  <c r="M7" i="2"/>
  <c r="W7" i="4" s="1"/>
  <c r="M8" i="2"/>
  <c r="W8" i="5" s="1"/>
  <c r="M9" i="2"/>
  <c r="M10" i="2"/>
  <c r="W10" i="5" s="1"/>
  <c r="M11" i="2"/>
  <c r="W11" i="5" s="1"/>
  <c r="M12" i="2"/>
  <c r="W12" i="5" s="1"/>
  <c r="M13" i="2"/>
  <c r="W13" i="5" s="1"/>
  <c r="M14" i="2"/>
  <c r="W14" i="5" s="1"/>
  <c r="AA4" i="2"/>
  <c r="W7" i="5" l="1"/>
  <c r="W6" i="4"/>
  <c r="M27" i="5"/>
  <c r="L27" i="5" s="1"/>
  <c r="AC27" i="6" s="1"/>
  <c r="V27" i="5"/>
  <c r="W14" i="4"/>
  <c r="W11" i="4"/>
  <c r="W5" i="3"/>
  <c r="W5" i="6"/>
  <c r="W5" i="4"/>
  <c r="W4" i="3"/>
  <c r="W4" i="6"/>
  <c r="W4" i="4"/>
  <c r="W4" i="5"/>
  <c r="T35" i="6"/>
  <c r="H35" i="4"/>
  <c r="U35" i="6"/>
  <c r="W9" i="3"/>
  <c r="W9" i="6"/>
  <c r="W9" i="5"/>
  <c r="W9" i="4"/>
  <c r="W12" i="3"/>
  <c r="W12" i="6"/>
  <c r="W12" i="4"/>
  <c r="W8" i="3"/>
  <c r="W8" i="6"/>
  <c r="W8" i="4"/>
  <c r="M27" i="4"/>
  <c r="L27" i="4" s="1"/>
  <c r="L15" i="5"/>
  <c r="AC15" i="6" s="1"/>
  <c r="T27" i="6"/>
  <c r="W5" i="5"/>
  <c r="W13" i="3"/>
  <c r="W13" i="6"/>
  <c r="W13" i="4"/>
  <c r="U15" i="5"/>
  <c r="U15" i="6"/>
  <c r="W11" i="3"/>
  <c r="W11" i="6"/>
  <c r="W7" i="3"/>
  <c r="W7" i="6"/>
  <c r="U27" i="5"/>
  <c r="T27" i="5"/>
  <c r="T35" i="5"/>
  <c r="W14" i="3"/>
  <c r="W14" i="6"/>
  <c r="W10" i="3"/>
  <c r="W10" i="6"/>
  <c r="W6" i="3"/>
  <c r="W6" i="6"/>
  <c r="V35" i="5"/>
  <c r="W10" i="4"/>
  <c r="H35" i="5"/>
  <c r="AA35" i="6" s="1"/>
  <c r="U35" i="5"/>
  <c r="J15" i="4"/>
  <c r="V15" i="5"/>
  <c r="T15" i="5"/>
  <c r="L35" i="5"/>
  <c r="AC35" i="6" s="1"/>
  <c r="D27" i="5"/>
  <c r="Y27" i="6" s="1"/>
  <c r="F35" i="5"/>
  <c r="D35" i="5"/>
  <c r="Y35" i="6" s="1"/>
  <c r="F15" i="5"/>
  <c r="Z15" i="6" s="1"/>
  <c r="J15" i="5"/>
  <c r="AB15" i="6" s="1"/>
  <c r="J27" i="5"/>
  <c r="AB27" i="6" s="1"/>
  <c r="O35" i="5"/>
  <c r="N35" i="5" s="1"/>
  <c r="H27" i="5"/>
  <c r="AA27" i="6" s="1"/>
  <c r="J35" i="5"/>
  <c r="AB35" i="6" s="1"/>
  <c r="F27" i="5"/>
  <c r="Z27" i="6" s="1"/>
  <c r="H15" i="5"/>
  <c r="AA15" i="6" s="1"/>
  <c r="L35" i="4"/>
  <c r="D35" i="4"/>
  <c r="F15" i="4"/>
  <c r="D15" i="4"/>
  <c r="L15" i="4"/>
  <c r="D27" i="4"/>
  <c r="H27" i="4"/>
  <c r="J35" i="4"/>
  <c r="F27" i="4"/>
  <c r="O35" i="4"/>
  <c r="N35" i="4" s="1"/>
  <c r="J27" i="4"/>
  <c r="H15" i="4"/>
  <c r="H35" i="3"/>
  <c r="F35" i="3"/>
  <c r="L35" i="3"/>
  <c r="D35" i="3"/>
  <c r="D27" i="3"/>
  <c r="D15" i="3"/>
  <c r="J35" i="3"/>
  <c r="G15" i="3"/>
  <c r="O35" i="3"/>
  <c r="N35" i="3" s="1"/>
  <c r="J27" i="3"/>
  <c r="H15" i="3"/>
  <c r="F27" i="3"/>
  <c r="H27" i="3"/>
  <c r="L15" i="3"/>
  <c r="J15" i="3"/>
  <c r="L27" i="3"/>
  <c r="O15" i="2"/>
  <c r="J5" i="2"/>
  <c r="F5" i="2"/>
  <c r="H5" i="2"/>
  <c r="Z35" i="5" l="1"/>
  <c r="Z35" i="6"/>
  <c r="AA27" i="5"/>
  <c r="Y27" i="5"/>
  <c r="AC35" i="5"/>
  <c r="Z5" i="3"/>
  <c r="Z5" i="4"/>
  <c r="AB5" i="3"/>
  <c r="AB5" i="4"/>
  <c r="Z27" i="5"/>
  <c r="AC27" i="5"/>
  <c r="Y35" i="5"/>
  <c r="AA5" i="3"/>
  <c r="AA5" i="4"/>
  <c r="AB35" i="5"/>
  <c r="AB27" i="5"/>
  <c r="AA35" i="5"/>
  <c r="AC15" i="5"/>
  <c r="Y15" i="5"/>
  <c r="AA15" i="5"/>
  <c r="Z15" i="5"/>
  <c r="AB15" i="5"/>
  <c r="F15" i="3"/>
  <c r="AC26" i="2"/>
  <c r="AB26" i="2"/>
  <c r="AA26" i="2"/>
  <c r="Z26" i="2"/>
  <c r="Y26" i="2"/>
  <c r="AC25" i="2"/>
  <c r="AB25" i="2"/>
  <c r="AA25" i="2"/>
  <c r="Z25" i="2"/>
  <c r="Y25" i="2"/>
  <c r="AC24" i="2"/>
  <c r="AB24" i="2"/>
  <c r="AA24" i="2"/>
  <c r="Z24" i="2"/>
  <c r="Y24" i="2"/>
  <c r="AC23" i="2"/>
  <c r="AB23" i="2"/>
  <c r="AA23" i="2"/>
  <c r="Z23" i="2"/>
  <c r="Y23" i="2"/>
  <c r="AC34" i="2"/>
  <c r="AB34" i="2"/>
  <c r="AA34" i="2"/>
  <c r="Z34" i="2"/>
  <c r="Y34" i="2"/>
  <c r="AC33" i="2"/>
  <c r="AB33" i="2"/>
  <c r="AA33" i="2"/>
  <c r="Z33" i="2"/>
  <c r="Y33" i="2"/>
  <c r="AC32" i="2"/>
  <c r="AB32" i="2"/>
  <c r="AA32" i="2"/>
  <c r="Z32" i="2"/>
  <c r="Y32" i="2"/>
  <c r="AC31" i="2"/>
  <c r="AB31" i="2"/>
  <c r="AA31" i="2"/>
  <c r="Z31" i="2"/>
  <c r="Y31" i="2"/>
  <c r="AC30" i="2"/>
  <c r="AB30" i="2"/>
  <c r="AA30" i="2"/>
  <c r="Z30" i="2"/>
  <c r="Y30" i="2"/>
  <c r="AC22" i="2"/>
  <c r="AB22" i="2"/>
  <c r="AA22" i="2"/>
  <c r="Z22" i="2"/>
  <c r="Y22" i="2"/>
  <c r="AC21" i="2"/>
  <c r="AB21" i="2"/>
  <c r="AA21" i="2"/>
  <c r="Z21" i="2"/>
  <c r="Y21" i="2"/>
  <c r="AC20" i="2"/>
  <c r="AB20" i="2"/>
  <c r="AA20" i="2"/>
  <c r="Z20" i="2"/>
  <c r="Y20" i="2"/>
  <c r="AC19" i="2"/>
  <c r="AB19" i="2"/>
  <c r="AA19" i="2"/>
  <c r="Z19" i="2"/>
  <c r="Y19" i="2"/>
  <c r="AC18" i="2"/>
  <c r="AB18" i="2"/>
  <c r="AA18" i="2"/>
  <c r="Z18" i="2"/>
  <c r="Y18" i="2"/>
  <c r="AC14" i="2"/>
  <c r="AB14" i="2"/>
  <c r="AA14" i="2"/>
  <c r="Z14" i="2"/>
  <c r="Y14" i="2"/>
  <c r="AC13" i="2"/>
  <c r="AB13" i="2"/>
  <c r="AA13" i="2"/>
  <c r="Z13" i="2"/>
  <c r="Y13" i="2"/>
  <c r="AC12" i="2"/>
  <c r="AB12" i="2"/>
  <c r="AA12" i="2"/>
  <c r="Z12" i="2"/>
  <c r="Y12" i="2"/>
  <c r="AC11" i="2"/>
  <c r="AB11" i="2"/>
  <c r="AA11" i="2"/>
  <c r="Z11" i="2"/>
  <c r="Y11" i="2"/>
  <c r="AC10" i="2"/>
  <c r="AB10" i="2"/>
  <c r="AA10" i="2"/>
  <c r="Z10" i="2"/>
  <c r="Y10" i="2"/>
  <c r="AC9" i="2"/>
  <c r="AB9" i="2"/>
  <c r="AA9" i="2"/>
  <c r="Z9" i="2"/>
  <c r="Y9" i="2"/>
  <c r="AC8" i="2"/>
  <c r="AB8" i="2"/>
  <c r="AA8" i="2"/>
  <c r="Z8" i="2"/>
  <c r="Y8" i="2"/>
  <c r="AC7" i="2"/>
  <c r="AB7" i="2"/>
  <c r="AA7" i="2"/>
  <c r="Z7" i="2"/>
  <c r="Y7" i="2"/>
  <c r="AC6" i="2"/>
  <c r="AB6" i="2"/>
  <c r="AA6" i="2"/>
  <c r="Z6" i="2"/>
  <c r="Y6" i="2"/>
  <c r="AC5" i="2"/>
  <c r="AB5" i="2"/>
  <c r="AA5" i="2"/>
  <c r="Z5" i="2"/>
  <c r="Y5" i="2"/>
  <c r="AC4" i="2"/>
  <c r="AB4" i="2"/>
  <c r="Z4" i="2"/>
  <c r="Y4" i="2"/>
  <c r="AC3" i="2"/>
  <c r="W14" i="2"/>
  <c r="W13" i="2"/>
  <c r="W12" i="2"/>
  <c r="W11" i="2"/>
  <c r="W10" i="2"/>
  <c r="W9" i="2"/>
  <c r="W8" i="2"/>
  <c r="W7" i="2"/>
  <c r="W6" i="2"/>
  <c r="W4" i="2"/>
  <c r="C35" i="2"/>
  <c r="M34" i="2"/>
  <c r="K34" i="2"/>
  <c r="I34" i="2"/>
  <c r="G34" i="2"/>
  <c r="E34" i="2"/>
  <c r="M33" i="2"/>
  <c r="K33" i="2"/>
  <c r="I33" i="2"/>
  <c r="G33" i="2"/>
  <c r="E33" i="2"/>
  <c r="M32" i="2"/>
  <c r="K32" i="2"/>
  <c r="I32" i="2"/>
  <c r="G32" i="2"/>
  <c r="E32" i="2"/>
  <c r="M31" i="2"/>
  <c r="K31" i="2"/>
  <c r="I31" i="2"/>
  <c r="G31" i="2"/>
  <c r="E31" i="2"/>
  <c r="M30" i="2"/>
  <c r="K30" i="2"/>
  <c r="I30" i="2"/>
  <c r="G30" i="2"/>
  <c r="E30" i="2"/>
  <c r="C27" i="2"/>
  <c r="K26" i="2"/>
  <c r="I26" i="2"/>
  <c r="G26" i="2"/>
  <c r="T26" i="4" s="1"/>
  <c r="E26" i="2"/>
  <c r="K25" i="2"/>
  <c r="I25" i="2"/>
  <c r="G25" i="2"/>
  <c r="E25" i="2"/>
  <c r="K24" i="2"/>
  <c r="I24" i="2"/>
  <c r="G24" i="2"/>
  <c r="E24" i="2"/>
  <c r="K23" i="2"/>
  <c r="I23" i="2"/>
  <c r="G23" i="2"/>
  <c r="E23" i="2"/>
  <c r="K22" i="2"/>
  <c r="I22" i="2"/>
  <c r="G22" i="2"/>
  <c r="E22" i="2"/>
  <c r="K21" i="2"/>
  <c r="I21" i="2"/>
  <c r="G21" i="2"/>
  <c r="E21" i="2"/>
  <c r="K20" i="2"/>
  <c r="I20" i="2"/>
  <c r="G20" i="2"/>
  <c r="E20" i="2"/>
  <c r="K19" i="2"/>
  <c r="I19" i="2"/>
  <c r="G19" i="2"/>
  <c r="E19" i="2"/>
  <c r="K18" i="2"/>
  <c r="I18" i="2"/>
  <c r="G18" i="2"/>
  <c r="E18" i="2"/>
  <c r="C15" i="2"/>
  <c r="N15" i="2" s="1"/>
  <c r="K14" i="2"/>
  <c r="I14" i="2"/>
  <c r="G14" i="2"/>
  <c r="E14" i="2"/>
  <c r="K13" i="2"/>
  <c r="I13" i="2"/>
  <c r="G13" i="2"/>
  <c r="E13" i="2"/>
  <c r="K12" i="2"/>
  <c r="I12" i="2"/>
  <c r="U12" i="4" s="1"/>
  <c r="G12" i="2"/>
  <c r="T12" i="4" s="1"/>
  <c r="E12" i="2"/>
  <c r="K11" i="2"/>
  <c r="I11" i="2"/>
  <c r="G11" i="2"/>
  <c r="E11" i="2"/>
  <c r="K10" i="2"/>
  <c r="I10" i="2"/>
  <c r="G10" i="2"/>
  <c r="E10" i="2"/>
  <c r="K9" i="2"/>
  <c r="I9" i="2"/>
  <c r="G9" i="2"/>
  <c r="E9" i="2"/>
  <c r="K8" i="2"/>
  <c r="I8" i="2"/>
  <c r="G8" i="2"/>
  <c r="E8" i="2"/>
  <c r="K7" i="2"/>
  <c r="I7" i="2"/>
  <c r="G7" i="2"/>
  <c r="E7" i="2"/>
  <c r="K6" i="2"/>
  <c r="I6" i="2"/>
  <c r="G6" i="2"/>
  <c r="E6" i="2"/>
  <c r="K5" i="2"/>
  <c r="I5" i="2"/>
  <c r="G5" i="2"/>
  <c r="E5" i="2"/>
  <c r="K4" i="2"/>
  <c r="I4" i="2"/>
  <c r="G4" i="2"/>
  <c r="E4" i="2"/>
  <c r="M3" i="2"/>
  <c r="K3" i="2"/>
  <c r="I3" i="2"/>
  <c r="G3" i="2"/>
  <c r="C34" i="1"/>
  <c r="M26" i="1"/>
  <c r="C26" i="1"/>
  <c r="C14" i="1"/>
  <c r="J3" i="1"/>
  <c r="AB3" i="2" s="1"/>
  <c r="H3" i="1"/>
  <c r="F3" i="1"/>
  <c r="Z3" i="2" s="1"/>
  <c r="M30" i="1"/>
  <c r="K30" i="1"/>
  <c r="I30" i="1"/>
  <c r="G30" i="1"/>
  <c r="E30" i="1"/>
  <c r="M31" i="1"/>
  <c r="K31" i="1"/>
  <c r="I31" i="1"/>
  <c r="G31" i="1"/>
  <c r="E31" i="1"/>
  <c r="M32" i="1"/>
  <c r="K32" i="1"/>
  <c r="I32" i="1"/>
  <c r="G32" i="1"/>
  <c r="E32" i="1"/>
  <c r="M29" i="1"/>
  <c r="K29" i="1"/>
  <c r="I29" i="1"/>
  <c r="G29" i="1"/>
  <c r="E29" i="1"/>
  <c r="M33" i="1"/>
  <c r="K33" i="1"/>
  <c r="I33" i="1"/>
  <c r="G33" i="1"/>
  <c r="E33" i="1"/>
  <c r="K6" i="1"/>
  <c r="I6" i="1"/>
  <c r="G6" i="1"/>
  <c r="E6" i="1"/>
  <c r="E21" i="1"/>
  <c r="G21" i="1"/>
  <c r="I21" i="1"/>
  <c r="K21" i="1"/>
  <c r="E22" i="1"/>
  <c r="G22" i="1"/>
  <c r="I22" i="1"/>
  <c r="K22" i="1"/>
  <c r="E23" i="1"/>
  <c r="G23" i="1"/>
  <c r="I23" i="1"/>
  <c r="K23" i="1"/>
  <c r="E24" i="1"/>
  <c r="G24" i="1"/>
  <c r="I24" i="1"/>
  <c r="K24" i="1"/>
  <c r="E25" i="1"/>
  <c r="G25" i="1"/>
  <c r="I25" i="1"/>
  <c r="K25" i="1"/>
  <c r="E12" i="1"/>
  <c r="G12" i="1"/>
  <c r="I12" i="1"/>
  <c r="K12" i="1"/>
  <c r="E13" i="1"/>
  <c r="G13" i="1"/>
  <c r="I13" i="1"/>
  <c r="K13" i="1"/>
  <c r="K11" i="1"/>
  <c r="I11" i="1"/>
  <c r="G11" i="1"/>
  <c r="E11" i="1"/>
  <c r="K18" i="1"/>
  <c r="K19" i="1"/>
  <c r="K20" i="1"/>
  <c r="I18" i="1"/>
  <c r="I19" i="1"/>
  <c r="I20" i="1"/>
  <c r="G18" i="1"/>
  <c r="G19" i="1"/>
  <c r="G20" i="1"/>
  <c r="E18" i="1"/>
  <c r="E19" i="1"/>
  <c r="E20" i="1"/>
  <c r="K10" i="1"/>
  <c r="I10" i="1"/>
  <c r="G10" i="1"/>
  <c r="E10" i="1"/>
  <c r="K9" i="1"/>
  <c r="I9" i="1"/>
  <c r="G9" i="1"/>
  <c r="E9" i="1"/>
  <c r="G17" i="1"/>
  <c r="K17" i="1"/>
  <c r="I17" i="1"/>
  <c r="E17" i="1"/>
  <c r="S5" i="3" l="1"/>
  <c r="S5" i="4"/>
  <c r="S8" i="3"/>
  <c r="S8" i="4"/>
  <c r="S11" i="3"/>
  <c r="S11" i="4"/>
  <c r="S13" i="3"/>
  <c r="S13" i="4"/>
  <c r="V19" i="3"/>
  <c r="V19" i="4"/>
  <c r="V21" i="3"/>
  <c r="V21" i="4"/>
  <c r="V25" i="3"/>
  <c r="V25" i="4"/>
  <c r="T31" i="3"/>
  <c r="T31" i="4"/>
  <c r="W32" i="3"/>
  <c r="W32" i="6"/>
  <c r="W32" i="4"/>
  <c r="W32" i="5"/>
  <c r="U3" i="3"/>
  <c r="U3" i="4"/>
  <c r="T4" i="3"/>
  <c r="T4" i="4"/>
  <c r="T5" i="3"/>
  <c r="T5" i="4"/>
  <c r="T6" i="3"/>
  <c r="T6" i="4"/>
  <c r="T7" i="3"/>
  <c r="T7" i="4"/>
  <c r="T8" i="3"/>
  <c r="T8" i="4"/>
  <c r="T9" i="3"/>
  <c r="T9" i="4"/>
  <c r="T10" i="3"/>
  <c r="T10" i="4"/>
  <c r="T11" i="3"/>
  <c r="T11" i="4"/>
  <c r="T13" i="3"/>
  <c r="T13" i="4"/>
  <c r="T14" i="3"/>
  <c r="T14" i="4"/>
  <c r="S18" i="3"/>
  <c r="S18" i="4"/>
  <c r="S19" i="3"/>
  <c r="S19" i="4"/>
  <c r="S20" i="3"/>
  <c r="S20" i="4"/>
  <c r="S21" i="3"/>
  <c r="S21" i="4"/>
  <c r="S22" i="3"/>
  <c r="S22" i="4"/>
  <c r="S23" i="3"/>
  <c r="S23" i="4"/>
  <c r="S24" i="3"/>
  <c r="S24" i="4"/>
  <c r="S25" i="3"/>
  <c r="S25" i="4"/>
  <c r="S26" i="3"/>
  <c r="S26" i="4"/>
  <c r="V30" i="3"/>
  <c r="V30" i="4"/>
  <c r="U31" i="3"/>
  <c r="U31" i="4"/>
  <c r="T32" i="3"/>
  <c r="T32" i="4"/>
  <c r="S33" i="3"/>
  <c r="S33" i="4"/>
  <c r="W33" i="3"/>
  <c r="W33" i="6"/>
  <c r="W33" i="5"/>
  <c r="W33" i="4"/>
  <c r="V34" i="3"/>
  <c r="V34" i="4"/>
  <c r="S4" i="3"/>
  <c r="S4" i="4"/>
  <c r="S7" i="3"/>
  <c r="S7" i="4"/>
  <c r="S9" i="3"/>
  <c r="S9" i="4"/>
  <c r="S12" i="3"/>
  <c r="S12" i="4"/>
  <c r="S14" i="3"/>
  <c r="S14" i="4"/>
  <c r="V18" i="3"/>
  <c r="V18" i="4"/>
  <c r="V20" i="3"/>
  <c r="V20" i="4"/>
  <c r="V23" i="3"/>
  <c r="V23" i="4"/>
  <c r="V26" i="3"/>
  <c r="V26" i="4"/>
  <c r="S32" i="3"/>
  <c r="S32" i="4"/>
  <c r="U34" i="3"/>
  <c r="U34" i="4"/>
  <c r="V3" i="3"/>
  <c r="V3" i="4"/>
  <c r="U4" i="3"/>
  <c r="U4" i="4"/>
  <c r="U5" i="3"/>
  <c r="U5" i="4"/>
  <c r="U6" i="3"/>
  <c r="U6" i="4"/>
  <c r="U7" i="3"/>
  <c r="U7" i="4"/>
  <c r="U8" i="3"/>
  <c r="U8" i="4"/>
  <c r="U9" i="3"/>
  <c r="U9" i="4"/>
  <c r="U10" i="3"/>
  <c r="U10" i="4"/>
  <c r="U11" i="3"/>
  <c r="U11" i="4"/>
  <c r="U13" i="3"/>
  <c r="U13" i="4"/>
  <c r="U14" i="3"/>
  <c r="U14" i="4"/>
  <c r="T18" i="3"/>
  <c r="T18" i="4"/>
  <c r="T19" i="3"/>
  <c r="T19" i="4"/>
  <c r="T20" i="3"/>
  <c r="T20" i="4"/>
  <c r="T21" i="3"/>
  <c r="T21" i="4"/>
  <c r="T22" i="3"/>
  <c r="T22" i="4"/>
  <c r="T23" i="3"/>
  <c r="T23" i="4"/>
  <c r="T24" i="3"/>
  <c r="T24" i="4"/>
  <c r="T25" i="3"/>
  <c r="T25" i="4"/>
  <c r="S30" i="3"/>
  <c r="S30" i="4"/>
  <c r="W30" i="3"/>
  <c r="W30" i="6"/>
  <c r="W30" i="5"/>
  <c r="W30" i="4"/>
  <c r="V31" i="3"/>
  <c r="V31" i="4"/>
  <c r="U32" i="3"/>
  <c r="U32" i="4"/>
  <c r="T33" i="3"/>
  <c r="T33" i="4"/>
  <c r="S34" i="3"/>
  <c r="S34" i="4"/>
  <c r="W34" i="3"/>
  <c r="W34" i="6"/>
  <c r="W34" i="5"/>
  <c r="W34" i="4"/>
  <c r="T3" i="3"/>
  <c r="T3" i="4"/>
  <c r="S6" i="3"/>
  <c r="S6" i="4"/>
  <c r="S10" i="3"/>
  <c r="S10" i="4"/>
  <c r="V22" i="3"/>
  <c r="V22" i="4"/>
  <c r="V24" i="3"/>
  <c r="V24" i="4"/>
  <c r="U30" i="3"/>
  <c r="U30" i="4"/>
  <c r="V33" i="3"/>
  <c r="V33" i="4"/>
  <c r="W3" i="3"/>
  <c r="W3" i="6"/>
  <c r="W3" i="4"/>
  <c r="W3" i="5"/>
  <c r="V4" i="3"/>
  <c r="V4" i="4"/>
  <c r="V5" i="3"/>
  <c r="V5" i="4"/>
  <c r="V6" i="3"/>
  <c r="V6" i="4"/>
  <c r="V7" i="3"/>
  <c r="V7" i="4"/>
  <c r="V8" i="3"/>
  <c r="V8" i="4"/>
  <c r="V9" i="3"/>
  <c r="V9" i="4"/>
  <c r="V10" i="3"/>
  <c r="V10" i="4"/>
  <c r="V11" i="3"/>
  <c r="V11" i="4"/>
  <c r="V12" i="3"/>
  <c r="V12" i="4"/>
  <c r="V13" i="3"/>
  <c r="V13" i="4"/>
  <c r="V14" i="3"/>
  <c r="V14" i="4"/>
  <c r="U18" i="3"/>
  <c r="U18" i="4"/>
  <c r="U19" i="3"/>
  <c r="U19" i="4"/>
  <c r="U20" i="3"/>
  <c r="U20" i="4"/>
  <c r="U21" i="3"/>
  <c r="U21" i="4"/>
  <c r="U22" i="3"/>
  <c r="U22" i="4"/>
  <c r="U23" i="3"/>
  <c r="U23" i="4"/>
  <c r="U24" i="3"/>
  <c r="U24" i="4"/>
  <c r="U25" i="3"/>
  <c r="U25" i="4"/>
  <c r="U26" i="3"/>
  <c r="U26" i="4"/>
  <c r="T30" i="3"/>
  <c r="T30" i="4"/>
  <c r="S31" i="3"/>
  <c r="S31" i="4"/>
  <c r="W31" i="3"/>
  <c r="W31" i="6"/>
  <c r="W31" i="5"/>
  <c r="W31" i="4"/>
  <c r="V32" i="3"/>
  <c r="V32" i="4"/>
  <c r="U33" i="3"/>
  <c r="U33" i="4"/>
  <c r="T34" i="3"/>
  <c r="T34" i="4"/>
  <c r="T12" i="2"/>
  <c r="T12" i="3"/>
  <c r="W33" i="2"/>
  <c r="O26" i="2"/>
  <c r="T26" i="3"/>
  <c r="U12" i="2"/>
  <c r="U12" i="3"/>
  <c r="V6" i="2"/>
  <c r="V9" i="2"/>
  <c r="V10" i="2"/>
  <c r="V11" i="2"/>
  <c r="V13" i="2"/>
  <c r="V14" i="2"/>
  <c r="U19" i="2"/>
  <c r="U20" i="2"/>
  <c r="W31" i="2"/>
  <c r="U33" i="2"/>
  <c r="AA3" i="2"/>
  <c r="U6" i="2"/>
  <c r="U9" i="2"/>
  <c r="U10" i="2"/>
  <c r="U11" i="2"/>
  <c r="V31" i="2"/>
  <c r="T33" i="2"/>
  <c r="W34" i="2"/>
  <c r="U14" i="2"/>
  <c r="W30" i="2"/>
  <c r="U32" i="2"/>
  <c r="U18" i="2"/>
  <c r="U21" i="2"/>
  <c r="U24" i="2"/>
  <c r="U25" i="2"/>
  <c r="T30" i="2"/>
  <c r="T34" i="2"/>
  <c r="S6" i="2"/>
  <c r="S9" i="2"/>
  <c r="S10" i="2"/>
  <c r="S11" i="2"/>
  <c r="S13" i="2"/>
  <c r="S14" i="2"/>
  <c r="V18" i="2"/>
  <c r="V19" i="2"/>
  <c r="V20" i="2"/>
  <c r="V21" i="2"/>
  <c r="V22" i="2"/>
  <c r="V23" i="2"/>
  <c r="V24" i="2"/>
  <c r="V25" i="2"/>
  <c r="V26" i="2"/>
  <c r="U30" i="2"/>
  <c r="T31" i="2"/>
  <c r="W32" i="2"/>
  <c r="V33" i="2"/>
  <c r="U34" i="2"/>
  <c r="U13" i="2"/>
  <c r="U22" i="2"/>
  <c r="U23" i="2"/>
  <c r="U26" i="2"/>
  <c r="V32" i="2"/>
  <c r="T6" i="2"/>
  <c r="T9" i="2"/>
  <c r="T10" i="2"/>
  <c r="T11" i="2"/>
  <c r="T13" i="2"/>
  <c r="T14" i="2"/>
  <c r="V30" i="2"/>
  <c r="U31" i="2"/>
  <c r="T32" i="2"/>
  <c r="V34" i="2"/>
  <c r="V12" i="2"/>
  <c r="S12" i="2"/>
  <c r="T18" i="2"/>
  <c r="O18" i="2"/>
  <c r="S30" i="2"/>
  <c r="O30" i="2"/>
  <c r="T19" i="2"/>
  <c r="O19" i="2"/>
  <c r="S18" i="2"/>
  <c r="M18" i="2"/>
  <c r="S19" i="2"/>
  <c r="M19" i="2"/>
  <c r="S21" i="2"/>
  <c r="M21" i="2"/>
  <c r="T21" i="2"/>
  <c r="O21" i="2"/>
  <c r="S34" i="2"/>
  <c r="O34" i="2"/>
  <c r="S33" i="2"/>
  <c r="O33" i="2"/>
  <c r="S32" i="2"/>
  <c r="O32" i="2"/>
  <c r="S31" i="2"/>
  <c r="O31" i="2"/>
  <c r="T26" i="2"/>
  <c r="S26" i="2"/>
  <c r="M26" i="2"/>
  <c r="S25" i="2"/>
  <c r="M25" i="2"/>
  <c r="T25" i="2"/>
  <c r="O25" i="2"/>
  <c r="S24" i="2"/>
  <c r="M24" i="2"/>
  <c r="T24" i="2"/>
  <c r="O24" i="2"/>
  <c r="S23" i="2"/>
  <c r="M23" i="2"/>
  <c r="T23" i="2"/>
  <c r="O23" i="2"/>
  <c r="S22" i="2"/>
  <c r="M22" i="2"/>
  <c r="T22" i="2"/>
  <c r="O22" i="2"/>
  <c r="S20" i="2"/>
  <c r="M20" i="2"/>
  <c r="T20" i="2"/>
  <c r="O20" i="2"/>
  <c r="K27" i="2"/>
  <c r="M15" i="2"/>
  <c r="K35" i="2"/>
  <c r="I15" i="2"/>
  <c r="G27" i="2"/>
  <c r="E35" i="2"/>
  <c r="S35" i="4" s="1"/>
  <c r="K15" i="2"/>
  <c r="I27" i="2"/>
  <c r="G35" i="2"/>
  <c r="I35" i="2"/>
  <c r="M35" i="2"/>
  <c r="G15" i="2"/>
  <c r="E27" i="2"/>
  <c r="E3" i="2"/>
  <c r="E34" i="1"/>
  <c r="D34" i="1" s="1"/>
  <c r="M34" i="1"/>
  <c r="L34" i="1" s="1"/>
  <c r="I34" i="1"/>
  <c r="H34" i="1" s="1"/>
  <c r="L26" i="1"/>
  <c r="K34" i="1"/>
  <c r="J34" i="1" s="1"/>
  <c r="G34" i="1"/>
  <c r="F34" i="1" s="1"/>
  <c r="G26" i="1"/>
  <c r="F26" i="1" s="1"/>
  <c r="K26" i="1"/>
  <c r="J26" i="1" s="1"/>
  <c r="I26" i="1"/>
  <c r="H26" i="1" s="1"/>
  <c r="E26" i="1"/>
  <c r="D26" i="1" s="1"/>
  <c r="D3" i="1"/>
  <c r="M5" i="1"/>
  <c r="W5" i="2" s="1"/>
  <c r="M3" i="1"/>
  <c r="W3" i="2" s="1"/>
  <c r="K4" i="1"/>
  <c r="V4" i="2" s="1"/>
  <c r="K8" i="1"/>
  <c r="V8" i="2" s="1"/>
  <c r="K5" i="1"/>
  <c r="V5" i="2" s="1"/>
  <c r="K7" i="1"/>
  <c r="V7" i="2" s="1"/>
  <c r="I4" i="1"/>
  <c r="U4" i="2" s="1"/>
  <c r="I5" i="1"/>
  <c r="U5" i="2" s="1"/>
  <c r="I7" i="1"/>
  <c r="U7" i="2" s="1"/>
  <c r="I8" i="1"/>
  <c r="U8" i="2" s="1"/>
  <c r="G4" i="1"/>
  <c r="T4" i="2" s="1"/>
  <c r="G5" i="1"/>
  <c r="T5" i="2" s="1"/>
  <c r="G7" i="1"/>
  <c r="T7" i="2" s="1"/>
  <c r="G8" i="1"/>
  <c r="T8" i="2" s="1"/>
  <c r="E4" i="1"/>
  <c r="S4" i="2" s="1"/>
  <c r="E5" i="1"/>
  <c r="S5" i="2" s="1"/>
  <c r="E7" i="1"/>
  <c r="S7" i="2" s="1"/>
  <c r="E8" i="1"/>
  <c r="S8" i="2" s="1"/>
  <c r="K3" i="1"/>
  <c r="V3" i="2" s="1"/>
  <c r="I3" i="1"/>
  <c r="U3" i="2" s="1"/>
  <c r="G3" i="1"/>
  <c r="T3" i="2" s="1"/>
  <c r="S27" i="3" l="1"/>
  <c r="S27" i="4"/>
  <c r="V27" i="3"/>
  <c r="V27" i="4"/>
  <c r="W19" i="6"/>
  <c r="W19" i="5"/>
  <c r="W19" i="4"/>
  <c r="T15" i="3"/>
  <c r="T15" i="4"/>
  <c r="U15" i="3"/>
  <c r="U15" i="4"/>
  <c r="W26" i="6"/>
  <c r="W26" i="4"/>
  <c r="W26" i="5"/>
  <c r="W35" i="3"/>
  <c r="W35" i="6"/>
  <c r="W35" i="5"/>
  <c r="W35" i="4"/>
  <c r="V15" i="3"/>
  <c r="V15" i="4"/>
  <c r="V35" i="3"/>
  <c r="V35" i="4"/>
  <c r="W21" i="6"/>
  <c r="W21" i="5"/>
  <c r="W21" i="4"/>
  <c r="W18" i="6"/>
  <c r="W18" i="4"/>
  <c r="W18" i="5"/>
  <c r="T35" i="3"/>
  <c r="T35" i="4"/>
  <c r="U27" i="3"/>
  <c r="U27" i="4"/>
  <c r="S3" i="3"/>
  <c r="S3" i="4"/>
  <c r="U35" i="3"/>
  <c r="U35" i="4"/>
  <c r="W15" i="3"/>
  <c r="W15" i="6"/>
  <c r="W15" i="5"/>
  <c r="W15" i="4"/>
  <c r="W20" i="3"/>
  <c r="W20" i="6"/>
  <c r="W20" i="4"/>
  <c r="W20" i="5"/>
  <c r="W22" i="6"/>
  <c r="W22" i="5"/>
  <c r="W22" i="4"/>
  <c r="W23" i="6"/>
  <c r="W23" i="4"/>
  <c r="W23" i="5"/>
  <c r="W24" i="6"/>
  <c r="W24" i="4"/>
  <c r="W24" i="5"/>
  <c r="W25" i="6"/>
  <c r="W25" i="5"/>
  <c r="W25" i="4"/>
  <c r="T27" i="3"/>
  <c r="T27" i="4"/>
  <c r="W22" i="2"/>
  <c r="W22" i="3"/>
  <c r="W25" i="2"/>
  <c r="W25" i="3"/>
  <c r="W19" i="2"/>
  <c r="W19" i="3"/>
  <c r="W24" i="2"/>
  <c r="W24" i="3"/>
  <c r="W26" i="2"/>
  <c r="W26" i="3"/>
  <c r="W23" i="2"/>
  <c r="W23" i="3"/>
  <c r="W21" i="2"/>
  <c r="W21" i="3"/>
  <c r="W18" i="2"/>
  <c r="W18" i="3"/>
  <c r="E3" i="1"/>
  <c r="S3" i="2" s="1"/>
  <c r="Y3" i="2"/>
  <c r="D35" i="2"/>
  <c r="Y35" i="2" s="1"/>
  <c r="S35" i="3"/>
  <c r="O35" i="2"/>
  <c r="N35" i="2" s="1"/>
  <c r="O27" i="2"/>
  <c r="N27" i="2" s="1"/>
  <c r="M27" i="2"/>
  <c r="W20" i="2"/>
  <c r="F35" i="2"/>
  <c r="Z35" i="4" s="1"/>
  <c r="T35" i="2"/>
  <c r="J35" i="2"/>
  <c r="AB35" i="4" s="1"/>
  <c r="V35" i="2"/>
  <c r="E15" i="2"/>
  <c r="S15" i="4" s="1"/>
  <c r="H27" i="2"/>
  <c r="AA27" i="4" s="1"/>
  <c r="U27" i="2"/>
  <c r="L15" i="2"/>
  <c r="D27" i="2"/>
  <c r="Y27" i="4" s="1"/>
  <c r="S27" i="2"/>
  <c r="J15" i="2"/>
  <c r="J27" i="2"/>
  <c r="AB27" i="4" s="1"/>
  <c r="V27" i="2"/>
  <c r="F15" i="2"/>
  <c r="S35" i="2"/>
  <c r="L35" i="2"/>
  <c r="AC35" i="4" s="1"/>
  <c r="W35" i="2"/>
  <c r="F27" i="2"/>
  <c r="Z27" i="4" s="1"/>
  <c r="T27" i="2"/>
  <c r="H35" i="2"/>
  <c r="AA35" i="4" s="1"/>
  <c r="U35" i="2"/>
  <c r="H15" i="2"/>
  <c r="M14" i="1"/>
  <c r="L14" i="1" s="1"/>
  <c r="G14" i="1"/>
  <c r="F14" i="1" s="1"/>
  <c r="I14" i="1"/>
  <c r="H14" i="1" s="1"/>
  <c r="K14" i="1"/>
  <c r="J14" i="1" s="1"/>
  <c r="Z15" i="3" l="1"/>
  <c r="Z15" i="4"/>
  <c r="AC15" i="3"/>
  <c r="AC15" i="4"/>
  <c r="E14" i="1"/>
  <c r="D14" i="1" s="1"/>
  <c r="AA15" i="3"/>
  <c r="AA15" i="4"/>
  <c r="AB15" i="3"/>
  <c r="AB15" i="4"/>
  <c r="W27" i="3"/>
  <c r="W27" i="6"/>
  <c r="W27" i="5"/>
  <c r="W27" i="4"/>
  <c r="Y35" i="3"/>
  <c r="Y35" i="4"/>
  <c r="AA35" i="2"/>
  <c r="AA35" i="3"/>
  <c r="AB35" i="2"/>
  <c r="AB35" i="3"/>
  <c r="D15" i="2"/>
  <c r="S15" i="3"/>
  <c r="Z35" i="2"/>
  <c r="Z35" i="3"/>
  <c r="AC35" i="2"/>
  <c r="AC35" i="3"/>
  <c r="AB27" i="2"/>
  <c r="AB27" i="3"/>
  <c r="Z27" i="2"/>
  <c r="Z27" i="3"/>
  <c r="AA27" i="2"/>
  <c r="AA27" i="3"/>
  <c r="Y27" i="2"/>
  <c r="Y27" i="3"/>
  <c r="V15" i="2"/>
  <c r="W15" i="2"/>
  <c r="AA15" i="2"/>
  <c r="T15" i="2"/>
  <c r="Z15" i="2"/>
  <c r="AB15" i="2"/>
  <c r="AC15" i="2"/>
  <c r="U15" i="2"/>
  <c r="W27" i="2"/>
  <c r="L27" i="2"/>
  <c r="AC27" i="4" s="1"/>
  <c r="Y15" i="2" l="1"/>
  <c r="S15" i="2"/>
  <c r="Y15" i="3"/>
  <c r="Y15" i="4"/>
  <c r="AC27" i="2"/>
  <c r="AC27" i="3"/>
  <c r="U17" i="29" l="1"/>
  <c r="U27" i="29" s="1"/>
  <c r="T27" i="29" s="1"/>
  <c r="F27" i="29" s="1"/>
  <c r="F17" i="29"/>
  <c r="Y27" i="37" l="1"/>
  <c r="J27" i="37"/>
  <c r="AE27" i="37" l="1"/>
  <c r="AE27" i="39"/>
  <c r="F27" i="37"/>
  <c r="K14" i="43"/>
  <c r="Y6" i="43"/>
  <c r="F6" i="43"/>
  <c r="AE6" i="44"/>
  <c r="F6" i="42"/>
  <c r="AE6" i="42"/>
  <c r="AE6" i="43"/>
  <c r="Y6" i="44" l="1"/>
  <c r="Y14" i="44"/>
  <c r="J14" i="43"/>
  <c r="Y14" i="43"/>
  <c r="F14" i="43" l="1"/>
  <c r="AE14" i="44"/>
  <c r="AE14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Jihad Murilo Abras Hajjar</author>
  </authors>
  <commentList>
    <comment ref="H32" authorId="0" shapeId="0" xr:uid="{00E35BBE-43F7-4015-9CF9-936E9402482E}">
      <text>
        <r>
          <rPr>
            <sz val="9"/>
            <color indexed="81"/>
            <rFont val="Tahoma"/>
            <family val="2"/>
          </rPr>
          <t xml:space="preserve">Não saiu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Jihad Murilo Abras Hajjar</author>
  </authors>
  <commentList>
    <comment ref="H10" authorId="0" shapeId="0" xr:uid="{6204F852-007A-4B36-94FF-23ADEA79D0AD}">
      <text>
        <r>
          <rPr>
            <sz val="9"/>
            <color indexed="81"/>
            <rFont val="Tahoma"/>
            <family val="2"/>
          </rPr>
          <t>Saiu da amostra a partir de setembro</t>
        </r>
      </text>
    </comment>
    <comment ref="H14" authorId="0" shapeId="0" xr:uid="{609D5B0F-9351-4564-B572-15E490A1C44C}">
      <text>
        <r>
          <rPr>
            <sz val="9"/>
            <color indexed="81"/>
            <rFont val="Tahoma"/>
            <family val="2"/>
          </rPr>
          <t>Saiu da amostra a partir de setembro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Jihad Murilo Abras Hajjar</author>
  </authors>
  <commentList>
    <comment ref="I12" authorId="0" shapeId="0" xr:uid="{08767859-970A-4E00-B387-E0BBEE14EF43}">
      <text>
        <r>
          <rPr>
            <sz val="9"/>
            <color indexed="81"/>
            <rFont val="Tahoma"/>
            <family val="2"/>
          </rPr>
          <t>Diferença grande pro mês anterior pq tava considerando o PL médio, agora achei o PL atual</t>
        </r>
      </text>
    </comment>
  </commentList>
</comments>
</file>

<file path=xl/sharedStrings.xml><?xml version="1.0" encoding="utf-8"?>
<sst xmlns="http://schemas.openxmlformats.org/spreadsheetml/2006/main" count="4615" uniqueCount="116">
  <si>
    <t>ARX Denali</t>
  </si>
  <si>
    <t>Fundo D+1</t>
  </si>
  <si>
    <t>Fundo D+30</t>
  </si>
  <si>
    <t>Capitania Top</t>
  </si>
  <si>
    <t>PL</t>
  </si>
  <si>
    <t>Geraes</t>
  </si>
  <si>
    <t>Geraes 30</t>
  </si>
  <si>
    <t>Caixa</t>
  </si>
  <si>
    <t>Bancários</t>
  </si>
  <si>
    <t>FIDC</t>
  </si>
  <si>
    <t>Corporativo</t>
  </si>
  <si>
    <t>Bancário:</t>
  </si>
  <si>
    <t>CDB</t>
  </si>
  <si>
    <t>LF</t>
  </si>
  <si>
    <t>LFSN</t>
  </si>
  <si>
    <t>LFSC</t>
  </si>
  <si>
    <t>Debênture</t>
  </si>
  <si>
    <t>CRI</t>
  </si>
  <si>
    <t>CRA</t>
  </si>
  <si>
    <t>Nota Promissória</t>
  </si>
  <si>
    <t>LEGENDA:</t>
  </si>
  <si>
    <t>FII</t>
  </si>
  <si>
    <t>Western Asset Total</t>
  </si>
  <si>
    <t>Daycoval Classic</t>
  </si>
  <si>
    <t>Iridium Apollo</t>
  </si>
  <si>
    <t>Quasar Advantage</t>
  </si>
  <si>
    <t>Daycoval Classic 30</t>
  </si>
  <si>
    <t>Riza Lotus Plus</t>
  </si>
  <si>
    <t>ARX Vinson</t>
  </si>
  <si>
    <t>Porto Seguro Fi RF</t>
  </si>
  <si>
    <t>Inter Conservador</t>
  </si>
  <si>
    <t xml:space="preserve">Gauss Income </t>
  </si>
  <si>
    <t>Sparta Max Advisory</t>
  </si>
  <si>
    <t>Polo Crédito Corporativo</t>
  </si>
  <si>
    <t>Iridium Titan</t>
  </si>
  <si>
    <t>Porto Seguro Ipê</t>
  </si>
  <si>
    <t>Sparta Top Advisory</t>
  </si>
  <si>
    <t xml:space="preserve">Riza Lotus </t>
  </si>
  <si>
    <t>Fundo D+60</t>
  </si>
  <si>
    <t>Horizonte</t>
  </si>
  <si>
    <t>Bonds</t>
  </si>
  <si>
    <t>BTG Corp Plus</t>
  </si>
  <si>
    <t>JGP Select</t>
  </si>
  <si>
    <t>ARX Everest</t>
  </si>
  <si>
    <t>Polo Total</t>
  </si>
  <si>
    <t>TOTAL</t>
  </si>
  <si>
    <t>Obs:</t>
  </si>
  <si>
    <t>Nu Reserva Imediata</t>
  </si>
  <si>
    <t>Sem abertura</t>
  </si>
  <si>
    <t>Δ Caixa</t>
  </si>
  <si>
    <t>Δ Bancários</t>
  </si>
  <si>
    <t>Δ Corporativo</t>
  </si>
  <si>
    <t>Δ FIDC</t>
  </si>
  <si>
    <t>Δ FII</t>
  </si>
  <si>
    <t>Δ Bonds</t>
  </si>
  <si>
    <t>Outros</t>
  </si>
  <si>
    <t>BTG PACTUAL CRED PLUS</t>
  </si>
  <si>
    <t>DPGE</t>
  </si>
  <si>
    <t>Compromissada</t>
  </si>
  <si>
    <t>Título Público</t>
  </si>
  <si>
    <t>Var. PL</t>
  </si>
  <si>
    <t>%</t>
  </si>
  <si>
    <t>Riza Lotus</t>
  </si>
  <si>
    <t>Gauss Income</t>
  </si>
  <si>
    <t>Absolute Atenas</t>
  </si>
  <si>
    <t>Absolute Creta</t>
  </si>
  <si>
    <t>Absolute Olimpia</t>
  </si>
  <si>
    <t>ARX Vinson Advisory</t>
  </si>
  <si>
    <t>Iridium Titan Advisory</t>
  </si>
  <si>
    <t>ARX Everest Advisory</t>
  </si>
  <si>
    <t>Pegar fora da XP:</t>
  </si>
  <si>
    <t>ARX</t>
  </si>
  <si>
    <t>Iridium</t>
  </si>
  <si>
    <t>Porto Seguro FIRF</t>
  </si>
  <si>
    <t>NU Reserva Imediata</t>
  </si>
  <si>
    <t>s</t>
  </si>
  <si>
    <t>inter conservador</t>
  </si>
  <si>
    <t>Bancário</t>
  </si>
  <si>
    <t>44.025.131/0001-07</t>
  </si>
  <si>
    <t>48.096.589/0001-08</t>
  </si>
  <si>
    <t>48.122.126/0001-65</t>
  </si>
  <si>
    <t>48.986.106/0001-32</t>
  </si>
  <si>
    <t>41.888.219/0001-56</t>
  </si>
  <si>
    <t>35.789.436/0001-96</t>
  </si>
  <si>
    <t>41.888.492/0001-80</t>
  </si>
  <si>
    <t>13.615.411/0001-33</t>
  </si>
  <si>
    <t>29.250.121/0001-73</t>
  </si>
  <si>
    <t>10.783.480/0001-68</t>
  </si>
  <si>
    <t>29.044.189/0001-04</t>
  </si>
  <si>
    <t>09.720.734/0001-10</t>
  </si>
  <si>
    <t>28.320.756/0001-37</t>
  </si>
  <si>
    <t>20.879.578/0001-77</t>
  </si>
  <si>
    <t>26.978.438/0001-32</t>
  </si>
  <si>
    <t>32.756.812/0001-58</t>
  </si>
  <si>
    <t>21.946.695/0001-79</t>
  </si>
  <si>
    <t>42.699.466/0001-77</t>
  </si>
  <si>
    <t>18.719.154/0001-01</t>
  </si>
  <si>
    <t>35.378.376/0001-19</t>
  </si>
  <si>
    <t>43.917.493/0001-31</t>
  </si>
  <si>
    <t>36.498.670/0001-27</t>
  </si>
  <si>
    <t>32.757.330/0001-12</t>
  </si>
  <si>
    <t>32.846.811/0001-02</t>
  </si>
  <si>
    <t>FUNDO</t>
  </si>
  <si>
    <t>CNPJ</t>
  </si>
  <si>
    <t>31.455.879/0001-90</t>
  </si>
  <si>
    <t>23.601.467/0001-92</t>
  </si>
  <si>
    <t>capitania</t>
  </si>
  <si>
    <t>arx</t>
  </si>
  <si>
    <t>riza</t>
  </si>
  <si>
    <t>western</t>
  </si>
  <si>
    <t>Debenture</t>
  </si>
  <si>
    <t>ação</t>
  </si>
  <si>
    <t>Ativo:</t>
  </si>
  <si>
    <t>Vai aparecer</t>
  </si>
  <si>
    <t>a partir do dia que o fundo que ela investiu teve o ativo</t>
  </si>
  <si>
    <t>Código Anbima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</si>
</sst>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_-;\-&quot;R$&quot;\ * #,##0_-;_-&quot;R$&quot;\ * &quot;-&quot;??_-;_-@_-"/>
    <numFmt numFmtId="165" formatCode="0.0"/>
    <numFmt numFmtId="166" formatCode="_-&quot;R$&quot;\ * #,##0.000_-;\-&quot;R$&quot;\ * #,##0.000_-;_-&quot;R$&quot;\ * &quot;-&quot;??_-;_-@_-"/>
    <numFmt numFmtId="167" formatCode="0.0000%"/>
    <numFmt numFmtId="168" formatCode="0.0%"/>
    <numFmt numFmtId="169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4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1" xfId="0" applyFont="1" applyFill="1" applyBorder="1"/>
    <xf numFmtId="0" fontId="2" fillId="2" borderId="1" xfId="0" applyFont="1" applyFill="1" applyBorder="1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10" fontId="0" fillId="0" borderId="0" xfId="0" applyNumberFormat="1"/>
    <xf numFmtId="0" fontId="2" fillId="0" borderId="0" xfId="0" applyFont="1"/>
    <xf numFmtId="164" fontId="2" fillId="2" borderId="1" xfId="2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2" applyNumberFormat="1" applyFont="1"/>
    <xf numFmtId="164" fontId="0" fillId="0" borderId="1" xfId="2" applyNumberFormat="1" applyFont="1" applyFill="1" applyBorder="1"/>
    <xf numFmtId="164" fontId="0" fillId="0" borderId="1" xfId="0" applyNumberFormat="1" applyBorder="1"/>
    <xf numFmtId="10" fontId="0" fillId="4" borderId="1" xfId="1" applyNumberFormat="1" applyFont="1" applyFill="1" applyBorder="1" applyAlignment="1">
      <alignment horizontal="center"/>
    </xf>
    <xf numFmtId="10" fontId="2" fillId="4" borderId="1" xfId="1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2" fillId="3" borderId="1" xfId="2" applyNumberFormat="1" applyFont="1" applyFill="1" applyBorder="1"/>
    <xf numFmtId="164" fontId="0" fillId="0" borderId="3" xfId="2" applyNumberFormat="1" applyFont="1" applyFill="1" applyBorder="1"/>
    <xf numFmtId="10" fontId="0" fillId="4" borderId="3" xfId="1" applyNumberFormat="1" applyFont="1" applyFill="1" applyBorder="1" applyAlignment="1">
      <alignment horizontal="center"/>
    </xf>
    <xf numFmtId="164" fontId="2" fillId="3" borderId="2" xfId="2" applyNumberFormat="1" applyFont="1" applyFill="1" applyBorder="1"/>
    <xf numFmtId="0" fontId="2" fillId="5" borderId="1" xfId="0" applyFont="1" applyFill="1" applyBorder="1"/>
    <xf numFmtId="164" fontId="0" fillId="6" borderId="2" xfId="2" applyNumberFormat="1" applyFont="1" applyFill="1" applyBorder="1"/>
    <xf numFmtId="164" fontId="0" fillId="6" borderId="1" xfId="2" applyNumberFormat="1" applyFont="1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/>
    <xf numFmtId="10" fontId="0" fillId="6" borderId="1" xfId="1" applyNumberFormat="1" applyFont="1" applyFill="1" applyBorder="1" applyAlignment="1">
      <alignment horizontal="center"/>
    </xf>
    <xf numFmtId="9" fontId="2" fillId="2" borderId="1" xfId="1" applyFont="1" applyFill="1" applyBorder="1" applyAlignment="1"/>
    <xf numFmtId="10" fontId="0" fillId="0" borderId="1" xfId="1" applyNumberFormat="1" applyFont="1" applyFill="1" applyBorder="1" applyAlignment="1">
      <alignment horizontal="center"/>
    </xf>
    <xf numFmtId="165" fontId="0" fillId="0" borderId="0" xfId="0" applyNumberFormat="1"/>
    <xf numFmtId="166" fontId="0" fillId="0" borderId="0" xfId="2" applyNumberFormat="1" applyFont="1"/>
    <xf numFmtId="164" fontId="2" fillId="0" borderId="1" xfId="2" applyNumberFormat="1" applyFont="1" applyFill="1" applyBorder="1"/>
    <xf numFmtId="10" fontId="2" fillId="0" borderId="1" xfId="1" applyNumberFormat="1" applyFont="1" applyFill="1" applyBorder="1" applyAlignment="1">
      <alignment horizontal="center"/>
    </xf>
    <xf numFmtId="165" fontId="2" fillId="0" borderId="0" xfId="0" applyNumberFormat="1" applyFont="1"/>
    <xf numFmtId="4" fontId="0" fillId="0" borderId="0" xfId="0" applyNumberFormat="1"/>
    <xf numFmtId="44" fontId="0" fillId="0" borderId="0" xfId="2" applyFont="1" applyAlignment="1">
      <alignment horizontal="center"/>
    </xf>
    <xf numFmtId="0" fontId="0" fillId="0" borderId="0" xfId="1" applyNumberFormat="1" applyFont="1" applyAlignment="1">
      <alignment horizontal="center"/>
    </xf>
    <xf numFmtId="167" fontId="0" fillId="0" borderId="0" xfId="1" applyNumberFormat="1" applyFont="1"/>
    <xf numFmtId="9" fontId="0" fillId="0" borderId="0" xfId="1" applyFont="1" applyFill="1" applyAlignment="1">
      <alignment horizontal="center"/>
    </xf>
    <xf numFmtId="168" fontId="0" fillId="6" borderId="1" xfId="1" applyNumberFormat="1" applyFont="1" applyFill="1" applyBorder="1" applyAlignment="1">
      <alignment horizontal="center"/>
    </xf>
    <xf numFmtId="164" fontId="0" fillId="0" borderId="1" xfId="2" applyNumberFormat="1" applyFont="1" applyFill="1" applyBorder="1" applyAlignment="1">
      <alignment wrapText="1"/>
    </xf>
    <xf numFmtId="8" fontId="0" fillId="0" borderId="0" xfId="0" applyNumberFormat="1"/>
    <xf numFmtId="8" fontId="0" fillId="0" borderId="1" xfId="2" applyNumberFormat="1" applyFont="1" applyFill="1" applyBorder="1"/>
    <xf numFmtId="8" fontId="0" fillId="6" borderId="1" xfId="2" applyNumberFormat="1" applyFont="1" applyFill="1" applyBorder="1"/>
    <xf numFmtId="8" fontId="0" fillId="6" borderId="2" xfId="2" applyNumberFormat="1" applyFont="1" applyFill="1" applyBorder="1"/>
    <xf numFmtId="9" fontId="0" fillId="6" borderId="1" xfId="1" applyFont="1" applyFill="1" applyBorder="1" applyAlignment="1">
      <alignment horizontal="center"/>
    </xf>
    <xf numFmtId="9" fontId="2" fillId="4" borderId="1" xfId="1" applyFont="1" applyFill="1" applyBorder="1" applyAlignment="1">
      <alignment horizontal="center"/>
    </xf>
    <xf numFmtId="8" fontId="0" fillId="0" borderId="1" xfId="0" applyNumberFormat="1" applyBorder="1"/>
    <xf numFmtId="8" fontId="0" fillId="0" borderId="4" xfId="0" applyNumberFormat="1" applyBorder="1"/>
    <xf numFmtId="44" fontId="0" fillId="6" borderId="2" xfId="2" applyFont="1" applyFill="1" applyBorder="1"/>
    <xf numFmtId="44" fontId="0" fillId="0" borderId="1" xfId="2" applyFont="1" applyFill="1" applyBorder="1"/>
    <xf numFmtId="0" fontId="2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9" fontId="0" fillId="6" borderId="1" xfId="0" applyNumberFormat="1" applyFill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3" fontId="0" fillId="0" borderId="0" xfId="0" applyNumberFormat="1"/>
    <xf numFmtId="10" fontId="3" fillId="4" borderId="1" xfId="1" applyNumberFormat="1" applyFont="1" applyFill="1" applyBorder="1" applyAlignment="1">
      <alignment horizontal="center"/>
    </xf>
    <xf numFmtId="164" fontId="3" fillId="0" borderId="1" xfId="2" applyNumberFormat="1" applyFont="1" applyFill="1" applyBorder="1"/>
    <xf numFmtId="8" fontId="3" fillId="6" borderId="2" xfId="2" applyNumberFormat="1" applyFont="1" applyFill="1" applyBorder="1"/>
    <xf numFmtId="10" fontId="3" fillId="6" borderId="1" xfId="1" applyNumberFormat="1" applyFont="1" applyFill="1" applyBorder="1" applyAlignment="1">
      <alignment horizontal="center"/>
    </xf>
    <xf numFmtId="164" fontId="3" fillId="0" borderId="1" xfId="2" applyNumberFormat="1" applyFont="1" applyFill="1" applyBorder="1" applyAlignment="1">
      <alignment wrapText="1"/>
    </xf>
    <xf numFmtId="10" fontId="3" fillId="4" borderId="3" xfId="1" applyNumberFormat="1" applyFont="1" applyFill="1" applyBorder="1" applyAlignment="1">
      <alignment horizontal="center"/>
    </xf>
    <xf numFmtId="164" fontId="4" fillId="3" borderId="2" xfId="2" applyNumberFormat="1" applyFont="1" applyFill="1" applyBorder="1"/>
    <xf numFmtId="164" fontId="4" fillId="3" borderId="1" xfId="2" applyNumberFormat="1" applyFont="1" applyFill="1" applyBorder="1"/>
    <xf numFmtId="44" fontId="3" fillId="6" borderId="2" xfId="2" applyFont="1" applyFill="1" applyBorder="1"/>
    <xf numFmtId="164" fontId="3" fillId="6" borderId="1" xfId="2" applyNumberFormat="1" applyFont="1" applyFill="1" applyBorder="1"/>
    <xf numFmtId="168" fontId="3" fillId="6" borderId="1" xfId="1" applyNumberFormat="1" applyFont="1" applyFill="1" applyBorder="1" applyAlignment="1">
      <alignment horizontal="center"/>
    </xf>
    <xf numFmtId="10" fontId="4" fillId="4" borderId="1" xfId="1" applyNumberFormat="1" applyFont="1" applyFill="1" applyBorder="1" applyAlignment="1">
      <alignment horizontal="center"/>
    </xf>
    <xf numFmtId="8" fontId="3" fillId="6" borderId="1" xfId="2" applyNumberFormat="1" applyFont="1" applyFill="1" applyBorder="1"/>
    <xf numFmtId="9" fontId="3" fillId="6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0" fontId="5" fillId="4" borderId="1" xfId="1" applyNumberFormat="1" applyFont="1" applyFill="1" applyBorder="1" applyAlignment="1">
      <alignment horizontal="center"/>
    </xf>
    <xf numFmtId="164" fontId="5" fillId="0" borderId="1" xfId="2" applyNumberFormat="1" applyFont="1" applyFill="1" applyBorder="1"/>
    <xf numFmtId="0" fontId="5" fillId="4" borderId="1" xfId="0" applyFont="1" applyFill="1" applyBorder="1" applyAlignment="1">
      <alignment horizontal="center"/>
    </xf>
    <xf numFmtId="164" fontId="5" fillId="0" borderId="1" xfId="2" applyNumberFormat="1" applyFont="1" applyFill="1" applyBorder="1" applyAlignment="1">
      <alignment wrapText="1"/>
    </xf>
    <xf numFmtId="0" fontId="2" fillId="2" borderId="0" xfId="0" applyFont="1" applyFill="1"/>
    <xf numFmtId="168" fontId="0" fillId="0" borderId="0" xfId="0" applyNumberFormat="1"/>
    <xf numFmtId="10" fontId="1" fillId="4" borderId="1" xfId="1" applyNumberFormat="1" applyFont="1" applyFill="1" applyBorder="1" applyAlignment="1">
      <alignment horizontal="center"/>
    </xf>
    <xf numFmtId="164" fontId="1" fillId="0" borderId="1" xfId="2" applyNumberFormat="1" applyFont="1" applyFill="1" applyBorder="1"/>
    <xf numFmtId="8" fontId="1" fillId="6" borderId="1" xfId="2" applyNumberFormat="1" applyFont="1" applyFill="1" applyBorder="1"/>
    <xf numFmtId="164" fontId="1" fillId="6" borderId="1" xfId="2" applyNumberFormat="1" applyFont="1" applyFill="1" applyBorder="1"/>
    <xf numFmtId="10" fontId="1" fillId="6" borderId="1" xfId="1" applyNumberFormat="1" applyFont="1" applyFill="1" applyBorder="1" applyAlignment="1">
      <alignment horizontal="center"/>
    </xf>
    <xf numFmtId="9" fontId="1" fillId="6" borderId="1" xfId="0" applyNumberFormat="1" applyFont="1" applyFill="1" applyBorder="1" applyAlignment="1">
      <alignment horizontal="center"/>
    </xf>
    <xf numFmtId="8" fontId="1" fillId="6" borderId="2" xfId="2" applyNumberFormat="1" applyFont="1" applyFill="1" applyBorder="1"/>
    <xf numFmtId="164" fontId="1" fillId="0" borderId="1" xfId="2" applyNumberFormat="1" applyFont="1" applyFill="1" applyBorder="1" applyAlignment="1">
      <alignment wrapText="1"/>
    </xf>
    <xf numFmtId="10" fontId="1" fillId="4" borderId="3" xfId="1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44" fontId="1" fillId="6" borderId="2" xfId="2" applyFont="1" applyFill="1" applyBorder="1"/>
    <xf numFmtId="168" fontId="1" fillId="6" borderId="1" xfId="1" applyNumberFormat="1" applyFont="1" applyFill="1" applyBorder="1" applyAlignment="1">
      <alignment horizontal="center"/>
    </xf>
    <xf numFmtId="164" fontId="3" fillId="7" borderId="1" xfId="2" applyNumberFormat="1" applyFont="1" applyFill="1" applyBorder="1"/>
    <xf numFmtId="164" fontId="1" fillId="7" borderId="1" xfId="2" applyNumberFormat="1" applyFont="1" applyFill="1" applyBorder="1"/>
    <xf numFmtId="10" fontId="1" fillId="7" borderId="1" xfId="1" applyNumberFormat="1" applyFont="1" applyFill="1" applyBorder="1" applyAlignment="1">
      <alignment horizontal="center"/>
    </xf>
    <xf numFmtId="164" fontId="0" fillId="8" borderId="0" xfId="0" applyNumberFormat="1" applyFill="1"/>
    <xf numFmtId="0" fontId="0" fillId="7" borderId="0" xfId="0" applyFill="1"/>
    <xf numFmtId="164" fontId="1" fillId="6" borderId="2" xfId="2" applyNumberFormat="1" applyFont="1" applyFill="1" applyBorder="1"/>
    <xf numFmtId="6" fontId="1" fillId="6" borderId="2" xfId="2" applyNumberFormat="1" applyFont="1" applyFill="1" applyBorder="1"/>
    <xf numFmtId="6" fontId="0" fillId="0" borderId="1" xfId="2" applyNumberFormat="1" applyFont="1" applyFill="1" applyBorder="1"/>
    <xf numFmtId="0" fontId="2" fillId="5" borderId="5" xfId="0" applyFont="1" applyFill="1" applyBorder="1"/>
    <xf numFmtId="0" fontId="2" fillId="5" borderId="0" xfId="0" applyFont="1" applyFill="1"/>
    <xf numFmtId="0" fontId="2" fillId="5" borderId="6" xfId="0" applyFont="1" applyFill="1" applyBorder="1"/>
    <xf numFmtId="164" fontId="1" fillId="7" borderId="1" xfId="2" applyNumberFormat="1" applyFont="1" applyFill="1" applyBorder="1" applyAlignment="1">
      <alignment wrapText="1"/>
    </xf>
    <xf numFmtId="44" fontId="0" fillId="0" borderId="0" xfId="2" applyFont="1"/>
    <xf numFmtId="44" fontId="1" fillId="0" borderId="1" xfId="2" applyFont="1" applyFill="1" applyBorder="1"/>
    <xf numFmtId="0" fontId="0" fillId="0" borderId="1" xfId="0" applyBorder="1"/>
    <xf numFmtId="0" fontId="0" fillId="3" borderId="1" xfId="0" applyFill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8" borderId="1" xfId="0" applyFill="1" applyBorder="1"/>
    <xf numFmtId="10" fontId="1" fillId="6" borderId="1" xfId="0" applyNumberFormat="1" applyFont="1" applyFill="1" applyBorder="1" applyAlignment="1">
      <alignment horizontal="center"/>
    </xf>
    <xf numFmtId="169" fontId="0" fillId="0" borderId="0" xfId="3" applyNumberFormat="1" applyFont="1"/>
    <xf numFmtId="10" fontId="0" fillId="0" borderId="0" xfId="2" applyNumberFormat="1" applyFont="1" applyAlignment="1">
      <alignment horizontal="center"/>
    </xf>
    <xf numFmtId="168" fontId="0" fillId="0" borderId="0" xfId="1" applyNumberFormat="1" applyFont="1" applyAlignment="1">
      <alignment horizontal="center"/>
    </xf>
    <xf numFmtId="9" fontId="2" fillId="2" borderId="1" xfId="1" applyFont="1" applyFill="1" applyBorder="1" applyAlignment="1">
      <alignment horizontal="center"/>
    </xf>
    <xf numFmtId="44" fontId="2" fillId="2" borderId="1" xfId="2" applyFont="1" applyFill="1" applyBorder="1" applyAlignment="1">
      <alignment horizontal="center"/>
    </xf>
  </cellXfs>
  <cellStyles count="4">
    <cellStyle name="Moeda" xfId="2" builtinId="4"/>
    <cellStyle name="Normal" xfId="0" builtinId="0"/>
    <cellStyle name="Porcentagem" xfId="1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C7C7-A4AE-48D1-879F-E8C9CEFE3DB4}">
  <dimension ref="B2:L39"/>
  <sheetViews>
    <sheetView workbookViewId="0">
      <selection activeCell="B23" sqref="B23"/>
    </sheetView>
  </sheetViews>
  <sheetFormatPr defaultRowHeight="15" x14ac:dyDescent="0.25"/>
  <cols>
    <col min="2" max="2" width="23.28515625" bestFit="1" customWidth="1"/>
    <col min="3" max="3" width="18" bestFit="1" customWidth="1"/>
    <col min="4" max="4" width="14.5703125" bestFit="1" customWidth="1"/>
    <col min="5" max="5" width="21.7109375" bestFit="1" customWidth="1"/>
  </cols>
  <sheetData>
    <row r="2" spans="2:12" x14ac:dyDescent="0.25">
      <c r="B2" s="107" t="s">
        <v>102</v>
      </c>
      <c r="C2" s="107" t="s">
        <v>103</v>
      </c>
      <c r="D2" s="107" t="s">
        <v>115</v>
      </c>
    </row>
    <row r="3" spans="2:12" x14ac:dyDescent="0.25">
      <c r="B3" s="103" t="s">
        <v>5</v>
      </c>
      <c r="C3" s="103" t="s">
        <v>89</v>
      </c>
      <c r="D3" s="103">
        <v>216658</v>
      </c>
      <c r="E3" s="109"/>
      <c r="G3" t="s">
        <v>106</v>
      </c>
      <c r="K3" t="s">
        <v>112</v>
      </c>
      <c r="L3" t="s">
        <v>9</v>
      </c>
    </row>
    <row r="4" spans="2:12" x14ac:dyDescent="0.25">
      <c r="B4" s="103" t="s">
        <v>0</v>
      </c>
      <c r="C4" s="103" t="s">
        <v>82</v>
      </c>
      <c r="D4" s="103">
        <v>634468</v>
      </c>
      <c r="E4" s="109"/>
      <c r="H4" t="s">
        <v>107</v>
      </c>
    </row>
    <row r="5" spans="2:12" x14ac:dyDescent="0.25">
      <c r="B5" s="103" t="s">
        <v>3</v>
      </c>
      <c r="C5" s="103" t="s">
        <v>85</v>
      </c>
      <c r="D5" s="103">
        <v>284491</v>
      </c>
      <c r="E5" s="109"/>
      <c r="I5" t="s">
        <v>9</v>
      </c>
      <c r="K5" t="s">
        <v>113</v>
      </c>
      <c r="L5" t="s">
        <v>106</v>
      </c>
    </row>
    <row r="6" spans="2:12" x14ac:dyDescent="0.25">
      <c r="B6" s="103" t="s">
        <v>62</v>
      </c>
      <c r="C6" s="103" t="s">
        <v>99</v>
      </c>
      <c r="D6" s="103">
        <v>531553</v>
      </c>
      <c r="E6" s="109"/>
      <c r="I6" t="s">
        <v>9</v>
      </c>
      <c r="L6" t="s">
        <v>114</v>
      </c>
    </row>
    <row r="7" spans="2:12" x14ac:dyDescent="0.25">
      <c r="B7" s="103" t="s">
        <v>22</v>
      </c>
      <c r="C7" s="103" t="s">
        <v>90</v>
      </c>
      <c r="D7" s="103">
        <v>489956</v>
      </c>
      <c r="E7" s="109"/>
      <c r="H7" t="s">
        <v>108</v>
      </c>
    </row>
    <row r="8" spans="2:12" x14ac:dyDescent="0.25">
      <c r="B8" s="103" t="s">
        <v>23</v>
      </c>
      <c r="C8" s="103" t="s">
        <v>87</v>
      </c>
      <c r="D8" s="103">
        <v>259624</v>
      </c>
      <c r="E8" s="109"/>
      <c r="I8" t="s">
        <v>110</v>
      </c>
    </row>
    <row r="9" spans="2:12" x14ac:dyDescent="0.25">
      <c r="B9" s="103" t="s">
        <v>24</v>
      </c>
      <c r="C9" s="103" t="s">
        <v>92</v>
      </c>
      <c r="D9" s="103">
        <v>456497</v>
      </c>
      <c r="E9" s="109"/>
      <c r="H9" t="s">
        <v>109</v>
      </c>
    </row>
    <row r="10" spans="2:12" x14ac:dyDescent="0.25">
      <c r="B10" s="103" t="s">
        <v>73</v>
      </c>
      <c r="C10" s="103" t="s">
        <v>96</v>
      </c>
      <c r="D10" s="103">
        <v>361445</v>
      </c>
      <c r="E10" s="109"/>
      <c r="I10" t="s">
        <v>111</v>
      </c>
    </row>
    <row r="11" spans="2:12" x14ac:dyDescent="0.25">
      <c r="B11" s="103" t="s">
        <v>47</v>
      </c>
      <c r="C11" s="103" t="s">
        <v>95</v>
      </c>
      <c r="D11" s="103">
        <v>635091</v>
      </c>
      <c r="E11" s="109"/>
    </row>
    <row r="12" spans="2:12" x14ac:dyDescent="0.25">
      <c r="B12" s="103" t="s">
        <v>30</v>
      </c>
      <c r="C12" s="103" t="s">
        <v>91</v>
      </c>
      <c r="D12" s="103">
        <v>387444</v>
      </c>
      <c r="E12" s="109"/>
    </row>
    <row r="13" spans="2:12" x14ac:dyDescent="0.25">
      <c r="B13" s="103" t="s">
        <v>64</v>
      </c>
      <c r="C13" s="103" t="s">
        <v>79</v>
      </c>
      <c r="D13" s="103">
        <v>677930</v>
      </c>
      <c r="E13" s="109"/>
    </row>
    <row r="14" spans="2:12" x14ac:dyDescent="0.25">
      <c r="B14" s="103" t="s">
        <v>6</v>
      </c>
      <c r="C14" s="103" t="s">
        <v>88</v>
      </c>
      <c r="D14" s="103">
        <v>462276</v>
      </c>
      <c r="E14" s="109"/>
    </row>
    <row r="15" spans="2:12" x14ac:dyDescent="0.25">
      <c r="B15" s="103" t="s">
        <v>26</v>
      </c>
      <c r="C15" s="103" t="s">
        <v>86</v>
      </c>
      <c r="D15" s="103">
        <v>470473</v>
      </c>
      <c r="E15" s="109"/>
    </row>
    <row r="16" spans="2:12" x14ac:dyDescent="0.25">
      <c r="B16" s="103" t="s">
        <v>27</v>
      </c>
      <c r="C16" s="103" t="s">
        <v>98</v>
      </c>
      <c r="D16" s="103">
        <v>620955</v>
      </c>
      <c r="E16" s="109"/>
    </row>
    <row r="17" spans="2:5" x14ac:dyDescent="0.25">
      <c r="B17" s="103" t="s">
        <v>67</v>
      </c>
      <c r="C17" s="103" t="s">
        <v>84</v>
      </c>
      <c r="D17" s="103">
        <v>601462</v>
      </c>
      <c r="E17" s="109"/>
    </row>
    <row r="18" spans="2:5" x14ac:dyDescent="0.25">
      <c r="B18" s="103" t="s">
        <v>32</v>
      </c>
      <c r="C18" s="103" t="s">
        <v>100</v>
      </c>
      <c r="D18" s="103">
        <v>493831</v>
      </c>
      <c r="E18" s="109"/>
    </row>
    <row r="19" spans="2:5" x14ac:dyDescent="0.25">
      <c r="B19" s="103" t="s">
        <v>33</v>
      </c>
      <c r="C19" s="103" t="s">
        <v>104</v>
      </c>
      <c r="D19" s="103">
        <v>478008</v>
      </c>
      <c r="E19" s="109"/>
    </row>
    <row r="20" spans="2:5" x14ac:dyDescent="0.25">
      <c r="B20" s="103" t="s">
        <v>68</v>
      </c>
      <c r="C20" s="103" t="s">
        <v>93</v>
      </c>
      <c r="D20" s="103">
        <v>494607</v>
      </c>
      <c r="E20" s="109"/>
    </row>
    <row r="21" spans="2:5" x14ac:dyDescent="0.25">
      <c r="B21" s="103" t="s">
        <v>35</v>
      </c>
      <c r="C21" s="103" t="s">
        <v>97</v>
      </c>
      <c r="D21" s="103">
        <v>523666</v>
      </c>
      <c r="E21" s="109"/>
    </row>
    <row r="22" spans="2:5" x14ac:dyDescent="0.25">
      <c r="B22" s="103" t="s">
        <v>36</v>
      </c>
      <c r="C22" s="103" t="s">
        <v>101</v>
      </c>
      <c r="D22" s="103">
        <v>494089</v>
      </c>
      <c r="E22" s="109"/>
    </row>
    <row r="23" spans="2:5" x14ac:dyDescent="0.25">
      <c r="B23" s="103" t="s">
        <v>65</v>
      </c>
      <c r="C23" s="103" t="s">
        <v>80</v>
      </c>
      <c r="D23" s="103">
        <v>678007</v>
      </c>
      <c r="E23" s="109"/>
    </row>
    <row r="24" spans="2:5" x14ac:dyDescent="0.25">
      <c r="B24" s="103" t="s">
        <v>39</v>
      </c>
      <c r="C24" s="103" t="s">
        <v>78</v>
      </c>
      <c r="D24" s="103">
        <v>624977</v>
      </c>
      <c r="E24" s="109"/>
    </row>
    <row r="25" spans="2:5" x14ac:dyDescent="0.25">
      <c r="B25" s="103" t="s">
        <v>42</v>
      </c>
      <c r="C25" s="103" t="s">
        <v>94</v>
      </c>
      <c r="D25" s="103">
        <v>393185</v>
      </c>
      <c r="E25" s="109"/>
    </row>
    <row r="26" spans="2:5" x14ac:dyDescent="0.25">
      <c r="B26" s="103" t="s">
        <v>69</v>
      </c>
      <c r="C26" s="103" t="s">
        <v>83</v>
      </c>
      <c r="D26" s="103">
        <v>526886</v>
      </c>
      <c r="E26" s="109"/>
    </row>
    <row r="27" spans="2:5" x14ac:dyDescent="0.25">
      <c r="B27" s="103" t="s">
        <v>44</v>
      </c>
      <c r="C27" s="103" t="s">
        <v>105</v>
      </c>
      <c r="D27" s="103">
        <v>414972</v>
      </c>
      <c r="E27" s="109"/>
    </row>
    <row r="28" spans="2:5" x14ac:dyDescent="0.25">
      <c r="B28" s="103" t="s">
        <v>66</v>
      </c>
      <c r="C28" s="103" t="s">
        <v>81</v>
      </c>
      <c r="D28" s="103">
        <v>687138</v>
      </c>
      <c r="E28" s="109"/>
    </row>
    <row r="29" spans="2:5" x14ac:dyDescent="0.25">
      <c r="E29" s="109"/>
    </row>
    <row r="30" spans="2:5" x14ac:dyDescent="0.25">
      <c r="E30" s="109"/>
    </row>
    <row r="31" spans="2:5" x14ac:dyDescent="0.25">
      <c r="E31" s="109"/>
    </row>
    <row r="32" spans="2:5" x14ac:dyDescent="0.25">
      <c r="E32" s="109"/>
    </row>
    <row r="33" spans="5:5" x14ac:dyDescent="0.25">
      <c r="E33" s="109"/>
    </row>
    <row r="34" spans="5:5" x14ac:dyDescent="0.25">
      <c r="E34" s="109"/>
    </row>
    <row r="35" spans="5:5" x14ac:dyDescent="0.25">
      <c r="E35" s="109"/>
    </row>
    <row r="36" spans="5:5" x14ac:dyDescent="0.25">
      <c r="E36" s="109"/>
    </row>
    <row r="37" spans="5:5" x14ac:dyDescent="0.25">
      <c r="E37" s="109"/>
    </row>
    <row r="38" spans="5:5" x14ac:dyDescent="0.25">
      <c r="E38" s="109"/>
    </row>
    <row r="39" spans="5:5" x14ac:dyDescent="0.25">
      <c r="E39" s="109"/>
    </row>
  </sheetData>
  <sortState xmlns:xlrd2="http://schemas.microsoft.com/office/spreadsheetml/2017/richdata2" ref="E4:E29">
    <sortCondition ref="E4:E29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F09E-2782-4E32-A687-355051236E90}">
  <dimension ref="B1:AQ1334"/>
  <sheetViews>
    <sheetView showGridLines="0" tabSelected="1" zoomScale="85" zoomScaleNormal="85" workbookViewId="0">
      <selection activeCell="I21" sqref="A21:XFD21"/>
    </sheetView>
  </sheetViews>
  <sheetFormatPr defaultRowHeight="15" outlineLevelRow="1" outlineLevelCol="1" x14ac:dyDescent="0.25"/>
  <cols>
    <col min="1" max="1" width="2.5703125" customWidth="1"/>
    <col min="2" max="2" width="9.140625" customWidth="1"/>
    <col min="3" max="3" width="16.28515625" bestFit="1" customWidth="1"/>
    <col min="4" max="4" width="15.28515625" bestFit="1" customWidth="1"/>
    <col min="5" max="5" width="2.5703125" customWidth="1"/>
    <col min="6" max="6" width="18.140625" bestFit="1" customWidth="1"/>
    <col min="7" max="7" width="2.5703125" customWidth="1"/>
    <col min="8" max="8" width="25.140625" bestFit="1" customWidth="1"/>
    <col min="9" max="9" width="24.28515625" style="11" customWidth="1" outlineLevel="1"/>
    <col min="10" max="10" width="9.42578125" style="6" customWidth="1"/>
    <col min="11" max="11" width="19" style="11" hidden="1" customWidth="1" outlineLevel="1"/>
    <col min="12" max="12" width="12.5703125" style="6" customWidth="1" collapsed="1"/>
    <col min="13" max="13" width="19.5703125" style="11" hidden="1" customWidth="1" outlineLevel="1"/>
    <col min="14" max="14" width="14.140625" style="6" customWidth="1" collapsed="1"/>
    <col min="15" max="15" width="17" style="11" hidden="1" customWidth="1" outlineLevel="1"/>
    <col min="16" max="16" width="8.5703125" style="6" bestFit="1" customWidth="1" collapsed="1"/>
    <col min="17" max="17" width="18" style="11" hidden="1" customWidth="1" outlineLevel="1"/>
    <col min="18" max="18" width="11.42578125" style="5" customWidth="1" collapsed="1"/>
    <col min="19" max="19" width="19.5703125" style="10" hidden="1" customWidth="1" outlineLevel="1"/>
    <col min="20" max="20" width="9.85546875" style="10" bestFit="1" customWidth="1" collapsed="1"/>
    <col min="21" max="21" width="19.5703125" style="10" hidden="1" customWidth="1" outlineLevel="1"/>
    <col min="22" max="22" width="2.5703125" customWidth="1" collapsed="1"/>
    <col min="23" max="24" width="7.140625" hidden="1" customWidth="1" outlineLevel="1"/>
    <col min="25" max="25" width="17.85546875" bestFit="1" customWidth="1" collapsed="1"/>
    <col min="26" max="27" width="17.85546875" bestFit="1" customWidth="1"/>
    <col min="28" max="28" width="17" bestFit="1" customWidth="1"/>
    <col min="29" max="29" width="15.140625" bestFit="1" customWidth="1"/>
    <col min="30" max="30" width="2.5703125" customWidth="1"/>
    <col min="31" max="31" width="7.85546875" bestFit="1" customWidth="1"/>
    <col min="32" max="32" width="11.140625" bestFit="1" customWidth="1"/>
    <col min="33" max="33" width="13.28515625" bestFit="1" customWidth="1"/>
    <col min="34" max="34" width="7.85546875" bestFit="1" customWidth="1"/>
    <col min="35" max="35" width="8.140625" bestFit="1" customWidth="1"/>
    <col min="36" max="36" width="2.5703125" customWidth="1"/>
    <col min="37" max="37" width="17.85546875" bestFit="1" customWidth="1"/>
    <col min="38" max="38" width="8.140625" bestFit="1" customWidth="1"/>
    <col min="39" max="39" width="2.5703125" customWidth="1"/>
    <col min="41" max="41" width="16.28515625" bestFit="1" customWidth="1"/>
  </cols>
  <sheetData>
    <row r="1" spans="2:43" ht="9" customHeight="1" x14ac:dyDescent="0.25"/>
    <row r="2" spans="2:43" x14ac:dyDescent="0.25">
      <c r="B2" s="1"/>
      <c r="C2" s="1" t="s">
        <v>20</v>
      </c>
      <c r="D2" s="1"/>
      <c r="H2" s="4" t="s">
        <v>1</v>
      </c>
      <c r="I2" s="9" t="s">
        <v>4</v>
      </c>
      <c r="J2" s="112" t="s">
        <v>7</v>
      </c>
      <c r="K2" s="112"/>
      <c r="L2" s="112" t="s">
        <v>8</v>
      </c>
      <c r="M2" s="112"/>
      <c r="N2" s="112" t="s">
        <v>10</v>
      </c>
      <c r="O2" s="112"/>
      <c r="P2" s="112" t="s">
        <v>9</v>
      </c>
      <c r="Q2" s="112"/>
      <c r="R2" s="112" t="s">
        <v>21</v>
      </c>
      <c r="S2" s="112"/>
      <c r="T2" s="112" t="s">
        <v>55</v>
      </c>
      <c r="U2" s="112"/>
      <c r="W2" s="1" t="s">
        <v>46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27" t="s">
        <v>49</v>
      </c>
      <c r="AF2" s="27" t="s">
        <v>50</v>
      </c>
      <c r="AG2" s="27" t="s">
        <v>51</v>
      </c>
      <c r="AH2" s="27" t="s">
        <v>52</v>
      </c>
      <c r="AI2" s="27" t="s">
        <v>53</v>
      </c>
      <c r="AK2" s="75" t="s">
        <v>60</v>
      </c>
      <c r="AL2" s="75" t="s">
        <v>61</v>
      </c>
      <c r="AN2" s="1"/>
      <c r="AO2" s="1" t="s">
        <v>20</v>
      </c>
      <c r="AP2" s="1"/>
    </row>
    <row r="3" spans="2:43" x14ac:dyDescent="0.25">
      <c r="B3" s="105" t="s">
        <v>77</v>
      </c>
      <c r="C3" s="106" t="s">
        <v>10</v>
      </c>
      <c r="D3" s="105" t="s">
        <v>7</v>
      </c>
      <c r="F3" s="7">
        <f>J3+L3+N3+P3+R3+T3</f>
        <v>0.99999999999999989</v>
      </c>
      <c r="H3" s="97" t="s">
        <v>5</v>
      </c>
      <c r="I3" s="80">
        <v>542464011.95000005</v>
      </c>
      <c r="J3" s="81">
        <v>0.56079999999999997</v>
      </c>
      <c r="K3" s="80">
        <f t="shared" ref="K3:Q13" si="0">+J3*$I3</f>
        <v>304213817.90156001</v>
      </c>
      <c r="L3" s="81">
        <v>0.22020000000000001</v>
      </c>
      <c r="M3" s="80">
        <f t="shared" si="0"/>
        <v>119450575.43139002</v>
      </c>
      <c r="N3" s="81">
        <v>0.17510000000000001</v>
      </c>
      <c r="O3" s="80">
        <f t="shared" si="0"/>
        <v>94985448.492445007</v>
      </c>
      <c r="P3" s="81">
        <v>4.4600000000000001E-2</v>
      </c>
      <c r="Q3" s="80">
        <f t="shared" si="0"/>
        <v>24193894.932970002</v>
      </c>
      <c r="R3" s="108">
        <v>0</v>
      </c>
      <c r="S3" s="80">
        <f t="shared" ref="S3:S13" si="1">+R3*$I3</f>
        <v>0</v>
      </c>
      <c r="T3" s="81">
        <v>-6.9999999999999999E-4</v>
      </c>
      <c r="U3" s="65">
        <f t="shared" ref="U3:U13" si="2">+T3*$I3</f>
        <v>-379724.808365</v>
      </c>
      <c r="Y3" s="12">
        <f>K3-'Mar26'!K3</f>
        <v>-2014419.8399440646</v>
      </c>
      <c r="Z3" s="12">
        <f>M3-'Mar26'!M3</f>
        <v>-4343818.5492179841</v>
      </c>
      <c r="AA3" s="12">
        <f>O3-'Mar26'!O3</f>
        <v>-4417607.4029150009</v>
      </c>
      <c r="AB3" s="12">
        <f>Q3-'Mar26'!Q3</f>
        <v>-4039914.2205020003</v>
      </c>
      <c r="AC3" s="12">
        <f>+S3-'Mar26'!S3</f>
        <v>0</v>
      </c>
      <c r="AD3" s="98"/>
      <c r="AE3" s="28">
        <f>J3-'Mar26'!J3</f>
        <v>1.089999999999991E-2</v>
      </c>
      <c r="AF3" s="28">
        <f>L3-'Mar26'!L3</f>
        <v>-2.0999999999999908E-3</v>
      </c>
      <c r="AG3" s="28">
        <f>N3-'Mar26'!N3</f>
        <v>-3.3999999999999864E-3</v>
      </c>
      <c r="AH3" s="28">
        <f>P3-'Mar26'!P3</f>
        <v>-6.1000000000000013E-3</v>
      </c>
      <c r="AI3" s="28">
        <f>R3-'Mar26'!R3</f>
        <v>0</v>
      </c>
      <c r="AJ3" s="8"/>
      <c r="AK3" s="10">
        <f>I3-'Mar26'!I3</f>
        <v>-14415853.00999999</v>
      </c>
      <c r="AL3" s="76">
        <f>I3/'Mar26'!I3-1</f>
        <v>-2.5886827513570521E-2</v>
      </c>
      <c r="AM3" s="8"/>
      <c r="AN3" t="s">
        <v>11</v>
      </c>
      <c r="AO3" s="2" t="s">
        <v>10</v>
      </c>
      <c r="AP3" t="s">
        <v>7</v>
      </c>
      <c r="AQ3" s="8"/>
    </row>
    <row r="4" spans="2:43" x14ac:dyDescent="0.25">
      <c r="B4" s="103" t="s">
        <v>12</v>
      </c>
      <c r="C4" s="104" t="s">
        <v>16</v>
      </c>
      <c r="D4" s="103" t="s">
        <v>58</v>
      </c>
      <c r="F4" s="7">
        <f>J4+L4+N4+P4+R4+T4</f>
        <v>1</v>
      </c>
      <c r="H4" s="3" t="s">
        <v>0</v>
      </c>
      <c r="I4" s="78">
        <v>1607596557</v>
      </c>
      <c r="J4" s="77">
        <v>0.35</v>
      </c>
      <c r="K4" s="78">
        <v>562658794.94999993</v>
      </c>
      <c r="L4" s="77">
        <v>0.24000000000000002</v>
      </c>
      <c r="M4" s="78">
        <v>385823173.68000001</v>
      </c>
      <c r="N4" s="77">
        <v>0.26</v>
      </c>
      <c r="O4" s="78">
        <v>417975104.81999999</v>
      </c>
      <c r="P4" s="77">
        <v>0.15</v>
      </c>
      <c r="Q4" s="78">
        <v>241139483.54999998</v>
      </c>
      <c r="R4" s="77">
        <v>0</v>
      </c>
      <c r="S4" s="78">
        <v>0</v>
      </c>
      <c r="T4" s="77">
        <v>0</v>
      </c>
      <c r="U4" s="57">
        <f t="shared" si="2"/>
        <v>0</v>
      </c>
      <c r="Y4" s="12">
        <f>K4-'Mar26'!K4</f>
        <v>-20177684.969733238</v>
      </c>
      <c r="Z4" s="12">
        <f>M4-'Mar26'!M4</f>
        <v>-21062670.792266726</v>
      </c>
      <c r="AA4" s="12">
        <f>O4-'Mar26'!O4</f>
        <v>-5406111.7254667282</v>
      </c>
      <c r="AB4" s="12">
        <f>Q4-'Mar26'!Q4</f>
        <v>4705817.1674667001</v>
      </c>
      <c r="AC4" s="12">
        <f>+S4-'Mar26'!S4</f>
        <v>0</v>
      </c>
      <c r="AE4" s="28">
        <f>J4-'Mar26'!J4</f>
        <v>-3.3333333333332993E-3</v>
      </c>
      <c r="AF4" s="28">
        <f>L4-'Mar26'!L4</f>
        <v>-6.6666666666666818E-3</v>
      </c>
      <c r="AG4" s="28">
        <f>N4-'Mar26'!N4</f>
        <v>3.3333333333332993E-3</v>
      </c>
      <c r="AH4" s="28">
        <f>P4-'Mar26'!P4</f>
        <v>6.6666666666666818E-3</v>
      </c>
      <c r="AI4" s="28">
        <f>R4-'Mar26'!R4</f>
        <v>0</v>
      </c>
      <c r="AK4" s="10">
        <f>I4-'Mar26'!I4</f>
        <v>-41940650.319999933</v>
      </c>
      <c r="AL4" s="76">
        <f>I4/'Mar26'!I4-1</f>
        <v>-2.54257073643952E-2</v>
      </c>
      <c r="AN4" t="s">
        <v>12</v>
      </c>
      <c r="AO4" s="2" t="s">
        <v>16</v>
      </c>
      <c r="AP4" t="s">
        <v>58</v>
      </c>
    </row>
    <row r="5" spans="2:43" x14ac:dyDescent="0.25">
      <c r="B5" s="103" t="s">
        <v>13</v>
      </c>
      <c r="C5" s="104" t="s">
        <v>17</v>
      </c>
      <c r="D5" s="103" t="s">
        <v>59</v>
      </c>
      <c r="F5" s="7">
        <f t="shared" ref="F5:F36" si="3">J5+L5+N5+P5+R5+T5</f>
        <v>1</v>
      </c>
      <c r="H5" s="3" t="s">
        <v>3</v>
      </c>
      <c r="I5" s="78">
        <v>205362758.94999999</v>
      </c>
      <c r="J5" s="77">
        <v>0.45</v>
      </c>
      <c r="K5" s="78">
        <f t="shared" si="0"/>
        <v>92413241.527500004</v>
      </c>
      <c r="L5" s="77">
        <v>0</v>
      </c>
      <c r="M5" s="78">
        <f t="shared" si="0"/>
        <v>0</v>
      </c>
      <c r="N5" s="77">
        <v>0.39</v>
      </c>
      <c r="O5" s="78">
        <f t="shared" si="0"/>
        <v>80091475.990500003</v>
      </c>
      <c r="P5" s="77">
        <v>0.04</v>
      </c>
      <c r="Q5" s="78">
        <f t="shared" si="0"/>
        <v>8214510.358</v>
      </c>
      <c r="R5" s="77">
        <v>0.12</v>
      </c>
      <c r="S5" s="78">
        <f t="shared" si="1"/>
        <v>24643531.073999997</v>
      </c>
      <c r="T5" s="77">
        <v>0</v>
      </c>
      <c r="U5" s="57">
        <f t="shared" si="2"/>
        <v>0</v>
      </c>
      <c r="Y5" s="12">
        <f>K5-'Mar26'!K5</f>
        <v>-18375939.140699998</v>
      </c>
      <c r="Z5" s="12">
        <f>M5-'Mar26'!M5</f>
        <v>0</v>
      </c>
      <c r="AA5" s="12">
        <f>O5-'Mar26'!O5</f>
        <v>9019171.4108999968</v>
      </c>
      <c r="AB5" s="12">
        <f>Q5-'Mar26'!Q5</f>
        <v>1943424.6598000005</v>
      </c>
      <c r="AC5" s="12">
        <f>+S5-'Mar26'!S5</f>
        <v>3739912.0799999945</v>
      </c>
      <c r="AE5" s="28">
        <f>J5-'Mar26'!J5</f>
        <v>-8.0000000000000016E-2</v>
      </c>
      <c r="AF5" s="28">
        <f>L5-'Mar26'!L5</f>
        <v>0</v>
      </c>
      <c r="AG5" s="28">
        <f>N5-'Mar26'!N5</f>
        <v>4.9999999999999989E-2</v>
      </c>
      <c r="AH5" s="28">
        <f>P5-'Mar26'!P5</f>
        <v>1.0000000000000002E-2</v>
      </c>
      <c r="AI5" s="28">
        <f>R5-'Mar26'!R5</f>
        <v>1.999999999999999E-2</v>
      </c>
      <c r="AK5" s="10">
        <f>I5-'Mar26'!I5</f>
        <v>-3673430.9900000095</v>
      </c>
      <c r="AL5" s="76">
        <f>I5/'Mar26'!I5-1</f>
        <v>-1.7573181902398871E-2</v>
      </c>
      <c r="AN5" t="s">
        <v>13</v>
      </c>
      <c r="AO5" s="2" t="s">
        <v>17</v>
      </c>
      <c r="AP5" t="s">
        <v>59</v>
      </c>
    </row>
    <row r="6" spans="2:43" x14ac:dyDescent="0.25">
      <c r="B6" s="103" t="s">
        <v>14</v>
      </c>
      <c r="C6" s="104" t="s">
        <v>18</v>
      </c>
      <c r="F6" s="7">
        <f t="shared" si="3"/>
        <v>1</v>
      </c>
      <c r="H6" s="3" t="s">
        <v>62</v>
      </c>
      <c r="I6" s="78">
        <v>3815745000</v>
      </c>
      <c r="J6" s="77">
        <v>0.25600000000000001</v>
      </c>
      <c r="K6" s="78">
        <f t="shared" si="0"/>
        <v>976830720</v>
      </c>
      <c r="L6" s="77">
        <v>0.26500000000000001</v>
      </c>
      <c r="M6" s="78">
        <f t="shared" si="0"/>
        <v>1011172425</v>
      </c>
      <c r="N6" s="77">
        <v>0.38400000000000001</v>
      </c>
      <c r="O6" s="78">
        <f t="shared" si="0"/>
        <v>1465246080</v>
      </c>
      <c r="P6" s="77">
        <v>7.1999999999999995E-2</v>
      </c>
      <c r="Q6" s="78">
        <f t="shared" si="0"/>
        <v>274733640</v>
      </c>
      <c r="R6" s="77">
        <v>0</v>
      </c>
      <c r="S6" s="78">
        <f t="shared" si="1"/>
        <v>0</v>
      </c>
      <c r="T6" s="77">
        <v>2.3E-2</v>
      </c>
      <c r="U6" s="57">
        <f t="shared" si="2"/>
        <v>87762135</v>
      </c>
      <c r="Y6" s="12">
        <f>K6-'Mar26'!K6</f>
        <v>79384042</v>
      </c>
      <c r="Z6" s="12">
        <f>M6-'Mar26'!M6</f>
        <v>-957121395.33333349</v>
      </c>
      <c r="AA6" s="12">
        <f>O6-'Mar26'!O6</f>
        <v>137607410.33333349</v>
      </c>
      <c r="AB6" s="12">
        <f>Q6-'Mar26'!Q6</f>
        <v>253554957.33333334</v>
      </c>
      <c r="AC6" s="12">
        <f>+S6-'Mar26'!S6</f>
        <v>423573653.33333337</v>
      </c>
      <c r="AE6" s="28">
        <f>J6-'Mar26'!J6</f>
        <v>3.8000000000000006E-2</v>
      </c>
      <c r="AF6" s="28">
        <f>L6-'Mar26'!L6</f>
        <v>-2.466666666666667E-2</v>
      </c>
      <c r="AG6" s="28">
        <f>N6-'Mar26'!N6</f>
        <v>-1.366666666666666E-2</v>
      </c>
      <c r="AH6" s="28">
        <f>P6-'Mar26'!P6</f>
        <v>2.6666666666666644E-3</v>
      </c>
      <c r="AI6" s="28">
        <f>R6-'Mar26'!R6</f>
        <v>0</v>
      </c>
      <c r="AK6" s="10">
        <f>I6-'Mar26'!I6</f>
        <v>-155258000</v>
      </c>
      <c r="AL6" s="76">
        <f>I6/'Mar26'!I6-1</f>
        <v>-3.9097930673938075E-2</v>
      </c>
      <c r="AN6" t="s">
        <v>14</v>
      </c>
      <c r="AO6" s="2" t="s">
        <v>18</v>
      </c>
    </row>
    <row r="7" spans="2:43" x14ac:dyDescent="0.25">
      <c r="B7" s="103" t="s">
        <v>15</v>
      </c>
      <c r="C7" s="104" t="s">
        <v>19</v>
      </c>
      <c r="F7" s="7">
        <f t="shared" si="3"/>
        <v>1</v>
      </c>
      <c r="H7" s="3" t="s">
        <v>22</v>
      </c>
      <c r="I7" s="78">
        <v>3644190000</v>
      </c>
      <c r="J7" s="77">
        <v>0.22500000000000001</v>
      </c>
      <c r="K7" s="78">
        <f t="shared" si="0"/>
        <v>819942750</v>
      </c>
      <c r="L7" s="77">
        <v>0.309</v>
      </c>
      <c r="M7" s="78">
        <f t="shared" si="0"/>
        <v>1126054710</v>
      </c>
      <c r="N7" s="77">
        <v>0.308</v>
      </c>
      <c r="O7" s="78">
        <f t="shared" si="0"/>
        <v>1122410520</v>
      </c>
      <c r="P7" s="77">
        <v>0.158</v>
      </c>
      <c r="Q7" s="78">
        <f t="shared" si="0"/>
        <v>575782020</v>
      </c>
      <c r="R7" s="77">
        <v>0</v>
      </c>
      <c r="S7" s="78">
        <f t="shared" si="1"/>
        <v>0</v>
      </c>
      <c r="T7" s="77">
        <v>0</v>
      </c>
      <c r="U7" s="57">
        <f t="shared" si="2"/>
        <v>0</v>
      </c>
      <c r="Y7" s="12">
        <f>K7-'Mar26'!K7</f>
        <v>-81096530</v>
      </c>
      <c r="Z7" s="12">
        <f>M7-'Mar26'!M7</f>
        <v>-140060830</v>
      </c>
      <c r="AA7" s="12">
        <f>O7-'Mar26'!O7</f>
        <v>-66029220</v>
      </c>
      <c r="AB7" s="12">
        <f>Q7-'Mar26'!Q7</f>
        <v>47586579.99999994</v>
      </c>
      <c r="AC7" s="12">
        <f>+S7-'Mar26'!S7</f>
        <v>0</v>
      </c>
      <c r="AE7" s="28">
        <f>J7-'Mar26'!J7</f>
        <v>-7.0000000000000062E-3</v>
      </c>
      <c r="AF7" s="28">
        <f>L7-'Mar26'!L7</f>
        <v>-1.7000000000000015E-2</v>
      </c>
      <c r="AG7" s="28">
        <f>N7-'Mar26'!N7</f>
        <v>2.0000000000000018E-3</v>
      </c>
      <c r="AH7" s="28">
        <f>P7-'Mar26'!P7</f>
        <v>2.1999999999999992E-2</v>
      </c>
      <c r="AI7" s="28">
        <f>R7-'Mar26'!R7</f>
        <v>0</v>
      </c>
      <c r="AK7" s="10">
        <f>I7-'Mar26'!I7</f>
        <v>-239600000</v>
      </c>
      <c r="AL7" s="76">
        <f>I7/'Mar26'!I7-1</f>
        <v>-6.1692316010906856E-2</v>
      </c>
      <c r="AN7" t="s">
        <v>15</v>
      </c>
      <c r="AO7" s="2" t="s">
        <v>19</v>
      </c>
    </row>
    <row r="8" spans="2:43" x14ac:dyDescent="0.25">
      <c r="B8" s="103" t="s">
        <v>57</v>
      </c>
      <c r="F8" s="7">
        <f t="shared" si="3"/>
        <v>1</v>
      </c>
      <c r="H8" s="3" t="s">
        <v>23</v>
      </c>
      <c r="I8" s="78">
        <v>244295511.80000001</v>
      </c>
      <c r="J8" s="77">
        <v>0.13</v>
      </c>
      <c r="K8" s="78">
        <f t="shared" si="0"/>
        <v>31758416.534000002</v>
      </c>
      <c r="L8" s="77">
        <v>0.4</v>
      </c>
      <c r="M8" s="78">
        <f t="shared" si="0"/>
        <v>97718204.720000014</v>
      </c>
      <c r="N8" s="77">
        <v>0.25</v>
      </c>
      <c r="O8" s="78">
        <f t="shared" si="0"/>
        <v>61073877.950000003</v>
      </c>
      <c r="P8" s="77">
        <v>0.09</v>
      </c>
      <c r="Q8" s="78">
        <f t="shared" si="0"/>
        <v>21986596.061999999</v>
      </c>
      <c r="R8" s="77">
        <v>0</v>
      </c>
      <c r="S8" s="78">
        <f t="shared" si="1"/>
        <v>0</v>
      </c>
      <c r="T8" s="77">
        <v>0.13</v>
      </c>
      <c r="U8" s="57">
        <f t="shared" si="2"/>
        <v>31758416.534000002</v>
      </c>
      <c r="Y8" s="12">
        <f>K8-'Mar26'!K8</f>
        <v>-7653.132500000298</v>
      </c>
      <c r="Z8" s="12">
        <f>M8-'Mar26'!M8</f>
        <v>-12241267.202500001</v>
      </c>
      <c r="AA8" s="12">
        <f>O8-'Mar26'!O8</f>
        <v>7315913.8989999965</v>
      </c>
      <c r="AB8" s="12">
        <f>Q8-'Mar26'!Q8</f>
        <v>2438245.4979999959</v>
      </c>
      <c r="AC8" s="12">
        <f>+S8-'Mar26'!S8</f>
        <v>0</v>
      </c>
      <c r="AE8" s="28">
        <f>J8-'Mar26'!J8</f>
        <v>0</v>
      </c>
      <c r="AF8" s="28">
        <f>L8-'Mar26'!L8</f>
        <v>-4.9999999999999989E-2</v>
      </c>
      <c r="AG8" s="28">
        <f>N8-'Mar26'!N8</f>
        <v>0.03</v>
      </c>
      <c r="AH8" s="28">
        <f>P8-'Mar26'!P8</f>
        <v>9.999999999999995E-3</v>
      </c>
      <c r="AI8" s="28">
        <f>R8-'Mar26'!R8</f>
        <v>0</v>
      </c>
      <c r="AK8" s="10">
        <f>I8-'Mar26'!I8</f>
        <v>-58870.25</v>
      </c>
      <c r="AL8" s="76">
        <f>I8/'Mar26'!I8-1</f>
        <v>-2.4092160535904572E-4</v>
      </c>
      <c r="AN8" t="s">
        <v>57</v>
      </c>
    </row>
    <row r="9" spans="2:43" x14ac:dyDescent="0.25">
      <c r="F9" s="7">
        <f t="shared" si="3"/>
        <v>1</v>
      </c>
      <c r="H9" s="3" t="s">
        <v>24</v>
      </c>
      <c r="I9" s="78">
        <v>1396112809</v>
      </c>
      <c r="J9" s="77">
        <v>0.58340000000000003</v>
      </c>
      <c r="K9" s="78">
        <f t="shared" si="0"/>
        <v>814492212.77060008</v>
      </c>
      <c r="L9" s="77">
        <v>0.1777</v>
      </c>
      <c r="M9" s="78">
        <f t="shared" si="0"/>
        <v>248089246.1593</v>
      </c>
      <c r="N9" s="77">
        <v>0.17599999999999999</v>
      </c>
      <c r="O9" s="78">
        <f t="shared" si="0"/>
        <v>245715854.38399997</v>
      </c>
      <c r="P9" s="77">
        <v>5.0700000000000002E-2</v>
      </c>
      <c r="Q9" s="78">
        <f t="shared" si="0"/>
        <v>70782919.416299999</v>
      </c>
      <c r="R9" s="77">
        <v>0</v>
      </c>
      <c r="S9" s="78">
        <f t="shared" si="1"/>
        <v>0</v>
      </c>
      <c r="T9" s="77">
        <v>1.2200000000000001E-2</v>
      </c>
      <c r="U9" s="57">
        <f t="shared" si="2"/>
        <v>17032576.2698</v>
      </c>
      <c r="Y9" s="12">
        <f>K9-'Mar26'!K9</f>
        <v>-39611308.124300003</v>
      </c>
      <c r="Z9" s="12">
        <f>M9-'Mar26'!M9</f>
        <v>2729640.0393999815</v>
      </c>
      <c r="AA9" s="12">
        <f>O9-'Mar26'!O9</f>
        <v>1215651.437899977</v>
      </c>
      <c r="AB9" s="12">
        <f>Q9-'Mar26'!Q9</f>
        <v>-547544.00909999013</v>
      </c>
      <c r="AC9" s="12">
        <f>+S9-'Mar26'!S9</f>
        <v>0</v>
      </c>
      <c r="AE9" s="28">
        <f>J9-'Mar26'!J9</f>
        <v>-1.2900000000000023E-2</v>
      </c>
      <c r="AF9" s="28">
        <f>L9-'Mar26'!L9</f>
        <v>6.399999999999989E-3</v>
      </c>
      <c r="AG9" s="28">
        <f>N9-'Mar26'!N9</f>
        <v>5.2999999999999992E-3</v>
      </c>
      <c r="AH9" s="28">
        <f>P9-'Mar26'!P9</f>
        <v>9.0000000000000496E-4</v>
      </c>
      <c r="AI9" s="28">
        <f>R9-'Mar26'!R9</f>
        <v>0</v>
      </c>
      <c r="AK9" s="10">
        <f>I9-'Mar26'!I9</f>
        <v>-36225814</v>
      </c>
      <c r="AL9" s="76">
        <f>I9/'Mar26'!I9-1</f>
        <v>-2.5291375529709503E-2</v>
      </c>
    </row>
    <row r="10" spans="2:43" x14ac:dyDescent="0.25">
      <c r="F10" s="7">
        <f t="shared" si="3"/>
        <v>1</v>
      </c>
      <c r="H10" s="3" t="s">
        <v>73</v>
      </c>
      <c r="I10" s="78">
        <v>6908157954.0299997</v>
      </c>
      <c r="J10" s="77">
        <v>0.312</v>
      </c>
      <c r="K10" s="78">
        <f t="shared" si="0"/>
        <v>2155345281.6573601</v>
      </c>
      <c r="L10" s="77">
        <v>0.36099999999999999</v>
      </c>
      <c r="M10" s="78">
        <f t="shared" si="0"/>
        <v>2493845021.40483</v>
      </c>
      <c r="N10" s="77">
        <f>24.7%+1.6%</f>
        <v>0.26300000000000001</v>
      </c>
      <c r="O10" s="78">
        <f t="shared" si="0"/>
        <v>1816845541.9098899</v>
      </c>
      <c r="P10" s="77">
        <v>6.4000000000000001E-2</v>
      </c>
      <c r="Q10" s="78">
        <f t="shared" si="0"/>
        <v>442122109.05791998</v>
      </c>
      <c r="R10" s="77">
        <v>0</v>
      </c>
      <c r="S10" s="78">
        <f t="shared" si="1"/>
        <v>0</v>
      </c>
      <c r="T10" s="77">
        <v>0</v>
      </c>
      <c r="U10" s="57">
        <f t="shared" si="2"/>
        <v>0</v>
      </c>
      <c r="Y10" s="12">
        <f>K10-'Mar26'!K10</f>
        <v>-609490745.70695972</v>
      </c>
      <c r="Z10" s="12">
        <f>M10-'Mar26'!M10</f>
        <v>-210225378.98444986</v>
      </c>
      <c r="AA10" s="12">
        <f>O10-'Mar26'!O10</f>
        <v>107812283.23688984</v>
      </c>
      <c r="AB10" s="12">
        <f>Q10-'Mar26'!Q10</f>
        <v>24358423.604519963</v>
      </c>
      <c r="AC10" s="12">
        <f>+S10-'Mar26'!S10</f>
        <v>0</v>
      </c>
      <c r="AE10" s="28">
        <f>J10-'Mar26'!J10</f>
        <v>-5.1999999999999991E-2</v>
      </c>
      <c r="AF10" s="28">
        <f>L10-'Mar26'!L10</f>
        <v>5.0000000000000044E-3</v>
      </c>
      <c r="AG10" s="28">
        <f>N10-'Mar26'!N10</f>
        <v>3.8000000000000006E-2</v>
      </c>
      <c r="AH10" s="28">
        <f>P10-'Mar26'!P10</f>
        <v>9.0000000000000011E-3</v>
      </c>
      <c r="AI10" s="28">
        <f>R10-'Mar26'!R10</f>
        <v>0</v>
      </c>
      <c r="AK10" s="10">
        <f>I10-'Mar26'!I10</f>
        <v>-687545417.85000038</v>
      </c>
      <c r="AL10" s="76">
        <f>I10/'Mar26'!I10-1</f>
        <v>-9.0517676137190639E-2</v>
      </c>
    </row>
    <row r="11" spans="2:43" x14ac:dyDescent="0.25">
      <c r="F11" s="7">
        <f t="shared" si="3"/>
        <v>0.99999999999999989</v>
      </c>
      <c r="H11" s="3" t="s">
        <v>47</v>
      </c>
      <c r="I11" s="78">
        <v>2836877298.8400002</v>
      </c>
      <c r="J11" s="77">
        <v>0.59</v>
      </c>
      <c r="K11" s="78">
        <f t="shared" si="0"/>
        <v>1673757606.3155999</v>
      </c>
      <c r="L11" s="77">
        <v>0.3</v>
      </c>
      <c r="M11" s="78">
        <f t="shared" si="0"/>
        <v>851063189.65200007</v>
      </c>
      <c r="N11" s="77">
        <v>0.11</v>
      </c>
      <c r="O11" s="78">
        <f t="shared" si="0"/>
        <v>312056502.87240005</v>
      </c>
      <c r="P11" s="77">
        <v>0</v>
      </c>
      <c r="Q11" s="78">
        <f t="shared" si="0"/>
        <v>0</v>
      </c>
      <c r="R11" s="77">
        <v>0</v>
      </c>
      <c r="S11" s="78">
        <f t="shared" si="1"/>
        <v>0</v>
      </c>
      <c r="T11" s="77">
        <v>0</v>
      </c>
      <c r="U11" s="57">
        <f t="shared" si="2"/>
        <v>0</v>
      </c>
      <c r="Y11" s="12">
        <f>K11-'Mar26'!K11</f>
        <v>-102899741.31740022</v>
      </c>
      <c r="Z11" s="12">
        <f>M11-'Mar26'!M11</f>
        <v>77357570.521499991</v>
      </c>
      <c r="AA11" s="12">
        <f>O11-'Mar26'!O11</f>
        <v>-3156897.5140999556</v>
      </c>
      <c r="AB11" s="12">
        <f>Q11-'Mar26'!Q11</f>
        <v>0</v>
      </c>
      <c r="AC11" s="12">
        <f>+S11-'Mar26'!S11</f>
        <v>0</v>
      </c>
      <c r="AE11" s="28">
        <f>J11-'Mar26'!J11</f>
        <v>-3.0000000000000027E-2</v>
      </c>
      <c r="AF11" s="28">
        <f>L11-'Mar26'!L11</f>
        <v>2.9999999999999971E-2</v>
      </c>
      <c r="AG11" s="28">
        <f>N11-'Mar26'!N11</f>
        <v>0</v>
      </c>
      <c r="AH11" s="28">
        <f>P11-'Mar26'!P11</f>
        <v>0</v>
      </c>
      <c r="AI11" s="28">
        <f>R11-'Mar26'!R11</f>
        <v>0</v>
      </c>
      <c r="AK11" s="10">
        <f>I11-'Mar26'!I11</f>
        <v>-28699068.309999943</v>
      </c>
      <c r="AL11" s="76">
        <f>I11/'Mar26'!I11-1</f>
        <v>-1.0015112016903971E-2</v>
      </c>
    </row>
    <row r="12" spans="2:43" x14ac:dyDescent="0.25">
      <c r="B12" t="s">
        <v>70</v>
      </c>
      <c r="F12" s="7">
        <f t="shared" si="3"/>
        <v>1</v>
      </c>
      <c r="H12" s="3" t="s">
        <v>30</v>
      </c>
      <c r="I12" s="78">
        <v>1315550000</v>
      </c>
      <c r="J12" s="77">
        <v>0.30399999999999999</v>
      </c>
      <c r="K12" s="78">
        <f t="shared" si="0"/>
        <v>399927200</v>
      </c>
      <c r="L12" s="77">
        <v>0.48799999999999999</v>
      </c>
      <c r="M12" s="78">
        <f t="shared" si="0"/>
        <v>641988400</v>
      </c>
      <c r="N12" s="77">
        <v>0.17599999999999999</v>
      </c>
      <c r="O12" s="78">
        <f t="shared" si="0"/>
        <v>231536800</v>
      </c>
      <c r="P12" s="77">
        <v>3.2000000000000001E-2</v>
      </c>
      <c r="Q12" s="78">
        <f t="shared" si="0"/>
        <v>42097600</v>
      </c>
      <c r="R12" s="77">
        <v>0</v>
      </c>
      <c r="S12" s="78">
        <f t="shared" si="1"/>
        <v>0</v>
      </c>
      <c r="T12" s="77">
        <v>0</v>
      </c>
      <c r="U12" s="57">
        <f t="shared" si="2"/>
        <v>0</v>
      </c>
      <c r="Y12" s="12">
        <f>K12-'Mar26'!K12</f>
        <v>51099950</v>
      </c>
      <c r="Z12" s="12">
        <f>M12-'Mar26'!M12</f>
        <v>-23701850</v>
      </c>
      <c r="AA12" s="12">
        <f>O12-'Mar26'!O12</f>
        <v>-108951950</v>
      </c>
      <c r="AB12" s="12">
        <f>Q12-'Mar26'!Q12</f>
        <v>7353850</v>
      </c>
      <c r="AC12" s="12">
        <f>+S12-'Mar26'!S12</f>
        <v>0</v>
      </c>
      <c r="AE12" s="28">
        <f>J12-'Mar26'!J12</f>
        <v>5.2999999999999992E-2</v>
      </c>
      <c r="AF12" s="28">
        <f>L12-'Mar26'!L12</f>
        <v>9.000000000000008E-3</v>
      </c>
      <c r="AG12" s="28">
        <f>N12-'Mar26'!N12</f>
        <v>-6.9000000000000006E-2</v>
      </c>
      <c r="AH12" s="28">
        <f>P12-'Mar26'!P12</f>
        <v>6.9999999999999993E-3</v>
      </c>
      <c r="AI12" s="28">
        <f>R12-'Mar26'!R12</f>
        <v>0</v>
      </c>
      <c r="AK12" s="10">
        <f>I12-'Mar26'!I12</f>
        <v>-74200000</v>
      </c>
      <c r="AL12" s="76">
        <f>I12/'Mar26'!I12-1</f>
        <v>-5.3390897643461055E-2</v>
      </c>
    </row>
    <row r="13" spans="2:43" x14ac:dyDescent="0.25">
      <c r="B13" t="s">
        <v>74</v>
      </c>
      <c r="F13" s="7">
        <f t="shared" si="3"/>
        <v>1.01</v>
      </c>
      <c r="H13" s="3" t="s">
        <v>64</v>
      </c>
      <c r="I13" s="102">
        <v>745900000</v>
      </c>
      <c r="J13" s="77">
        <v>0.42</v>
      </c>
      <c r="K13" s="78">
        <f t="shared" si="0"/>
        <v>313278000</v>
      </c>
      <c r="L13" s="77">
        <v>0.34</v>
      </c>
      <c r="M13" s="78">
        <f t="shared" si="0"/>
        <v>253606000.00000003</v>
      </c>
      <c r="N13" s="77">
        <v>0.13</v>
      </c>
      <c r="O13" s="78">
        <f t="shared" si="0"/>
        <v>96967000</v>
      </c>
      <c r="P13" s="77">
        <v>0.12</v>
      </c>
      <c r="Q13" s="78">
        <f t="shared" si="0"/>
        <v>89508000</v>
      </c>
      <c r="R13" s="77">
        <v>0</v>
      </c>
      <c r="S13" s="78">
        <f t="shared" si="1"/>
        <v>0</v>
      </c>
      <c r="T13" s="77">
        <v>0</v>
      </c>
      <c r="U13" s="57">
        <f t="shared" si="2"/>
        <v>0</v>
      </c>
      <c r="Y13" s="12">
        <f>K13-'Mar26'!K13</f>
        <v>265992000</v>
      </c>
      <c r="Z13" s="12">
        <f>M13-'Mar26'!M13</f>
        <v>-211372999.99999997</v>
      </c>
      <c r="AA13" s="12">
        <f>O13-'Mar26'!O13</f>
        <v>-60653000</v>
      </c>
      <c r="AB13" s="12">
        <f>Q13-'Mar26'!Q13</f>
        <v>-28707000</v>
      </c>
      <c r="AC13" s="12">
        <f>+S13-'Mar26'!S13</f>
        <v>0</v>
      </c>
      <c r="AE13" s="28">
        <f>J13-'Mar26'!J13</f>
        <v>0.36</v>
      </c>
      <c r="AF13" s="28">
        <f>L13-'Mar26'!L13</f>
        <v>-0.24999999999999994</v>
      </c>
      <c r="AG13" s="28">
        <f>N13-'Mar26'!N13</f>
        <v>-7.0000000000000007E-2</v>
      </c>
      <c r="AH13" s="28">
        <f>P13-'Mar26'!P13</f>
        <v>-0.03</v>
      </c>
      <c r="AI13" s="28">
        <f>R13-'Mar26'!R13</f>
        <v>0</v>
      </c>
      <c r="AK13" s="10">
        <f>I13-'Mar26'!I13</f>
        <v>-42200000</v>
      </c>
      <c r="AL13" s="76">
        <f>I13/'Mar26'!I13-1</f>
        <v>-5.3546504250729599E-2</v>
      </c>
    </row>
    <row r="14" spans="2:43" s="8" customFormat="1" x14ac:dyDescent="0.25">
      <c r="B14" t="s">
        <v>42</v>
      </c>
      <c r="E14"/>
      <c r="F14" s="7">
        <f>J14+L14+N14+P14+R14+T14</f>
        <v>1.0003206482343825</v>
      </c>
      <c r="G14"/>
      <c r="H14" s="21" t="s">
        <v>45</v>
      </c>
      <c r="I14" s="20">
        <f>SUM(I3:I13)</f>
        <v>23262251901.57</v>
      </c>
      <c r="J14" s="15">
        <f>K14/$I$14</f>
        <v>0.35012165099574599</v>
      </c>
      <c r="K14" s="17">
        <f>SUM(K3:K13)</f>
        <v>8144618041.65662</v>
      </c>
      <c r="L14" s="15">
        <f>M14/$I$14</f>
        <v>0.31075284442086354</v>
      </c>
      <c r="M14" s="20">
        <f>SUM(M3:M13)</f>
        <v>7228810946.0475197</v>
      </c>
      <c r="N14" s="15">
        <f>O14/$I$14</f>
        <v>0.25556013371250641</v>
      </c>
      <c r="O14" s="17">
        <f>SUM(O3:O13)</f>
        <v>5944904206.4192352</v>
      </c>
      <c r="P14" s="15">
        <f>Q14/$I$14</f>
        <v>7.697280473763346E-2</v>
      </c>
      <c r="Q14" s="17">
        <f>SUM(Q3:Q13)</f>
        <v>1790560773.3771901</v>
      </c>
      <c r="R14" s="15">
        <f>S14/$I$14</f>
        <v>1.0593785665409621E-3</v>
      </c>
      <c r="S14" s="17">
        <f>SUM(S3:S13)</f>
        <v>24643531.073999997</v>
      </c>
      <c r="T14" s="15">
        <f>U14/$I$14</f>
        <v>5.8538358010921752E-3</v>
      </c>
      <c r="U14" s="63">
        <f>SUM(U3:U13)</f>
        <v>136173402.995435</v>
      </c>
      <c r="Y14" s="12">
        <f>K14-'Mar26'!K14</f>
        <v>-477198030.23153687</v>
      </c>
      <c r="Z14" s="12">
        <f>M14-'Mar26'!M14</f>
        <v>-1500043000.300869</v>
      </c>
      <c r="AA14" s="12">
        <f>O14-'Mar26'!O14</f>
        <v>14355643.675540924</v>
      </c>
      <c r="AB14" s="12">
        <f>Q14-'Mar26'!Q14</f>
        <v>308646840.03351808</v>
      </c>
      <c r="AC14" s="12">
        <f>+S14-'Mar26'!S14</f>
        <v>427313565.41333336</v>
      </c>
      <c r="AE14" s="28">
        <f>J14-'Mar26'!J14</f>
        <v>-5.5726679623124831E-4</v>
      </c>
      <c r="AF14" s="28">
        <f>L14-'Mar26'!L14</f>
        <v>-4.4279671924538577E-2</v>
      </c>
      <c r="AG14" s="28">
        <f>N14-'Mar26'!N14</f>
        <v>1.4344323197046011E-2</v>
      </c>
      <c r="AH14" s="28">
        <f>P14-'Mar26'!P14</f>
        <v>1.6698267439135578E-2</v>
      </c>
      <c r="AI14" s="28">
        <f>R14-'Mar26'!R14</f>
        <v>1.7437354006053157E-2</v>
      </c>
      <c r="AK14" s="92">
        <f>I14-'Mar26'!I14</f>
        <v>-1323817104.7299995</v>
      </c>
      <c r="AL14" s="76">
        <f>I14/'Mar26'!I14-1</f>
        <v>-5.3844195442174225E-2</v>
      </c>
    </row>
    <row r="15" spans="2:43" x14ac:dyDescent="0.25">
      <c r="B15" t="s">
        <v>66</v>
      </c>
      <c r="F15" s="7"/>
      <c r="I15" s="10"/>
      <c r="J15" s="10"/>
      <c r="K15" s="10"/>
      <c r="L15" s="5"/>
      <c r="M15" s="10"/>
      <c r="N15" s="10"/>
      <c r="O15" s="10"/>
      <c r="P15" s="5"/>
      <c r="Q15" s="10"/>
    </row>
    <row r="16" spans="2:43" x14ac:dyDescent="0.25">
      <c r="F16" s="7"/>
      <c r="H16" s="4" t="s">
        <v>2</v>
      </c>
      <c r="I16" s="9" t="s">
        <v>4</v>
      </c>
      <c r="J16" s="112" t="s">
        <v>7</v>
      </c>
      <c r="K16" s="112"/>
      <c r="L16" s="112" t="s">
        <v>8</v>
      </c>
      <c r="M16" s="112"/>
      <c r="N16" s="112" t="s">
        <v>10</v>
      </c>
      <c r="O16" s="112"/>
      <c r="P16" s="112" t="s">
        <v>9</v>
      </c>
      <c r="Q16" s="112"/>
      <c r="R16" s="112" t="s">
        <v>21</v>
      </c>
      <c r="S16" s="112"/>
      <c r="T16" s="112" t="s">
        <v>55</v>
      </c>
      <c r="U16" s="112"/>
      <c r="Y16" s="27" t="s">
        <v>49</v>
      </c>
      <c r="Z16" s="27" t="s">
        <v>50</v>
      </c>
      <c r="AA16" s="27" t="s">
        <v>51</v>
      </c>
      <c r="AB16" s="27" t="s">
        <v>52</v>
      </c>
      <c r="AC16" s="27" t="s">
        <v>53</v>
      </c>
      <c r="AE16" s="27" t="s">
        <v>49</v>
      </c>
      <c r="AF16" s="27" t="s">
        <v>50</v>
      </c>
      <c r="AG16" s="27" t="s">
        <v>51</v>
      </c>
      <c r="AH16" s="27" t="s">
        <v>52</v>
      </c>
      <c r="AI16" s="27" t="s">
        <v>53</v>
      </c>
    </row>
    <row r="17" spans="2:39" x14ac:dyDescent="0.25">
      <c r="F17" s="7">
        <f t="shared" si="3"/>
        <v>1</v>
      </c>
      <c r="H17" s="21" t="s">
        <v>6</v>
      </c>
      <c r="I17" s="80">
        <v>314621896.18000001</v>
      </c>
      <c r="J17" s="81">
        <v>0.32819999999999999</v>
      </c>
      <c r="K17" s="80">
        <f t="shared" ref="K17:K26" si="4">+J17*$I17</f>
        <v>103258906.326276</v>
      </c>
      <c r="L17" s="81">
        <v>0.27279999999999999</v>
      </c>
      <c r="M17" s="80">
        <f t="shared" ref="M17:M26" si="5">+L17*$I17</f>
        <v>85828853.277904004</v>
      </c>
      <c r="N17" s="81">
        <v>0.26029999999999998</v>
      </c>
      <c r="O17" s="80">
        <f t="shared" ref="O17:O26" si="6">+N17*$I17</f>
        <v>81896079.575654</v>
      </c>
      <c r="P17" s="81">
        <v>7.2099999999999997E-2</v>
      </c>
      <c r="Q17" s="80">
        <f t="shared" ref="Q17:Q26" si="7">+P17*$I17</f>
        <v>22684238.714577999</v>
      </c>
      <c r="R17" s="81">
        <v>0</v>
      </c>
      <c r="S17" s="80">
        <f t="shared" ref="S17:S26" si="8">+R17*$I17</f>
        <v>0</v>
      </c>
      <c r="T17" s="81">
        <v>6.6600000000000006E-2</v>
      </c>
      <c r="U17" s="80">
        <f t="shared" ref="U17:U26" si="9">+T17*$I17</f>
        <v>20953818.285588004</v>
      </c>
      <c r="Y17" s="12">
        <f>K17-'Mar26'!K17</f>
        <v>-2668364.3413710147</v>
      </c>
      <c r="Z17" s="12">
        <f>M17-'Mar26'!M17</f>
        <v>642586.65706901252</v>
      </c>
      <c r="AA17" s="12">
        <f>O17-'Mar26'!O17</f>
        <v>-3644458.8534340113</v>
      </c>
      <c r="AB17" s="12">
        <f>Q17-'Mar26'!Q17</f>
        <v>-1857135.6389480047</v>
      </c>
      <c r="AC17" s="12">
        <f>+S17-'Mar26'!S17</f>
        <v>0</v>
      </c>
      <c r="AD17" s="98"/>
      <c r="AE17" s="28">
        <f>J17-'Mar26'!J17</f>
        <v>-7.0000000000003393E-4</v>
      </c>
      <c r="AF17" s="28">
        <f>L17-'Mar26'!L17</f>
        <v>8.3000000000000296E-3</v>
      </c>
      <c r="AG17" s="28">
        <f>N17-'Mar26'!N17</f>
        <v>-5.3000000000000269E-3</v>
      </c>
      <c r="AH17" s="28">
        <f>P17-'Mar26'!P17</f>
        <v>-4.1000000000000064E-3</v>
      </c>
      <c r="AI17" s="28">
        <f>R17-'Mar26'!R17</f>
        <v>0</v>
      </c>
      <c r="AJ17" s="8"/>
      <c r="AK17" s="10">
        <f>I17-'Mar26'!I17</f>
        <v>-7443384.0500000119</v>
      </c>
      <c r="AL17" s="76">
        <f>I17/'Mar26'!I17-1</f>
        <v>-2.3111414073210157E-2</v>
      </c>
      <c r="AM17" s="8"/>
    </row>
    <row r="18" spans="2:39" x14ac:dyDescent="0.25">
      <c r="F18" s="7">
        <f t="shared" si="3"/>
        <v>0.99999999999999989</v>
      </c>
      <c r="H18" s="3" t="s">
        <v>26</v>
      </c>
      <c r="I18" s="78">
        <v>861973013.12</v>
      </c>
      <c r="J18" s="77">
        <v>7.0000000000000007E-2</v>
      </c>
      <c r="K18" s="78">
        <f t="shared" si="4"/>
        <v>60338110.918400005</v>
      </c>
      <c r="L18" s="77">
        <v>0.25</v>
      </c>
      <c r="M18" s="78">
        <f t="shared" si="5"/>
        <v>215493253.28</v>
      </c>
      <c r="N18" s="77">
        <v>0.38</v>
      </c>
      <c r="O18" s="78">
        <f t="shared" si="6"/>
        <v>327549744.98559999</v>
      </c>
      <c r="P18" s="77">
        <v>0.18</v>
      </c>
      <c r="Q18" s="78">
        <f t="shared" si="7"/>
        <v>155155142.36159998</v>
      </c>
      <c r="R18" s="77">
        <v>0</v>
      </c>
      <c r="S18" s="78">
        <f t="shared" si="8"/>
        <v>0</v>
      </c>
      <c r="T18" s="77">
        <v>0.12</v>
      </c>
      <c r="U18" s="78">
        <f t="shared" si="9"/>
        <v>103436761.57439999</v>
      </c>
      <c r="Y18" s="12">
        <f>K18-'Mar26'!K18</f>
        <v>-8559112.0784000009</v>
      </c>
      <c r="Z18" s="12">
        <f>M18-'Mar26'!M18</f>
        <v>189431.41499999166</v>
      </c>
      <c r="AA18" s="12">
        <f>O18-'Mar26'!O18</f>
        <v>287935.75079995394</v>
      </c>
      <c r="AB18" s="12">
        <f>Q18-'Mar26'!Q18</f>
        <v>8748543.4933999777</v>
      </c>
      <c r="AC18" s="12">
        <f>+S18-'Mar26'!S18</f>
        <v>0</v>
      </c>
      <c r="AE18" s="28">
        <f>J18-'Mar26'!J18</f>
        <v>-9.999999999999995E-3</v>
      </c>
      <c r="AF18" s="28">
        <f>L18-'Mar26'!L18</f>
        <v>0</v>
      </c>
      <c r="AG18" s="28">
        <f>N18-'Mar26'!N18</f>
        <v>0</v>
      </c>
      <c r="AH18" s="28">
        <f>P18-'Mar26'!P18</f>
        <v>9.9999999999999811E-3</v>
      </c>
      <c r="AI18" s="28">
        <f>R18-'Mar26'!R18</f>
        <v>0</v>
      </c>
      <c r="AK18" s="10">
        <f>I18-'Mar26'!I18</f>
        <v>757725.65999996662</v>
      </c>
      <c r="AL18" s="76">
        <f>I18/'Mar26'!I18-1</f>
        <v>8.7983303482075392E-4</v>
      </c>
    </row>
    <row r="19" spans="2:39" x14ac:dyDescent="0.25">
      <c r="F19" s="7">
        <f t="shared" si="3"/>
        <v>1</v>
      </c>
      <c r="H19" s="3" t="s">
        <v>27</v>
      </c>
      <c r="I19" s="78">
        <v>506423347</v>
      </c>
      <c r="J19" s="77">
        <v>0.18</v>
      </c>
      <c r="K19" s="78">
        <f t="shared" si="4"/>
        <v>91156202.459999993</v>
      </c>
      <c r="L19" s="77">
        <v>0.185</v>
      </c>
      <c r="M19" s="78">
        <f t="shared" si="5"/>
        <v>93688319.194999993</v>
      </c>
      <c r="N19" s="77">
        <f>43.9%+2.8%+5.1%</f>
        <v>0.51800000000000002</v>
      </c>
      <c r="O19" s="78">
        <f t="shared" si="6"/>
        <v>262327293.74600002</v>
      </c>
      <c r="P19" s="77">
        <v>0.09</v>
      </c>
      <c r="Q19" s="78">
        <f t="shared" si="7"/>
        <v>45578101.229999997</v>
      </c>
      <c r="R19" s="77">
        <v>0</v>
      </c>
      <c r="S19" s="78">
        <f t="shared" si="8"/>
        <v>0</v>
      </c>
      <c r="T19" s="77">
        <v>2.7E-2</v>
      </c>
      <c r="U19" s="78">
        <f t="shared" si="9"/>
        <v>13673430.368999999</v>
      </c>
      <c r="Y19" s="12">
        <f>K19-'Mar26'!K19</f>
        <v>9562547.3699999899</v>
      </c>
      <c r="Z19" s="12">
        <f>M19-'Mar26'!M19</f>
        <v>-4750477.5910000056</v>
      </c>
      <c r="AA19" s="12">
        <f>O19-'Mar26'!O19</f>
        <v>-20355240.340000004</v>
      </c>
      <c r="AB19" s="12">
        <f>Q19-'Mar26'!Q19</f>
        <v>-2325270.4680000022</v>
      </c>
      <c r="AC19" s="12">
        <f>+S19-'Mar26'!S19</f>
        <v>0</v>
      </c>
      <c r="AE19" s="28">
        <f>J19-'Mar26'!J19</f>
        <v>2.4999999999999994E-2</v>
      </c>
      <c r="AF19" s="28">
        <f>L19-'Mar26'!L19</f>
        <v>-2.0000000000000018E-3</v>
      </c>
      <c r="AG19" s="28">
        <f>N19-'Mar26'!N19</f>
        <v>-1.9000000000000017E-2</v>
      </c>
      <c r="AH19" s="28">
        <f>P19-'Mar26'!P19</f>
        <v>-1.0000000000000009E-3</v>
      </c>
      <c r="AI19" s="28">
        <f>R19-'Mar26'!R19</f>
        <v>0</v>
      </c>
      <c r="AK19" s="10">
        <f>I19-'Mar26'!I19</f>
        <v>-19987331</v>
      </c>
      <c r="AL19" s="76">
        <f>I19/'Mar26'!I19-1</f>
        <v>-3.7969083522276126E-2</v>
      </c>
    </row>
    <row r="20" spans="2:39" x14ac:dyDescent="0.25">
      <c r="B20" s="1"/>
      <c r="C20" s="1" t="s">
        <v>20</v>
      </c>
      <c r="D20" s="1"/>
      <c r="F20" s="7">
        <f t="shared" si="3"/>
        <v>1</v>
      </c>
      <c r="H20" s="3" t="s">
        <v>67</v>
      </c>
      <c r="I20" s="78">
        <v>1264902157</v>
      </c>
      <c r="J20" s="77">
        <v>0.23</v>
      </c>
      <c r="K20" s="78">
        <f t="shared" si="4"/>
        <v>290927496.11000001</v>
      </c>
      <c r="L20" s="77">
        <v>0.25</v>
      </c>
      <c r="M20" s="78">
        <f t="shared" si="5"/>
        <v>316225539.25</v>
      </c>
      <c r="N20" s="77">
        <v>0.34</v>
      </c>
      <c r="O20" s="78">
        <f t="shared" si="6"/>
        <v>430066733.38000005</v>
      </c>
      <c r="P20" s="77">
        <v>0.18</v>
      </c>
      <c r="Q20" s="78">
        <f t="shared" si="7"/>
        <v>227682388.25999999</v>
      </c>
      <c r="R20" s="77">
        <v>0</v>
      </c>
      <c r="S20" s="78">
        <f t="shared" si="8"/>
        <v>0</v>
      </c>
      <c r="T20" s="77">
        <v>0</v>
      </c>
      <c r="U20" s="78">
        <f t="shared" si="9"/>
        <v>0</v>
      </c>
      <c r="Y20" s="12">
        <f>K20-'Mar26'!K20</f>
        <v>19611553.310000002</v>
      </c>
      <c r="Z20" s="12">
        <f>M20-'Mar26'!M20</f>
        <v>-97208278.350000024</v>
      </c>
      <c r="AA20" s="12">
        <f>O20-'Mar26'!O20</f>
        <v>55392336.180000067</v>
      </c>
      <c r="AB20" s="12">
        <f>Q20-'Mar26'!Q20</f>
        <v>-4874134.1400000155</v>
      </c>
      <c r="AC20" s="12">
        <f>+S20-'Mar26'!S20</f>
        <v>0</v>
      </c>
      <c r="AE20" s="28">
        <f>J20-'Mar26'!J20</f>
        <v>2.0000000000000018E-2</v>
      </c>
      <c r="AF20" s="28">
        <f>L20-'Mar26'!L20</f>
        <v>-7.0000000000000007E-2</v>
      </c>
      <c r="AG20" s="28">
        <f>N20-'Mar26'!N20</f>
        <v>5.0000000000000044E-2</v>
      </c>
      <c r="AH20" s="28">
        <f>P20-'Mar26'!P20</f>
        <v>0</v>
      </c>
      <c r="AI20" s="28">
        <f>R20-'Mar26'!R20</f>
        <v>0</v>
      </c>
      <c r="AK20" s="10">
        <f>I20-'Mar26'!I20</f>
        <v>-27078523</v>
      </c>
      <c r="AL20" s="76">
        <f>I20/'Mar26'!I20-1</f>
        <v>-2.0958922543640512E-2</v>
      </c>
    </row>
    <row r="21" spans="2:39" x14ac:dyDescent="0.25">
      <c r="B21" t="s">
        <v>11</v>
      </c>
      <c r="C21" s="2" t="s">
        <v>10</v>
      </c>
      <c r="D21" t="s">
        <v>7</v>
      </c>
      <c r="F21" s="7">
        <f t="shared" si="3"/>
        <v>1</v>
      </c>
      <c r="H21" s="3" t="s">
        <v>32</v>
      </c>
      <c r="I21" s="78">
        <v>145000000</v>
      </c>
      <c r="J21" s="77">
        <v>0.19</v>
      </c>
      <c r="K21" s="78">
        <f t="shared" si="4"/>
        <v>27550000</v>
      </c>
      <c r="L21" s="77">
        <v>0.17</v>
      </c>
      <c r="M21" s="78">
        <f t="shared" si="5"/>
        <v>24650000</v>
      </c>
      <c r="N21" s="77">
        <v>0.51</v>
      </c>
      <c r="O21" s="78">
        <f t="shared" si="6"/>
        <v>73950000</v>
      </c>
      <c r="P21" s="77">
        <v>0.13</v>
      </c>
      <c r="Q21" s="78">
        <f t="shared" si="7"/>
        <v>18850000</v>
      </c>
      <c r="R21" s="77">
        <v>0</v>
      </c>
      <c r="S21" s="78">
        <f t="shared" si="8"/>
        <v>0</v>
      </c>
      <c r="T21" s="77">
        <v>0</v>
      </c>
      <c r="U21" s="78">
        <f t="shared" si="9"/>
        <v>0</v>
      </c>
      <c r="Y21" s="12">
        <f>K21-'Mar26'!K21</f>
        <v>-2300000</v>
      </c>
      <c r="Z21" s="12">
        <f>M21-'Mar26'!M21</f>
        <v>-722500</v>
      </c>
      <c r="AA21" s="12">
        <f>O21-'Mar26'!O21</f>
        <v>-3660000</v>
      </c>
      <c r="AB21" s="12">
        <f>Q21-'Mar26'!Q21</f>
        <v>940000</v>
      </c>
      <c r="AC21" s="12">
        <f>+S21-'Mar26'!S21</f>
        <v>0</v>
      </c>
      <c r="AE21" s="28">
        <f>J21-'Mar26'!J21</f>
        <v>-1.0000000000000009E-2</v>
      </c>
      <c r="AF21" s="28">
        <f>L21-'Mar26'!L21</f>
        <v>0</v>
      </c>
      <c r="AG21" s="28">
        <f>N21-'Mar26'!N21</f>
        <v>-1.0000000000000009E-2</v>
      </c>
      <c r="AH21" s="28">
        <f>P21-'Mar26'!P21</f>
        <v>1.0000000000000009E-2</v>
      </c>
      <c r="AI21" s="28">
        <f>R21-'Mar26'!R21</f>
        <v>0</v>
      </c>
      <c r="AK21" s="10">
        <f>I21-'Mar26'!I21</f>
        <v>-4250000</v>
      </c>
      <c r="AL21" s="76">
        <f>I21/'Mar26'!I21-1</f>
        <v>-2.8475711892797295E-2</v>
      </c>
    </row>
    <row r="22" spans="2:39" x14ac:dyDescent="0.25">
      <c r="B22" t="s">
        <v>12</v>
      </c>
      <c r="C22" s="2" t="s">
        <v>16</v>
      </c>
      <c r="D22" t="s">
        <v>58</v>
      </c>
      <c r="F22" s="7">
        <f t="shared" si="3"/>
        <v>1</v>
      </c>
      <c r="H22" s="3" t="s">
        <v>33</v>
      </c>
      <c r="I22" s="78">
        <v>1189700000</v>
      </c>
      <c r="J22" s="77">
        <v>0.17</v>
      </c>
      <c r="K22" s="78">
        <f t="shared" si="4"/>
        <v>202249000</v>
      </c>
      <c r="L22" s="77">
        <v>0.31</v>
      </c>
      <c r="M22" s="78">
        <f t="shared" si="5"/>
        <v>368807000</v>
      </c>
      <c r="N22" s="77">
        <v>0.47</v>
      </c>
      <c r="O22" s="78">
        <f t="shared" si="6"/>
        <v>559159000</v>
      </c>
      <c r="P22" s="77">
        <v>0.05</v>
      </c>
      <c r="Q22" s="78">
        <f t="shared" si="7"/>
        <v>59485000</v>
      </c>
      <c r="R22" s="77">
        <v>0</v>
      </c>
      <c r="S22" s="78">
        <f t="shared" si="8"/>
        <v>0</v>
      </c>
      <c r="T22" s="77">
        <v>0</v>
      </c>
      <c r="U22" s="78">
        <f t="shared" si="9"/>
        <v>0</v>
      </c>
      <c r="Y22" s="12">
        <f>K22-'Mar26'!K22</f>
        <v>1577000</v>
      </c>
      <c r="Z22" s="12">
        <f>M22-'Mar26'!M22</f>
        <v>-32537000</v>
      </c>
      <c r="AA22" s="12">
        <f>O22-'Mar26'!O22</f>
        <v>-42857000</v>
      </c>
      <c r="AB22" s="12">
        <f>Q22-'Mar26'!Q22</f>
        <v>9317000</v>
      </c>
      <c r="AC22" s="12">
        <f>+S22-'Mar26'!S22</f>
        <v>0</v>
      </c>
      <c r="AE22" s="28">
        <f>J22-'Mar26'!J22</f>
        <v>1.0000000000000009E-2</v>
      </c>
      <c r="AF22" s="28">
        <f>L22-'Mar26'!L22</f>
        <v>-1.0000000000000009E-2</v>
      </c>
      <c r="AG22" s="28">
        <f>N22-'Mar26'!N22</f>
        <v>-1.0000000000000009E-2</v>
      </c>
      <c r="AH22" s="28">
        <f>P22-'Mar26'!P22</f>
        <v>1.0000000000000002E-2</v>
      </c>
      <c r="AI22" s="28">
        <f>R22-'Mar26'!R22</f>
        <v>0</v>
      </c>
      <c r="AK22" s="10">
        <f>I22-'Mar26'!I22</f>
        <v>-64500000</v>
      </c>
      <c r="AL22" s="76">
        <f>I22/'Mar26'!I22-1</f>
        <v>-5.1427204592568998E-2</v>
      </c>
    </row>
    <row r="23" spans="2:39" x14ac:dyDescent="0.25">
      <c r="B23" t="s">
        <v>13</v>
      </c>
      <c r="C23" s="2" t="s">
        <v>17</v>
      </c>
      <c r="D23" t="s">
        <v>59</v>
      </c>
      <c r="F23" s="7">
        <f t="shared" si="3"/>
        <v>0.99999999999999989</v>
      </c>
      <c r="H23" s="3" t="s">
        <v>68</v>
      </c>
      <c r="I23" s="78">
        <v>196563310</v>
      </c>
      <c r="J23" s="77">
        <v>0.45960000000000001</v>
      </c>
      <c r="K23" s="78">
        <f t="shared" si="4"/>
        <v>90340497.276000008</v>
      </c>
      <c r="L23" s="77">
        <v>0.13739999999999999</v>
      </c>
      <c r="M23" s="78">
        <f t="shared" si="5"/>
        <v>27007798.794</v>
      </c>
      <c r="N23" s="77">
        <v>0.28270000000000001</v>
      </c>
      <c r="O23" s="78">
        <f t="shared" si="6"/>
        <v>55568447.737000003</v>
      </c>
      <c r="P23" s="77">
        <v>0.1082</v>
      </c>
      <c r="Q23" s="78">
        <f t="shared" si="7"/>
        <v>21268150.142000001</v>
      </c>
      <c r="R23" s="77">
        <v>0</v>
      </c>
      <c r="S23" s="78">
        <f t="shared" si="8"/>
        <v>0</v>
      </c>
      <c r="T23" s="77">
        <v>1.21E-2</v>
      </c>
      <c r="U23" s="78">
        <f t="shared" si="9"/>
        <v>2378416.051</v>
      </c>
      <c r="Y23" s="12">
        <f>K23-'Mar26'!K23</f>
        <v>-11008757.408399999</v>
      </c>
      <c r="Z23" s="12">
        <f>M23-'Mar26'!M23</f>
        <v>270860.97210000083</v>
      </c>
      <c r="AA23" s="12">
        <f>O23-'Mar26'!O23</f>
        <v>1662335.2230999991</v>
      </c>
      <c r="AB23" s="12">
        <f>Q23-'Mar26'!Q23</f>
        <v>47378.090900000185</v>
      </c>
      <c r="AC23" s="12">
        <f>+S23-'Mar26'!S23</f>
        <v>0</v>
      </c>
      <c r="AE23" s="28">
        <f>J23-'Mar26'!J23</f>
        <v>-3.2799999999999996E-2</v>
      </c>
      <c r="AF23" s="28">
        <f>L23-'Mar26'!L23</f>
        <v>7.5000000000000067E-3</v>
      </c>
      <c r="AG23" s="28">
        <f>N23-'Mar26'!N23</f>
        <v>2.0799999999999985E-2</v>
      </c>
      <c r="AH23" s="28">
        <f>P23-'Mar26'!P23</f>
        <v>5.1000000000000073E-3</v>
      </c>
      <c r="AI23" s="28">
        <f>R23-'Mar26'!R23</f>
        <v>0</v>
      </c>
      <c r="AK23" s="10">
        <f>I23-'Mar26'!I23</f>
        <v>-9263771</v>
      </c>
      <c r="AL23" s="76">
        <f>I23/'Mar26'!I23-1</f>
        <v>-4.5007542034762649E-2</v>
      </c>
    </row>
    <row r="24" spans="2:39" x14ac:dyDescent="0.25">
      <c r="B24" t="s">
        <v>14</v>
      </c>
      <c r="C24" s="2" t="s">
        <v>18</v>
      </c>
      <c r="F24" s="7">
        <f t="shared" si="3"/>
        <v>1</v>
      </c>
      <c r="H24" s="3" t="s">
        <v>35</v>
      </c>
      <c r="I24" s="78">
        <v>537744476.08000004</v>
      </c>
      <c r="J24" s="77">
        <v>0.128</v>
      </c>
      <c r="K24" s="78">
        <f t="shared" si="4"/>
        <v>68831292.938240007</v>
      </c>
      <c r="L24" s="77">
        <v>0.35599999999999998</v>
      </c>
      <c r="M24" s="78">
        <f t="shared" si="5"/>
        <v>191437033.48447999</v>
      </c>
      <c r="N24" s="77">
        <v>0.39300000000000002</v>
      </c>
      <c r="O24" s="78">
        <f t="shared" si="6"/>
        <v>211333579.09944004</v>
      </c>
      <c r="P24" s="77">
        <v>0.123</v>
      </c>
      <c r="Q24" s="78">
        <f t="shared" si="7"/>
        <v>66142570.557840005</v>
      </c>
      <c r="R24" s="77">
        <v>0</v>
      </c>
      <c r="S24" s="78">
        <f t="shared" si="8"/>
        <v>0</v>
      </c>
      <c r="T24" s="77">
        <v>0</v>
      </c>
      <c r="U24" s="78">
        <f t="shared" si="9"/>
        <v>0</v>
      </c>
      <c r="Y24" s="12">
        <f>K24-'Mar26'!K24</f>
        <v>-2685767.7898599952</v>
      </c>
      <c r="Z24" s="12">
        <f>M24-'Mar26'!M24</f>
        <v>-30265854.772630036</v>
      </c>
      <c r="AA24" s="12">
        <f>O24-'Mar26'!O24</f>
        <v>16587121.424460053</v>
      </c>
      <c r="AB24" s="12">
        <f>Q24-'Mar26'!Q24</f>
        <v>3977740.8480300009</v>
      </c>
      <c r="AC24" s="12">
        <f>+S24-'Mar26'!S24</f>
        <v>0</v>
      </c>
      <c r="AE24" s="28">
        <f>J24-'Mar26'!J24</f>
        <v>-2.0000000000000018E-3</v>
      </c>
      <c r="AF24" s="28">
        <f>L24-'Mar26'!L24</f>
        <v>-4.7000000000000042E-2</v>
      </c>
      <c r="AG24" s="28">
        <f>N24-'Mar26'!N24</f>
        <v>3.9000000000000035E-2</v>
      </c>
      <c r="AH24" s="28">
        <f>P24-'Mar26'!P24</f>
        <v>9.999999999999995E-3</v>
      </c>
      <c r="AI24" s="28">
        <f>R24-'Mar26'!R24</f>
        <v>0</v>
      </c>
      <c r="AK24" s="10">
        <f>I24-'Mar26'!I24</f>
        <v>-12386760.289999962</v>
      </c>
      <c r="AL24" s="76">
        <f>I24/'Mar26'!I24-1</f>
        <v>-2.2516009764748324E-2</v>
      </c>
    </row>
    <row r="25" spans="2:39" x14ac:dyDescent="0.25">
      <c r="B25" t="s">
        <v>15</v>
      </c>
      <c r="C25" s="2" t="s">
        <v>19</v>
      </c>
      <c r="F25" s="7">
        <f t="shared" si="3"/>
        <v>1</v>
      </c>
      <c r="H25" s="3" t="s">
        <v>36</v>
      </c>
      <c r="I25" s="78">
        <v>578700000</v>
      </c>
      <c r="J25" s="77">
        <v>0.2</v>
      </c>
      <c r="K25" s="78">
        <f t="shared" si="4"/>
        <v>115740000</v>
      </c>
      <c r="L25" s="77">
        <v>0.25</v>
      </c>
      <c r="M25" s="78">
        <f t="shared" si="5"/>
        <v>144675000</v>
      </c>
      <c r="N25" s="77">
        <v>0.45</v>
      </c>
      <c r="O25" s="78">
        <f t="shared" si="6"/>
        <v>260415000</v>
      </c>
      <c r="P25" s="77">
        <v>0.1</v>
      </c>
      <c r="Q25" s="78">
        <f t="shared" si="7"/>
        <v>57870000</v>
      </c>
      <c r="R25" s="77">
        <v>0</v>
      </c>
      <c r="S25" s="78">
        <f t="shared" si="8"/>
        <v>0</v>
      </c>
      <c r="T25" s="77">
        <v>0</v>
      </c>
      <c r="U25" s="78">
        <f t="shared" si="9"/>
        <v>0</v>
      </c>
      <c r="Y25" s="12">
        <f>K25-'Mar26'!K25</f>
        <v>-160000</v>
      </c>
      <c r="Z25" s="12">
        <f>M25-'Mar26'!M25</f>
        <v>-7825000</v>
      </c>
      <c r="AA25" s="12">
        <f>O25-'Mar26'!O25</f>
        <v>-26285000</v>
      </c>
      <c r="AB25" s="12">
        <f>Q25-'Mar26'!Q25</f>
        <v>2970000</v>
      </c>
      <c r="AC25" s="12">
        <f>+S25-'Mar26'!S25</f>
        <v>0</v>
      </c>
      <c r="AE25" s="28">
        <f>J25-'Mar26'!J25</f>
        <v>1.0000000000000009E-2</v>
      </c>
      <c r="AF25" s="28">
        <f>L25-'Mar26'!L25</f>
        <v>0</v>
      </c>
      <c r="AG25" s="28">
        <f>N25-'Mar26'!N25</f>
        <v>-1.9999999999999962E-2</v>
      </c>
      <c r="AH25" s="28">
        <f>P25-'Mar26'!P25</f>
        <v>1.0000000000000009E-2</v>
      </c>
      <c r="AI25" s="28">
        <f>R25-'Mar26'!R25</f>
        <v>0</v>
      </c>
      <c r="AK25" s="10">
        <f>I25-'Mar26'!I25</f>
        <v>-31300000</v>
      </c>
      <c r="AL25" s="76">
        <f>I25/'Mar26'!I25-1</f>
        <v>-5.1311475409836049E-2</v>
      </c>
    </row>
    <row r="26" spans="2:39" x14ac:dyDescent="0.25">
      <c r="B26" t="s">
        <v>57</v>
      </c>
      <c r="F26" s="7">
        <f>J26+L26+N26+P26+R26+T26</f>
        <v>1</v>
      </c>
      <c r="H26" s="3" t="s">
        <v>65</v>
      </c>
      <c r="I26" s="78">
        <v>1786800000</v>
      </c>
      <c r="J26" s="77">
        <v>0.17</v>
      </c>
      <c r="K26" s="78">
        <f t="shared" si="4"/>
        <v>303756000</v>
      </c>
      <c r="L26" s="77">
        <v>0.21</v>
      </c>
      <c r="M26" s="78">
        <f t="shared" si="5"/>
        <v>375228000</v>
      </c>
      <c r="N26" s="77">
        <v>0.46</v>
      </c>
      <c r="O26" s="78">
        <f t="shared" si="6"/>
        <v>821928000</v>
      </c>
      <c r="P26" s="77">
        <v>0.16</v>
      </c>
      <c r="Q26" s="78">
        <f t="shared" si="7"/>
        <v>285888000</v>
      </c>
      <c r="R26" s="77">
        <v>0</v>
      </c>
      <c r="S26" s="78">
        <f t="shared" si="8"/>
        <v>0</v>
      </c>
      <c r="T26" s="77">
        <v>0</v>
      </c>
      <c r="U26" s="78">
        <f t="shared" si="9"/>
        <v>0</v>
      </c>
      <c r="Y26" s="12">
        <f>K26-'Mar26'!K26</f>
        <v>-99258150</v>
      </c>
      <c r="Z26" s="12">
        <f>M26-'Mar26'!M26</f>
        <v>-85359600</v>
      </c>
      <c r="AA26" s="12">
        <f>O26-'Mar26'!O26</f>
        <v>-22482600</v>
      </c>
      <c r="AB26" s="12">
        <f>Q26-'Mar26'!Q26</f>
        <v>74785350</v>
      </c>
      <c r="AC26" s="12">
        <f>+S26-'Mar26'!S26</f>
        <v>0</v>
      </c>
      <c r="AE26" s="28">
        <f>J26-'Mar26'!J26</f>
        <v>-3.999999999999998E-2</v>
      </c>
      <c r="AF26" s="28">
        <f>L26-'Mar26'!L26</f>
        <v>-0.03</v>
      </c>
      <c r="AG26" s="28">
        <f>N26-'Mar26'!N26</f>
        <v>2.0000000000000018E-2</v>
      </c>
      <c r="AH26" s="28">
        <f>P26-'Mar26'!P26</f>
        <v>0.05</v>
      </c>
      <c r="AI26" s="28">
        <f>R26-'Mar26'!R26</f>
        <v>0</v>
      </c>
      <c r="AK26" s="10">
        <f>I26-'Mar26'!I26</f>
        <v>-132315000</v>
      </c>
      <c r="AL26" s="76">
        <f>I26/'Mar26'!I26-1</f>
        <v>-6.8945842224150233E-2</v>
      </c>
    </row>
    <row r="27" spans="2:39" s="8" customFormat="1" x14ac:dyDescent="0.25">
      <c r="B27"/>
      <c r="C27"/>
      <c r="E27"/>
      <c r="F27" s="7">
        <f t="shared" si="3"/>
        <v>1</v>
      </c>
      <c r="G27"/>
      <c r="H27" s="21" t="s">
        <v>45</v>
      </c>
      <c r="I27" s="20">
        <f>SUM(I17:I26)</f>
        <v>7382428199.3800001</v>
      </c>
      <c r="J27" s="15">
        <f>K27/$I$27</f>
        <v>0.18342846953020711</v>
      </c>
      <c r="K27" s="63">
        <f>SUM(K17:K26)</f>
        <v>1354147506.0289161</v>
      </c>
      <c r="L27" s="15">
        <f>M27/$I$27</f>
        <v>0.24965238367454332</v>
      </c>
      <c r="M27" s="62">
        <f>SUM(M17:M26)</f>
        <v>1843040797.2813838</v>
      </c>
      <c r="N27" s="15">
        <f>O27/$I$27</f>
        <v>0.41777499153770498</v>
      </c>
      <c r="O27" s="63">
        <f>SUM(O17:O26)</f>
        <v>3084193878.523694</v>
      </c>
      <c r="P27" s="15">
        <f>Q27/$I$27</f>
        <v>0.13012027551405003</v>
      </c>
      <c r="Q27" s="63">
        <f>SUM(Q17:Q26)</f>
        <v>960603591.26601791</v>
      </c>
      <c r="R27" s="15">
        <f>S27/$I$27</f>
        <v>0</v>
      </c>
      <c r="S27" s="63">
        <f>SUM(S17:S26)</f>
        <v>0</v>
      </c>
      <c r="T27" s="15">
        <f>U27/$I$27</f>
        <v>1.902387974349453E-2</v>
      </c>
      <c r="U27" s="17">
        <f>SUM(U17:U26)</f>
        <v>140442426.27998799</v>
      </c>
      <c r="Y27" s="12">
        <f>K27-'Mar26'!K27</f>
        <v>-95889050.938030958</v>
      </c>
      <c r="Z27" s="12">
        <f>M27-'Mar26'!M27</f>
        <v>-257565831.66946125</v>
      </c>
      <c r="AA27" s="12">
        <f>O27-'Mar26'!O27</f>
        <v>-45354570.615074158</v>
      </c>
      <c r="AB27" s="12">
        <f>Q27-'Mar26'!Q27</f>
        <v>91729472.185381889</v>
      </c>
      <c r="AC27" s="12">
        <f>+S27-'Mar26'!S27</f>
        <v>0</v>
      </c>
      <c r="AE27" s="28">
        <f>J27-'Mar26'!J27</f>
        <v>-5.1280639694500363E-3</v>
      </c>
      <c r="AF27" s="28">
        <f>L27-'Mar26'!L27</f>
        <v>-2.350149116973102E-2</v>
      </c>
      <c r="AG27" s="28">
        <f>N27-'Mar26'!N27</f>
        <v>1.0821936351879613E-2</v>
      </c>
      <c r="AH27" s="28">
        <f>P27-'Mar26'!P27</f>
        <v>1.7135612365900499E-2</v>
      </c>
      <c r="AI27" s="28">
        <f>R27-'Mar26'!R27</f>
        <v>0</v>
      </c>
      <c r="AK27" s="92">
        <f>I27-'Mar26'!I27</f>
        <v>-307767043.68000031</v>
      </c>
      <c r="AL27" s="76">
        <f>I27/'Mar26'!I27-1</f>
        <v>-4.0020706100764358E-2</v>
      </c>
    </row>
    <row r="28" spans="2:39" x14ac:dyDescent="0.25">
      <c r="F28" s="7"/>
      <c r="I28" s="10"/>
      <c r="J28" s="10"/>
      <c r="K28" s="10"/>
      <c r="L28" s="5"/>
      <c r="M28" s="10"/>
      <c r="N28" s="10"/>
      <c r="O28" s="10"/>
      <c r="P28" s="5"/>
      <c r="Q28" s="10"/>
    </row>
    <row r="29" spans="2:39" x14ac:dyDescent="0.25">
      <c r="F29" s="7"/>
      <c r="H29" s="4" t="s">
        <v>38</v>
      </c>
      <c r="I29" s="9" t="s">
        <v>4</v>
      </c>
      <c r="J29" s="113" t="s">
        <v>7</v>
      </c>
      <c r="K29" s="113"/>
      <c r="L29" s="112" t="s">
        <v>8</v>
      </c>
      <c r="M29" s="112"/>
      <c r="N29" s="112" t="s">
        <v>10</v>
      </c>
      <c r="O29" s="112"/>
      <c r="P29" s="112" t="s">
        <v>9</v>
      </c>
      <c r="Q29" s="112"/>
      <c r="R29" s="112" t="s">
        <v>40</v>
      </c>
      <c r="S29" s="112"/>
      <c r="T29" s="112" t="s">
        <v>55</v>
      </c>
      <c r="U29" s="112"/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  <c r="AE29" s="27" t="s">
        <v>49</v>
      </c>
      <c r="AF29" s="27" t="s">
        <v>50</v>
      </c>
      <c r="AG29" s="27" t="s">
        <v>51</v>
      </c>
      <c r="AH29" s="27" t="s">
        <v>52</v>
      </c>
      <c r="AI29" s="27" t="s">
        <v>54</v>
      </c>
    </row>
    <row r="30" spans="2:39" x14ac:dyDescent="0.25">
      <c r="F30" s="7">
        <f>J30+L30+N30+P30+R30+T30</f>
        <v>1</v>
      </c>
      <c r="H30" s="21" t="s">
        <v>39</v>
      </c>
      <c r="I30" s="94">
        <v>229670509.69999999</v>
      </c>
      <c r="J30" s="81">
        <f>0.2063+0.0141</f>
        <v>0.22040000000000001</v>
      </c>
      <c r="K30" s="80">
        <f t="shared" ref="K30:K35" si="10">+J30*$I30</f>
        <v>50619380.33788</v>
      </c>
      <c r="L30" s="81">
        <f>0.0847+0.0739+0.0306</f>
        <v>0.18919999999999998</v>
      </c>
      <c r="M30" s="80">
        <f t="shared" ref="M30:M35" si="11">+L30*$I30</f>
        <v>43453660.435239993</v>
      </c>
      <c r="N30" s="81">
        <f>0.3336+0.0186+0.0107</f>
        <v>0.3629</v>
      </c>
      <c r="O30" s="80">
        <f t="shared" ref="O30:O35" si="12">+N30*$I30</f>
        <v>83347427.970129997</v>
      </c>
      <c r="P30" s="81">
        <v>0.1532</v>
      </c>
      <c r="Q30" s="80">
        <f t="shared" ref="Q30:Q35" si="13">+P30*$I30</f>
        <v>35185522.086039998</v>
      </c>
      <c r="R30" s="88">
        <v>5.0099999999999999E-2</v>
      </c>
      <c r="S30" s="80">
        <f t="shared" ref="S30:S35" si="14">+R30*$I30</f>
        <v>11506492.535969999</v>
      </c>
      <c r="T30" s="81">
        <v>2.4199999999999999E-2</v>
      </c>
      <c r="U30" s="80">
        <f t="shared" ref="U30:U35" si="15">+T30*$I30</f>
        <v>5558026.3347399998</v>
      </c>
      <c r="V30" s="8"/>
      <c r="Y30" s="12">
        <f>K30-'Mar26'!K30</f>
        <v>9882193.6937149987</v>
      </c>
      <c r="Z30" s="12">
        <f>M30-'Mar26'!M30</f>
        <v>-623384.79046001285</v>
      </c>
      <c r="AA30" s="12">
        <f>O30-'Mar26'!O30</f>
        <v>-5647307.1582550108</v>
      </c>
      <c r="AB30" s="12">
        <f>Q30-'Mar26'!Q30</f>
        <v>-326035.48497500271</v>
      </c>
      <c r="AC30" s="12">
        <f>+S30-'Mar26'!S30</f>
        <v>-785095.84913500212</v>
      </c>
      <c r="AD30" s="98"/>
      <c r="AE30" s="28">
        <f>J30-'Mar26'!J30</f>
        <v>4.1100000000000025E-2</v>
      </c>
      <c r="AF30" s="28">
        <f>L30-'Mar26'!L30</f>
        <v>-4.8000000000000265E-3</v>
      </c>
      <c r="AG30" s="28">
        <f>N30-'Mar26'!N30</f>
        <v>-2.8799999999999992E-2</v>
      </c>
      <c r="AH30" s="28">
        <f>P30-'Mar26'!P30</f>
        <v>-3.0999999999999917E-3</v>
      </c>
      <c r="AI30" s="28">
        <f>R30-'Mar26'!R30</f>
        <v>-4.0000000000000036E-3</v>
      </c>
      <c r="AJ30" s="8"/>
      <c r="AK30" s="10">
        <f>I30-'Mar26'!I30</f>
        <v>2469245.6499999762</v>
      </c>
      <c r="AL30" s="76">
        <f>I30/'Mar26'!I30-1</f>
        <v>1.086809820501955E-2</v>
      </c>
      <c r="AM30" s="8"/>
    </row>
    <row r="31" spans="2:39" hidden="1" outlineLevel="1" x14ac:dyDescent="0.25">
      <c r="F31" s="7">
        <f t="shared" si="3"/>
        <v>0</v>
      </c>
      <c r="H31" s="3" t="s">
        <v>56</v>
      </c>
      <c r="I31" s="78"/>
      <c r="J31" s="77"/>
      <c r="K31" s="78">
        <f t="shared" si="10"/>
        <v>0</v>
      </c>
      <c r="L31" s="77"/>
      <c r="M31" s="78">
        <f t="shared" si="11"/>
        <v>0</v>
      </c>
      <c r="N31" s="77"/>
      <c r="O31" s="78">
        <f t="shared" si="12"/>
        <v>0</v>
      </c>
      <c r="P31" s="77"/>
      <c r="Q31" s="78">
        <f t="shared" si="13"/>
        <v>0</v>
      </c>
      <c r="R31" s="77"/>
      <c r="S31" s="78">
        <f t="shared" si="14"/>
        <v>0</v>
      </c>
      <c r="T31" s="77"/>
      <c r="U31" s="78">
        <f t="shared" si="15"/>
        <v>0</v>
      </c>
      <c r="Y31" s="12">
        <f>K31-'Mar26'!K31</f>
        <v>0</v>
      </c>
      <c r="Z31" s="12">
        <f>M31-'Mar26'!M31</f>
        <v>0</v>
      </c>
      <c r="AA31" s="12">
        <f>O31-'Mar26'!O31</f>
        <v>0</v>
      </c>
      <c r="AB31" s="12">
        <f>Q31-'Mar26'!Q31</f>
        <v>0</v>
      </c>
      <c r="AC31" s="12">
        <f>+S31-'Mar26'!S31</f>
        <v>0</v>
      </c>
      <c r="AE31" s="28">
        <f>J31-'Mar26'!J31</f>
        <v>0</v>
      </c>
      <c r="AF31" s="28">
        <f>L31-'Mar26'!L31</f>
        <v>0</v>
      </c>
      <c r="AG31" s="28">
        <f>N31-'Mar26'!N31</f>
        <v>0</v>
      </c>
      <c r="AH31" s="28">
        <f>P31-'Mar26'!P31</f>
        <v>0</v>
      </c>
      <c r="AI31" s="28">
        <f>R31-'Mar26'!R31</f>
        <v>0</v>
      </c>
      <c r="AK31" s="10">
        <f>I31-'Mar26'!I31</f>
        <v>0</v>
      </c>
      <c r="AL31" s="76" t="e">
        <f>I31/'Mar26'!I31-1</f>
        <v>#DIV/0!</v>
      </c>
    </row>
    <row r="32" spans="2:39" collapsed="1" x14ac:dyDescent="0.25">
      <c r="F32" s="7">
        <f t="shared" si="3"/>
        <v>0.99999999999999989</v>
      </c>
      <c r="H32" s="3" t="s">
        <v>42</v>
      </c>
      <c r="I32" s="84">
        <v>345450326</v>
      </c>
      <c r="J32" s="77">
        <v>0.08</v>
      </c>
      <c r="K32" s="78">
        <f t="shared" si="10"/>
        <v>27636026.080000002</v>
      </c>
      <c r="L32" s="77">
        <v>0.09</v>
      </c>
      <c r="M32" s="78">
        <f t="shared" si="11"/>
        <v>31090529.34</v>
      </c>
      <c r="N32" s="77">
        <v>0.5</v>
      </c>
      <c r="O32" s="78">
        <f t="shared" si="12"/>
        <v>172725163</v>
      </c>
      <c r="P32" s="77">
        <v>0.08</v>
      </c>
      <c r="Q32" s="78">
        <f t="shared" si="13"/>
        <v>27636026.080000002</v>
      </c>
      <c r="R32" s="77">
        <v>0.14000000000000001</v>
      </c>
      <c r="S32" s="78">
        <f t="shared" si="14"/>
        <v>48363045.640000008</v>
      </c>
      <c r="T32" s="77">
        <v>0.11</v>
      </c>
      <c r="U32" s="78">
        <f t="shared" si="15"/>
        <v>37999535.859999999</v>
      </c>
      <c r="Y32" s="12">
        <f>K32-'Mar26'!K32</f>
        <v>5013647.5599999987</v>
      </c>
      <c r="Z32" s="12">
        <f>M32-'Mar26'!M32</f>
        <v>-4458922.620000001</v>
      </c>
      <c r="AA32" s="12">
        <f>O32-'Mar26'!O32</f>
        <v>11136745</v>
      </c>
      <c r="AB32" s="12">
        <f>Q32-'Mar26'!Q32</f>
        <v>1781879.200000003</v>
      </c>
      <c r="AC32" s="12">
        <f>+S32-'Mar26'!S32</f>
        <v>-9808784.8399999887</v>
      </c>
      <c r="AE32" s="28">
        <f>J32-'Mar26'!J32</f>
        <v>9.999999999999995E-3</v>
      </c>
      <c r="AF32" s="28">
        <f>L32-'Mar26'!L32</f>
        <v>-2.0000000000000004E-2</v>
      </c>
      <c r="AG32" s="28">
        <f>N32-'Mar26'!N32</f>
        <v>0</v>
      </c>
      <c r="AH32" s="28">
        <f>P32-'Mar26'!P32</f>
        <v>0</v>
      </c>
      <c r="AI32" s="28">
        <f>R32-'Mar26'!R32</f>
        <v>-3.999999999999998E-2</v>
      </c>
      <c r="AK32" s="10">
        <f>I32-'Mar26'!I32</f>
        <v>22273490</v>
      </c>
      <c r="AL32" s="76">
        <f>I32/'Mar26'!I32-1</f>
        <v>6.8920440820207762E-2</v>
      </c>
    </row>
    <row r="33" spans="5:38" x14ac:dyDescent="0.25">
      <c r="F33" s="7">
        <f t="shared" si="3"/>
        <v>1</v>
      </c>
      <c r="H33" s="3" t="s">
        <v>69</v>
      </c>
      <c r="I33" s="84">
        <v>433497135</v>
      </c>
      <c r="J33" s="77">
        <v>0.2</v>
      </c>
      <c r="K33" s="78">
        <f t="shared" si="10"/>
        <v>86699427</v>
      </c>
      <c r="L33" s="77">
        <v>0.17</v>
      </c>
      <c r="M33" s="78">
        <f t="shared" si="11"/>
        <v>73694512.950000003</v>
      </c>
      <c r="N33" s="77">
        <v>0.42</v>
      </c>
      <c r="O33" s="78">
        <f t="shared" si="12"/>
        <v>182068796.69999999</v>
      </c>
      <c r="P33" s="77">
        <v>0.18</v>
      </c>
      <c r="Q33" s="78">
        <f t="shared" si="13"/>
        <v>78029484.299999997</v>
      </c>
      <c r="R33" s="77">
        <v>0</v>
      </c>
      <c r="S33" s="78">
        <f t="shared" si="14"/>
        <v>0</v>
      </c>
      <c r="T33" s="77">
        <v>0.03</v>
      </c>
      <c r="U33" s="78">
        <f t="shared" si="15"/>
        <v>13004914.049999999</v>
      </c>
      <c r="Y33" s="12">
        <f>K33-'Mar26'!K33</f>
        <v>-8185472.7599999905</v>
      </c>
      <c r="Z33" s="12">
        <f>M33-'Mar26'!M33</f>
        <v>-21190386.809999987</v>
      </c>
      <c r="AA33" s="12">
        <f>O33-'Mar26'!O33</f>
        <v>1335654.2999999821</v>
      </c>
      <c r="AB33" s="12">
        <f>Q33-'Mar26'!Q33</f>
        <v>-3300429.7800000012</v>
      </c>
      <c r="AC33" s="12">
        <f>+S33-'Mar26'!S33</f>
        <v>0</v>
      </c>
      <c r="AE33" s="28">
        <f>J33-'Mar26'!J33</f>
        <v>-9.9999999999999811E-3</v>
      </c>
      <c r="AF33" s="28">
        <f>L33-'Mar26'!L33</f>
        <v>-3.999999999999998E-2</v>
      </c>
      <c r="AG33" s="28">
        <f>N33-'Mar26'!N33</f>
        <v>1.9999999999999962E-2</v>
      </c>
      <c r="AH33" s="28">
        <f>P33-'Mar26'!P33</f>
        <v>0</v>
      </c>
      <c r="AI33" s="28">
        <f>R33-'Mar26'!R33</f>
        <v>0</v>
      </c>
      <c r="AK33" s="10">
        <f>I33-'Mar26'!I33</f>
        <v>-18335721</v>
      </c>
      <c r="AL33" s="76">
        <f>I33/'Mar26'!I33-1</f>
        <v>-4.0580760687310424E-2</v>
      </c>
    </row>
    <row r="34" spans="5:38" x14ac:dyDescent="0.25">
      <c r="F34" s="7">
        <f t="shared" si="3"/>
        <v>1</v>
      </c>
      <c r="H34" s="3" t="s">
        <v>44</v>
      </c>
      <c r="I34" s="84">
        <v>77600000</v>
      </c>
      <c r="J34" s="77">
        <v>0.15</v>
      </c>
      <c r="K34" s="78">
        <f t="shared" si="10"/>
        <v>11640000</v>
      </c>
      <c r="L34" s="77">
        <v>0.21</v>
      </c>
      <c r="M34" s="78">
        <f t="shared" si="11"/>
        <v>16296000</v>
      </c>
      <c r="N34" s="77">
        <v>0.49</v>
      </c>
      <c r="O34" s="78">
        <f t="shared" si="12"/>
        <v>38024000</v>
      </c>
      <c r="P34" s="77">
        <v>0.04</v>
      </c>
      <c r="Q34" s="78">
        <f t="shared" si="13"/>
        <v>3104000</v>
      </c>
      <c r="R34" s="77">
        <v>0.11</v>
      </c>
      <c r="S34" s="78">
        <f t="shared" si="14"/>
        <v>8536000</v>
      </c>
      <c r="T34" s="77">
        <v>0</v>
      </c>
      <c r="U34" s="78">
        <f t="shared" si="15"/>
        <v>0</v>
      </c>
      <c r="Y34" s="12">
        <f>K34-'Mar26'!K34</f>
        <v>8516000</v>
      </c>
      <c r="Z34" s="12">
        <f>M34-'Mar26'!M34</f>
        <v>-4010000</v>
      </c>
      <c r="AA34" s="12">
        <f>O34-'Mar26'!O34</f>
        <v>536000</v>
      </c>
      <c r="AB34" s="12">
        <f>Q34-'Mar26'!Q34</f>
        <v>-20000</v>
      </c>
      <c r="AC34" s="12">
        <f>+S34-'Mar26'!S34</f>
        <v>-5522000</v>
      </c>
      <c r="AE34" s="28">
        <f>J34-'Mar26'!J34</f>
        <v>0.10999999999999999</v>
      </c>
      <c r="AF34" s="28">
        <f>L34-'Mar26'!L34</f>
        <v>-5.0000000000000017E-2</v>
      </c>
      <c r="AG34" s="28">
        <f>N34-'Mar26'!N34</f>
        <v>1.0000000000000009E-2</v>
      </c>
      <c r="AH34" s="28">
        <f>P34-'Mar26'!P34</f>
        <v>0</v>
      </c>
      <c r="AI34" s="28">
        <f>R34-'Mar26'!R34</f>
        <v>-6.9999999999999993E-2</v>
      </c>
      <c r="AK34" s="10">
        <f>I34-'Mar26'!I34</f>
        <v>-500000</v>
      </c>
      <c r="AL34" s="76">
        <f>I34/'Mar26'!I34-1</f>
        <v>-6.4020486555698142E-3</v>
      </c>
    </row>
    <row r="35" spans="5:38" x14ac:dyDescent="0.25">
      <c r="F35" s="7">
        <f t="shared" si="3"/>
        <v>1</v>
      </c>
      <c r="H35" s="3" t="s">
        <v>66</v>
      </c>
      <c r="I35" s="84">
        <v>278500000</v>
      </c>
      <c r="J35" s="77">
        <v>0.02</v>
      </c>
      <c r="K35" s="78">
        <f t="shared" si="10"/>
        <v>5570000</v>
      </c>
      <c r="L35" s="77">
        <v>0</v>
      </c>
      <c r="M35" s="78">
        <f t="shared" si="11"/>
        <v>0</v>
      </c>
      <c r="N35" s="77">
        <v>0.38</v>
      </c>
      <c r="O35" s="78">
        <f t="shared" si="12"/>
        <v>105830000</v>
      </c>
      <c r="P35" s="77">
        <v>0.55000000000000004</v>
      </c>
      <c r="Q35" s="78">
        <f t="shared" si="13"/>
        <v>153175000</v>
      </c>
      <c r="R35" s="77">
        <v>0.05</v>
      </c>
      <c r="S35" s="78">
        <f t="shared" si="14"/>
        <v>13925000</v>
      </c>
      <c r="T35" s="77">
        <v>0</v>
      </c>
      <c r="U35" s="78">
        <f t="shared" si="15"/>
        <v>0</v>
      </c>
      <c r="Y35" s="12">
        <f>K35-'Mar26'!K35</f>
        <v>-11728520</v>
      </c>
      <c r="Z35" s="12">
        <f>M35-'Mar26'!M35</f>
        <v>-3052679.9999999991</v>
      </c>
      <c r="AA35" s="12">
        <f>O35-'Mar26'!O35</f>
        <v>-24417679.999999985</v>
      </c>
      <c r="AB35" s="12">
        <f>Q35-'Mar26'!Q35</f>
        <v>24962439.999999985</v>
      </c>
      <c r="AC35" s="12">
        <f>+S35-'Mar26'!S35</f>
        <v>-12531560</v>
      </c>
      <c r="AE35" s="28">
        <f>J35-'Mar26'!J35</f>
        <v>-3.6666666666666667E-2</v>
      </c>
      <c r="AF35" s="28">
        <f>L35-'Mar26'!L35</f>
        <v>-9.9999999999999967E-3</v>
      </c>
      <c r="AG35" s="28">
        <f>N35-'Mar26'!N35</f>
        <v>-4.6666666666666634E-2</v>
      </c>
      <c r="AH35" s="28">
        <f>P35-'Mar26'!P35</f>
        <v>0.13</v>
      </c>
      <c r="AI35" s="28">
        <f>R35-'Mar26'!R35</f>
        <v>-3.6666666666666667E-2</v>
      </c>
      <c r="AK35" s="10">
        <f>I35-'Mar26'!I35</f>
        <v>-26768000</v>
      </c>
      <c r="AL35" s="76">
        <f>I35/'Mar26'!I35-1</f>
        <v>-8.7686884966652223E-2</v>
      </c>
    </row>
    <row r="36" spans="5:38" s="8" customFormat="1" x14ac:dyDescent="0.25">
      <c r="E36"/>
      <c r="F36" s="7">
        <f t="shared" si="3"/>
        <v>1</v>
      </c>
      <c r="G36"/>
      <c r="H36" s="3" t="s">
        <v>45</v>
      </c>
      <c r="I36" s="17">
        <f>SUM(I30:I35)</f>
        <v>1364717970.7</v>
      </c>
      <c r="J36" s="15">
        <f>+K36/$I$36</f>
        <v>0.13348166971410425</v>
      </c>
      <c r="K36" s="17">
        <f>SUM(K30:K35)</f>
        <v>182164833.41788</v>
      </c>
      <c r="L36" s="15">
        <f>+M36/$I$36</f>
        <v>0.12056315389533984</v>
      </c>
      <c r="M36" s="17">
        <f>SUM(M30:M35)</f>
        <v>164534702.72523999</v>
      </c>
      <c r="N36" s="15">
        <f>+O36/$I$36</f>
        <v>0.42645836001676535</v>
      </c>
      <c r="O36" s="17">
        <f>SUM(O30:O35)</f>
        <v>581995387.67013001</v>
      </c>
      <c r="P36" s="15">
        <f>+Q36/$I$36</f>
        <v>0.21772266420265143</v>
      </c>
      <c r="Q36" s="17">
        <f>SUM(Q30:Q35)</f>
        <v>297130032.46604002</v>
      </c>
      <c r="R36" s="15">
        <f>+S36/$I$36</f>
        <v>6.032787721974562E-2</v>
      </c>
      <c r="S36" s="17">
        <f>SUM(S30:S35)</f>
        <v>82330538.175970003</v>
      </c>
      <c r="T36" s="15">
        <f>+U36/$I$36</f>
        <v>4.1446274951393511E-2</v>
      </c>
      <c r="U36" s="63">
        <f>SUM(U30:U35)</f>
        <v>56562476.244739994</v>
      </c>
      <c r="Y36" s="12">
        <f>K36-'Mar26'!K36</f>
        <v>3497848.4937149882</v>
      </c>
      <c r="Z36" s="12">
        <f>M36-'Mar26'!M36</f>
        <v>-33335374.220459998</v>
      </c>
      <c r="AA36" s="12">
        <f>O36-'Mar26'!O36</f>
        <v>-17056587.858255029</v>
      </c>
      <c r="AB36" s="12">
        <f>Q36-'Mar26'!Q36</f>
        <v>23097853.935025036</v>
      </c>
      <c r="AC36" s="12">
        <f>+S36-'Mar26'!S36</f>
        <v>-28647440.689135</v>
      </c>
      <c r="AE36" s="28">
        <f>J36-'Mar26'!J36</f>
        <v>4.5341390490111766E-3</v>
      </c>
      <c r="AF36" s="28">
        <f>L36-'Mar26'!L36</f>
        <v>-2.224363173150512E-2</v>
      </c>
      <c r="AG36" s="28">
        <f>N36-'Mar26'!N36</f>
        <v>-5.8894126689275628E-3</v>
      </c>
      <c r="AH36" s="28">
        <f>P36-'Mar26'!P36</f>
        <v>1.9948169047049297E-2</v>
      </c>
      <c r="AI36" s="28">
        <f>R36-'Mar26'!R36</f>
        <v>-1.9767146149749219E-2</v>
      </c>
      <c r="AK36" s="92">
        <f>I36-'Mar26'!I36</f>
        <v>-20860985.349999905</v>
      </c>
      <c r="AL36" s="76">
        <f>I36/'Mar26'!I36-1</f>
        <v>-1.5055789681932108E-2</v>
      </c>
    </row>
    <row r="37" spans="5:38" x14ac:dyDescent="0.25">
      <c r="F37" s="7"/>
    </row>
    <row r="38" spans="5:38" x14ac:dyDescent="0.25">
      <c r="F38" s="7"/>
      <c r="K38"/>
    </row>
    <row r="39" spans="5:38" x14ac:dyDescent="0.25">
      <c r="F39" s="7"/>
      <c r="J39" s="38"/>
    </row>
    <row r="40" spans="5:38" x14ac:dyDescent="0.25">
      <c r="F40" s="7"/>
      <c r="I40" s="30"/>
      <c r="J40" s="110">
        <f>J6-'Jan26'!J6</f>
        <v>0.11400000000000002</v>
      </c>
      <c r="K40" s="110">
        <f>K6-'Jan26'!K6</f>
        <v>406569824.4000001</v>
      </c>
      <c r="L40" s="110">
        <f>L6-'Jan26'!L6</f>
        <v>-7.400000000000001E-2</v>
      </c>
      <c r="M40" s="110">
        <f>M6-'Jan26'!M6</f>
        <v>-350225065.20000005</v>
      </c>
      <c r="N40" s="110">
        <f>N6-'Jan26'!N6</f>
        <v>-4.0999999999999981E-2</v>
      </c>
      <c r="O40" s="110">
        <f>O6-'Jan26'!O6</f>
        <v>-241520685</v>
      </c>
      <c r="P40" s="110">
        <f>P6-'Jan26'!P6</f>
        <v>7.9999999999999932E-3</v>
      </c>
      <c r="Q40" s="110">
        <f>Q6-'Jan26'!Q6</f>
        <v>17714644.799999982</v>
      </c>
      <c r="R40" s="110">
        <f>R6-'Jan26'!R6</f>
        <v>0</v>
      </c>
      <c r="S40" s="110">
        <f>S6-'Jan26'!S6</f>
        <v>0</v>
      </c>
      <c r="T40" s="110">
        <f>T6-'Jan26'!T6</f>
        <v>-6.9999999999999993E-3</v>
      </c>
    </row>
    <row r="41" spans="5:38" x14ac:dyDescent="0.25">
      <c r="F41" s="7"/>
      <c r="I41" s="37"/>
      <c r="J41" s="111">
        <f>J40/3</f>
        <v>3.8000000000000006E-2</v>
      </c>
      <c r="K41" s="111">
        <f t="shared" ref="K41:T41" si="16">K40/3</f>
        <v>135523274.80000004</v>
      </c>
      <c r="L41" s="111">
        <f t="shared" si="16"/>
        <v>-2.466666666666667E-2</v>
      </c>
      <c r="M41" s="111">
        <f t="shared" si="16"/>
        <v>-116741688.40000002</v>
      </c>
      <c r="N41" s="111">
        <f t="shared" si="16"/>
        <v>-1.366666666666666E-2</v>
      </c>
      <c r="O41" s="111">
        <f t="shared" si="16"/>
        <v>-80506895</v>
      </c>
      <c r="P41" s="111">
        <f t="shared" si="16"/>
        <v>2.6666666666666644E-3</v>
      </c>
      <c r="Q41" s="111">
        <f t="shared" si="16"/>
        <v>5904881.599999994</v>
      </c>
      <c r="R41" s="111">
        <f t="shared" si="16"/>
        <v>0</v>
      </c>
      <c r="S41" s="111">
        <f t="shared" si="16"/>
        <v>0</v>
      </c>
      <c r="T41" s="111">
        <f t="shared" si="16"/>
        <v>-2.3333333333333331E-3</v>
      </c>
    </row>
    <row r="42" spans="5:38" x14ac:dyDescent="0.25">
      <c r="F42" s="7"/>
      <c r="I42" s="37"/>
      <c r="J42" s="35"/>
    </row>
    <row r="43" spans="5:38" x14ac:dyDescent="0.25">
      <c r="F43" s="7"/>
      <c r="I43" s="37"/>
      <c r="J43" s="35"/>
    </row>
    <row r="44" spans="5:38" x14ac:dyDescent="0.25">
      <c r="F44" s="7"/>
      <c r="I44" s="37"/>
      <c r="J44" s="35"/>
    </row>
    <row r="45" spans="5:38" x14ac:dyDescent="0.25">
      <c r="F45" s="7"/>
      <c r="I45" s="37"/>
      <c r="J45" s="35"/>
      <c r="K45" s="37"/>
    </row>
    <row r="46" spans="5:38" x14ac:dyDescent="0.25">
      <c r="F46" s="7"/>
      <c r="I46" s="37"/>
      <c r="J46" s="35"/>
    </row>
    <row r="47" spans="5:38" x14ac:dyDescent="0.25">
      <c r="F47" s="7"/>
      <c r="I47" s="37"/>
      <c r="J47" s="35"/>
    </row>
    <row r="48" spans="5:38" x14ac:dyDescent="0.25">
      <c r="F48" s="7"/>
      <c r="I48" s="37"/>
      <c r="J48" s="35"/>
    </row>
    <row r="49" spans="9:10" x14ac:dyDescent="0.25">
      <c r="I49" s="37"/>
      <c r="J49" s="35"/>
    </row>
    <row r="50" spans="9:10" x14ac:dyDescent="0.25">
      <c r="I50" s="37"/>
      <c r="J50" s="35"/>
    </row>
    <row r="51" spans="9:10" x14ac:dyDescent="0.25">
      <c r="I51" s="37"/>
      <c r="J51" s="35"/>
    </row>
    <row r="52" spans="9:10" x14ac:dyDescent="0.25">
      <c r="I52" s="37"/>
      <c r="J52" s="35"/>
    </row>
    <row r="53" spans="9:10" x14ac:dyDescent="0.25">
      <c r="I53" s="37"/>
      <c r="J53" s="35"/>
    </row>
    <row r="54" spans="9:10" x14ac:dyDescent="0.25">
      <c r="I54" s="37"/>
      <c r="J54" s="35"/>
    </row>
    <row r="55" spans="9:10" x14ac:dyDescent="0.25">
      <c r="I55" s="37"/>
      <c r="J55" s="35"/>
    </row>
    <row r="56" spans="9:10" x14ac:dyDescent="0.25">
      <c r="I56" s="37"/>
      <c r="J56" s="35"/>
    </row>
    <row r="57" spans="9:10" x14ac:dyDescent="0.25">
      <c r="I57" s="37"/>
      <c r="J57" s="35"/>
    </row>
    <row r="58" spans="9:10" x14ac:dyDescent="0.25">
      <c r="I58" s="37"/>
      <c r="J58" s="35"/>
    </row>
    <row r="59" spans="9:10" x14ac:dyDescent="0.25">
      <c r="I59" s="37"/>
      <c r="J59" s="35"/>
    </row>
    <row r="60" spans="9:10" x14ac:dyDescent="0.25">
      <c r="I60" s="37"/>
      <c r="J60" s="35"/>
    </row>
    <row r="61" spans="9:10" x14ac:dyDescent="0.25">
      <c r="I61" s="37"/>
      <c r="J61" s="35"/>
    </row>
    <row r="62" spans="9:10" x14ac:dyDescent="0.25">
      <c r="I62" s="37"/>
      <c r="J62" s="35"/>
    </row>
    <row r="63" spans="9:10" x14ac:dyDescent="0.25">
      <c r="I63" s="37"/>
      <c r="J63" s="35"/>
    </row>
    <row r="64" spans="9:10" x14ac:dyDescent="0.25">
      <c r="I64" s="37"/>
      <c r="J64" s="35"/>
    </row>
    <row r="65" spans="9:10" x14ac:dyDescent="0.25">
      <c r="I65" s="37"/>
      <c r="J65" s="35"/>
    </row>
    <row r="66" spans="9:10" x14ac:dyDescent="0.25">
      <c r="I66" s="37"/>
      <c r="J66" s="35"/>
    </row>
    <row r="67" spans="9:10" x14ac:dyDescent="0.25">
      <c r="I67" s="37"/>
      <c r="J67" s="35"/>
    </row>
    <row r="68" spans="9:10" x14ac:dyDescent="0.25">
      <c r="I68" s="37"/>
      <c r="J68" s="35"/>
    </row>
    <row r="69" spans="9:10" x14ac:dyDescent="0.25">
      <c r="I69" s="37"/>
      <c r="J69" s="35"/>
    </row>
    <row r="70" spans="9:10" x14ac:dyDescent="0.25">
      <c r="I70" s="37"/>
      <c r="J70" s="35"/>
    </row>
    <row r="71" spans="9:10" x14ac:dyDescent="0.25">
      <c r="I71" s="37"/>
      <c r="J71" s="35"/>
    </row>
    <row r="72" spans="9:10" x14ac:dyDescent="0.25">
      <c r="I72" s="37"/>
      <c r="J72" s="35"/>
    </row>
    <row r="73" spans="9:10" x14ac:dyDescent="0.25">
      <c r="I73" s="37"/>
      <c r="J73" s="35"/>
    </row>
    <row r="74" spans="9:10" x14ac:dyDescent="0.25">
      <c r="I74" s="37"/>
      <c r="J74" s="35"/>
    </row>
    <row r="75" spans="9:10" x14ac:dyDescent="0.25">
      <c r="I75" s="37"/>
      <c r="J75" s="35"/>
    </row>
    <row r="76" spans="9:10" x14ac:dyDescent="0.25">
      <c r="I76" s="37"/>
      <c r="J76" s="35"/>
    </row>
    <row r="77" spans="9:10" x14ac:dyDescent="0.25">
      <c r="I77" s="37"/>
      <c r="J77" s="35"/>
    </row>
    <row r="78" spans="9:10" x14ac:dyDescent="0.25">
      <c r="I78" s="37"/>
      <c r="J78" s="35"/>
    </row>
    <row r="79" spans="9:10" x14ac:dyDescent="0.25">
      <c r="I79" s="37"/>
      <c r="J79" s="35"/>
    </row>
    <row r="80" spans="9:10" x14ac:dyDescent="0.25">
      <c r="I80" s="37"/>
      <c r="J80" s="35"/>
    </row>
    <row r="81" spans="9:10" x14ac:dyDescent="0.25">
      <c r="I81" s="37"/>
      <c r="J81" s="35"/>
    </row>
    <row r="82" spans="9:10" x14ac:dyDescent="0.25">
      <c r="I82" s="37"/>
      <c r="J82" s="35"/>
    </row>
    <row r="83" spans="9:10" x14ac:dyDescent="0.25">
      <c r="I83" s="37"/>
      <c r="J83" s="35"/>
    </row>
    <row r="84" spans="9:10" x14ac:dyDescent="0.25">
      <c r="I84" s="37"/>
      <c r="J84" s="35"/>
    </row>
    <row r="85" spans="9:10" x14ac:dyDescent="0.25">
      <c r="I85" s="37"/>
      <c r="J85" s="35"/>
    </row>
    <row r="86" spans="9:10" x14ac:dyDescent="0.25">
      <c r="I86" s="37"/>
      <c r="J86" s="35"/>
    </row>
    <row r="87" spans="9:10" x14ac:dyDescent="0.25">
      <c r="I87" s="37"/>
      <c r="J87" s="35"/>
    </row>
    <row r="88" spans="9:10" x14ac:dyDescent="0.25">
      <c r="I88" s="37"/>
      <c r="J88" s="35"/>
    </row>
    <row r="89" spans="9:10" x14ac:dyDescent="0.25">
      <c r="I89" s="37"/>
      <c r="J89" s="35"/>
    </row>
    <row r="90" spans="9:10" x14ac:dyDescent="0.25">
      <c r="I90" s="37"/>
      <c r="J90" s="35"/>
    </row>
    <row r="91" spans="9:10" x14ac:dyDescent="0.25">
      <c r="I91" s="37"/>
      <c r="J91" s="35"/>
    </row>
    <row r="92" spans="9:10" x14ac:dyDescent="0.25">
      <c r="I92" s="37"/>
      <c r="J92" s="35"/>
    </row>
    <row r="93" spans="9:10" x14ac:dyDescent="0.25">
      <c r="I93" s="37"/>
      <c r="J93" s="35"/>
    </row>
    <row r="94" spans="9:10" x14ac:dyDescent="0.25">
      <c r="I94" s="37"/>
      <c r="J94" s="35"/>
    </row>
    <row r="95" spans="9:10" x14ac:dyDescent="0.25">
      <c r="I95" s="37"/>
      <c r="J95" s="35"/>
    </row>
    <row r="96" spans="9:10" x14ac:dyDescent="0.25">
      <c r="I96" s="37"/>
      <c r="J96" s="35"/>
    </row>
    <row r="97" spans="9:10" x14ac:dyDescent="0.25">
      <c r="I97" s="37"/>
      <c r="J97" s="35"/>
    </row>
    <row r="98" spans="9:10" x14ac:dyDescent="0.25">
      <c r="I98" s="37"/>
      <c r="J98" s="35"/>
    </row>
    <row r="99" spans="9:10" x14ac:dyDescent="0.25">
      <c r="I99" s="37"/>
      <c r="J99" s="35"/>
    </row>
    <row r="100" spans="9:10" x14ac:dyDescent="0.25">
      <c r="I100" s="37"/>
      <c r="J100" s="35"/>
    </row>
    <row r="101" spans="9:10" x14ac:dyDescent="0.25">
      <c r="I101" s="37"/>
      <c r="J101" s="35"/>
    </row>
    <row r="102" spans="9:10" x14ac:dyDescent="0.25">
      <c r="I102" s="37"/>
      <c r="J102" s="35"/>
    </row>
    <row r="103" spans="9:10" x14ac:dyDescent="0.25">
      <c r="I103" s="37"/>
      <c r="J103" s="35"/>
    </row>
    <row r="104" spans="9:10" x14ac:dyDescent="0.25">
      <c r="I104" s="37"/>
      <c r="J104" s="35"/>
    </row>
    <row r="105" spans="9:10" x14ac:dyDescent="0.25">
      <c r="I105" s="37"/>
      <c r="J105" s="35"/>
    </row>
    <row r="106" spans="9:10" x14ac:dyDescent="0.25">
      <c r="I106" s="37"/>
      <c r="J106" s="35"/>
    </row>
    <row r="107" spans="9:10" x14ac:dyDescent="0.25">
      <c r="I107" s="37"/>
      <c r="J107" s="35"/>
    </row>
    <row r="108" spans="9:10" x14ac:dyDescent="0.25">
      <c r="I108" s="37"/>
      <c r="J108" s="35"/>
    </row>
    <row r="109" spans="9:10" x14ac:dyDescent="0.25">
      <c r="I109" s="37"/>
      <c r="J109" s="35"/>
    </row>
    <row r="110" spans="9:10" x14ac:dyDescent="0.25">
      <c r="I110" s="37"/>
      <c r="J110" s="35"/>
    </row>
    <row r="111" spans="9:10" x14ac:dyDescent="0.25">
      <c r="I111" s="37"/>
      <c r="J111" s="35"/>
    </row>
    <row r="112" spans="9:10" x14ac:dyDescent="0.25">
      <c r="I112" s="37"/>
      <c r="J112" s="35"/>
    </row>
    <row r="113" spans="9:10" x14ac:dyDescent="0.25">
      <c r="I113" s="37"/>
      <c r="J113" s="35"/>
    </row>
    <row r="114" spans="9:10" x14ac:dyDescent="0.25">
      <c r="I114" s="37"/>
      <c r="J114" s="35"/>
    </row>
    <row r="115" spans="9:10" x14ac:dyDescent="0.25">
      <c r="I115" s="37"/>
      <c r="J115" s="35"/>
    </row>
    <row r="116" spans="9:10" x14ac:dyDescent="0.25">
      <c r="I116" s="37"/>
      <c r="J116" s="35"/>
    </row>
    <row r="117" spans="9:10" x14ac:dyDescent="0.25">
      <c r="I117" s="37"/>
      <c r="J117" s="35"/>
    </row>
    <row r="118" spans="9:10" x14ac:dyDescent="0.25">
      <c r="I118" s="37"/>
      <c r="J118" s="35"/>
    </row>
    <row r="119" spans="9:10" x14ac:dyDescent="0.25">
      <c r="I119" s="37"/>
      <c r="J119" s="35"/>
    </row>
    <row r="120" spans="9:10" x14ac:dyDescent="0.25">
      <c r="I120" s="37"/>
      <c r="J120" s="35"/>
    </row>
    <row r="121" spans="9:10" x14ac:dyDescent="0.25">
      <c r="I121" s="37"/>
      <c r="J121" s="35"/>
    </row>
    <row r="122" spans="9:10" x14ac:dyDescent="0.25">
      <c r="I122" s="37"/>
      <c r="J122" s="35"/>
    </row>
    <row r="123" spans="9:10" x14ac:dyDescent="0.25">
      <c r="I123" s="37"/>
      <c r="J123" s="35"/>
    </row>
    <row r="124" spans="9:10" x14ac:dyDescent="0.25">
      <c r="I124" s="37"/>
      <c r="J124" s="35"/>
    </row>
    <row r="125" spans="9:10" x14ac:dyDescent="0.25">
      <c r="I125" s="37"/>
      <c r="J125" s="35"/>
    </row>
    <row r="126" spans="9:10" x14ac:dyDescent="0.25">
      <c r="I126" s="37"/>
      <c r="J126" s="35"/>
    </row>
    <row r="127" spans="9:10" x14ac:dyDescent="0.25">
      <c r="I127" s="37"/>
      <c r="J127" s="35"/>
    </row>
    <row r="128" spans="9:10" x14ac:dyDescent="0.25">
      <c r="I128" s="37"/>
      <c r="J128" s="35"/>
    </row>
    <row r="129" spans="9:10" x14ac:dyDescent="0.25">
      <c r="I129" s="37"/>
      <c r="J129" s="35"/>
    </row>
    <row r="130" spans="9:10" x14ac:dyDescent="0.25">
      <c r="I130" s="37"/>
      <c r="J130" s="35"/>
    </row>
    <row r="131" spans="9:10" x14ac:dyDescent="0.25">
      <c r="I131" s="37"/>
      <c r="J131" s="35"/>
    </row>
    <row r="132" spans="9:10" x14ac:dyDescent="0.25">
      <c r="I132" s="37"/>
      <c r="J132" s="35"/>
    </row>
    <row r="133" spans="9:10" x14ac:dyDescent="0.25">
      <c r="I133" s="37"/>
      <c r="J133" s="35"/>
    </row>
    <row r="134" spans="9:10" x14ac:dyDescent="0.25">
      <c r="I134" s="37"/>
      <c r="J134" s="35"/>
    </row>
    <row r="135" spans="9:10" x14ac:dyDescent="0.25">
      <c r="I135" s="37"/>
      <c r="J135" s="35"/>
    </row>
    <row r="136" spans="9:10" x14ac:dyDescent="0.25">
      <c r="I136" s="37"/>
      <c r="J136" s="35"/>
    </row>
    <row r="137" spans="9:10" x14ac:dyDescent="0.25">
      <c r="I137" s="37"/>
      <c r="J137" s="35"/>
    </row>
    <row r="138" spans="9:10" x14ac:dyDescent="0.25">
      <c r="I138" s="37"/>
      <c r="J138" s="35"/>
    </row>
    <row r="139" spans="9:10" x14ac:dyDescent="0.25">
      <c r="I139" s="37"/>
      <c r="J139" s="35"/>
    </row>
    <row r="140" spans="9:10" x14ac:dyDescent="0.25">
      <c r="I140" s="37"/>
      <c r="J140" s="35"/>
    </row>
    <row r="141" spans="9:10" x14ac:dyDescent="0.25">
      <c r="I141" s="37"/>
      <c r="J141" s="35"/>
    </row>
    <row r="142" spans="9:10" x14ac:dyDescent="0.25">
      <c r="I142" s="37"/>
      <c r="J142" s="35"/>
    </row>
    <row r="143" spans="9:10" x14ac:dyDescent="0.25">
      <c r="I143" s="37"/>
      <c r="J143" s="35"/>
    </row>
    <row r="144" spans="9:10" x14ac:dyDescent="0.25">
      <c r="I144" s="37"/>
      <c r="J144" s="35"/>
    </row>
    <row r="145" spans="9:10" x14ac:dyDescent="0.25">
      <c r="I145" s="37"/>
      <c r="J145" s="35"/>
    </row>
    <row r="146" spans="9:10" x14ac:dyDescent="0.25">
      <c r="I146" s="37"/>
      <c r="J146" s="35"/>
    </row>
    <row r="147" spans="9:10" x14ac:dyDescent="0.25">
      <c r="I147" s="37"/>
      <c r="J147" s="35"/>
    </row>
    <row r="148" spans="9:10" x14ac:dyDescent="0.25">
      <c r="I148" s="37"/>
      <c r="J148" s="35"/>
    </row>
    <row r="149" spans="9:10" x14ac:dyDescent="0.25">
      <c r="I149" s="37"/>
      <c r="J149" s="35"/>
    </row>
    <row r="150" spans="9:10" x14ac:dyDescent="0.25">
      <c r="I150" s="37"/>
      <c r="J150" s="35"/>
    </row>
    <row r="151" spans="9:10" x14ac:dyDescent="0.25">
      <c r="I151" s="37"/>
      <c r="J151" s="35"/>
    </row>
    <row r="152" spans="9:10" x14ac:dyDescent="0.25">
      <c r="I152" s="37"/>
      <c r="J152" s="35"/>
    </row>
    <row r="153" spans="9:10" x14ac:dyDescent="0.25">
      <c r="I153" s="37"/>
      <c r="J153" s="35"/>
    </row>
    <row r="154" spans="9:10" x14ac:dyDescent="0.25">
      <c r="I154" s="37"/>
      <c r="J154" s="35"/>
    </row>
    <row r="155" spans="9:10" x14ac:dyDescent="0.25">
      <c r="I155" s="37"/>
      <c r="J155" s="35"/>
    </row>
    <row r="156" spans="9:10" x14ac:dyDescent="0.25">
      <c r="I156" s="37"/>
      <c r="J156" s="35"/>
    </row>
    <row r="157" spans="9:10" x14ac:dyDescent="0.25">
      <c r="I157" s="37"/>
      <c r="J157" s="35"/>
    </row>
    <row r="158" spans="9:10" x14ac:dyDescent="0.25">
      <c r="I158" s="37"/>
      <c r="J158" s="35"/>
    </row>
    <row r="159" spans="9:10" x14ac:dyDescent="0.25">
      <c r="I159" s="37"/>
      <c r="J159" s="35"/>
    </row>
    <row r="160" spans="9:10" x14ac:dyDescent="0.25">
      <c r="I160" s="37"/>
      <c r="J160" s="35"/>
    </row>
    <row r="161" spans="9:10" x14ac:dyDescent="0.25">
      <c r="I161" s="37"/>
      <c r="J161" s="35"/>
    </row>
    <row r="162" spans="9:10" x14ac:dyDescent="0.25">
      <c r="I162" s="37"/>
      <c r="J162" s="35"/>
    </row>
    <row r="163" spans="9:10" x14ac:dyDescent="0.25">
      <c r="I163" s="37"/>
      <c r="J163" s="35"/>
    </row>
    <row r="164" spans="9:10" x14ac:dyDescent="0.25">
      <c r="I164" s="37"/>
      <c r="J164" s="35"/>
    </row>
    <row r="165" spans="9:10" x14ac:dyDescent="0.25">
      <c r="I165" s="37"/>
      <c r="J165" s="35"/>
    </row>
    <row r="166" spans="9:10" x14ac:dyDescent="0.25">
      <c r="I166" s="37"/>
      <c r="J166" s="35"/>
    </row>
    <row r="167" spans="9:10" x14ac:dyDescent="0.25">
      <c r="I167" s="37"/>
      <c r="J167" s="35"/>
    </row>
    <row r="168" spans="9:10" x14ac:dyDescent="0.25">
      <c r="I168" s="37"/>
      <c r="J168" s="35"/>
    </row>
    <row r="169" spans="9:10" x14ac:dyDescent="0.25">
      <c r="I169" s="37"/>
      <c r="J169" s="35"/>
    </row>
    <row r="170" spans="9:10" x14ac:dyDescent="0.25">
      <c r="I170" s="37"/>
      <c r="J170" s="35"/>
    </row>
    <row r="171" spans="9:10" x14ac:dyDescent="0.25">
      <c r="I171" s="37"/>
      <c r="J171" s="35"/>
    </row>
    <row r="172" spans="9:10" x14ac:dyDescent="0.25">
      <c r="I172" s="37"/>
      <c r="J172" s="35"/>
    </row>
    <row r="173" spans="9:10" x14ac:dyDescent="0.25">
      <c r="I173" s="37"/>
      <c r="J173" s="35"/>
    </row>
    <row r="174" spans="9:10" x14ac:dyDescent="0.25">
      <c r="I174" s="37"/>
      <c r="J174" s="35"/>
    </row>
    <row r="175" spans="9:10" x14ac:dyDescent="0.25">
      <c r="I175" s="37"/>
      <c r="J175" s="35"/>
    </row>
    <row r="176" spans="9:10" x14ac:dyDescent="0.25">
      <c r="I176" s="37"/>
      <c r="J176" s="35"/>
    </row>
    <row r="177" spans="9:10" x14ac:dyDescent="0.25">
      <c r="I177" s="37"/>
      <c r="J177" s="35"/>
    </row>
    <row r="178" spans="9:10" x14ac:dyDescent="0.25">
      <c r="I178" s="37"/>
      <c r="J178" s="35"/>
    </row>
    <row r="179" spans="9:10" x14ac:dyDescent="0.25">
      <c r="I179" s="37"/>
      <c r="J179" s="35"/>
    </row>
    <row r="180" spans="9:10" x14ac:dyDescent="0.25">
      <c r="I180" s="37"/>
      <c r="J180" s="35"/>
    </row>
    <row r="181" spans="9:10" x14ac:dyDescent="0.25">
      <c r="I181" s="37"/>
      <c r="J181" s="35"/>
    </row>
    <row r="182" spans="9:10" x14ac:dyDescent="0.25">
      <c r="I182" s="37"/>
      <c r="J182" s="35"/>
    </row>
    <row r="183" spans="9:10" x14ac:dyDescent="0.25">
      <c r="I183" s="37"/>
      <c r="J183" s="35"/>
    </row>
    <row r="184" spans="9:10" x14ac:dyDescent="0.25">
      <c r="I184" s="37"/>
      <c r="J184" s="35"/>
    </row>
    <row r="185" spans="9:10" x14ac:dyDescent="0.25">
      <c r="I185" s="37"/>
      <c r="J185" s="35"/>
    </row>
    <row r="186" spans="9:10" x14ac:dyDescent="0.25">
      <c r="I186" s="37"/>
      <c r="J186" s="35"/>
    </row>
    <row r="187" spans="9:10" x14ac:dyDescent="0.25">
      <c r="I187" s="37"/>
      <c r="J187" s="35"/>
    </row>
    <row r="188" spans="9:10" x14ac:dyDescent="0.25">
      <c r="I188" s="37"/>
      <c r="J188" s="35"/>
    </row>
    <row r="189" spans="9:10" x14ac:dyDescent="0.25">
      <c r="I189" s="37"/>
      <c r="J189" s="35"/>
    </row>
    <row r="190" spans="9:10" x14ac:dyDescent="0.25">
      <c r="I190" s="37"/>
      <c r="J190" s="35"/>
    </row>
    <row r="191" spans="9:10" x14ac:dyDescent="0.25">
      <c r="I191" s="37"/>
      <c r="J191" s="35"/>
    </row>
    <row r="192" spans="9:10" x14ac:dyDescent="0.25">
      <c r="I192" s="37"/>
      <c r="J192" s="35"/>
    </row>
    <row r="193" spans="9:10" x14ac:dyDescent="0.25">
      <c r="I193" s="37"/>
      <c r="J193" s="35"/>
    </row>
    <row r="194" spans="9:10" x14ac:dyDescent="0.25">
      <c r="I194" s="37"/>
      <c r="J194" s="35"/>
    </row>
    <row r="195" spans="9:10" x14ac:dyDescent="0.25">
      <c r="I195" s="37"/>
      <c r="J195" s="35"/>
    </row>
    <row r="196" spans="9:10" x14ac:dyDescent="0.25">
      <c r="I196" s="37"/>
      <c r="J196" s="35"/>
    </row>
    <row r="197" spans="9:10" x14ac:dyDescent="0.25">
      <c r="I197" s="37"/>
      <c r="J197" s="35"/>
    </row>
    <row r="198" spans="9:10" x14ac:dyDescent="0.25">
      <c r="I198" s="37"/>
      <c r="J198" s="35"/>
    </row>
    <row r="199" spans="9:10" x14ac:dyDescent="0.25">
      <c r="I199" s="37"/>
      <c r="J199" s="35"/>
    </row>
    <row r="200" spans="9:10" x14ac:dyDescent="0.25">
      <c r="I200" s="37"/>
      <c r="J200" s="35"/>
    </row>
    <row r="201" spans="9:10" x14ac:dyDescent="0.25">
      <c r="I201" s="37"/>
      <c r="J201" s="35"/>
    </row>
    <row r="202" spans="9:10" x14ac:dyDescent="0.25">
      <c r="I202" s="37"/>
      <c r="J202" s="35"/>
    </row>
    <row r="203" spans="9:10" x14ac:dyDescent="0.25">
      <c r="I203" s="37"/>
      <c r="J203" s="35"/>
    </row>
    <row r="204" spans="9:10" x14ac:dyDescent="0.25">
      <c r="I204" s="37"/>
      <c r="J204" s="35"/>
    </row>
    <row r="205" spans="9:10" x14ac:dyDescent="0.25">
      <c r="I205" s="37"/>
      <c r="J205" s="35"/>
    </row>
    <row r="206" spans="9:10" x14ac:dyDescent="0.25">
      <c r="I206" s="37"/>
      <c r="J206" s="35"/>
    </row>
    <row r="207" spans="9:10" x14ac:dyDescent="0.25">
      <c r="I207" s="37"/>
      <c r="J207" s="35"/>
    </row>
    <row r="208" spans="9:10" x14ac:dyDescent="0.25">
      <c r="I208" s="37"/>
      <c r="J208" s="35"/>
    </row>
    <row r="209" spans="9:10" x14ac:dyDescent="0.25">
      <c r="I209" s="37"/>
      <c r="J209" s="35"/>
    </row>
    <row r="210" spans="9:10" x14ac:dyDescent="0.25">
      <c r="I210" s="37"/>
      <c r="J210" s="35"/>
    </row>
    <row r="211" spans="9:10" x14ac:dyDescent="0.25">
      <c r="I211" s="37"/>
      <c r="J211" s="35"/>
    </row>
    <row r="212" spans="9:10" x14ac:dyDescent="0.25">
      <c r="I212" s="37"/>
      <c r="J212" s="35"/>
    </row>
    <row r="213" spans="9:10" x14ac:dyDescent="0.25">
      <c r="I213" s="37"/>
      <c r="J213" s="35"/>
    </row>
    <row r="214" spans="9:10" x14ac:dyDescent="0.25">
      <c r="I214" s="37"/>
      <c r="J214" s="35"/>
    </row>
    <row r="215" spans="9:10" x14ac:dyDescent="0.25">
      <c r="I215" s="37"/>
      <c r="J215" s="35"/>
    </row>
    <row r="216" spans="9:10" x14ac:dyDescent="0.25">
      <c r="I216" s="37"/>
      <c r="J216" s="35"/>
    </row>
    <row r="217" spans="9:10" x14ac:dyDescent="0.25">
      <c r="I217" s="37"/>
      <c r="J217" s="35"/>
    </row>
    <row r="218" spans="9:10" x14ac:dyDescent="0.25">
      <c r="I218" s="37"/>
      <c r="J218" s="35"/>
    </row>
    <row r="219" spans="9:10" x14ac:dyDescent="0.25">
      <c r="I219" s="37"/>
      <c r="J219" s="35"/>
    </row>
    <row r="220" spans="9:10" x14ac:dyDescent="0.25">
      <c r="I220" s="37"/>
      <c r="J220" s="35"/>
    </row>
    <row r="221" spans="9:10" x14ac:dyDescent="0.25">
      <c r="I221" s="37"/>
      <c r="J221" s="35"/>
    </row>
    <row r="222" spans="9:10" x14ac:dyDescent="0.25">
      <c r="I222" s="37"/>
      <c r="J222" s="35"/>
    </row>
    <row r="223" spans="9:10" x14ac:dyDescent="0.25">
      <c r="I223" s="37"/>
      <c r="J223" s="35"/>
    </row>
    <row r="224" spans="9:10" x14ac:dyDescent="0.25">
      <c r="I224" s="37"/>
      <c r="J224" s="35"/>
    </row>
    <row r="225" spans="9:10" x14ac:dyDescent="0.25">
      <c r="I225" s="37"/>
      <c r="J225" s="35"/>
    </row>
    <row r="226" spans="9:10" x14ac:dyDescent="0.25">
      <c r="I226" s="37"/>
      <c r="J226" s="35"/>
    </row>
    <row r="227" spans="9:10" x14ac:dyDescent="0.25">
      <c r="I227" s="37"/>
      <c r="J227" s="35"/>
    </row>
    <row r="228" spans="9:10" x14ac:dyDescent="0.25">
      <c r="I228" s="37"/>
      <c r="J228" s="35"/>
    </row>
    <row r="229" spans="9:10" x14ac:dyDescent="0.25">
      <c r="I229" s="37"/>
      <c r="J229" s="35"/>
    </row>
    <row r="230" spans="9:10" x14ac:dyDescent="0.25">
      <c r="I230" s="37"/>
      <c r="J230" s="35"/>
    </row>
    <row r="231" spans="9:10" x14ac:dyDescent="0.25">
      <c r="I231" s="37"/>
      <c r="J231" s="35"/>
    </row>
    <row r="232" spans="9:10" x14ac:dyDescent="0.25">
      <c r="I232" s="37"/>
      <c r="J232" s="35"/>
    </row>
    <row r="233" spans="9:10" x14ac:dyDescent="0.25">
      <c r="I233" s="37"/>
      <c r="J233" s="35"/>
    </row>
    <row r="234" spans="9:10" x14ac:dyDescent="0.25">
      <c r="I234" s="37"/>
      <c r="J234" s="35"/>
    </row>
    <row r="235" spans="9:10" x14ac:dyDescent="0.25">
      <c r="I235" s="37"/>
      <c r="J235" s="35"/>
    </row>
    <row r="236" spans="9:10" x14ac:dyDescent="0.25">
      <c r="I236" s="37"/>
      <c r="J236" s="35"/>
    </row>
    <row r="237" spans="9:10" x14ac:dyDescent="0.25">
      <c r="I237" s="37"/>
      <c r="J237" s="35"/>
    </row>
    <row r="238" spans="9:10" x14ac:dyDescent="0.25">
      <c r="I238" s="37"/>
      <c r="J238" s="35"/>
    </row>
    <row r="239" spans="9:10" x14ac:dyDescent="0.25">
      <c r="I239" s="37"/>
      <c r="J239" s="35"/>
    </row>
    <row r="240" spans="9:10" x14ac:dyDescent="0.25">
      <c r="I240" s="37"/>
      <c r="J240" s="35"/>
    </row>
    <row r="241" spans="9:10" x14ac:dyDescent="0.25">
      <c r="I241" s="37"/>
      <c r="J241" s="35"/>
    </row>
    <row r="242" spans="9:10" x14ac:dyDescent="0.25">
      <c r="I242" s="37"/>
      <c r="J242" s="35"/>
    </row>
    <row r="243" spans="9:10" x14ac:dyDescent="0.25">
      <c r="I243" s="37"/>
      <c r="J243" s="35"/>
    </row>
    <row r="244" spans="9:10" x14ac:dyDescent="0.25">
      <c r="I244" s="37"/>
      <c r="J244" s="35"/>
    </row>
    <row r="245" spans="9:10" x14ac:dyDescent="0.25">
      <c r="I245" s="37"/>
      <c r="J245" s="35"/>
    </row>
    <row r="246" spans="9:10" x14ac:dyDescent="0.25">
      <c r="I246" s="37"/>
      <c r="J246" s="35"/>
    </row>
    <row r="247" spans="9:10" x14ac:dyDescent="0.25">
      <c r="I247" s="37"/>
      <c r="J247" s="35"/>
    </row>
    <row r="248" spans="9:10" x14ac:dyDescent="0.25">
      <c r="I248" s="37"/>
      <c r="J248" s="35"/>
    </row>
    <row r="249" spans="9:10" x14ac:dyDescent="0.25">
      <c r="I249" s="37"/>
      <c r="J249" s="35"/>
    </row>
    <row r="250" spans="9:10" x14ac:dyDescent="0.25">
      <c r="I250" s="37"/>
      <c r="J250" s="35"/>
    </row>
    <row r="251" spans="9:10" x14ac:dyDescent="0.25">
      <c r="I251" s="37"/>
      <c r="J251" s="35"/>
    </row>
    <row r="252" spans="9:10" x14ac:dyDescent="0.25">
      <c r="I252" s="37"/>
      <c r="J252" s="35"/>
    </row>
    <row r="253" spans="9:10" x14ac:dyDescent="0.25">
      <c r="I253" s="37"/>
      <c r="J253" s="35"/>
    </row>
    <row r="254" spans="9:10" x14ac:dyDescent="0.25">
      <c r="I254" s="37"/>
      <c r="J254" s="35"/>
    </row>
    <row r="255" spans="9:10" x14ac:dyDescent="0.25">
      <c r="I255" s="37"/>
      <c r="J255" s="35"/>
    </row>
    <row r="256" spans="9:10" x14ac:dyDescent="0.25">
      <c r="I256" s="37"/>
      <c r="J256" s="35"/>
    </row>
    <row r="257" spans="9:10" x14ac:dyDescent="0.25">
      <c r="I257" s="37"/>
      <c r="J257" s="35"/>
    </row>
    <row r="258" spans="9:10" x14ac:dyDescent="0.25">
      <c r="I258" s="37"/>
      <c r="J258" s="35"/>
    </row>
    <row r="259" spans="9:10" x14ac:dyDescent="0.25">
      <c r="I259" s="37"/>
      <c r="J259" s="35"/>
    </row>
    <row r="260" spans="9:10" x14ac:dyDescent="0.25">
      <c r="I260" s="37"/>
      <c r="J260" s="35"/>
    </row>
    <row r="261" spans="9:10" x14ac:dyDescent="0.25">
      <c r="I261" s="37"/>
      <c r="J261" s="35"/>
    </row>
    <row r="262" spans="9:10" x14ac:dyDescent="0.25">
      <c r="I262" s="37"/>
      <c r="J262" s="35"/>
    </row>
    <row r="263" spans="9:10" x14ac:dyDescent="0.25">
      <c r="I263" s="37"/>
      <c r="J263" s="35"/>
    </row>
    <row r="264" spans="9:10" x14ac:dyDescent="0.25">
      <c r="I264" s="37"/>
      <c r="J264" s="35"/>
    </row>
    <row r="265" spans="9:10" x14ac:dyDescent="0.25">
      <c r="I265" s="37"/>
      <c r="J265" s="35"/>
    </row>
    <row r="266" spans="9:10" x14ac:dyDescent="0.25">
      <c r="I266" s="37"/>
      <c r="J266" s="35"/>
    </row>
    <row r="267" spans="9:10" x14ac:dyDescent="0.25">
      <c r="I267" s="37"/>
      <c r="J267" s="35"/>
    </row>
    <row r="268" spans="9:10" x14ac:dyDescent="0.25">
      <c r="I268" s="37"/>
      <c r="J268" s="35"/>
    </row>
    <row r="269" spans="9:10" x14ac:dyDescent="0.25">
      <c r="I269" s="37"/>
      <c r="J269" s="35"/>
    </row>
    <row r="270" spans="9:10" x14ac:dyDescent="0.25">
      <c r="I270" s="37"/>
      <c r="J270" s="35"/>
    </row>
    <row r="271" spans="9:10" x14ac:dyDescent="0.25">
      <c r="I271" s="37"/>
      <c r="J271" s="35"/>
    </row>
    <row r="272" spans="9:10" x14ac:dyDescent="0.25">
      <c r="I272" s="37"/>
      <c r="J272" s="35"/>
    </row>
    <row r="273" spans="9:10" x14ac:dyDescent="0.25">
      <c r="I273" s="37"/>
      <c r="J273" s="35"/>
    </row>
    <row r="274" spans="9:10" x14ac:dyDescent="0.25">
      <c r="I274" s="37"/>
      <c r="J274" s="35"/>
    </row>
    <row r="275" spans="9:10" x14ac:dyDescent="0.25">
      <c r="I275" s="37"/>
      <c r="J275" s="35"/>
    </row>
    <row r="276" spans="9:10" x14ac:dyDescent="0.25">
      <c r="I276" s="37"/>
      <c r="J276" s="35"/>
    </row>
    <row r="277" spans="9:10" x14ac:dyDescent="0.25">
      <c r="I277" s="37"/>
      <c r="J277" s="35"/>
    </row>
    <row r="278" spans="9:10" x14ac:dyDescent="0.25">
      <c r="I278" s="37"/>
      <c r="J278" s="35"/>
    </row>
    <row r="279" spans="9:10" x14ac:dyDescent="0.25">
      <c r="I279" s="37"/>
      <c r="J279" s="35"/>
    </row>
    <row r="280" spans="9:10" x14ac:dyDescent="0.25">
      <c r="I280" s="37"/>
      <c r="J280" s="35"/>
    </row>
    <row r="281" spans="9:10" x14ac:dyDescent="0.25">
      <c r="I281" s="37"/>
      <c r="J281" s="35"/>
    </row>
    <row r="282" spans="9:10" x14ac:dyDescent="0.25">
      <c r="I282" s="37"/>
      <c r="J282" s="35"/>
    </row>
    <row r="283" spans="9:10" x14ac:dyDescent="0.25">
      <c r="I283" s="37"/>
      <c r="J283" s="35"/>
    </row>
    <row r="284" spans="9:10" x14ac:dyDescent="0.25">
      <c r="I284" s="37"/>
      <c r="J284" s="35"/>
    </row>
    <row r="285" spans="9:10" x14ac:dyDescent="0.25">
      <c r="I285" s="37"/>
      <c r="J285" s="35"/>
    </row>
    <row r="286" spans="9:10" x14ac:dyDescent="0.25">
      <c r="I286" s="37"/>
      <c r="J286" s="35"/>
    </row>
    <row r="287" spans="9:10" x14ac:dyDescent="0.25">
      <c r="I287" s="37"/>
      <c r="J287" s="35"/>
    </row>
    <row r="288" spans="9:10" x14ac:dyDescent="0.25">
      <c r="I288" s="37"/>
      <c r="J288" s="35"/>
    </row>
    <row r="289" spans="9:10" x14ac:dyDescent="0.25">
      <c r="I289" s="37"/>
      <c r="J289" s="35"/>
    </row>
    <row r="290" spans="9:10" x14ac:dyDescent="0.25">
      <c r="I290" s="37"/>
      <c r="J290" s="35"/>
    </row>
    <row r="291" spans="9:10" x14ac:dyDescent="0.25">
      <c r="I291" s="37"/>
      <c r="J291" s="35"/>
    </row>
    <row r="292" spans="9:10" x14ac:dyDescent="0.25">
      <c r="I292" s="37"/>
      <c r="J292" s="35"/>
    </row>
    <row r="293" spans="9:10" x14ac:dyDescent="0.25">
      <c r="I293" s="37"/>
      <c r="J293" s="35"/>
    </row>
    <row r="294" spans="9:10" x14ac:dyDescent="0.25">
      <c r="I294" s="37"/>
      <c r="J294" s="35"/>
    </row>
    <row r="295" spans="9:10" x14ac:dyDescent="0.25">
      <c r="I295" s="37"/>
      <c r="J295" s="35"/>
    </row>
    <row r="296" spans="9:10" x14ac:dyDescent="0.25">
      <c r="I296" s="37"/>
      <c r="J296" s="35"/>
    </row>
    <row r="297" spans="9:10" x14ac:dyDescent="0.25">
      <c r="I297" s="37"/>
      <c r="J297" s="35"/>
    </row>
    <row r="298" spans="9:10" x14ac:dyDescent="0.25">
      <c r="I298" s="37"/>
      <c r="J298" s="35"/>
    </row>
    <row r="299" spans="9:10" x14ac:dyDescent="0.25">
      <c r="I299" s="37"/>
      <c r="J299" s="35"/>
    </row>
    <row r="300" spans="9:10" x14ac:dyDescent="0.25">
      <c r="I300" s="37"/>
      <c r="J300" s="35"/>
    </row>
    <row r="301" spans="9:10" x14ac:dyDescent="0.25">
      <c r="I301" s="37"/>
      <c r="J301" s="35"/>
    </row>
    <row r="302" spans="9:10" x14ac:dyDescent="0.25">
      <c r="I302" s="37"/>
      <c r="J302" s="35"/>
    </row>
    <row r="303" spans="9:10" x14ac:dyDescent="0.25">
      <c r="I303" s="37"/>
      <c r="J303" s="35"/>
    </row>
    <row r="304" spans="9:10" x14ac:dyDescent="0.25">
      <c r="I304" s="37"/>
      <c r="J304" s="35"/>
    </row>
    <row r="305" spans="9:12" x14ac:dyDescent="0.25">
      <c r="I305" s="37"/>
      <c r="J305" s="35"/>
    </row>
    <row r="306" spans="9:12" x14ac:dyDescent="0.25">
      <c r="I306" s="37"/>
      <c r="J306" s="35"/>
    </row>
    <row r="307" spans="9:12" x14ac:dyDescent="0.25">
      <c r="I307" s="37"/>
      <c r="J307" s="35"/>
    </row>
    <row r="308" spans="9:12" x14ac:dyDescent="0.25">
      <c r="I308" s="37"/>
      <c r="J308" s="35"/>
    </row>
    <row r="309" spans="9:12" x14ac:dyDescent="0.25">
      <c r="I309" s="37"/>
      <c r="J309" s="35"/>
    </row>
    <row r="310" spans="9:12" x14ac:dyDescent="0.25">
      <c r="I310" s="37"/>
      <c r="J310" s="35"/>
    </row>
    <row r="311" spans="9:12" x14ac:dyDescent="0.25">
      <c r="I311" s="37"/>
      <c r="J311" s="35"/>
    </row>
    <row r="312" spans="9:12" x14ac:dyDescent="0.25">
      <c r="I312" s="37"/>
      <c r="J312" s="35"/>
      <c r="L312" s="36"/>
    </row>
    <row r="313" spans="9:12" x14ac:dyDescent="0.25">
      <c r="I313" s="37"/>
      <c r="J313" s="35"/>
    </row>
    <row r="314" spans="9:12" x14ac:dyDescent="0.25">
      <c r="I314" s="37"/>
      <c r="J314" s="35"/>
    </row>
    <row r="315" spans="9:12" x14ac:dyDescent="0.25">
      <c r="I315" s="37"/>
      <c r="J315" s="35"/>
    </row>
    <row r="316" spans="9:12" x14ac:dyDescent="0.25">
      <c r="I316" s="37"/>
      <c r="J316" s="35"/>
    </row>
    <row r="317" spans="9:12" x14ac:dyDescent="0.25">
      <c r="I317" s="37"/>
      <c r="J317" s="35"/>
    </row>
    <row r="318" spans="9:12" x14ac:dyDescent="0.25">
      <c r="I318" s="37"/>
      <c r="J318" s="35"/>
    </row>
    <row r="319" spans="9:12" x14ac:dyDescent="0.25">
      <c r="I319" s="37"/>
      <c r="J319" s="35"/>
    </row>
    <row r="320" spans="9:12" x14ac:dyDescent="0.25">
      <c r="I320" s="37"/>
      <c r="J320" s="35"/>
    </row>
    <row r="321" spans="9:10" x14ac:dyDescent="0.25">
      <c r="I321" s="37"/>
      <c r="J321" s="35"/>
    </row>
    <row r="322" spans="9:10" x14ac:dyDescent="0.25">
      <c r="I322" s="37"/>
      <c r="J322" s="35"/>
    </row>
    <row r="323" spans="9:10" x14ac:dyDescent="0.25">
      <c r="I323" s="37"/>
      <c r="J323" s="35"/>
    </row>
    <row r="324" spans="9:10" x14ac:dyDescent="0.25">
      <c r="I324" s="37"/>
      <c r="J324" s="35"/>
    </row>
    <row r="325" spans="9:10" x14ac:dyDescent="0.25">
      <c r="I325" s="37"/>
      <c r="J325" s="35"/>
    </row>
    <row r="326" spans="9:10" x14ac:dyDescent="0.25">
      <c r="I326" s="37"/>
      <c r="J326" s="35"/>
    </row>
    <row r="327" spans="9:10" x14ac:dyDescent="0.25">
      <c r="I327" s="37"/>
      <c r="J327" s="35"/>
    </row>
    <row r="328" spans="9:10" x14ac:dyDescent="0.25">
      <c r="I328" s="37"/>
      <c r="J328" s="35"/>
    </row>
    <row r="329" spans="9:10" x14ac:dyDescent="0.25">
      <c r="I329" s="37"/>
      <c r="J329" s="35"/>
    </row>
    <row r="330" spans="9:10" x14ac:dyDescent="0.25">
      <c r="I330" s="37"/>
      <c r="J330" s="35"/>
    </row>
    <row r="331" spans="9:10" x14ac:dyDescent="0.25">
      <c r="I331" s="37"/>
      <c r="J331" s="35"/>
    </row>
    <row r="332" spans="9:10" x14ac:dyDescent="0.25">
      <c r="I332" s="37"/>
      <c r="J332" s="35"/>
    </row>
    <row r="333" spans="9:10" x14ac:dyDescent="0.25">
      <c r="I333" s="37"/>
      <c r="J333" s="35"/>
    </row>
    <row r="334" spans="9:10" x14ac:dyDescent="0.25">
      <c r="I334" s="37"/>
      <c r="J334" s="35"/>
    </row>
    <row r="335" spans="9:10" x14ac:dyDescent="0.25">
      <c r="I335" s="37"/>
      <c r="J335" s="35"/>
    </row>
    <row r="336" spans="9:10" x14ac:dyDescent="0.25">
      <c r="I336" s="37"/>
      <c r="J336" s="35"/>
    </row>
    <row r="337" spans="9:10" x14ac:dyDescent="0.25">
      <c r="I337" s="37"/>
      <c r="J337" s="35"/>
    </row>
    <row r="338" spans="9:10" x14ac:dyDescent="0.25">
      <c r="I338" s="37"/>
      <c r="J338" s="35"/>
    </row>
    <row r="339" spans="9:10" x14ac:dyDescent="0.25">
      <c r="I339" s="37"/>
      <c r="J339" s="35"/>
    </row>
    <row r="340" spans="9:10" x14ac:dyDescent="0.25">
      <c r="I340" s="37"/>
      <c r="J340" s="35"/>
    </row>
    <row r="341" spans="9:10" x14ac:dyDescent="0.25">
      <c r="I341" s="37"/>
      <c r="J341" s="35"/>
    </row>
    <row r="342" spans="9:10" x14ac:dyDescent="0.25">
      <c r="I342" s="37"/>
      <c r="J342" s="35"/>
    </row>
    <row r="343" spans="9:10" x14ac:dyDescent="0.25">
      <c r="I343" s="37"/>
      <c r="J343" s="35"/>
    </row>
    <row r="344" spans="9:10" x14ac:dyDescent="0.25">
      <c r="I344" s="37"/>
      <c r="J344" s="35"/>
    </row>
    <row r="345" spans="9:10" x14ac:dyDescent="0.25">
      <c r="I345" s="37"/>
      <c r="J345" s="35"/>
    </row>
    <row r="346" spans="9:10" x14ac:dyDescent="0.25">
      <c r="I346" s="37"/>
      <c r="J346" s="35"/>
    </row>
    <row r="347" spans="9:10" x14ac:dyDescent="0.25">
      <c r="I347" s="37"/>
      <c r="J347" s="35"/>
    </row>
    <row r="348" spans="9:10" x14ac:dyDescent="0.25">
      <c r="I348" s="37"/>
      <c r="J348" s="35"/>
    </row>
    <row r="349" spans="9:10" x14ac:dyDescent="0.25">
      <c r="I349" s="37"/>
      <c r="J349" s="35"/>
    </row>
    <row r="350" spans="9:10" x14ac:dyDescent="0.25">
      <c r="I350" s="37"/>
      <c r="J350" s="35"/>
    </row>
    <row r="351" spans="9:10" x14ac:dyDescent="0.25">
      <c r="I351" s="37"/>
      <c r="J351" s="35"/>
    </row>
    <row r="352" spans="9:10" x14ac:dyDescent="0.25">
      <c r="I352" s="37"/>
      <c r="J352" s="35"/>
    </row>
    <row r="353" spans="9:10" x14ac:dyDescent="0.25">
      <c r="I353" s="37"/>
      <c r="J353" s="35"/>
    </row>
    <row r="354" spans="9:10" x14ac:dyDescent="0.25">
      <c r="I354" s="37"/>
      <c r="J354" s="35"/>
    </row>
    <row r="355" spans="9:10" x14ac:dyDescent="0.25">
      <c r="I355" s="37"/>
      <c r="J355" s="35"/>
    </row>
    <row r="356" spans="9:10" x14ac:dyDescent="0.25">
      <c r="I356" s="37"/>
      <c r="J356" s="35"/>
    </row>
    <row r="357" spans="9:10" x14ac:dyDescent="0.25">
      <c r="I357" s="37"/>
      <c r="J357" s="35"/>
    </row>
    <row r="358" spans="9:10" x14ac:dyDescent="0.25">
      <c r="I358" s="37"/>
      <c r="J358" s="35"/>
    </row>
    <row r="359" spans="9:10" x14ac:dyDescent="0.25">
      <c r="I359" s="37"/>
      <c r="J359" s="35"/>
    </row>
    <row r="360" spans="9:10" x14ac:dyDescent="0.25">
      <c r="I360" s="37"/>
      <c r="J360" s="35"/>
    </row>
    <row r="361" spans="9:10" x14ac:dyDescent="0.25">
      <c r="I361" s="37"/>
      <c r="J361" s="35"/>
    </row>
    <row r="362" spans="9:10" x14ac:dyDescent="0.25">
      <c r="I362" s="37"/>
      <c r="J362" s="35"/>
    </row>
    <row r="363" spans="9:10" x14ac:dyDescent="0.25">
      <c r="I363" s="37"/>
      <c r="J363" s="35"/>
    </row>
    <row r="364" spans="9:10" x14ac:dyDescent="0.25">
      <c r="I364" s="37"/>
      <c r="J364" s="35"/>
    </row>
    <row r="365" spans="9:10" x14ac:dyDescent="0.25">
      <c r="I365" s="37"/>
      <c r="J365" s="35"/>
    </row>
    <row r="366" spans="9:10" x14ac:dyDescent="0.25">
      <c r="I366" s="37"/>
      <c r="J366" s="35"/>
    </row>
    <row r="367" spans="9:10" x14ac:dyDescent="0.25">
      <c r="I367" s="37"/>
      <c r="J367" s="35"/>
    </row>
    <row r="368" spans="9:10" x14ac:dyDescent="0.25">
      <c r="I368" s="37"/>
      <c r="J368" s="35"/>
    </row>
    <row r="369" spans="9:10" x14ac:dyDescent="0.25">
      <c r="I369" s="37"/>
      <c r="J369" s="35"/>
    </row>
    <row r="370" spans="9:10" x14ac:dyDescent="0.25">
      <c r="I370" s="37"/>
      <c r="J370" s="35"/>
    </row>
    <row r="371" spans="9:10" x14ac:dyDescent="0.25">
      <c r="I371" s="37"/>
      <c r="J371" s="35"/>
    </row>
    <row r="372" spans="9:10" x14ac:dyDescent="0.25">
      <c r="I372" s="37"/>
      <c r="J372" s="35"/>
    </row>
    <row r="373" spans="9:10" x14ac:dyDescent="0.25">
      <c r="I373" s="37"/>
      <c r="J373" s="35"/>
    </row>
    <row r="374" spans="9:10" x14ac:dyDescent="0.25">
      <c r="I374" s="37"/>
      <c r="J374" s="35"/>
    </row>
    <row r="375" spans="9:10" x14ac:dyDescent="0.25">
      <c r="I375" s="37"/>
      <c r="J375" s="35"/>
    </row>
    <row r="376" spans="9:10" x14ac:dyDescent="0.25">
      <c r="I376" s="37"/>
      <c r="J376" s="35"/>
    </row>
    <row r="377" spans="9:10" x14ac:dyDescent="0.25">
      <c r="I377" s="37"/>
      <c r="J377" s="35"/>
    </row>
    <row r="378" spans="9:10" x14ac:dyDescent="0.25">
      <c r="I378" s="37"/>
      <c r="J378" s="35"/>
    </row>
    <row r="379" spans="9:10" x14ac:dyDescent="0.25">
      <c r="I379" s="37"/>
      <c r="J379" s="35"/>
    </row>
    <row r="380" spans="9:10" x14ac:dyDescent="0.25">
      <c r="I380" s="37"/>
      <c r="J380" s="35"/>
    </row>
    <row r="381" spans="9:10" x14ac:dyDescent="0.25">
      <c r="I381" s="37"/>
      <c r="J381" s="35"/>
    </row>
    <row r="382" spans="9:10" x14ac:dyDescent="0.25">
      <c r="I382" s="37"/>
      <c r="J382" s="35"/>
    </row>
    <row r="383" spans="9:10" x14ac:dyDescent="0.25">
      <c r="I383" s="37"/>
      <c r="J383" s="35"/>
    </row>
    <row r="384" spans="9:10" x14ac:dyDescent="0.25">
      <c r="I384" s="37"/>
      <c r="J384" s="35"/>
    </row>
    <row r="385" spans="9:10" x14ac:dyDescent="0.25">
      <c r="I385" s="37"/>
      <c r="J385" s="35"/>
    </row>
    <row r="386" spans="9:10" x14ac:dyDescent="0.25">
      <c r="I386" s="37"/>
      <c r="J386" s="35"/>
    </row>
    <row r="387" spans="9:10" x14ac:dyDescent="0.25">
      <c r="I387" s="37"/>
      <c r="J387" s="35"/>
    </row>
    <row r="388" spans="9:10" x14ac:dyDescent="0.25">
      <c r="I388" s="37"/>
      <c r="J388" s="35"/>
    </row>
    <row r="389" spans="9:10" x14ac:dyDescent="0.25">
      <c r="I389" s="37"/>
      <c r="J389" s="35"/>
    </row>
    <row r="390" spans="9:10" x14ac:dyDescent="0.25">
      <c r="I390" s="37"/>
      <c r="J390" s="35"/>
    </row>
    <row r="391" spans="9:10" x14ac:dyDescent="0.25">
      <c r="I391" s="37"/>
      <c r="J391" s="35"/>
    </row>
    <row r="392" spans="9:10" x14ac:dyDescent="0.25">
      <c r="I392" s="37"/>
      <c r="J392" s="35"/>
    </row>
    <row r="393" spans="9:10" x14ac:dyDescent="0.25">
      <c r="I393" s="37"/>
      <c r="J393" s="35"/>
    </row>
    <row r="394" spans="9:10" x14ac:dyDescent="0.25">
      <c r="I394" s="37"/>
      <c r="J394" s="35"/>
    </row>
    <row r="395" spans="9:10" x14ac:dyDescent="0.25">
      <c r="I395" s="37"/>
      <c r="J395" s="35"/>
    </row>
    <row r="396" spans="9:10" x14ac:dyDescent="0.25">
      <c r="I396" s="37"/>
      <c r="J396" s="35"/>
    </row>
    <row r="397" spans="9:10" x14ac:dyDescent="0.25">
      <c r="I397" s="37"/>
      <c r="J397" s="35"/>
    </row>
    <row r="398" spans="9:10" x14ac:dyDescent="0.25">
      <c r="I398" s="37"/>
      <c r="J398" s="35"/>
    </row>
    <row r="399" spans="9:10" x14ac:dyDescent="0.25">
      <c r="I399" s="37"/>
      <c r="J399" s="35"/>
    </row>
    <row r="400" spans="9:10" x14ac:dyDescent="0.25">
      <c r="I400" s="37"/>
      <c r="J400" s="35"/>
    </row>
    <row r="401" spans="9:10" x14ac:dyDescent="0.25">
      <c r="I401" s="37"/>
      <c r="J401" s="35"/>
    </row>
    <row r="402" spans="9:10" x14ac:dyDescent="0.25">
      <c r="I402" s="37"/>
      <c r="J402" s="35"/>
    </row>
    <row r="403" spans="9:10" x14ac:dyDescent="0.25">
      <c r="I403" s="37"/>
      <c r="J403" s="35"/>
    </row>
    <row r="404" spans="9:10" x14ac:dyDescent="0.25">
      <c r="I404" s="37"/>
      <c r="J404" s="35"/>
    </row>
    <row r="405" spans="9:10" x14ac:dyDescent="0.25">
      <c r="I405" s="37"/>
      <c r="J405" s="35"/>
    </row>
    <row r="406" spans="9:10" x14ac:dyDescent="0.25">
      <c r="I406" s="37"/>
      <c r="J406" s="35"/>
    </row>
    <row r="407" spans="9:10" x14ac:dyDescent="0.25">
      <c r="I407" s="37"/>
      <c r="J407" s="35"/>
    </row>
    <row r="408" spans="9:10" x14ac:dyDescent="0.25">
      <c r="I408" s="37"/>
      <c r="J408" s="35"/>
    </row>
    <row r="409" spans="9:10" x14ac:dyDescent="0.25">
      <c r="I409" s="37"/>
      <c r="J409" s="35"/>
    </row>
    <row r="410" spans="9:10" x14ac:dyDescent="0.25">
      <c r="I410" s="37"/>
      <c r="J410" s="35"/>
    </row>
    <row r="411" spans="9:10" x14ac:dyDescent="0.25">
      <c r="I411" s="37"/>
      <c r="J411" s="35"/>
    </row>
    <row r="412" spans="9:10" x14ac:dyDescent="0.25">
      <c r="I412" s="37"/>
      <c r="J412" s="35"/>
    </row>
    <row r="413" spans="9:10" x14ac:dyDescent="0.25">
      <c r="I413" s="37"/>
      <c r="J413" s="35"/>
    </row>
    <row r="414" spans="9:10" x14ac:dyDescent="0.25">
      <c r="I414" s="37"/>
      <c r="J414" s="35"/>
    </row>
    <row r="415" spans="9:10" x14ac:dyDescent="0.25">
      <c r="I415" s="37"/>
      <c r="J415" s="35"/>
    </row>
    <row r="416" spans="9:10" x14ac:dyDescent="0.25">
      <c r="I416" s="37"/>
      <c r="J416" s="35"/>
    </row>
    <row r="417" spans="9:10" x14ac:dyDescent="0.25">
      <c r="I417" s="37"/>
      <c r="J417" s="35"/>
    </row>
    <row r="418" spans="9:10" x14ac:dyDescent="0.25">
      <c r="I418" s="37"/>
      <c r="J418" s="35"/>
    </row>
    <row r="419" spans="9:10" x14ac:dyDescent="0.25">
      <c r="I419" s="37"/>
      <c r="J419" s="35"/>
    </row>
    <row r="420" spans="9:10" x14ac:dyDescent="0.25">
      <c r="I420" s="37"/>
      <c r="J420" s="35"/>
    </row>
    <row r="421" spans="9:10" x14ac:dyDescent="0.25">
      <c r="I421" s="37"/>
      <c r="J421" s="35"/>
    </row>
    <row r="422" spans="9:10" x14ac:dyDescent="0.25">
      <c r="I422" s="37"/>
      <c r="J422" s="35"/>
    </row>
    <row r="423" spans="9:10" x14ac:dyDescent="0.25">
      <c r="I423" s="37"/>
      <c r="J423" s="35"/>
    </row>
    <row r="424" spans="9:10" x14ac:dyDescent="0.25">
      <c r="I424" s="37"/>
      <c r="J424" s="35"/>
    </row>
    <row r="425" spans="9:10" x14ac:dyDescent="0.25">
      <c r="I425" s="37"/>
      <c r="J425" s="35"/>
    </row>
    <row r="426" spans="9:10" x14ac:dyDescent="0.25">
      <c r="I426" s="37"/>
      <c r="J426" s="35"/>
    </row>
    <row r="427" spans="9:10" x14ac:dyDescent="0.25">
      <c r="I427" s="37"/>
      <c r="J427" s="35"/>
    </row>
    <row r="428" spans="9:10" x14ac:dyDescent="0.25">
      <c r="I428" s="37"/>
      <c r="J428" s="35"/>
    </row>
    <row r="429" spans="9:10" x14ac:dyDescent="0.25">
      <c r="I429" s="37"/>
      <c r="J429" s="35"/>
    </row>
    <row r="430" spans="9:10" x14ac:dyDescent="0.25">
      <c r="I430" s="37"/>
      <c r="J430" s="35"/>
    </row>
    <row r="431" spans="9:10" x14ac:dyDescent="0.25">
      <c r="I431" s="37"/>
      <c r="J431" s="35"/>
    </row>
    <row r="432" spans="9:10" x14ac:dyDescent="0.25">
      <c r="I432" s="37"/>
      <c r="J432" s="35"/>
    </row>
    <row r="433" spans="9:10" x14ac:dyDescent="0.25">
      <c r="I433" s="37"/>
      <c r="J433" s="35"/>
    </row>
    <row r="434" spans="9:10" x14ac:dyDescent="0.25">
      <c r="I434" s="37"/>
      <c r="J434" s="35"/>
    </row>
    <row r="435" spans="9:10" x14ac:dyDescent="0.25">
      <c r="I435" s="37"/>
      <c r="J435" s="35"/>
    </row>
    <row r="436" spans="9:10" x14ac:dyDescent="0.25">
      <c r="I436" s="37"/>
      <c r="J436" s="35"/>
    </row>
    <row r="437" spans="9:10" x14ac:dyDescent="0.25">
      <c r="I437" s="37"/>
      <c r="J437" s="35"/>
    </row>
    <row r="438" spans="9:10" x14ac:dyDescent="0.25">
      <c r="I438" s="37"/>
      <c r="J438" s="35"/>
    </row>
    <row r="439" spans="9:10" x14ac:dyDescent="0.25">
      <c r="I439" s="37"/>
      <c r="J439" s="35"/>
    </row>
    <row r="440" spans="9:10" x14ac:dyDescent="0.25">
      <c r="I440" s="37"/>
      <c r="J440" s="35"/>
    </row>
    <row r="441" spans="9:10" x14ac:dyDescent="0.25">
      <c r="I441" s="37"/>
      <c r="J441" s="35"/>
    </row>
    <row r="442" spans="9:10" x14ac:dyDescent="0.25">
      <c r="I442" s="37"/>
      <c r="J442" s="35"/>
    </row>
    <row r="443" spans="9:10" x14ac:dyDescent="0.25">
      <c r="I443" s="37"/>
      <c r="J443" s="35"/>
    </row>
    <row r="444" spans="9:10" x14ac:dyDescent="0.25">
      <c r="I444" s="37"/>
      <c r="J444" s="35"/>
    </row>
    <row r="445" spans="9:10" x14ac:dyDescent="0.25">
      <c r="I445" s="37"/>
      <c r="J445" s="35"/>
    </row>
    <row r="446" spans="9:10" x14ac:dyDescent="0.25">
      <c r="I446" s="37"/>
      <c r="J446" s="35"/>
    </row>
    <row r="447" spans="9:10" x14ac:dyDescent="0.25">
      <c r="I447" s="37"/>
      <c r="J447" s="35"/>
    </row>
    <row r="448" spans="9:10" x14ac:dyDescent="0.25">
      <c r="I448" s="37"/>
      <c r="J448" s="35"/>
    </row>
    <row r="449" spans="9:10" x14ac:dyDescent="0.25">
      <c r="I449" s="37"/>
      <c r="J449" s="35"/>
    </row>
    <row r="450" spans="9:10" x14ac:dyDescent="0.25">
      <c r="I450" s="37"/>
      <c r="J450" s="35"/>
    </row>
    <row r="451" spans="9:10" x14ac:dyDescent="0.25">
      <c r="I451" s="37"/>
      <c r="J451" s="35"/>
    </row>
    <row r="452" spans="9:10" x14ac:dyDescent="0.25">
      <c r="I452" s="37"/>
      <c r="J452" s="35"/>
    </row>
    <row r="453" spans="9:10" x14ac:dyDescent="0.25">
      <c r="I453" s="37"/>
      <c r="J453" s="35"/>
    </row>
    <row r="454" spans="9:10" x14ac:dyDescent="0.25">
      <c r="I454" s="37"/>
      <c r="J454" s="35"/>
    </row>
    <row r="455" spans="9:10" x14ac:dyDescent="0.25">
      <c r="I455" s="37"/>
      <c r="J455" s="35"/>
    </row>
    <row r="456" spans="9:10" x14ac:dyDescent="0.25">
      <c r="I456" s="37"/>
      <c r="J456" s="35"/>
    </row>
    <row r="457" spans="9:10" x14ac:dyDescent="0.25">
      <c r="I457" s="37"/>
      <c r="J457" s="35"/>
    </row>
    <row r="458" spans="9:10" x14ac:dyDescent="0.25">
      <c r="I458" s="37"/>
      <c r="J458" s="35"/>
    </row>
    <row r="459" spans="9:10" x14ac:dyDescent="0.25">
      <c r="I459" s="37"/>
      <c r="J459" s="35"/>
    </row>
    <row r="460" spans="9:10" x14ac:dyDescent="0.25">
      <c r="I460" s="37"/>
      <c r="J460" s="35"/>
    </row>
    <row r="461" spans="9:10" x14ac:dyDescent="0.25">
      <c r="I461" s="37"/>
      <c r="J461" s="35"/>
    </row>
    <row r="462" spans="9:10" x14ac:dyDescent="0.25">
      <c r="I462" s="37"/>
      <c r="J462" s="35"/>
    </row>
    <row r="463" spans="9:10" x14ac:dyDescent="0.25">
      <c r="I463" s="37"/>
      <c r="J463" s="35"/>
    </row>
    <row r="464" spans="9:10" x14ac:dyDescent="0.25">
      <c r="I464" s="37"/>
      <c r="J464" s="35"/>
    </row>
    <row r="465" spans="9:10" x14ac:dyDescent="0.25">
      <c r="I465" s="37"/>
      <c r="J465" s="35"/>
    </row>
    <row r="466" spans="9:10" x14ac:dyDescent="0.25">
      <c r="I466" s="37"/>
      <c r="J466" s="35"/>
    </row>
    <row r="467" spans="9:10" x14ac:dyDescent="0.25">
      <c r="I467" s="37"/>
      <c r="J467" s="35"/>
    </row>
    <row r="468" spans="9:10" x14ac:dyDescent="0.25">
      <c r="I468" s="37"/>
      <c r="J468" s="35"/>
    </row>
    <row r="469" spans="9:10" x14ac:dyDescent="0.25">
      <c r="I469" s="37"/>
      <c r="J469" s="35"/>
    </row>
    <row r="470" spans="9:10" x14ac:dyDescent="0.25">
      <c r="I470" s="37"/>
      <c r="J470" s="35"/>
    </row>
    <row r="471" spans="9:10" x14ac:dyDescent="0.25">
      <c r="I471" s="37"/>
      <c r="J471" s="35"/>
    </row>
    <row r="472" spans="9:10" x14ac:dyDescent="0.25">
      <c r="I472" s="37"/>
      <c r="J472" s="35"/>
    </row>
    <row r="473" spans="9:10" x14ac:dyDescent="0.25">
      <c r="I473" s="37"/>
      <c r="J473" s="35"/>
    </row>
    <row r="474" spans="9:10" x14ac:dyDescent="0.25">
      <c r="I474" s="37"/>
      <c r="J474" s="35"/>
    </row>
    <row r="475" spans="9:10" x14ac:dyDescent="0.25">
      <c r="I475" s="37"/>
      <c r="J475" s="35"/>
    </row>
    <row r="476" spans="9:10" x14ac:dyDescent="0.25">
      <c r="I476" s="37"/>
      <c r="J476" s="35"/>
    </row>
    <row r="477" spans="9:10" x14ac:dyDescent="0.25">
      <c r="I477" s="37"/>
      <c r="J477" s="35"/>
    </row>
    <row r="478" spans="9:10" x14ac:dyDescent="0.25">
      <c r="I478" s="37"/>
      <c r="J478" s="35"/>
    </row>
    <row r="479" spans="9:10" x14ac:dyDescent="0.25">
      <c r="I479" s="37"/>
      <c r="J479" s="35"/>
    </row>
    <row r="480" spans="9:10" x14ac:dyDescent="0.25">
      <c r="I480" s="37"/>
      <c r="J480" s="35"/>
    </row>
    <row r="481" spans="9:10" x14ac:dyDescent="0.25">
      <c r="I481" s="37"/>
      <c r="J481" s="35"/>
    </row>
    <row r="482" spans="9:10" x14ac:dyDescent="0.25">
      <c r="I482" s="37"/>
      <c r="J482" s="35"/>
    </row>
    <row r="483" spans="9:10" x14ac:dyDescent="0.25">
      <c r="I483" s="37"/>
      <c r="J483" s="35"/>
    </row>
    <row r="484" spans="9:10" x14ac:dyDescent="0.25">
      <c r="I484" s="37"/>
      <c r="J484" s="35"/>
    </row>
    <row r="485" spans="9:10" x14ac:dyDescent="0.25">
      <c r="I485" s="37"/>
      <c r="J485" s="35"/>
    </row>
    <row r="486" spans="9:10" x14ac:dyDescent="0.25">
      <c r="I486" s="37"/>
      <c r="J486" s="35"/>
    </row>
    <row r="487" spans="9:10" x14ac:dyDescent="0.25">
      <c r="I487" s="37"/>
      <c r="J487" s="35"/>
    </row>
    <row r="488" spans="9:10" x14ac:dyDescent="0.25">
      <c r="I488" s="37"/>
      <c r="J488" s="35"/>
    </row>
    <row r="489" spans="9:10" x14ac:dyDescent="0.25">
      <c r="I489" s="37"/>
      <c r="J489" s="35"/>
    </row>
    <row r="490" spans="9:10" x14ac:dyDescent="0.25">
      <c r="I490" s="37"/>
      <c r="J490" s="35"/>
    </row>
    <row r="491" spans="9:10" x14ac:dyDescent="0.25">
      <c r="I491" s="37"/>
      <c r="J491" s="35"/>
    </row>
    <row r="492" spans="9:10" x14ac:dyDescent="0.25">
      <c r="I492" s="37"/>
      <c r="J492" s="35"/>
    </row>
    <row r="493" spans="9:10" x14ac:dyDescent="0.25">
      <c r="I493" s="37"/>
      <c r="J493" s="35"/>
    </row>
    <row r="494" spans="9:10" x14ac:dyDescent="0.25">
      <c r="I494" s="37"/>
      <c r="J494" s="35"/>
    </row>
    <row r="495" spans="9:10" x14ac:dyDescent="0.25">
      <c r="I495" s="37"/>
      <c r="J495" s="35"/>
    </row>
    <row r="496" spans="9:10" x14ac:dyDescent="0.25">
      <c r="I496" s="37"/>
      <c r="J496" s="35"/>
    </row>
    <row r="497" spans="9:10" x14ac:dyDescent="0.25">
      <c r="I497" s="37"/>
      <c r="J497" s="35"/>
    </row>
    <row r="498" spans="9:10" x14ac:dyDescent="0.25">
      <c r="I498" s="37"/>
      <c r="J498" s="35"/>
    </row>
    <row r="499" spans="9:10" x14ac:dyDescent="0.25">
      <c r="I499" s="37"/>
      <c r="J499" s="35"/>
    </row>
    <row r="500" spans="9:10" x14ac:dyDescent="0.25">
      <c r="I500" s="37"/>
      <c r="J500" s="35"/>
    </row>
    <row r="501" spans="9:10" x14ac:dyDescent="0.25">
      <c r="I501" s="37"/>
      <c r="J501" s="35"/>
    </row>
    <row r="502" spans="9:10" x14ac:dyDescent="0.25">
      <c r="I502" s="37"/>
      <c r="J502" s="35"/>
    </row>
    <row r="503" spans="9:10" x14ac:dyDescent="0.25">
      <c r="I503" s="37"/>
      <c r="J503" s="35"/>
    </row>
    <row r="504" spans="9:10" x14ac:dyDescent="0.25">
      <c r="I504" s="37"/>
      <c r="J504" s="35"/>
    </row>
    <row r="505" spans="9:10" x14ac:dyDescent="0.25">
      <c r="I505" s="37"/>
      <c r="J505" s="35"/>
    </row>
    <row r="506" spans="9:10" x14ac:dyDescent="0.25">
      <c r="I506" s="37"/>
      <c r="J506" s="35"/>
    </row>
    <row r="507" spans="9:10" x14ac:dyDescent="0.25">
      <c r="I507" s="37"/>
      <c r="J507" s="35"/>
    </row>
    <row r="508" spans="9:10" x14ac:dyDescent="0.25">
      <c r="I508" s="37"/>
      <c r="J508" s="35"/>
    </row>
    <row r="509" spans="9:10" x14ac:dyDescent="0.25">
      <c r="I509" s="37"/>
      <c r="J509" s="35"/>
    </row>
    <row r="510" spans="9:10" x14ac:dyDescent="0.25">
      <c r="I510" s="37"/>
      <c r="J510" s="35"/>
    </row>
    <row r="511" spans="9:10" x14ac:dyDescent="0.25">
      <c r="I511" s="37"/>
      <c r="J511" s="35"/>
    </row>
    <row r="512" spans="9:10" x14ac:dyDescent="0.25">
      <c r="I512" s="37"/>
      <c r="J512" s="35"/>
    </row>
    <row r="513" spans="9:10" x14ac:dyDescent="0.25">
      <c r="I513" s="37"/>
      <c r="J513" s="35"/>
    </row>
    <row r="514" spans="9:10" x14ac:dyDescent="0.25">
      <c r="I514" s="37"/>
      <c r="J514" s="35"/>
    </row>
    <row r="515" spans="9:10" x14ac:dyDescent="0.25">
      <c r="I515" s="37"/>
      <c r="J515" s="35"/>
    </row>
    <row r="516" spans="9:10" x14ac:dyDescent="0.25">
      <c r="I516" s="37"/>
      <c r="J516" s="35"/>
    </row>
    <row r="517" spans="9:10" x14ac:dyDescent="0.25">
      <c r="I517" s="37"/>
      <c r="J517" s="35"/>
    </row>
    <row r="518" spans="9:10" x14ac:dyDescent="0.25">
      <c r="I518" s="37"/>
      <c r="J518" s="35"/>
    </row>
    <row r="519" spans="9:10" x14ac:dyDescent="0.25">
      <c r="I519" s="37"/>
      <c r="J519" s="35"/>
    </row>
    <row r="520" spans="9:10" x14ac:dyDescent="0.25">
      <c r="I520" s="37"/>
      <c r="J520" s="35"/>
    </row>
    <row r="521" spans="9:10" x14ac:dyDescent="0.25">
      <c r="I521" s="37"/>
      <c r="J521" s="35"/>
    </row>
    <row r="522" spans="9:10" x14ac:dyDescent="0.25">
      <c r="I522" s="37"/>
      <c r="J522" s="35"/>
    </row>
    <row r="523" spans="9:10" x14ac:dyDescent="0.25">
      <c r="I523" s="37"/>
      <c r="J523" s="35"/>
    </row>
    <row r="524" spans="9:10" x14ac:dyDescent="0.25">
      <c r="I524" s="37"/>
      <c r="J524" s="35"/>
    </row>
    <row r="525" spans="9:10" x14ac:dyDescent="0.25">
      <c r="I525" s="37"/>
      <c r="J525" s="35"/>
    </row>
    <row r="526" spans="9:10" x14ac:dyDescent="0.25">
      <c r="I526" s="37"/>
      <c r="J526" s="35"/>
    </row>
    <row r="527" spans="9:10" x14ac:dyDescent="0.25">
      <c r="I527" s="37"/>
      <c r="J527" s="35"/>
    </row>
    <row r="528" spans="9:10" x14ac:dyDescent="0.25">
      <c r="I528" s="37"/>
      <c r="J528" s="35"/>
    </row>
    <row r="529" spans="9:10" x14ac:dyDescent="0.25">
      <c r="I529" s="37"/>
      <c r="J529" s="35"/>
    </row>
    <row r="530" spans="9:10" x14ac:dyDescent="0.25">
      <c r="I530" s="37"/>
      <c r="J530" s="35"/>
    </row>
    <row r="531" spans="9:10" x14ac:dyDescent="0.25">
      <c r="I531" s="37"/>
      <c r="J531" s="35"/>
    </row>
    <row r="532" spans="9:10" x14ac:dyDescent="0.25">
      <c r="I532" s="37"/>
      <c r="J532" s="35"/>
    </row>
    <row r="533" spans="9:10" x14ac:dyDescent="0.25">
      <c r="I533" s="37"/>
      <c r="J533" s="35"/>
    </row>
    <row r="534" spans="9:10" x14ac:dyDescent="0.25">
      <c r="I534" s="37"/>
      <c r="J534" s="35"/>
    </row>
    <row r="535" spans="9:10" x14ac:dyDescent="0.25">
      <c r="I535" s="37"/>
      <c r="J535" s="35"/>
    </row>
    <row r="536" spans="9:10" x14ac:dyDescent="0.25">
      <c r="I536" s="37"/>
      <c r="J536" s="35"/>
    </row>
    <row r="537" spans="9:10" x14ac:dyDescent="0.25">
      <c r="I537" s="37"/>
      <c r="J537" s="35"/>
    </row>
    <row r="538" spans="9:10" x14ac:dyDescent="0.25">
      <c r="I538" s="37"/>
      <c r="J538" s="35"/>
    </row>
    <row r="539" spans="9:10" x14ac:dyDescent="0.25">
      <c r="I539" s="37"/>
      <c r="J539" s="35"/>
    </row>
    <row r="540" spans="9:10" x14ac:dyDescent="0.25">
      <c r="I540" s="37"/>
      <c r="J540" s="35"/>
    </row>
    <row r="541" spans="9:10" x14ac:dyDescent="0.25">
      <c r="I541" s="37"/>
      <c r="J541" s="35"/>
    </row>
    <row r="542" spans="9:10" x14ac:dyDescent="0.25">
      <c r="I542" s="37"/>
      <c r="J542" s="35"/>
    </row>
    <row r="543" spans="9:10" x14ac:dyDescent="0.25">
      <c r="I543" s="37"/>
      <c r="J543" s="35"/>
    </row>
    <row r="544" spans="9:10" x14ac:dyDescent="0.25">
      <c r="I544" s="37"/>
      <c r="J544" s="35"/>
    </row>
    <row r="545" spans="9:10" x14ac:dyDescent="0.25">
      <c r="I545" s="37"/>
      <c r="J545" s="35"/>
    </row>
    <row r="546" spans="9:10" x14ac:dyDescent="0.25">
      <c r="I546" s="37"/>
      <c r="J546" s="35"/>
    </row>
    <row r="547" spans="9:10" x14ac:dyDescent="0.25">
      <c r="I547" s="37"/>
      <c r="J547" s="35"/>
    </row>
    <row r="548" spans="9:10" x14ac:dyDescent="0.25">
      <c r="I548" s="37"/>
      <c r="J548" s="35"/>
    </row>
    <row r="549" spans="9:10" x14ac:dyDescent="0.25">
      <c r="I549" s="37"/>
      <c r="J549" s="35"/>
    </row>
    <row r="550" spans="9:10" x14ac:dyDescent="0.25">
      <c r="I550" s="37"/>
      <c r="J550" s="35"/>
    </row>
    <row r="551" spans="9:10" x14ac:dyDescent="0.25">
      <c r="I551" s="37"/>
      <c r="J551" s="35"/>
    </row>
    <row r="552" spans="9:10" x14ac:dyDescent="0.25">
      <c r="I552" s="37"/>
      <c r="J552" s="35"/>
    </row>
    <row r="553" spans="9:10" x14ac:dyDescent="0.25">
      <c r="I553" s="37"/>
      <c r="J553" s="35"/>
    </row>
    <row r="554" spans="9:10" x14ac:dyDescent="0.25">
      <c r="I554" s="37"/>
      <c r="J554" s="35"/>
    </row>
    <row r="555" spans="9:10" x14ac:dyDescent="0.25">
      <c r="I555" s="37"/>
      <c r="J555" s="35"/>
    </row>
    <row r="556" spans="9:10" x14ac:dyDescent="0.25">
      <c r="I556" s="37"/>
      <c r="J556" s="35"/>
    </row>
    <row r="557" spans="9:10" x14ac:dyDescent="0.25">
      <c r="I557" s="37"/>
      <c r="J557" s="35"/>
    </row>
    <row r="558" spans="9:10" x14ac:dyDescent="0.25">
      <c r="I558" s="37"/>
      <c r="J558" s="35"/>
    </row>
    <row r="559" spans="9:10" x14ac:dyDescent="0.25">
      <c r="I559" s="37"/>
      <c r="J559" s="35"/>
    </row>
    <row r="560" spans="9:10" x14ac:dyDescent="0.25">
      <c r="I560" s="37"/>
      <c r="J560" s="35"/>
    </row>
    <row r="561" spans="9:10" x14ac:dyDescent="0.25">
      <c r="I561" s="37"/>
      <c r="J561" s="35"/>
    </row>
    <row r="562" spans="9:10" x14ac:dyDescent="0.25">
      <c r="I562" s="37"/>
      <c r="J562" s="35"/>
    </row>
    <row r="563" spans="9:10" x14ac:dyDescent="0.25">
      <c r="I563" s="37"/>
      <c r="J563" s="35"/>
    </row>
    <row r="564" spans="9:10" x14ac:dyDescent="0.25">
      <c r="I564" s="37"/>
      <c r="J564" s="35"/>
    </row>
    <row r="565" spans="9:10" x14ac:dyDescent="0.25">
      <c r="I565" s="37"/>
      <c r="J565" s="35"/>
    </row>
    <row r="566" spans="9:10" x14ac:dyDescent="0.25">
      <c r="I566" s="37"/>
      <c r="J566" s="35"/>
    </row>
    <row r="567" spans="9:10" x14ac:dyDescent="0.25">
      <c r="I567" s="37"/>
      <c r="J567" s="35"/>
    </row>
    <row r="568" spans="9:10" x14ac:dyDescent="0.25">
      <c r="I568" s="37"/>
      <c r="J568" s="35"/>
    </row>
    <row r="569" spans="9:10" x14ac:dyDescent="0.25">
      <c r="I569" s="37"/>
      <c r="J569" s="35"/>
    </row>
    <row r="570" spans="9:10" x14ac:dyDescent="0.25">
      <c r="I570" s="37"/>
      <c r="J570" s="35"/>
    </row>
    <row r="571" spans="9:10" x14ac:dyDescent="0.25">
      <c r="I571" s="37"/>
      <c r="J571" s="35"/>
    </row>
    <row r="572" spans="9:10" x14ac:dyDescent="0.25">
      <c r="I572" s="37"/>
      <c r="J572" s="35"/>
    </row>
    <row r="573" spans="9:10" x14ac:dyDescent="0.25">
      <c r="I573" s="37"/>
      <c r="J573" s="35"/>
    </row>
    <row r="574" spans="9:10" x14ac:dyDescent="0.25">
      <c r="I574" s="37"/>
      <c r="J574" s="35"/>
    </row>
    <row r="575" spans="9:10" x14ac:dyDescent="0.25">
      <c r="I575" s="37"/>
      <c r="J575" s="35"/>
    </row>
    <row r="576" spans="9:10" x14ac:dyDescent="0.25">
      <c r="I576" s="37"/>
      <c r="J576" s="35"/>
    </row>
    <row r="577" spans="9:10" x14ac:dyDescent="0.25">
      <c r="I577" s="37"/>
      <c r="J577" s="35"/>
    </row>
    <row r="578" spans="9:10" x14ac:dyDescent="0.25">
      <c r="I578" s="37"/>
      <c r="J578" s="35"/>
    </row>
    <row r="579" spans="9:10" x14ac:dyDescent="0.25">
      <c r="I579" s="37"/>
      <c r="J579" s="35"/>
    </row>
    <row r="580" spans="9:10" x14ac:dyDescent="0.25">
      <c r="I580" s="37"/>
      <c r="J580" s="35"/>
    </row>
    <row r="581" spans="9:10" x14ac:dyDescent="0.25">
      <c r="I581" s="37"/>
      <c r="J581" s="35"/>
    </row>
    <row r="582" spans="9:10" x14ac:dyDescent="0.25">
      <c r="I582" s="37"/>
      <c r="J582" s="35"/>
    </row>
    <row r="583" spans="9:10" x14ac:dyDescent="0.25">
      <c r="I583" s="37"/>
      <c r="J583" s="35"/>
    </row>
    <row r="584" spans="9:10" x14ac:dyDescent="0.25">
      <c r="I584" s="37"/>
      <c r="J584" s="35"/>
    </row>
    <row r="585" spans="9:10" x14ac:dyDescent="0.25">
      <c r="I585" s="37"/>
      <c r="J585" s="35"/>
    </row>
    <row r="586" spans="9:10" x14ac:dyDescent="0.25">
      <c r="I586" s="37"/>
      <c r="J586" s="35"/>
    </row>
    <row r="587" spans="9:10" x14ac:dyDescent="0.25">
      <c r="I587" s="37"/>
      <c r="J587" s="35"/>
    </row>
    <row r="588" spans="9:10" x14ac:dyDescent="0.25">
      <c r="I588" s="37"/>
      <c r="J588" s="35"/>
    </row>
    <row r="589" spans="9:10" x14ac:dyDescent="0.25">
      <c r="I589" s="37"/>
      <c r="J589" s="35"/>
    </row>
    <row r="590" spans="9:10" x14ac:dyDescent="0.25">
      <c r="I590" s="37"/>
      <c r="J590" s="35"/>
    </row>
    <row r="591" spans="9:10" x14ac:dyDescent="0.25">
      <c r="I591" s="37"/>
      <c r="J591" s="35"/>
    </row>
    <row r="592" spans="9:10" x14ac:dyDescent="0.25">
      <c r="I592" s="37"/>
      <c r="J592" s="35"/>
    </row>
    <row r="593" spans="9:10" x14ac:dyDescent="0.25">
      <c r="I593" s="37"/>
      <c r="J593" s="35"/>
    </row>
    <row r="594" spans="9:10" x14ac:dyDescent="0.25">
      <c r="I594" s="37"/>
      <c r="J594" s="35"/>
    </row>
    <row r="595" spans="9:10" x14ac:dyDescent="0.25">
      <c r="I595" s="37"/>
      <c r="J595" s="35"/>
    </row>
    <row r="596" spans="9:10" x14ac:dyDescent="0.25">
      <c r="I596" s="37"/>
      <c r="J596" s="35"/>
    </row>
    <row r="597" spans="9:10" x14ac:dyDescent="0.25">
      <c r="I597" s="37"/>
      <c r="J597" s="35"/>
    </row>
    <row r="598" spans="9:10" x14ac:dyDescent="0.25">
      <c r="I598" s="37"/>
      <c r="J598" s="35"/>
    </row>
    <row r="599" spans="9:10" x14ac:dyDescent="0.25">
      <c r="I599" s="37"/>
      <c r="J599" s="35"/>
    </row>
    <row r="600" spans="9:10" x14ac:dyDescent="0.25">
      <c r="I600" s="37"/>
      <c r="J600" s="35"/>
    </row>
    <row r="601" spans="9:10" x14ac:dyDescent="0.25">
      <c r="I601" s="37"/>
      <c r="J601" s="35"/>
    </row>
    <row r="602" spans="9:10" x14ac:dyDescent="0.25">
      <c r="I602" s="37"/>
      <c r="J602" s="35"/>
    </row>
    <row r="603" spans="9:10" x14ac:dyDescent="0.25">
      <c r="I603" s="37"/>
      <c r="J603" s="35"/>
    </row>
    <row r="604" spans="9:10" x14ac:dyDescent="0.25">
      <c r="I604" s="37"/>
      <c r="J604" s="35"/>
    </row>
    <row r="605" spans="9:10" x14ac:dyDescent="0.25">
      <c r="I605" s="37"/>
      <c r="J605" s="35"/>
    </row>
    <row r="606" spans="9:10" x14ac:dyDescent="0.25">
      <c r="I606" s="37"/>
      <c r="J606" s="35"/>
    </row>
    <row r="607" spans="9:10" x14ac:dyDescent="0.25">
      <c r="I607" s="37"/>
      <c r="J607" s="35"/>
    </row>
    <row r="608" spans="9:10" x14ac:dyDescent="0.25">
      <c r="I608" s="37"/>
      <c r="J608" s="35"/>
    </row>
    <row r="609" spans="9:10" x14ac:dyDescent="0.25">
      <c r="I609" s="37"/>
      <c r="J609" s="35"/>
    </row>
    <row r="610" spans="9:10" x14ac:dyDescent="0.25">
      <c r="I610" s="37"/>
      <c r="J610" s="35"/>
    </row>
    <row r="611" spans="9:10" x14ac:dyDescent="0.25">
      <c r="I611" s="37"/>
      <c r="J611" s="35"/>
    </row>
    <row r="612" spans="9:10" x14ac:dyDescent="0.25">
      <c r="I612" s="37"/>
      <c r="J612" s="35"/>
    </row>
    <row r="613" spans="9:10" x14ac:dyDescent="0.25">
      <c r="I613" s="37"/>
      <c r="J613" s="35"/>
    </row>
    <row r="614" spans="9:10" x14ac:dyDescent="0.25">
      <c r="I614" s="37"/>
      <c r="J614" s="35"/>
    </row>
    <row r="615" spans="9:10" x14ac:dyDescent="0.25">
      <c r="I615" s="37"/>
      <c r="J615" s="35"/>
    </row>
    <row r="616" spans="9:10" x14ac:dyDescent="0.25">
      <c r="I616" s="37"/>
      <c r="J616" s="35"/>
    </row>
    <row r="617" spans="9:10" x14ac:dyDescent="0.25">
      <c r="I617" s="37"/>
      <c r="J617" s="35"/>
    </row>
    <row r="618" spans="9:10" x14ac:dyDescent="0.25">
      <c r="I618" s="37"/>
      <c r="J618" s="35"/>
    </row>
    <row r="619" spans="9:10" x14ac:dyDescent="0.25">
      <c r="I619" s="37"/>
      <c r="J619" s="35"/>
    </row>
    <row r="620" spans="9:10" x14ac:dyDescent="0.25">
      <c r="I620" s="37"/>
      <c r="J620" s="35"/>
    </row>
    <row r="621" spans="9:10" x14ac:dyDescent="0.25">
      <c r="I621" s="37"/>
      <c r="J621" s="35"/>
    </row>
    <row r="622" spans="9:10" x14ac:dyDescent="0.25">
      <c r="I622" s="37"/>
      <c r="J622" s="35"/>
    </row>
    <row r="623" spans="9:10" x14ac:dyDescent="0.25">
      <c r="I623" s="37"/>
      <c r="J623" s="35"/>
    </row>
    <row r="624" spans="9:10" x14ac:dyDescent="0.25">
      <c r="I624" s="37"/>
      <c r="J624" s="35"/>
    </row>
    <row r="625" spans="9:10" x14ac:dyDescent="0.25">
      <c r="I625" s="37"/>
      <c r="J625" s="35"/>
    </row>
    <row r="626" spans="9:10" x14ac:dyDescent="0.25">
      <c r="I626" s="37"/>
      <c r="J626" s="35"/>
    </row>
    <row r="627" spans="9:10" x14ac:dyDescent="0.25">
      <c r="I627" s="37"/>
      <c r="J627" s="35"/>
    </row>
    <row r="628" spans="9:10" x14ac:dyDescent="0.25">
      <c r="I628" s="37"/>
      <c r="J628" s="35"/>
    </row>
    <row r="629" spans="9:10" x14ac:dyDescent="0.25">
      <c r="I629" s="37"/>
      <c r="J629" s="35"/>
    </row>
    <row r="630" spans="9:10" x14ac:dyDescent="0.25">
      <c r="I630" s="37"/>
      <c r="J630" s="35"/>
    </row>
    <row r="631" spans="9:10" x14ac:dyDescent="0.25">
      <c r="I631" s="37"/>
      <c r="J631" s="35"/>
    </row>
    <row r="632" spans="9:10" x14ac:dyDescent="0.25">
      <c r="I632" s="37"/>
      <c r="J632" s="35"/>
    </row>
    <row r="633" spans="9:10" x14ac:dyDescent="0.25">
      <c r="I633" s="37"/>
      <c r="J633" s="35"/>
    </row>
    <row r="634" spans="9:10" x14ac:dyDescent="0.25">
      <c r="I634" s="37"/>
      <c r="J634" s="35"/>
    </row>
    <row r="635" spans="9:10" x14ac:dyDescent="0.25">
      <c r="I635" s="37"/>
      <c r="J635" s="35"/>
    </row>
    <row r="636" spans="9:10" x14ac:dyDescent="0.25">
      <c r="I636" s="37"/>
      <c r="J636" s="35"/>
    </row>
    <row r="637" spans="9:10" x14ac:dyDescent="0.25">
      <c r="I637" s="37"/>
      <c r="J637" s="35"/>
    </row>
    <row r="638" spans="9:10" x14ac:dyDescent="0.25">
      <c r="I638" s="37"/>
      <c r="J638" s="35"/>
    </row>
    <row r="639" spans="9:10" x14ac:dyDescent="0.25">
      <c r="I639" s="37"/>
      <c r="J639" s="35"/>
    </row>
    <row r="640" spans="9:10" x14ac:dyDescent="0.25">
      <c r="I640" s="37"/>
      <c r="J640" s="35"/>
    </row>
    <row r="641" spans="9:10" x14ac:dyDescent="0.25">
      <c r="I641" s="37"/>
      <c r="J641" s="35"/>
    </row>
    <row r="642" spans="9:10" x14ac:dyDescent="0.25">
      <c r="I642" s="37"/>
      <c r="J642" s="35"/>
    </row>
    <row r="643" spans="9:10" x14ac:dyDescent="0.25">
      <c r="I643" s="37"/>
      <c r="J643" s="35"/>
    </row>
    <row r="644" spans="9:10" x14ac:dyDescent="0.25">
      <c r="I644" s="37"/>
      <c r="J644" s="35"/>
    </row>
    <row r="645" spans="9:10" x14ac:dyDescent="0.25">
      <c r="I645" s="37"/>
      <c r="J645" s="35"/>
    </row>
    <row r="646" spans="9:10" x14ac:dyDescent="0.25">
      <c r="I646" s="37"/>
      <c r="J646" s="35"/>
    </row>
    <row r="647" spans="9:10" x14ac:dyDescent="0.25">
      <c r="I647" s="37"/>
      <c r="J647" s="35"/>
    </row>
    <row r="648" spans="9:10" x14ac:dyDescent="0.25">
      <c r="I648" s="37"/>
      <c r="J648" s="35"/>
    </row>
    <row r="649" spans="9:10" x14ac:dyDescent="0.25">
      <c r="I649" s="37"/>
      <c r="J649" s="35"/>
    </row>
    <row r="650" spans="9:10" x14ac:dyDescent="0.25">
      <c r="I650" s="37"/>
      <c r="J650" s="35"/>
    </row>
    <row r="651" spans="9:10" x14ac:dyDescent="0.25">
      <c r="I651" s="37"/>
      <c r="J651" s="35"/>
    </row>
    <row r="652" spans="9:10" x14ac:dyDescent="0.25">
      <c r="I652" s="37"/>
      <c r="J652" s="35"/>
    </row>
    <row r="653" spans="9:10" x14ac:dyDescent="0.25">
      <c r="I653" s="37"/>
      <c r="J653" s="35"/>
    </row>
    <row r="654" spans="9:10" x14ac:dyDescent="0.25">
      <c r="I654" s="37"/>
      <c r="J654" s="35"/>
    </row>
    <row r="655" spans="9:10" x14ac:dyDescent="0.25">
      <c r="I655" s="37"/>
      <c r="J655" s="35"/>
    </row>
    <row r="656" spans="9:10" x14ac:dyDescent="0.25">
      <c r="I656" s="37"/>
      <c r="J656" s="35"/>
    </row>
    <row r="657" spans="9:10" x14ac:dyDescent="0.25">
      <c r="I657" s="37"/>
      <c r="J657" s="35"/>
    </row>
    <row r="658" spans="9:10" x14ac:dyDescent="0.25">
      <c r="I658" s="37"/>
      <c r="J658" s="35"/>
    </row>
    <row r="659" spans="9:10" x14ac:dyDescent="0.25">
      <c r="I659" s="37"/>
      <c r="J659" s="35"/>
    </row>
    <row r="660" spans="9:10" x14ac:dyDescent="0.25">
      <c r="I660" s="37"/>
      <c r="J660" s="35"/>
    </row>
    <row r="661" spans="9:10" x14ac:dyDescent="0.25">
      <c r="I661" s="37"/>
      <c r="J661" s="35"/>
    </row>
    <row r="662" spans="9:10" x14ac:dyDescent="0.25">
      <c r="I662" s="37"/>
      <c r="J662" s="35"/>
    </row>
    <row r="663" spans="9:10" x14ac:dyDescent="0.25">
      <c r="I663" s="37"/>
      <c r="J663" s="35"/>
    </row>
    <row r="664" spans="9:10" x14ac:dyDescent="0.25">
      <c r="I664" s="37"/>
      <c r="J664" s="35"/>
    </row>
    <row r="665" spans="9:10" x14ac:dyDescent="0.25">
      <c r="I665" s="37"/>
      <c r="J665" s="35"/>
    </row>
    <row r="666" spans="9:10" x14ac:dyDescent="0.25">
      <c r="I666" s="37"/>
      <c r="J666" s="35"/>
    </row>
    <row r="667" spans="9:10" x14ac:dyDescent="0.25">
      <c r="I667" s="37"/>
      <c r="J667" s="35"/>
    </row>
    <row r="668" spans="9:10" x14ac:dyDescent="0.25">
      <c r="I668" s="37"/>
      <c r="J668" s="35"/>
    </row>
    <row r="669" spans="9:10" x14ac:dyDescent="0.25">
      <c r="I669" s="37"/>
      <c r="J669" s="35"/>
    </row>
    <row r="670" spans="9:10" x14ac:dyDescent="0.25">
      <c r="I670" s="37"/>
      <c r="J670" s="35"/>
    </row>
    <row r="671" spans="9:10" x14ac:dyDescent="0.25">
      <c r="I671" s="37"/>
      <c r="J671" s="35"/>
    </row>
    <row r="672" spans="9:10" x14ac:dyDescent="0.25">
      <c r="I672" s="37"/>
      <c r="J672" s="35"/>
    </row>
    <row r="673" spans="9:10" x14ac:dyDescent="0.25">
      <c r="I673" s="37"/>
      <c r="J673" s="35"/>
    </row>
    <row r="674" spans="9:10" x14ac:dyDescent="0.25">
      <c r="I674" s="37"/>
      <c r="J674" s="35"/>
    </row>
    <row r="675" spans="9:10" x14ac:dyDescent="0.25">
      <c r="I675" s="37"/>
      <c r="J675" s="35"/>
    </row>
    <row r="676" spans="9:10" x14ac:dyDescent="0.25">
      <c r="I676" s="37"/>
      <c r="J676" s="35"/>
    </row>
    <row r="677" spans="9:10" x14ac:dyDescent="0.25">
      <c r="I677" s="37"/>
      <c r="J677" s="35"/>
    </row>
    <row r="678" spans="9:10" x14ac:dyDescent="0.25">
      <c r="I678" s="37"/>
      <c r="J678" s="35"/>
    </row>
    <row r="679" spans="9:10" x14ac:dyDescent="0.25">
      <c r="I679" s="37"/>
      <c r="J679" s="35"/>
    </row>
    <row r="680" spans="9:10" x14ac:dyDescent="0.25">
      <c r="I680" s="37"/>
      <c r="J680" s="35"/>
    </row>
    <row r="681" spans="9:10" x14ac:dyDescent="0.25">
      <c r="I681" s="37"/>
      <c r="J681" s="35"/>
    </row>
    <row r="682" spans="9:10" x14ac:dyDescent="0.25">
      <c r="I682" s="37"/>
      <c r="J682" s="35"/>
    </row>
    <row r="683" spans="9:10" x14ac:dyDescent="0.25">
      <c r="I683" s="37"/>
      <c r="J683" s="35"/>
    </row>
    <row r="684" spans="9:10" x14ac:dyDescent="0.25">
      <c r="I684" s="37"/>
      <c r="J684" s="35"/>
    </row>
    <row r="685" spans="9:10" x14ac:dyDescent="0.25">
      <c r="I685" s="37"/>
      <c r="J685" s="35"/>
    </row>
    <row r="686" spans="9:10" x14ac:dyDescent="0.25">
      <c r="I686" s="37"/>
      <c r="J686" s="35"/>
    </row>
    <row r="687" spans="9:10" x14ac:dyDescent="0.25">
      <c r="I687" s="37"/>
      <c r="J687" s="35"/>
    </row>
    <row r="688" spans="9:10" x14ac:dyDescent="0.25">
      <c r="I688" s="37"/>
      <c r="J688" s="35"/>
    </row>
    <row r="689" spans="9:10" x14ac:dyDescent="0.25">
      <c r="I689" s="37"/>
      <c r="J689" s="35"/>
    </row>
    <row r="690" spans="9:10" x14ac:dyDescent="0.25">
      <c r="I690" s="37"/>
      <c r="J690" s="35"/>
    </row>
    <row r="691" spans="9:10" x14ac:dyDescent="0.25">
      <c r="I691" s="37"/>
      <c r="J691" s="35"/>
    </row>
    <row r="692" spans="9:10" x14ac:dyDescent="0.25">
      <c r="I692" s="37"/>
      <c r="J692" s="35"/>
    </row>
    <row r="693" spans="9:10" x14ac:dyDescent="0.25">
      <c r="I693" s="37"/>
      <c r="J693" s="35"/>
    </row>
    <row r="694" spans="9:10" x14ac:dyDescent="0.25">
      <c r="I694" s="37"/>
      <c r="J694" s="35"/>
    </row>
    <row r="695" spans="9:10" x14ac:dyDescent="0.25">
      <c r="I695" s="37"/>
      <c r="J695" s="35"/>
    </row>
    <row r="696" spans="9:10" x14ac:dyDescent="0.25">
      <c r="I696" s="37"/>
      <c r="J696" s="35"/>
    </row>
    <row r="697" spans="9:10" x14ac:dyDescent="0.25">
      <c r="I697" s="37"/>
      <c r="J697" s="35"/>
    </row>
    <row r="698" spans="9:10" x14ac:dyDescent="0.25">
      <c r="I698" s="37"/>
      <c r="J698" s="35"/>
    </row>
    <row r="699" spans="9:10" x14ac:dyDescent="0.25">
      <c r="I699" s="37"/>
      <c r="J699" s="35"/>
    </row>
    <row r="700" spans="9:10" x14ac:dyDescent="0.25">
      <c r="I700" s="37"/>
      <c r="J700" s="35"/>
    </row>
    <row r="701" spans="9:10" x14ac:dyDescent="0.25">
      <c r="I701" s="37"/>
      <c r="J701" s="35"/>
    </row>
    <row r="702" spans="9:10" x14ac:dyDescent="0.25">
      <c r="I702" s="37"/>
      <c r="J702" s="35"/>
    </row>
    <row r="703" spans="9:10" x14ac:dyDescent="0.25">
      <c r="I703" s="37"/>
      <c r="J703" s="35"/>
    </row>
    <row r="704" spans="9:10" x14ac:dyDescent="0.25">
      <c r="I704" s="37"/>
      <c r="J704" s="35"/>
    </row>
    <row r="705" spans="9:10" x14ac:dyDescent="0.25">
      <c r="I705" s="37"/>
      <c r="J705" s="35"/>
    </row>
    <row r="706" spans="9:10" x14ac:dyDescent="0.25">
      <c r="I706" s="37"/>
      <c r="J706" s="35"/>
    </row>
    <row r="707" spans="9:10" x14ac:dyDescent="0.25">
      <c r="I707" s="37"/>
      <c r="J707" s="35"/>
    </row>
    <row r="708" spans="9:10" x14ac:dyDescent="0.25">
      <c r="I708" s="37"/>
      <c r="J708" s="35"/>
    </row>
    <row r="709" spans="9:10" x14ac:dyDescent="0.25">
      <c r="I709" s="37"/>
      <c r="J709" s="35"/>
    </row>
    <row r="710" spans="9:10" x14ac:dyDescent="0.25">
      <c r="I710" s="37"/>
      <c r="J710" s="35"/>
    </row>
    <row r="711" spans="9:10" x14ac:dyDescent="0.25">
      <c r="I711" s="37"/>
      <c r="J711" s="35"/>
    </row>
    <row r="712" spans="9:10" x14ac:dyDescent="0.25">
      <c r="I712" s="37"/>
      <c r="J712" s="35"/>
    </row>
    <row r="713" spans="9:10" x14ac:dyDescent="0.25">
      <c r="I713" s="37"/>
      <c r="J713" s="35"/>
    </row>
    <row r="714" spans="9:10" x14ac:dyDescent="0.25">
      <c r="I714" s="37"/>
      <c r="J714" s="35"/>
    </row>
    <row r="715" spans="9:10" x14ac:dyDescent="0.25">
      <c r="I715" s="37"/>
      <c r="J715" s="35"/>
    </row>
    <row r="716" spans="9:10" x14ac:dyDescent="0.25">
      <c r="I716" s="37"/>
      <c r="J716" s="35"/>
    </row>
    <row r="717" spans="9:10" x14ac:dyDescent="0.25">
      <c r="I717" s="37"/>
      <c r="J717" s="35"/>
    </row>
    <row r="718" spans="9:10" x14ac:dyDescent="0.25">
      <c r="I718" s="37"/>
      <c r="J718" s="35"/>
    </row>
    <row r="719" spans="9:10" x14ac:dyDescent="0.25">
      <c r="I719" s="37"/>
      <c r="J719" s="35"/>
    </row>
    <row r="720" spans="9:10" x14ac:dyDescent="0.25">
      <c r="I720" s="37"/>
      <c r="J720" s="35"/>
    </row>
    <row r="721" spans="9:10" x14ac:dyDescent="0.25">
      <c r="I721" s="37"/>
      <c r="J721" s="35"/>
    </row>
    <row r="722" spans="9:10" x14ac:dyDescent="0.25">
      <c r="I722" s="37"/>
      <c r="J722" s="35"/>
    </row>
    <row r="723" spans="9:10" x14ac:dyDescent="0.25">
      <c r="I723" s="37"/>
      <c r="J723" s="35"/>
    </row>
    <row r="724" spans="9:10" x14ac:dyDescent="0.25">
      <c r="I724" s="37"/>
      <c r="J724" s="35"/>
    </row>
    <row r="725" spans="9:10" x14ac:dyDescent="0.25">
      <c r="I725" s="37"/>
      <c r="J725" s="35"/>
    </row>
    <row r="726" spans="9:10" x14ac:dyDescent="0.25">
      <c r="I726" s="37"/>
      <c r="J726" s="35"/>
    </row>
    <row r="727" spans="9:10" x14ac:dyDescent="0.25">
      <c r="I727" s="37"/>
      <c r="J727" s="35"/>
    </row>
    <row r="728" spans="9:10" x14ac:dyDescent="0.25">
      <c r="I728" s="37"/>
      <c r="J728" s="35"/>
    </row>
    <row r="729" spans="9:10" x14ac:dyDescent="0.25">
      <c r="I729" s="37"/>
      <c r="J729" s="35"/>
    </row>
    <row r="730" spans="9:10" x14ac:dyDescent="0.25">
      <c r="I730" s="37"/>
      <c r="J730" s="35"/>
    </row>
    <row r="731" spans="9:10" x14ac:dyDescent="0.25">
      <c r="I731" s="37"/>
      <c r="J731" s="35"/>
    </row>
    <row r="732" spans="9:10" x14ac:dyDescent="0.25">
      <c r="I732" s="37"/>
      <c r="J732" s="35"/>
    </row>
    <row r="733" spans="9:10" x14ac:dyDescent="0.25">
      <c r="I733" s="37"/>
      <c r="J733" s="35"/>
    </row>
    <row r="734" spans="9:10" x14ac:dyDescent="0.25">
      <c r="I734" s="37"/>
      <c r="J734" s="35"/>
    </row>
    <row r="735" spans="9:10" x14ac:dyDescent="0.25">
      <c r="I735" s="37"/>
      <c r="J735" s="35"/>
    </row>
    <row r="736" spans="9:10" x14ac:dyDescent="0.25">
      <c r="I736" s="37"/>
      <c r="J736" s="35"/>
    </row>
    <row r="737" spans="9:10" x14ac:dyDescent="0.25">
      <c r="I737" s="37"/>
      <c r="J737" s="35"/>
    </row>
    <row r="738" spans="9:10" x14ac:dyDescent="0.25">
      <c r="I738" s="37"/>
      <c r="J738" s="35"/>
    </row>
    <row r="739" spans="9:10" x14ac:dyDescent="0.25">
      <c r="I739" s="37"/>
      <c r="J739" s="35"/>
    </row>
    <row r="740" spans="9:10" x14ac:dyDescent="0.25">
      <c r="I740" s="37"/>
      <c r="J740" s="35"/>
    </row>
    <row r="741" spans="9:10" x14ac:dyDescent="0.25">
      <c r="I741" s="37"/>
      <c r="J741" s="35"/>
    </row>
    <row r="742" spans="9:10" x14ac:dyDescent="0.25">
      <c r="I742" s="37"/>
      <c r="J742" s="35"/>
    </row>
    <row r="743" spans="9:10" x14ac:dyDescent="0.25">
      <c r="I743" s="37"/>
      <c r="J743" s="35"/>
    </row>
    <row r="744" spans="9:10" x14ac:dyDescent="0.25">
      <c r="I744" s="37"/>
      <c r="J744" s="35"/>
    </row>
    <row r="745" spans="9:10" x14ac:dyDescent="0.25">
      <c r="I745" s="37"/>
      <c r="J745" s="35"/>
    </row>
    <row r="746" spans="9:10" x14ac:dyDescent="0.25">
      <c r="I746" s="37"/>
      <c r="J746" s="35"/>
    </row>
    <row r="747" spans="9:10" x14ac:dyDescent="0.25">
      <c r="I747" s="37"/>
      <c r="J747" s="35"/>
    </row>
    <row r="748" spans="9:10" x14ac:dyDescent="0.25">
      <c r="I748" s="37"/>
      <c r="J748" s="35"/>
    </row>
    <row r="749" spans="9:10" x14ac:dyDescent="0.25">
      <c r="I749" s="37"/>
      <c r="J749" s="35"/>
    </row>
    <row r="750" spans="9:10" x14ac:dyDescent="0.25">
      <c r="I750" s="37"/>
      <c r="J750" s="35"/>
    </row>
    <row r="751" spans="9:10" x14ac:dyDescent="0.25">
      <c r="I751" s="37"/>
      <c r="J751" s="35"/>
    </row>
    <row r="752" spans="9:10" x14ac:dyDescent="0.25">
      <c r="I752" s="37"/>
      <c r="J752" s="35"/>
    </row>
    <row r="753" spans="9:10" x14ac:dyDescent="0.25">
      <c r="I753" s="37"/>
      <c r="J753" s="35"/>
    </row>
    <row r="754" spans="9:10" x14ac:dyDescent="0.25">
      <c r="I754" s="37"/>
      <c r="J754" s="35"/>
    </row>
    <row r="755" spans="9:10" x14ac:dyDescent="0.25">
      <c r="I755" s="37"/>
      <c r="J755" s="35"/>
    </row>
    <row r="756" spans="9:10" x14ac:dyDescent="0.25">
      <c r="I756" s="37"/>
      <c r="J756" s="35"/>
    </row>
    <row r="757" spans="9:10" x14ac:dyDescent="0.25">
      <c r="I757" s="37"/>
      <c r="J757" s="35"/>
    </row>
    <row r="758" spans="9:10" x14ac:dyDescent="0.25">
      <c r="I758" s="37"/>
      <c r="J758" s="35"/>
    </row>
    <row r="759" spans="9:10" x14ac:dyDescent="0.25">
      <c r="I759" s="37"/>
      <c r="J759" s="35"/>
    </row>
    <row r="760" spans="9:10" x14ac:dyDescent="0.25">
      <c r="I760" s="37"/>
      <c r="J760" s="35"/>
    </row>
    <row r="761" spans="9:10" x14ac:dyDescent="0.25">
      <c r="I761" s="37"/>
      <c r="J761" s="35"/>
    </row>
    <row r="762" spans="9:10" x14ac:dyDescent="0.25">
      <c r="I762" s="37"/>
      <c r="J762" s="35"/>
    </row>
    <row r="763" spans="9:10" x14ac:dyDescent="0.25">
      <c r="I763" s="37"/>
      <c r="J763" s="35"/>
    </row>
    <row r="764" spans="9:10" x14ac:dyDescent="0.25">
      <c r="I764" s="37"/>
      <c r="J764" s="35"/>
    </row>
    <row r="765" spans="9:10" x14ac:dyDescent="0.25">
      <c r="I765" s="37"/>
      <c r="J765" s="35"/>
    </row>
    <row r="766" spans="9:10" x14ac:dyDescent="0.25">
      <c r="I766" s="37"/>
      <c r="J766" s="35"/>
    </row>
    <row r="767" spans="9:10" x14ac:dyDescent="0.25">
      <c r="I767" s="37"/>
      <c r="J767" s="35"/>
    </row>
    <row r="768" spans="9:10" x14ac:dyDescent="0.25">
      <c r="I768" s="37"/>
      <c r="J768" s="35"/>
    </row>
    <row r="769" spans="9:10" x14ac:dyDescent="0.25">
      <c r="I769" s="37"/>
      <c r="J769" s="35"/>
    </row>
    <row r="770" spans="9:10" x14ac:dyDescent="0.25">
      <c r="I770" s="37"/>
      <c r="J770" s="35"/>
    </row>
    <row r="771" spans="9:10" x14ac:dyDescent="0.25">
      <c r="I771" s="37"/>
      <c r="J771" s="35"/>
    </row>
    <row r="772" spans="9:10" x14ac:dyDescent="0.25">
      <c r="I772" s="37"/>
      <c r="J772" s="35"/>
    </row>
    <row r="773" spans="9:10" x14ac:dyDescent="0.25">
      <c r="I773" s="37"/>
      <c r="J773" s="35"/>
    </row>
    <row r="774" spans="9:10" x14ac:dyDescent="0.25">
      <c r="I774" s="37"/>
      <c r="J774" s="35"/>
    </row>
    <row r="775" spans="9:10" x14ac:dyDescent="0.25">
      <c r="I775" s="37"/>
      <c r="J775" s="35"/>
    </row>
    <row r="776" spans="9:10" x14ac:dyDescent="0.25">
      <c r="I776" s="37"/>
      <c r="J776" s="35"/>
    </row>
    <row r="777" spans="9:10" x14ac:dyDescent="0.25">
      <c r="I777" s="37"/>
      <c r="J777" s="35"/>
    </row>
    <row r="778" spans="9:10" x14ac:dyDescent="0.25">
      <c r="I778" s="37"/>
      <c r="J778" s="35"/>
    </row>
    <row r="779" spans="9:10" x14ac:dyDescent="0.25">
      <c r="I779" s="37"/>
      <c r="J779" s="35"/>
    </row>
    <row r="780" spans="9:10" x14ac:dyDescent="0.25">
      <c r="I780" s="37"/>
      <c r="J780" s="35"/>
    </row>
    <row r="781" spans="9:10" x14ac:dyDescent="0.25">
      <c r="I781" s="37"/>
      <c r="J781" s="35"/>
    </row>
    <row r="782" spans="9:10" x14ac:dyDescent="0.25">
      <c r="I782" s="37"/>
      <c r="J782" s="35"/>
    </row>
    <row r="783" spans="9:10" x14ac:dyDescent="0.25">
      <c r="I783" s="37"/>
      <c r="J783" s="35"/>
    </row>
    <row r="784" spans="9:10" x14ac:dyDescent="0.25">
      <c r="I784" s="37"/>
      <c r="J784" s="35"/>
    </row>
    <row r="785" spans="9:10" x14ac:dyDescent="0.25">
      <c r="I785" s="37"/>
      <c r="J785" s="35"/>
    </row>
    <row r="786" spans="9:10" x14ac:dyDescent="0.25">
      <c r="I786" s="37"/>
      <c r="J786" s="35"/>
    </row>
    <row r="787" spans="9:10" x14ac:dyDescent="0.25">
      <c r="I787" s="37"/>
      <c r="J787" s="35"/>
    </row>
    <row r="788" spans="9:10" x14ac:dyDescent="0.25">
      <c r="I788" s="37"/>
      <c r="J788" s="35"/>
    </row>
    <row r="789" spans="9:10" x14ac:dyDescent="0.25">
      <c r="I789" s="37"/>
      <c r="J789" s="35"/>
    </row>
    <row r="790" spans="9:10" x14ac:dyDescent="0.25">
      <c r="I790" s="37"/>
      <c r="J790" s="35"/>
    </row>
    <row r="791" spans="9:10" x14ac:dyDescent="0.25">
      <c r="I791" s="37"/>
      <c r="J791" s="35"/>
    </row>
    <row r="792" spans="9:10" x14ac:dyDescent="0.25">
      <c r="I792" s="37"/>
      <c r="J792" s="35"/>
    </row>
    <row r="793" spans="9:10" x14ac:dyDescent="0.25">
      <c r="I793" s="37"/>
      <c r="J793" s="35"/>
    </row>
    <row r="794" spans="9:10" x14ac:dyDescent="0.25">
      <c r="I794" s="37"/>
      <c r="J794" s="35"/>
    </row>
    <row r="795" spans="9:10" x14ac:dyDescent="0.25">
      <c r="I795" s="37"/>
      <c r="J795" s="35"/>
    </row>
    <row r="796" spans="9:10" x14ac:dyDescent="0.25">
      <c r="I796" s="37"/>
      <c r="J796" s="35"/>
    </row>
    <row r="797" spans="9:10" x14ac:dyDescent="0.25">
      <c r="I797" s="37"/>
      <c r="J797" s="35"/>
    </row>
    <row r="798" spans="9:10" x14ac:dyDescent="0.25">
      <c r="I798" s="37"/>
      <c r="J798" s="35"/>
    </row>
    <row r="799" spans="9:10" x14ac:dyDescent="0.25">
      <c r="I799" s="37"/>
      <c r="J799" s="35"/>
    </row>
    <row r="800" spans="9:10" x14ac:dyDescent="0.25">
      <c r="I800" s="37"/>
      <c r="J800" s="35"/>
    </row>
    <row r="801" spans="9:10" x14ac:dyDescent="0.25">
      <c r="I801" s="37"/>
      <c r="J801" s="35"/>
    </row>
    <row r="802" spans="9:10" x14ac:dyDescent="0.25">
      <c r="I802" s="37"/>
      <c r="J802" s="35"/>
    </row>
    <row r="803" spans="9:10" x14ac:dyDescent="0.25">
      <c r="I803" s="37"/>
      <c r="J803" s="35"/>
    </row>
    <row r="804" spans="9:10" x14ac:dyDescent="0.25">
      <c r="I804" s="37"/>
      <c r="J804" s="35"/>
    </row>
    <row r="805" spans="9:10" x14ac:dyDescent="0.25">
      <c r="I805" s="37"/>
      <c r="J805" s="35"/>
    </row>
    <row r="806" spans="9:10" x14ac:dyDescent="0.25">
      <c r="I806" s="37"/>
      <c r="J806" s="35"/>
    </row>
    <row r="807" spans="9:10" x14ac:dyDescent="0.25">
      <c r="I807" s="37"/>
      <c r="J807" s="35"/>
    </row>
    <row r="808" spans="9:10" x14ac:dyDescent="0.25">
      <c r="I808" s="37"/>
      <c r="J808" s="35"/>
    </row>
    <row r="809" spans="9:10" x14ac:dyDescent="0.25">
      <c r="I809" s="37"/>
      <c r="J809" s="35"/>
    </row>
    <row r="810" spans="9:10" x14ac:dyDescent="0.25">
      <c r="I810" s="37"/>
      <c r="J810" s="35"/>
    </row>
    <row r="811" spans="9:10" x14ac:dyDescent="0.25">
      <c r="I811" s="37"/>
      <c r="J811" s="35"/>
    </row>
    <row r="812" spans="9:10" x14ac:dyDescent="0.25">
      <c r="I812" s="37"/>
      <c r="J812" s="35"/>
    </row>
    <row r="813" spans="9:10" x14ac:dyDescent="0.25">
      <c r="I813" s="37"/>
      <c r="J813" s="35"/>
    </row>
    <row r="814" spans="9:10" x14ac:dyDescent="0.25">
      <c r="I814" s="37"/>
      <c r="J814" s="35"/>
    </row>
    <row r="815" spans="9:10" x14ac:dyDescent="0.25">
      <c r="I815" s="37"/>
      <c r="J815" s="35"/>
    </row>
    <row r="816" spans="9:10" x14ac:dyDescent="0.25">
      <c r="I816" s="37"/>
      <c r="J816" s="35"/>
    </row>
    <row r="817" spans="9:10" x14ac:dyDescent="0.25">
      <c r="I817" s="37"/>
      <c r="J817" s="35"/>
    </row>
    <row r="818" spans="9:10" x14ac:dyDescent="0.25">
      <c r="I818" s="37"/>
      <c r="J818" s="35"/>
    </row>
    <row r="819" spans="9:10" x14ac:dyDescent="0.25">
      <c r="I819" s="37"/>
      <c r="J819" s="35"/>
    </row>
    <row r="820" spans="9:10" x14ac:dyDescent="0.25">
      <c r="I820" s="37"/>
      <c r="J820" s="35"/>
    </row>
    <row r="821" spans="9:10" x14ac:dyDescent="0.25">
      <c r="I821" s="37"/>
      <c r="J821" s="35"/>
    </row>
    <row r="822" spans="9:10" x14ac:dyDescent="0.25">
      <c r="I822" s="37"/>
      <c r="J822" s="35"/>
    </row>
    <row r="823" spans="9:10" x14ac:dyDescent="0.25">
      <c r="I823" s="37"/>
      <c r="J823" s="35"/>
    </row>
    <row r="824" spans="9:10" x14ac:dyDescent="0.25">
      <c r="I824" s="37"/>
      <c r="J824" s="35"/>
    </row>
    <row r="825" spans="9:10" x14ac:dyDescent="0.25">
      <c r="I825" s="37"/>
      <c r="J825" s="35"/>
    </row>
    <row r="826" spans="9:10" x14ac:dyDescent="0.25">
      <c r="I826" s="37"/>
      <c r="J826" s="35"/>
    </row>
    <row r="827" spans="9:10" x14ac:dyDescent="0.25">
      <c r="I827" s="37"/>
      <c r="J827" s="35"/>
    </row>
    <row r="828" spans="9:10" x14ac:dyDescent="0.25">
      <c r="I828" s="37"/>
      <c r="J828" s="35"/>
    </row>
    <row r="829" spans="9:10" x14ac:dyDescent="0.25">
      <c r="I829" s="37"/>
      <c r="J829" s="35"/>
    </row>
    <row r="830" spans="9:10" x14ac:dyDescent="0.25">
      <c r="I830" s="37"/>
      <c r="J830" s="35"/>
    </row>
    <row r="831" spans="9:10" x14ac:dyDescent="0.25">
      <c r="I831" s="37"/>
      <c r="J831" s="35"/>
    </row>
    <row r="832" spans="9:10" x14ac:dyDescent="0.25">
      <c r="I832" s="37"/>
      <c r="J832" s="35"/>
    </row>
    <row r="833" spans="9:10" x14ac:dyDescent="0.25">
      <c r="I833" s="37"/>
      <c r="J833" s="35"/>
    </row>
    <row r="834" spans="9:10" x14ac:dyDescent="0.25">
      <c r="I834" s="37"/>
      <c r="J834" s="35"/>
    </row>
    <row r="835" spans="9:10" x14ac:dyDescent="0.25">
      <c r="I835" s="37"/>
      <c r="J835" s="35"/>
    </row>
    <row r="836" spans="9:10" x14ac:dyDescent="0.25">
      <c r="I836" s="37"/>
      <c r="J836" s="35"/>
    </row>
    <row r="837" spans="9:10" x14ac:dyDescent="0.25">
      <c r="I837" s="37"/>
      <c r="J837" s="35"/>
    </row>
    <row r="838" spans="9:10" x14ac:dyDescent="0.25">
      <c r="I838" s="37"/>
      <c r="J838" s="35"/>
    </row>
    <row r="839" spans="9:10" x14ac:dyDescent="0.25">
      <c r="I839" s="37"/>
      <c r="J839" s="35"/>
    </row>
    <row r="840" spans="9:10" x14ac:dyDescent="0.25">
      <c r="I840" s="37"/>
      <c r="J840" s="35"/>
    </row>
    <row r="841" spans="9:10" x14ac:dyDescent="0.25">
      <c r="I841" s="37"/>
      <c r="J841" s="35"/>
    </row>
    <row r="842" spans="9:10" x14ac:dyDescent="0.25">
      <c r="I842" s="37"/>
      <c r="J842" s="35"/>
    </row>
    <row r="843" spans="9:10" x14ac:dyDescent="0.25">
      <c r="I843" s="37"/>
      <c r="J843" s="35"/>
    </row>
    <row r="844" spans="9:10" x14ac:dyDescent="0.25">
      <c r="I844" s="37"/>
      <c r="J844" s="35"/>
    </row>
    <row r="845" spans="9:10" x14ac:dyDescent="0.25">
      <c r="I845" s="37"/>
      <c r="J845" s="35"/>
    </row>
    <row r="846" spans="9:10" x14ac:dyDescent="0.25">
      <c r="I846" s="37"/>
      <c r="J846" s="35"/>
    </row>
    <row r="847" spans="9:10" x14ac:dyDescent="0.25">
      <c r="I847" s="37"/>
      <c r="J847" s="35"/>
    </row>
    <row r="848" spans="9:10" x14ac:dyDescent="0.25">
      <c r="I848" s="37"/>
      <c r="J848" s="35"/>
    </row>
    <row r="849" spans="9:10" x14ac:dyDescent="0.25">
      <c r="I849" s="37"/>
      <c r="J849" s="35"/>
    </row>
    <row r="850" spans="9:10" x14ac:dyDescent="0.25">
      <c r="I850" s="37"/>
      <c r="J850" s="35"/>
    </row>
    <row r="851" spans="9:10" x14ac:dyDescent="0.25">
      <c r="I851" s="37"/>
      <c r="J851" s="35"/>
    </row>
    <row r="852" spans="9:10" x14ac:dyDescent="0.25">
      <c r="I852" s="37"/>
      <c r="J852" s="35"/>
    </row>
    <row r="853" spans="9:10" x14ac:dyDescent="0.25">
      <c r="I853" s="37"/>
      <c r="J853" s="35"/>
    </row>
    <row r="854" spans="9:10" x14ac:dyDescent="0.25">
      <c r="I854" s="37"/>
      <c r="J854" s="35"/>
    </row>
    <row r="855" spans="9:10" x14ac:dyDescent="0.25">
      <c r="I855" s="37"/>
      <c r="J855" s="35"/>
    </row>
    <row r="856" spans="9:10" x14ac:dyDescent="0.25">
      <c r="I856" s="37"/>
      <c r="J856" s="35"/>
    </row>
    <row r="857" spans="9:10" x14ac:dyDescent="0.25">
      <c r="I857" s="37"/>
      <c r="J857" s="35"/>
    </row>
    <row r="858" spans="9:10" x14ac:dyDescent="0.25">
      <c r="I858" s="37"/>
      <c r="J858" s="35"/>
    </row>
    <row r="859" spans="9:10" x14ac:dyDescent="0.25">
      <c r="I859" s="37"/>
      <c r="J859" s="35"/>
    </row>
    <row r="860" spans="9:10" x14ac:dyDescent="0.25">
      <c r="I860" s="37"/>
      <c r="J860" s="35"/>
    </row>
    <row r="861" spans="9:10" x14ac:dyDescent="0.25">
      <c r="I861" s="37"/>
      <c r="J861" s="35"/>
    </row>
    <row r="862" spans="9:10" x14ac:dyDescent="0.25">
      <c r="I862" s="37"/>
      <c r="J862" s="35"/>
    </row>
    <row r="863" spans="9:10" x14ac:dyDescent="0.25">
      <c r="I863" s="37"/>
      <c r="J863" s="35"/>
    </row>
    <row r="864" spans="9:10" x14ac:dyDescent="0.25">
      <c r="I864" s="37"/>
      <c r="J864" s="35"/>
    </row>
    <row r="865" spans="9:10" x14ac:dyDescent="0.25">
      <c r="I865" s="37"/>
      <c r="J865" s="35"/>
    </row>
    <row r="866" spans="9:10" x14ac:dyDescent="0.25">
      <c r="I866" s="37"/>
      <c r="J866" s="35"/>
    </row>
    <row r="867" spans="9:10" x14ac:dyDescent="0.25">
      <c r="I867" s="37"/>
      <c r="J867" s="35"/>
    </row>
    <row r="868" spans="9:10" x14ac:dyDescent="0.25">
      <c r="I868" s="37"/>
      <c r="J868" s="35"/>
    </row>
    <row r="869" spans="9:10" x14ac:dyDescent="0.25">
      <c r="I869" s="37"/>
      <c r="J869" s="35"/>
    </row>
    <row r="870" spans="9:10" x14ac:dyDescent="0.25">
      <c r="I870" s="37"/>
      <c r="J870" s="35"/>
    </row>
    <row r="871" spans="9:10" x14ac:dyDescent="0.25">
      <c r="I871" s="37"/>
      <c r="J871" s="35"/>
    </row>
    <row r="872" spans="9:10" x14ac:dyDescent="0.25">
      <c r="I872" s="37"/>
      <c r="J872" s="35"/>
    </row>
    <row r="873" spans="9:10" x14ac:dyDescent="0.25">
      <c r="I873" s="37"/>
      <c r="J873" s="35"/>
    </row>
    <row r="874" spans="9:10" x14ac:dyDescent="0.25">
      <c r="I874" s="37"/>
      <c r="J874" s="35"/>
    </row>
    <row r="875" spans="9:10" x14ac:dyDescent="0.25">
      <c r="I875" s="37"/>
      <c r="J875" s="35"/>
    </row>
    <row r="876" spans="9:10" x14ac:dyDescent="0.25">
      <c r="I876" s="37"/>
      <c r="J876" s="35"/>
    </row>
    <row r="877" spans="9:10" x14ac:dyDescent="0.25">
      <c r="I877" s="37"/>
      <c r="J877" s="35"/>
    </row>
    <row r="878" spans="9:10" x14ac:dyDescent="0.25">
      <c r="I878" s="37"/>
      <c r="J878" s="35"/>
    </row>
    <row r="879" spans="9:10" x14ac:dyDescent="0.25">
      <c r="I879" s="37"/>
      <c r="J879" s="35"/>
    </row>
    <row r="880" spans="9:10" x14ac:dyDescent="0.25">
      <c r="I880" s="37"/>
      <c r="J880" s="35"/>
    </row>
    <row r="881" spans="9:10" x14ac:dyDescent="0.25">
      <c r="I881" s="37"/>
      <c r="J881" s="35"/>
    </row>
    <row r="882" spans="9:10" x14ac:dyDescent="0.25">
      <c r="I882" s="37"/>
      <c r="J882" s="35"/>
    </row>
    <row r="883" spans="9:10" x14ac:dyDescent="0.25">
      <c r="I883" s="37"/>
      <c r="J883" s="35"/>
    </row>
    <row r="884" spans="9:10" x14ac:dyDescent="0.25">
      <c r="I884" s="37"/>
      <c r="J884" s="35"/>
    </row>
    <row r="885" spans="9:10" x14ac:dyDescent="0.25">
      <c r="I885" s="37"/>
      <c r="J885" s="35"/>
    </row>
    <row r="886" spans="9:10" x14ac:dyDescent="0.25">
      <c r="I886" s="37"/>
      <c r="J886" s="35"/>
    </row>
    <row r="887" spans="9:10" x14ac:dyDescent="0.25">
      <c r="I887" s="37"/>
      <c r="J887" s="35"/>
    </row>
    <row r="888" spans="9:10" x14ac:dyDescent="0.25">
      <c r="I888" s="37"/>
      <c r="J888" s="35"/>
    </row>
    <row r="889" spans="9:10" x14ac:dyDescent="0.25">
      <c r="I889" s="37"/>
      <c r="J889" s="35"/>
    </row>
    <row r="890" spans="9:10" x14ac:dyDescent="0.25">
      <c r="I890" s="37"/>
      <c r="J890" s="35"/>
    </row>
    <row r="891" spans="9:10" x14ac:dyDescent="0.25">
      <c r="I891" s="37"/>
      <c r="J891" s="35"/>
    </row>
    <row r="892" spans="9:10" x14ac:dyDescent="0.25">
      <c r="I892" s="37"/>
      <c r="J892" s="35"/>
    </row>
    <row r="893" spans="9:10" x14ac:dyDescent="0.25">
      <c r="I893" s="37"/>
      <c r="J893" s="35"/>
    </row>
    <row r="894" spans="9:10" x14ac:dyDescent="0.25">
      <c r="I894" s="37"/>
      <c r="J894" s="35"/>
    </row>
    <row r="895" spans="9:10" x14ac:dyDescent="0.25">
      <c r="I895" s="37"/>
      <c r="J895" s="35"/>
    </row>
    <row r="896" spans="9:10" x14ac:dyDescent="0.25">
      <c r="I896" s="37"/>
      <c r="J896" s="35"/>
    </row>
    <row r="897" spans="9:10" x14ac:dyDescent="0.25">
      <c r="I897" s="37"/>
      <c r="J897" s="35"/>
    </row>
    <row r="898" spans="9:10" x14ac:dyDescent="0.25">
      <c r="I898" s="37"/>
      <c r="J898" s="35"/>
    </row>
    <row r="899" spans="9:10" x14ac:dyDescent="0.25">
      <c r="I899" s="37"/>
      <c r="J899" s="35"/>
    </row>
    <row r="900" spans="9:10" x14ac:dyDescent="0.25">
      <c r="I900" s="37"/>
      <c r="J900" s="35"/>
    </row>
    <row r="901" spans="9:10" x14ac:dyDescent="0.25">
      <c r="I901" s="37"/>
      <c r="J901" s="35"/>
    </row>
    <row r="902" spans="9:10" x14ac:dyDescent="0.25">
      <c r="I902" s="37"/>
      <c r="J902" s="35"/>
    </row>
    <row r="903" spans="9:10" x14ac:dyDescent="0.25">
      <c r="I903" s="37"/>
      <c r="J903" s="35"/>
    </row>
    <row r="904" spans="9:10" x14ac:dyDescent="0.25">
      <c r="I904" s="37"/>
      <c r="J904" s="35"/>
    </row>
    <row r="905" spans="9:10" x14ac:dyDescent="0.25">
      <c r="I905" s="37"/>
      <c r="J905" s="35"/>
    </row>
    <row r="906" spans="9:10" x14ac:dyDescent="0.25">
      <c r="I906" s="37"/>
      <c r="J906" s="35"/>
    </row>
    <row r="907" spans="9:10" x14ac:dyDescent="0.25">
      <c r="I907" s="37"/>
      <c r="J907" s="35"/>
    </row>
    <row r="908" spans="9:10" x14ac:dyDescent="0.25">
      <c r="I908" s="37"/>
      <c r="J908" s="35"/>
    </row>
    <row r="909" spans="9:10" x14ac:dyDescent="0.25">
      <c r="I909" s="37"/>
      <c r="J909" s="35"/>
    </row>
    <row r="910" spans="9:10" x14ac:dyDescent="0.25">
      <c r="I910" s="37"/>
      <c r="J910" s="35"/>
    </row>
    <row r="911" spans="9:10" x14ac:dyDescent="0.25">
      <c r="I911" s="37"/>
      <c r="J911" s="35"/>
    </row>
    <row r="912" spans="9:10" x14ac:dyDescent="0.25">
      <c r="I912" s="37"/>
      <c r="J912" s="35"/>
    </row>
    <row r="913" spans="9:10" x14ac:dyDescent="0.25">
      <c r="I913" s="37"/>
      <c r="J913" s="35"/>
    </row>
    <row r="914" spans="9:10" x14ac:dyDescent="0.25">
      <c r="I914" s="37"/>
      <c r="J914" s="35"/>
    </row>
    <row r="915" spans="9:10" x14ac:dyDescent="0.25">
      <c r="I915" s="37"/>
      <c r="J915" s="35"/>
    </row>
    <row r="916" spans="9:10" x14ac:dyDescent="0.25">
      <c r="I916" s="37"/>
      <c r="J916" s="35"/>
    </row>
    <row r="917" spans="9:10" x14ac:dyDescent="0.25">
      <c r="I917" s="37"/>
      <c r="J917" s="35"/>
    </row>
    <row r="918" spans="9:10" x14ac:dyDescent="0.25">
      <c r="I918" s="37"/>
      <c r="J918" s="35"/>
    </row>
    <row r="919" spans="9:10" x14ac:dyDescent="0.25">
      <c r="I919" s="37"/>
      <c r="J919" s="35"/>
    </row>
    <row r="920" spans="9:10" x14ac:dyDescent="0.25">
      <c r="I920" s="37"/>
      <c r="J920" s="35"/>
    </row>
    <row r="921" spans="9:10" x14ac:dyDescent="0.25">
      <c r="I921" s="37"/>
      <c r="J921" s="35"/>
    </row>
    <row r="922" spans="9:10" x14ac:dyDescent="0.25">
      <c r="I922" s="37"/>
      <c r="J922" s="35"/>
    </row>
    <row r="923" spans="9:10" x14ac:dyDescent="0.25">
      <c r="I923" s="37"/>
      <c r="J923" s="35"/>
    </row>
    <row r="924" spans="9:10" x14ac:dyDescent="0.25">
      <c r="I924" s="37"/>
      <c r="J924" s="35"/>
    </row>
    <row r="925" spans="9:10" x14ac:dyDescent="0.25">
      <c r="I925" s="37"/>
      <c r="J925" s="35"/>
    </row>
    <row r="926" spans="9:10" x14ac:dyDescent="0.25">
      <c r="I926" s="37"/>
      <c r="J926" s="35"/>
    </row>
    <row r="927" spans="9:10" x14ac:dyDescent="0.25">
      <c r="I927" s="37"/>
      <c r="J927" s="35"/>
    </row>
    <row r="928" spans="9:10" x14ac:dyDescent="0.25">
      <c r="I928" s="37"/>
      <c r="J928" s="35"/>
    </row>
    <row r="929" spans="9:10" x14ac:dyDescent="0.25">
      <c r="I929" s="37"/>
      <c r="J929" s="35"/>
    </row>
    <row r="930" spans="9:10" x14ac:dyDescent="0.25">
      <c r="I930" s="37"/>
      <c r="J930" s="35"/>
    </row>
    <row r="931" spans="9:10" x14ac:dyDescent="0.25">
      <c r="I931" s="37"/>
      <c r="J931" s="35"/>
    </row>
    <row r="932" spans="9:10" x14ac:dyDescent="0.25">
      <c r="I932" s="37"/>
      <c r="J932" s="35"/>
    </row>
    <row r="933" spans="9:10" x14ac:dyDescent="0.25">
      <c r="I933" s="37"/>
      <c r="J933" s="35"/>
    </row>
    <row r="934" spans="9:10" x14ac:dyDescent="0.25">
      <c r="I934" s="37"/>
      <c r="J934" s="35"/>
    </row>
    <row r="935" spans="9:10" x14ac:dyDescent="0.25">
      <c r="I935" s="37"/>
      <c r="J935" s="35"/>
    </row>
    <row r="936" spans="9:10" x14ac:dyDescent="0.25">
      <c r="I936" s="37"/>
      <c r="J936" s="35"/>
    </row>
    <row r="937" spans="9:10" x14ac:dyDescent="0.25">
      <c r="I937" s="37"/>
      <c r="J937" s="35"/>
    </row>
    <row r="938" spans="9:10" x14ac:dyDescent="0.25">
      <c r="I938" s="37"/>
      <c r="J938" s="35"/>
    </row>
    <row r="939" spans="9:10" x14ac:dyDescent="0.25">
      <c r="I939" s="37"/>
      <c r="J939" s="35"/>
    </row>
    <row r="940" spans="9:10" x14ac:dyDescent="0.25">
      <c r="I940" s="37"/>
      <c r="J940" s="35"/>
    </row>
    <row r="941" spans="9:10" x14ac:dyDescent="0.25">
      <c r="I941" s="37"/>
      <c r="J941" s="35"/>
    </row>
    <row r="942" spans="9:10" x14ac:dyDescent="0.25">
      <c r="I942" s="37"/>
      <c r="J942" s="35"/>
    </row>
    <row r="943" spans="9:10" x14ac:dyDescent="0.25">
      <c r="I943" s="37"/>
      <c r="J943" s="35"/>
    </row>
    <row r="944" spans="9:10" x14ac:dyDescent="0.25">
      <c r="I944" s="37"/>
      <c r="J944" s="35"/>
    </row>
    <row r="945" spans="9:10" x14ac:dyDescent="0.25">
      <c r="I945" s="37"/>
      <c r="J945" s="35"/>
    </row>
    <row r="946" spans="9:10" x14ac:dyDescent="0.25">
      <c r="I946" s="37"/>
      <c r="J946" s="35"/>
    </row>
    <row r="947" spans="9:10" x14ac:dyDescent="0.25">
      <c r="I947" s="37"/>
      <c r="J947" s="35"/>
    </row>
    <row r="948" spans="9:10" x14ac:dyDescent="0.25">
      <c r="I948" s="37"/>
      <c r="J948" s="35"/>
    </row>
    <row r="949" spans="9:10" x14ac:dyDescent="0.25">
      <c r="I949" s="37"/>
      <c r="J949" s="35"/>
    </row>
    <row r="950" spans="9:10" x14ac:dyDescent="0.25">
      <c r="I950" s="37"/>
      <c r="J950" s="35"/>
    </row>
    <row r="951" spans="9:10" x14ac:dyDescent="0.25">
      <c r="I951" s="37"/>
      <c r="J951" s="35"/>
    </row>
    <row r="952" spans="9:10" x14ac:dyDescent="0.25">
      <c r="I952" s="37"/>
      <c r="J952" s="35"/>
    </row>
    <row r="953" spans="9:10" x14ac:dyDescent="0.25">
      <c r="I953" s="37"/>
      <c r="J953" s="35"/>
    </row>
    <row r="954" spans="9:10" x14ac:dyDescent="0.25">
      <c r="I954" s="37"/>
      <c r="J954" s="35"/>
    </row>
    <row r="955" spans="9:10" x14ac:dyDescent="0.25">
      <c r="I955" s="37"/>
      <c r="J955" s="35"/>
    </row>
    <row r="956" spans="9:10" x14ac:dyDescent="0.25">
      <c r="I956" s="37"/>
      <c r="J956" s="35"/>
    </row>
    <row r="957" spans="9:10" x14ac:dyDescent="0.25">
      <c r="I957" s="37"/>
      <c r="J957" s="35"/>
    </row>
    <row r="958" spans="9:10" x14ac:dyDescent="0.25">
      <c r="I958" s="37"/>
      <c r="J958" s="35"/>
    </row>
    <row r="959" spans="9:10" x14ac:dyDescent="0.25">
      <c r="I959" s="37"/>
      <c r="J959" s="35"/>
    </row>
    <row r="960" spans="9:10" x14ac:dyDescent="0.25">
      <c r="I960" s="37"/>
      <c r="J960" s="35"/>
    </row>
    <row r="961" spans="9:10" x14ac:dyDescent="0.25">
      <c r="I961" s="37"/>
      <c r="J961" s="35"/>
    </row>
    <row r="962" spans="9:10" x14ac:dyDescent="0.25">
      <c r="I962" s="37"/>
      <c r="J962" s="35"/>
    </row>
    <row r="963" spans="9:10" x14ac:dyDescent="0.25">
      <c r="I963" s="37"/>
      <c r="J963" s="35"/>
    </row>
    <row r="964" spans="9:10" x14ac:dyDescent="0.25">
      <c r="I964" s="37"/>
      <c r="J964" s="35"/>
    </row>
    <row r="965" spans="9:10" x14ac:dyDescent="0.25">
      <c r="I965" s="37"/>
      <c r="J965" s="35"/>
    </row>
    <row r="966" spans="9:10" x14ac:dyDescent="0.25">
      <c r="I966" s="37"/>
      <c r="J966" s="35"/>
    </row>
    <row r="967" spans="9:10" x14ac:dyDescent="0.25">
      <c r="I967" s="37"/>
      <c r="J967" s="35"/>
    </row>
    <row r="968" spans="9:10" x14ac:dyDescent="0.25">
      <c r="I968" s="37"/>
      <c r="J968" s="35"/>
    </row>
    <row r="969" spans="9:10" x14ac:dyDescent="0.25">
      <c r="I969" s="37"/>
      <c r="J969" s="35"/>
    </row>
    <row r="970" spans="9:10" x14ac:dyDescent="0.25">
      <c r="I970" s="37"/>
      <c r="J970" s="35"/>
    </row>
    <row r="971" spans="9:10" x14ac:dyDescent="0.25">
      <c r="I971" s="37"/>
      <c r="J971" s="35"/>
    </row>
    <row r="972" spans="9:10" x14ac:dyDescent="0.25">
      <c r="I972" s="37"/>
      <c r="J972" s="35"/>
    </row>
    <row r="973" spans="9:10" x14ac:dyDescent="0.25">
      <c r="I973" s="37"/>
      <c r="J973" s="35"/>
    </row>
    <row r="974" spans="9:10" x14ac:dyDescent="0.25">
      <c r="I974" s="37"/>
      <c r="J974" s="35"/>
    </row>
    <row r="975" spans="9:10" x14ac:dyDescent="0.25">
      <c r="I975" s="37"/>
      <c r="J975" s="35"/>
    </row>
    <row r="976" spans="9:10" x14ac:dyDescent="0.25">
      <c r="I976" s="37"/>
      <c r="J976" s="35"/>
    </row>
    <row r="977" spans="9:10" x14ac:dyDescent="0.25">
      <c r="I977" s="37"/>
      <c r="J977" s="35"/>
    </row>
    <row r="978" spans="9:10" x14ac:dyDescent="0.25">
      <c r="I978" s="37"/>
      <c r="J978" s="35"/>
    </row>
    <row r="979" spans="9:10" x14ac:dyDescent="0.25">
      <c r="I979" s="37"/>
      <c r="J979" s="35"/>
    </row>
    <row r="980" spans="9:10" x14ac:dyDescent="0.25">
      <c r="I980" s="37"/>
      <c r="J980" s="35"/>
    </row>
    <row r="981" spans="9:10" x14ac:dyDescent="0.25">
      <c r="I981" s="37"/>
      <c r="J981" s="35"/>
    </row>
    <row r="982" spans="9:10" x14ac:dyDescent="0.25">
      <c r="I982" s="37"/>
      <c r="J982" s="35"/>
    </row>
    <row r="983" spans="9:10" x14ac:dyDescent="0.25">
      <c r="I983" s="37"/>
      <c r="J983" s="35"/>
    </row>
    <row r="984" spans="9:10" x14ac:dyDescent="0.25">
      <c r="I984" s="37"/>
      <c r="J984" s="35"/>
    </row>
    <row r="985" spans="9:10" x14ac:dyDescent="0.25">
      <c r="I985" s="37"/>
      <c r="J985" s="35"/>
    </row>
    <row r="986" spans="9:10" x14ac:dyDescent="0.25">
      <c r="I986" s="37"/>
      <c r="J986" s="35"/>
    </row>
    <row r="987" spans="9:10" x14ac:dyDescent="0.25">
      <c r="I987" s="37"/>
      <c r="J987" s="35"/>
    </row>
    <row r="988" spans="9:10" x14ac:dyDescent="0.25">
      <c r="I988" s="37"/>
      <c r="J988" s="35"/>
    </row>
    <row r="989" spans="9:10" x14ac:dyDescent="0.25">
      <c r="I989" s="37"/>
      <c r="J989" s="35"/>
    </row>
    <row r="990" spans="9:10" x14ac:dyDescent="0.25">
      <c r="I990" s="37"/>
      <c r="J990" s="35"/>
    </row>
    <row r="991" spans="9:10" x14ac:dyDescent="0.25">
      <c r="I991" s="37"/>
      <c r="J991" s="35"/>
    </row>
    <row r="992" spans="9:10" x14ac:dyDescent="0.25">
      <c r="I992" s="37"/>
      <c r="J992" s="35"/>
    </row>
    <row r="993" spans="9:10" x14ac:dyDescent="0.25">
      <c r="I993" s="37"/>
      <c r="J993" s="35"/>
    </row>
    <row r="994" spans="9:10" x14ac:dyDescent="0.25">
      <c r="I994" s="37"/>
      <c r="J994" s="35"/>
    </row>
    <row r="995" spans="9:10" x14ac:dyDescent="0.25">
      <c r="I995" s="37"/>
      <c r="J995" s="35"/>
    </row>
    <row r="996" spans="9:10" x14ac:dyDescent="0.25">
      <c r="I996" s="37"/>
      <c r="J996" s="35"/>
    </row>
    <row r="997" spans="9:10" x14ac:dyDescent="0.25">
      <c r="I997" s="37"/>
      <c r="J997" s="35"/>
    </row>
    <row r="998" spans="9:10" x14ac:dyDescent="0.25">
      <c r="I998" s="37"/>
      <c r="J998" s="35"/>
    </row>
    <row r="999" spans="9:10" x14ac:dyDescent="0.25">
      <c r="I999" s="37"/>
      <c r="J999" s="35"/>
    </row>
    <row r="1000" spans="9:10" x14ac:dyDescent="0.25">
      <c r="I1000" s="37"/>
      <c r="J1000" s="35"/>
    </row>
    <row r="1001" spans="9:10" x14ac:dyDescent="0.25">
      <c r="I1001" s="37"/>
      <c r="J1001" s="35"/>
    </row>
    <row r="1002" spans="9:10" x14ac:dyDescent="0.25">
      <c r="I1002" s="37"/>
      <c r="J1002" s="35"/>
    </row>
    <row r="1003" spans="9:10" x14ac:dyDescent="0.25">
      <c r="I1003" s="37"/>
      <c r="J1003" s="35"/>
    </row>
    <row r="1004" spans="9:10" x14ac:dyDescent="0.25">
      <c r="I1004" s="37"/>
      <c r="J1004" s="35"/>
    </row>
    <row r="1005" spans="9:10" x14ac:dyDescent="0.25">
      <c r="I1005" s="37"/>
      <c r="J1005" s="35"/>
    </row>
    <row r="1006" spans="9:10" x14ac:dyDescent="0.25">
      <c r="I1006" s="37"/>
      <c r="J1006" s="35"/>
    </row>
    <row r="1007" spans="9:10" x14ac:dyDescent="0.25">
      <c r="I1007" s="37"/>
      <c r="J1007" s="35"/>
    </row>
    <row r="1008" spans="9:10" x14ac:dyDescent="0.25">
      <c r="I1008" s="37"/>
      <c r="J1008" s="35"/>
    </row>
    <row r="1009" spans="9:10" x14ac:dyDescent="0.25">
      <c r="I1009" s="37"/>
      <c r="J1009" s="35"/>
    </row>
    <row r="1010" spans="9:10" x14ac:dyDescent="0.25">
      <c r="I1010" s="37"/>
      <c r="J1010" s="35"/>
    </row>
    <row r="1011" spans="9:10" x14ac:dyDescent="0.25">
      <c r="I1011" s="37"/>
      <c r="J1011" s="35"/>
    </row>
    <row r="1012" spans="9:10" x14ac:dyDescent="0.25">
      <c r="I1012" s="37"/>
      <c r="J1012" s="35"/>
    </row>
    <row r="1013" spans="9:10" x14ac:dyDescent="0.25">
      <c r="I1013" s="37"/>
      <c r="J1013" s="35"/>
    </row>
    <row r="1014" spans="9:10" x14ac:dyDescent="0.25">
      <c r="I1014" s="37"/>
      <c r="J1014" s="35"/>
    </row>
    <row r="1015" spans="9:10" x14ac:dyDescent="0.25">
      <c r="I1015" s="37"/>
      <c r="J1015" s="35"/>
    </row>
    <row r="1016" spans="9:10" x14ac:dyDescent="0.25">
      <c r="I1016" s="37"/>
      <c r="J1016" s="35"/>
    </row>
    <row r="1017" spans="9:10" x14ac:dyDescent="0.25">
      <c r="I1017" s="37"/>
      <c r="J1017" s="35"/>
    </row>
    <row r="1018" spans="9:10" x14ac:dyDescent="0.25">
      <c r="I1018" s="37"/>
      <c r="J1018" s="35"/>
    </row>
    <row r="1019" spans="9:10" x14ac:dyDescent="0.25">
      <c r="I1019" s="37"/>
      <c r="J1019" s="35"/>
    </row>
    <row r="1020" spans="9:10" x14ac:dyDescent="0.25">
      <c r="I1020" s="37"/>
      <c r="J1020" s="35"/>
    </row>
    <row r="1021" spans="9:10" x14ac:dyDescent="0.25">
      <c r="I1021" s="37"/>
      <c r="J1021" s="35"/>
    </row>
    <row r="1022" spans="9:10" x14ac:dyDescent="0.25">
      <c r="I1022" s="37"/>
      <c r="J1022" s="35"/>
    </row>
    <row r="1023" spans="9:10" x14ac:dyDescent="0.25">
      <c r="I1023" s="37"/>
      <c r="J1023" s="35"/>
    </row>
    <row r="1024" spans="9:10" x14ac:dyDescent="0.25">
      <c r="I1024" s="37"/>
      <c r="J1024" s="35"/>
    </row>
    <row r="1025" spans="9:10" x14ac:dyDescent="0.25">
      <c r="I1025" s="37"/>
      <c r="J1025" s="35"/>
    </row>
    <row r="1026" spans="9:10" x14ac:dyDescent="0.25">
      <c r="I1026" s="37"/>
      <c r="J1026" s="35"/>
    </row>
    <row r="1027" spans="9:10" x14ac:dyDescent="0.25">
      <c r="I1027" s="37"/>
      <c r="J1027" s="35"/>
    </row>
    <row r="1028" spans="9:10" x14ac:dyDescent="0.25">
      <c r="I1028" s="37"/>
      <c r="J1028" s="35"/>
    </row>
    <row r="1029" spans="9:10" x14ac:dyDescent="0.25">
      <c r="I1029" s="37"/>
      <c r="J1029" s="35"/>
    </row>
    <row r="1030" spans="9:10" x14ac:dyDescent="0.25">
      <c r="I1030" s="37"/>
      <c r="J1030" s="35"/>
    </row>
    <row r="1031" spans="9:10" x14ac:dyDescent="0.25">
      <c r="I1031" s="37"/>
      <c r="J1031" s="35"/>
    </row>
    <row r="1032" spans="9:10" x14ac:dyDescent="0.25">
      <c r="I1032" s="37"/>
      <c r="J1032" s="35"/>
    </row>
    <row r="1033" spans="9:10" x14ac:dyDescent="0.25">
      <c r="I1033" s="37"/>
      <c r="J1033" s="35"/>
    </row>
    <row r="1034" spans="9:10" x14ac:dyDescent="0.25">
      <c r="I1034" s="37"/>
      <c r="J1034" s="35"/>
    </row>
    <row r="1035" spans="9:10" x14ac:dyDescent="0.25">
      <c r="I1035" s="37"/>
      <c r="J1035" s="35"/>
    </row>
    <row r="1036" spans="9:10" x14ac:dyDescent="0.25">
      <c r="I1036" s="37"/>
      <c r="J1036" s="35"/>
    </row>
    <row r="1037" spans="9:10" x14ac:dyDescent="0.25">
      <c r="I1037" s="37"/>
      <c r="J1037" s="35"/>
    </row>
    <row r="1038" spans="9:10" x14ac:dyDescent="0.25">
      <c r="I1038" s="37"/>
      <c r="J1038" s="35"/>
    </row>
    <row r="1039" spans="9:10" x14ac:dyDescent="0.25">
      <c r="I1039" s="37"/>
      <c r="J1039" s="35"/>
    </row>
    <row r="1040" spans="9:10" x14ac:dyDescent="0.25">
      <c r="I1040" s="37"/>
      <c r="J1040" s="35"/>
    </row>
    <row r="1041" spans="9:10" x14ac:dyDescent="0.25">
      <c r="I1041" s="37"/>
      <c r="J1041" s="35"/>
    </row>
    <row r="1042" spans="9:10" x14ac:dyDescent="0.25">
      <c r="I1042" s="37"/>
      <c r="J1042" s="35"/>
    </row>
    <row r="1043" spans="9:10" x14ac:dyDescent="0.25">
      <c r="I1043" s="37"/>
      <c r="J1043" s="35"/>
    </row>
    <row r="1044" spans="9:10" x14ac:dyDescent="0.25">
      <c r="I1044" s="37"/>
      <c r="J1044" s="35"/>
    </row>
    <row r="1045" spans="9:10" x14ac:dyDescent="0.25">
      <c r="I1045" s="37"/>
      <c r="J1045" s="35"/>
    </row>
    <row r="1046" spans="9:10" x14ac:dyDescent="0.25">
      <c r="I1046" s="37"/>
      <c r="J1046" s="35"/>
    </row>
    <row r="1047" spans="9:10" x14ac:dyDescent="0.25">
      <c r="I1047" s="37"/>
      <c r="J1047" s="35"/>
    </row>
    <row r="1048" spans="9:10" x14ac:dyDescent="0.25">
      <c r="I1048" s="37"/>
      <c r="J1048" s="35"/>
    </row>
    <row r="1049" spans="9:10" x14ac:dyDescent="0.25">
      <c r="I1049" s="37"/>
      <c r="J1049" s="35"/>
    </row>
    <row r="1050" spans="9:10" x14ac:dyDescent="0.25">
      <c r="I1050" s="37"/>
      <c r="J1050" s="35"/>
    </row>
    <row r="1051" spans="9:10" x14ac:dyDescent="0.25">
      <c r="I1051" s="37"/>
      <c r="J1051" s="35"/>
    </row>
    <row r="1052" spans="9:10" x14ac:dyDescent="0.25">
      <c r="I1052" s="37"/>
      <c r="J1052" s="35"/>
    </row>
    <row r="1053" spans="9:10" x14ac:dyDescent="0.25">
      <c r="I1053" s="37"/>
      <c r="J1053" s="35"/>
    </row>
    <row r="1054" spans="9:10" x14ac:dyDescent="0.25">
      <c r="I1054" s="37"/>
      <c r="J1054" s="35"/>
    </row>
    <row r="1055" spans="9:10" x14ac:dyDescent="0.25">
      <c r="I1055" s="37"/>
      <c r="J1055" s="35"/>
    </row>
    <row r="1056" spans="9:10" x14ac:dyDescent="0.25">
      <c r="I1056" s="37"/>
      <c r="J1056" s="35"/>
    </row>
    <row r="1057" spans="9:10" x14ac:dyDescent="0.25">
      <c r="I1057" s="37"/>
      <c r="J1057" s="35"/>
    </row>
    <row r="1058" spans="9:10" x14ac:dyDescent="0.25">
      <c r="I1058" s="37"/>
      <c r="J1058" s="35"/>
    </row>
    <row r="1059" spans="9:10" x14ac:dyDescent="0.25">
      <c r="I1059" s="37"/>
      <c r="J1059" s="35"/>
    </row>
    <row r="1060" spans="9:10" x14ac:dyDescent="0.25">
      <c r="I1060" s="37"/>
      <c r="J1060" s="35"/>
    </row>
    <row r="1061" spans="9:10" x14ac:dyDescent="0.25">
      <c r="I1061" s="37"/>
      <c r="J1061" s="35"/>
    </row>
    <row r="1062" spans="9:10" x14ac:dyDescent="0.25">
      <c r="I1062" s="37"/>
      <c r="J1062" s="35"/>
    </row>
    <row r="1063" spans="9:10" x14ac:dyDescent="0.25">
      <c r="I1063" s="37"/>
      <c r="J1063" s="35"/>
    </row>
    <row r="1064" spans="9:10" x14ac:dyDescent="0.25">
      <c r="I1064" s="37"/>
      <c r="J1064" s="35"/>
    </row>
    <row r="1065" spans="9:10" x14ac:dyDescent="0.25">
      <c r="I1065" s="37"/>
      <c r="J1065" s="35"/>
    </row>
    <row r="1066" spans="9:10" x14ac:dyDescent="0.25">
      <c r="I1066" s="37"/>
      <c r="J1066" s="35"/>
    </row>
    <row r="1067" spans="9:10" x14ac:dyDescent="0.25">
      <c r="I1067" s="37"/>
      <c r="J1067" s="35"/>
    </row>
    <row r="1068" spans="9:10" x14ac:dyDescent="0.25">
      <c r="I1068" s="37"/>
      <c r="J1068" s="35"/>
    </row>
    <row r="1069" spans="9:10" x14ac:dyDescent="0.25">
      <c r="I1069" s="37"/>
      <c r="J1069" s="35"/>
    </row>
    <row r="1070" spans="9:10" x14ac:dyDescent="0.25">
      <c r="I1070" s="37"/>
      <c r="J1070" s="35"/>
    </row>
    <row r="1071" spans="9:10" x14ac:dyDescent="0.25">
      <c r="I1071" s="37"/>
      <c r="J1071" s="35"/>
    </row>
    <row r="1072" spans="9:10" x14ac:dyDescent="0.25">
      <c r="I1072" s="37"/>
      <c r="J1072" s="35"/>
    </row>
    <row r="1073" spans="9:10" x14ac:dyDescent="0.25">
      <c r="I1073" s="37"/>
      <c r="J1073" s="35"/>
    </row>
    <row r="1074" spans="9:10" x14ac:dyDescent="0.25">
      <c r="I1074" s="37"/>
      <c r="J1074" s="35"/>
    </row>
    <row r="1075" spans="9:10" x14ac:dyDescent="0.25">
      <c r="I1075" s="37"/>
      <c r="J1075" s="35"/>
    </row>
    <row r="1076" spans="9:10" x14ac:dyDescent="0.25">
      <c r="I1076" s="37"/>
      <c r="J1076" s="35"/>
    </row>
    <row r="1077" spans="9:10" x14ac:dyDescent="0.25">
      <c r="I1077" s="37"/>
      <c r="J1077" s="35"/>
    </row>
    <row r="1078" spans="9:10" x14ac:dyDescent="0.25">
      <c r="I1078" s="37"/>
      <c r="J1078" s="35"/>
    </row>
    <row r="1079" spans="9:10" x14ac:dyDescent="0.25">
      <c r="I1079" s="37"/>
      <c r="J1079" s="35"/>
    </row>
    <row r="1080" spans="9:10" x14ac:dyDescent="0.25">
      <c r="I1080" s="37"/>
      <c r="J1080" s="35"/>
    </row>
    <row r="1081" spans="9:10" x14ac:dyDescent="0.25">
      <c r="I1081" s="37"/>
      <c r="J1081" s="35"/>
    </row>
    <row r="1082" spans="9:10" x14ac:dyDescent="0.25">
      <c r="I1082" s="37"/>
      <c r="J1082" s="35"/>
    </row>
    <row r="1083" spans="9:10" x14ac:dyDescent="0.25">
      <c r="I1083" s="37"/>
      <c r="J1083" s="35"/>
    </row>
    <row r="1084" spans="9:10" x14ac:dyDescent="0.25">
      <c r="I1084" s="37"/>
      <c r="J1084" s="35"/>
    </row>
    <row r="1085" spans="9:10" x14ac:dyDescent="0.25">
      <c r="I1085" s="37"/>
      <c r="J1085" s="35"/>
    </row>
    <row r="1086" spans="9:10" x14ac:dyDescent="0.25">
      <c r="I1086" s="37"/>
      <c r="J1086" s="35"/>
    </row>
    <row r="1087" spans="9:10" x14ac:dyDescent="0.25">
      <c r="I1087" s="37"/>
      <c r="J1087" s="35"/>
    </row>
    <row r="1088" spans="9:10" x14ac:dyDescent="0.25">
      <c r="I1088" s="37"/>
      <c r="J1088" s="35"/>
    </row>
    <row r="1089" spans="9:10" x14ac:dyDescent="0.25">
      <c r="I1089" s="37"/>
      <c r="J1089" s="35"/>
    </row>
    <row r="1090" spans="9:10" x14ac:dyDescent="0.25">
      <c r="I1090" s="37"/>
      <c r="J1090" s="35"/>
    </row>
    <row r="1091" spans="9:10" x14ac:dyDescent="0.25">
      <c r="I1091" s="37"/>
      <c r="J1091" s="35"/>
    </row>
    <row r="1092" spans="9:10" x14ac:dyDescent="0.25">
      <c r="I1092" s="37"/>
      <c r="J1092" s="35"/>
    </row>
    <row r="1093" spans="9:10" x14ac:dyDescent="0.25">
      <c r="I1093" s="37"/>
      <c r="J1093" s="35"/>
    </row>
    <row r="1094" spans="9:10" x14ac:dyDescent="0.25">
      <c r="I1094" s="37"/>
      <c r="J1094" s="35"/>
    </row>
    <row r="1095" spans="9:10" x14ac:dyDescent="0.25">
      <c r="I1095" s="37"/>
      <c r="J1095" s="35"/>
    </row>
    <row r="1096" spans="9:10" x14ac:dyDescent="0.25">
      <c r="I1096" s="37"/>
      <c r="J1096" s="35"/>
    </row>
    <row r="1097" spans="9:10" x14ac:dyDescent="0.25">
      <c r="I1097" s="37"/>
      <c r="J1097" s="35"/>
    </row>
    <row r="1098" spans="9:10" x14ac:dyDescent="0.25">
      <c r="I1098" s="37"/>
      <c r="J1098" s="35"/>
    </row>
    <row r="1099" spans="9:10" x14ac:dyDescent="0.25">
      <c r="I1099" s="37"/>
      <c r="J1099" s="35"/>
    </row>
    <row r="1100" spans="9:10" x14ac:dyDescent="0.25">
      <c r="I1100" s="37"/>
      <c r="J1100" s="35"/>
    </row>
    <row r="1101" spans="9:10" x14ac:dyDescent="0.25">
      <c r="I1101" s="37"/>
      <c r="J1101" s="35"/>
    </row>
    <row r="1102" spans="9:10" x14ac:dyDescent="0.25">
      <c r="I1102" s="37"/>
      <c r="J1102" s="35"/>
    </row>
    <row r="1103" spans="9:10" x14ac:dyDescent="0.25">
      <c r="I1103" s="37"/>
      <c r="J1103" s="35"/>
    </row>
    <row r="1104" spans="9:10" x14ac:dyDescent="0.25">
      <c r="I1104" s="37"/>
      <c r="J1104" s="35"/>
    </row>
    <row r="1105" spans="9:10" x14ac:dyDescent="0.25">
      <c r="I1105" s="37"/>
      <c r="J1105" s="35"/>
    </row>
    <row r="1106" spans="9:10" x14ac:dyDescent="0.25">
      <c r="I1106" s="37"/>
      <c r="J1106" s="35"/>
    </row>
    <row r="1107" spans="9:10" x14ac:dyDescent="0.25">
      <c r="I1107" s="37"/>
      <c r="J1107" s="35"/>
    </row>
    <row r="1108" spans="9:10" x14ac:dyDescent="0.25">
      <c r="I1108" s="37"/>
      <c r="J1108" s="35"/>
    </row>
    <row r="1109" spans="9:10" x14ac:dyDescent="0.25">
      <c r="I1109" s="37"/>
      <c r="J1109" s="35"/>
    </row>
    <row r="1110" spans="9:10" x14ac:dyDescent="0.25">
      <c r="I1110" s="37"/>
      <c r="J1110" s="35"/>
    </row>
    <row r="1111" spans="9:10" x14ac:dyDescent="0.25">
      <c r="I1111" s="37"/>
      <c r="J1111" s="35"/>
    </row>
    <row r="1112" spans="9:10" x14ac:dyDescent="0.25">
      <c r="I1112" s="37"/>
      <c r="J1112" s="35"/>
    </row>
    <row r="1113" spans="9:10" x14ac:dyDescent="0.25">
      <c r="I1113" s="37"/>
      <c r="J1113" s="35"/>
    </row>
    <row r="1114" spans="9:10" x14ac:dyDescent="0.25">
      <c r="I1114" s="37"/>
      <c r="J1114" s="35"/>
    </row>
    <row r="1115" spans="9:10" x14ac:dyDescent="0.25">
      <c r="I1115" s="37"/>
      <c r="J1115" s="35"/>
    </row>
    <row r="1116" spans="9:10" x14ac:dyDescent="0.25">
      <c r="I1116" s="37"/>
      <c r="J1116" s="35"/>
    </row>
    <row r="1117" spans="9:10" x14ac:dyDescent="0.25">
      <c r="I1117" s="37"/>
      <c r="J1117" s="35"/>
    </row>
    <row r="1118" spans="9:10" x14ac:dyDescent="0.25">
      <c r="I1118" s="37"/>
      <c r="J1118" s="35"/>
    </row>
    <row r="1119" spans="9:10" x14ac:dyDescent="0.25">
      <c r="I1119" s="37"/>
      <c r="J1119" s="35"/>
    </row>
    <row r="1120" spans="9:10" x14ac:dyDescent="0.25">
      <c r="I1120" s="37"/>
      <c r="J1120" s="35"/>
    </row>
    <row r="1121" spans="9:10" x14ac:dyDescent="0.25">
      <c r="I1121" s="37"/>
      <c r="J1121" s="35"/>
    </row>
    <row r="1122" spans="9:10" x14ac:dyDescent="0.25">
      <c r="I1122" s="37"/>
      <c r="J1122" s="35"/>
    </row>
    <row r="1123" spans="9:10" x14ac:dyDescent="0.25">
      <c r="I1123" s="37"/>
      <c r="J1123" s="35"/>
    </row>
    <row r="1124" spans="9:10" x14ac:dyDescent="0.25">
      <c r="I1124" s="37"/>
      <c r="J1124" s="35"/>
    </row>
    <row r="1125" spans="9:10" x14ac:dyDescent="0.25">
      <c r="I1125" s="37"/>
      <c r="J1125" s="35"/>
    </row>
    <row r="1126" spans="9:10" x14ac:dyDescent="0.25">
      <c r="I1126" s="37"/>
      <c r="J1126" s="35"/>
    </row>
    <row r="1127" spans="9:10" x14ac:dyDescent="0.25">
      <c r="I1127" s="37"/>
      <c r="J1127" s="35"/>
    </row>
    <row r="1128" spans="9:10" x14ac:dyDescent="0.25">
      <c r="I1128" s="37"/>
      <c r="J1128" s="35"/>
    </row>
    <row r="1129" spans="9:10" x14ac:dyDescent="0.25">
      <c r="I1129" s="37"/>
      <c r="J1129" s="35"/>
    </row>
    <row r="1130" spans="9:10" x14ac:dyDescent="0.25">
      <c r="I1130" s="37"/>
      <c r="J1130" s="35"/>
    </row>
    <row r="1131" spans="9:10" x14ac:dyDescent="0.25">
      <c r="I1131" s="37"/>
      <c r="J1131" s="35"/>
    </row>
    <row r="1132" spans="9:10" x14ac:dyDescent="0.25">
      <c r="I1132" s="37"/>
      <c r="J1132" s="35"/>
    </row>
    <row r="1133" spans="9:10" x14ac:dyDescent="0.25">
      <c r="I1133" s="37"/>
      <c r="J1133" s="35"/>
    </row>
    <row r="1134" spans="9:10" x14ac:dyDescent="0.25">
      <c r="I1134" s="37"/>
      <c r="J1134" s="35"/>
    </row>
    <row r="1135" spans="9:10" x14ac:dyDescent="0.25">
      <c r="I1135" s="37"/>
      <c r="J1135" s="35"/>
    </row>
    <row r="1136" spans="9:10" x14ac:dyDescent="0.25">
      <c r="I1136" s="37"/>
      <c r="J1136" s="35"/>
    </row>
    <row r="1137" spans="9:10" x14ac:dyDescent="0.25">
      <c r="I1137" s="37"/>
      <c r="J1137" s="35"/>
    </row>
    <row r="1138" spans="9:10" x14ac:dyDescent="0.25">
      <c r="I1138" s="37"/>
      <c r="J1138" s="35"/>
    </row>
    <row r="1139" spans="9:10" x14ac:dyDescent="0.25">
      <c r="I1139" s="37"/>
      <c r="J1139" s="35"/>
    </row>
    <row r="1140" spans="9:10" x14ac:dyDescent="0.25">
      <c r="I1140" s="37"/>
      <c r="J1140" s="35"/>
    </row>
    <row r="1141" spans="9:10" x14ac:dyDescent="0.25">
      <c r="I1141" s="37"/>
      <c r="J1141" s="35"/>
    </row>
    <row r="1142" spans="9:10" x14ac:dyDescent="0.25">
      <c r="I1142" s="37"/>
      <c r="J1142" s="35"/>
    </row>
    <row r="1143" spans="9:10" x14ac:dyDescent="0.25">
      <c r="I1143" s="37"/>
      <c r="J1143" s="35"/>
    </row>
    <row r="1144" spans="9:10" x14ac:dyDescent="0.25">
      <c r="I1144" s="37"/>
      <c r="J1144" s="35"/>
    </row>
    <row r="1145" spans="9:10" x14ac:dyDescent="0.25">
      <c r="I1145" s="37"/>
      <c r="J1145" s="35"/>
    </row>
    <row r="1146" spans="9:10" x14ac:dyDescent="0.25">
      <c r="I1146" s="37"/>
      <c r="J1146" s="35"/>
    </row>
    <row r="1147" spans="9:10" x14ac:dyDescent="0.25">
      <c r="I1147" s="37"/>
      <c r="J1147" s="35"/>
    </row>
    <row r="1148" spans="9:10" x14ac:dyDescent="0.25">
      <c r="I1148" s="37"/>
      <c r="J1148" s="35"/>
    </row>
    <row r="1149" spans="9:10" x14ac:dyDescent="0.25">
      <c r="I1149" s="37"/>
      <c r="J1149" s="35"/>
    </row>
    <row r="1150" spans="9:10" x14ac:dyDescent="0.25">
      <c r="I1150" s="37"/>
      <c r="J1150" s="35"/>
    </row>
    <row r="1151" spans="9:10" x14ac:dyDescent="0.25">
      <c r="I1151" s="37"/>
      <c r="J1151" s="35"/>
    </row>
    <row r="1152" spans="9:10" x14ac:dyDescent="0.25">
      <c r="I1152" s="37"/>
      <c r="J1152" s="35"/>
    </row>
    <row r="1153" spans="9:10" x14ac:dyDescent="0.25">
      <c r="I1153" s="37"/>
      <c r="J1153" s="35"/>
    </row>
    <row r="1154" spans="9:10" x14ac:dyDescent="0.25">
      <c r="I1154" s="37"/>
      <c r="J1154" s="35"/>
    </row>
    <row r="1155" spans="9:10" x14ac:dyDescent="0.25">
      <c r="I1155" s="37"/>
      <c r="J1155" s="35"/>
    </row>
    <row r="1156" spans="9:10" x14ac:dyDescent="0.25">
      <c r="I1156" s="37"/>
      <c r="J1156" s="35"/>
    </row>
    <row r="1157" spans="9:10" x14ac:dyDescent="0.25">
      <c r="I1157" s="37"/>
      <c r="J1157" s="35"/>
    </row>
    <row r="1158" spans="9:10" x14ac:dyDescent="0.25">
      <c r="I1158" s="37"/>
      <c r="J1158" s="35"/>
    </row>
    <row r="1159" spans="9:10" x14ac:dyDescent="0.25">
      <c r="I1159" s="37"/>
      <c r="J1159" s="35"/>
    </row>
    <row r="1160" spans="9:10" x14ac:dyDescent="0.25">
      <c r="I1160" s="37"/>
      <c r="J1160" s="35"/>
    </row>
    <row r="1161" spans="9:10" x14ac:dyDescent="0.25">
      <c r="I1161" s="37"/>
      <c r="J1161" s="35"/>
    </row>
    <row r="1162" spans="9:10" x14ac:dyDescent="0.25">
      <c r="I1162" s="37"/>
      <c r="J1162" s="35"/>
    </row>
    <row r="1163" spans="9:10" x14ac:dyDescent="0.25">
      <c r="I1163" s="37"/>
      <c r="J1163" s="35"/>
    </row>
    <row r="1164" spans="9:10" x14ac:dyDescent="0.25">
      <c r="I1164" s="37"/>
      <c r="J1164" s="35"/>
    </row>
    <row r="1165" spans="9:10" x14ac:dyDescent="0.25">
      <c r="I1165" s="37"/>
      <c r="J1165" s="35"/>
    </row>
    <row r="1166" spans="9:10" x14ac:dyDescent="0.25">
      <c r="I1166" s="37"/>
      <c r="J1166" s="35"/>
    </row>
    <row r="1167" spans="9:10" x14ac:dyDescent="0.25">
      <c r="I1167" s="37"/>
      <c r="J1167" s="35"/>
    </row>
    <row r="1168" spans="9:10" x14ac:dyDescent="0.25">
      <c r="I1168" s="37"/>
      <c r="J1168" s="35"/>
    </row>
    <row r="1169" spans="9:10" x14ac:dyDescent="0.25">
      <c r="I1169" s="37"/>
      <c r="J1169" s="35"/>
    </row>
    <row r="1170" spans="9:10" x14ac:dyDescent="0.25">
      <c r="I1170" s="37"/>
      <c r="J1170" s="35"/>
    </row>
    <row r="1171" spans="9:10" x14ac:dyDescent="0.25">
      <c r="I1171" s="37"/>
      <c r="J1171" s="35"/>
    </row>
    <row r="1172" spans="9:10" x14ac:dyDescent="0.25">
      <c r="I1172" s="37"/>
      <c r="J1172" s="35"/>
    </row>
    <row r="1173" spans="9:10" x14ac:dyDescent="0.25">
      <c r="I1173" s="37"/>
      <c r="J1173" s="35"/>
    </row>
    <row r="1174" spans="9:10" x14ac:dyDescent="0.25">
      <c r="I1174" s="37"/>
      <c r="J1174" s="35"/>
    </row>
    <row r="1175" spans="9:10" x14ac:dyDescent="0.25">
      <c r="I1175" s="37"/>
      <c r="J1175" s="35"/>
    </row>
    <row r="1176" spans="9:10" x14ac:dyDescent="0.25">
      <c r="I1176" s="37"/>
      <c r="J1176" s="35"/>
    </row>
    <row r="1177" spans="9:10" x14ac:dyDescent="0.25">
      <c r="I1177" s="37"/>
      <c r="J1177" s="35"/>
    </row>
    <row r="1178" spans="9:10" x14ac:dyDescent="0.25">
      <c r="I1178" s="37"/>
      <c r="J1178" s="35"/>
    </row>
    <row r="1179" spans="9:10" x14ac:dyDescent="0.25">
      <c r="I1179" s="37"/>
      <c r="J1179" s="35"/>
    </row>
    <row r="1180" spans="9:10" x14ac:dyDescent="0.25">
      <c r="I1180" s="37"/>
      <c r="J1180" s="35"/>
    </row>
    <row r="1181" spans="9:10" x14ac:dyDescent="0.25">
      <c r="I1181" s="37"/>
      <c r="J1181" s="35"/>
    </row>
    <row r="1182" spans="9:10" x14ac:dyDescent="0.25">
      <c r="I1182" s="37"/>
      <c r="J1182" s="35"/>
    </row>
    <row r="1183" spans="9:10" x14ac:dyDescent="0.25">
      <c r="I1183" s="37"/>
      <c r="J1183" s="35"/>
    </row>
    <row r="1184" spans="9:10" x14ac:dyDescent="0.25">
      <c r="I1184" s="37"/>
      <c r="J1184" s="35"/>
    </row>
    <row r="1185" spans="9:10" x14ac:dyDescent="0.25">
      <c r="I1185" s="37"/>
      <c r="J1185" s="35"/>
    </row>
    <row r="1186" spans="9:10" x14ac:dyDescent="0.25">
      <c r="I1186" s="37"/>
      <c r="J1186" s="35"/>
    </row>
    <row r="1187" spans="9:10" x14ac:dyDescent="0.25">
      <c r="I1187" s="37"/>
      <c r="J1187" s="35"/>
    </row>
    <row r="1188" spans="9:10" x14ac:dyDescent="0.25">
      <c r="I1188" s="37"/>
      <c r="J1188" s="35"/>
    </row>
    <row r="1189" spans="9:10" x14ac:dyDescent="0.25">
      <c r="I1189" s="37"/>
      <c r="J1189" s="35"/>
    </row>
    <row r="1190" spans="9:10" x14ac:dyDescent="0.25">
      <c r="I1190" s="37"/>
      <c r="J1190" s="35"/>
    </row>
    <row r="1191" spans="9:10" x14ac:dyDescent="0.25">
      <c r="I1191" s="37"/>
      <c r="J1191" s="35"/>
    </row>
    <row r="1192" spans="9:10" x14ac:dyDescent="0.25">
      <c r="I1192" s="37"/>
      <c r="J1192" s="35"/>
    </row>
    <row r="1193" spans="9:10" x14ac:dyDescent="0.25">
      <c r="I1193" s="37"/>
      <c r="J1193" s="35"/>
    </row>
    <row r="1194" spans="9:10" x14ac:dyDescent="0.25">
      <c r="I1194" s="37"/>
      <c r="J1194" s="35"/>
    </row>
    <row r="1195" spans="9:10" x14ac:dyDescent="0.25">
      <c r="I1195" s="37"/>
      <c r="J1195" s="35"/>
    </row>
    <row r="1196" spans="9:10" x14ac:dyDescent="0.25">
      <c r="I1196" s="37"/>
      <c r="J1196" s="35"/>
    </row>
    <row r="1197" spans="9:10" x14ac:dyDescent="0.25">
      <c r="I1197" s="37"/>
      <c r="J1197" s="35"/>
    </row>
    <row r="1198" spans="9:10" x14ac:dyDescent="0.25">
      <c r="I1198" s="37"/>
      <c r="J1198" s="35"/>
    </row>
    <row r="1199" spans="9:10" x14ac:dyDescent="0.25">
      <c r="I1199" s="37"/>
      <c r="J1199" s="35"/>
    </row>
    <row r="1200" spans="9:10" x14ac:dyDescent="0.25">
      <c r="I1200" s="37"/>
      <c r="J1200" s="35"/>
    </row>
    <row r="1201" spans="9:10" x14ac:dyDescent="0.25">
      <c r="I1201" s="37"/>
      <c r="J1201" s="35"/>
    </row>
    <row r="1202" spans="9:10" x14ac:dyDescent="0.25">
      <c r="I1202" s="37"/>
      <c r="J1202" s="35"/>
    </row>
    <row r="1203" spans="9:10" x14ac:dyDescent="0.25">
      <c r="I1203" s="37"/>
      <c r="J1203" s="35"/>
    </row>
    <row r="1204" spans="9:10" x14ac:dyDescent="0.25">
      <c r="I1204" s="37"/>
      <c r="J1204" s="35"/>
    </row>
    <row r="1205" spans="9:10" x14ac:dyDescent="0.25">
      <c r="I1205" s="37"/>
      <c r="J1205" s="35"/>
    </row>
    <row r="1206" spans="9:10" x14ac:dyDescent="0.25">
      <c r="I1206" s="37"/>
      <c r="J1206" s="35"/>
    </row>
    <row r="1207" spans="9:10" x14ac:dyDescent="0.25">
      <c r="I1207" s="37"/>
      <c r="J1207" s="35"/>
    </row>
    <row r="1208" spans="9:10" x14ac:dyDescent="0.25">
      <c r="I1208" s="37"/>
      <c r="J1208" s="35"/>
    </row>
    <row r="1209" spans="9:10" x14ac:dyDescent="0.25">
      <c r="I1209" s="37"/>
      <c r="J1209" s="35"/>
    </row>
    <row r="1210" spans="9:10" x14ac:dyDescent="0.25">
      <c r="I1210" s="37"/>
      <c r="J1210" s="35"/>
    </row>
    <row r="1211" spans="9:10" x14ac:dyDescent="0.25">
      <c r="I1211" s="37"/>
      <c r="J1211" s="35"/>
    </row>
    <row r="1212" spans="9:10" x14ac:dyDescent="0.25">
      <c r="I1212" s="37"/>
      <c r="J1212" s="35"/>
    </row>
    <row r="1213" spans="9:10" x14ac:dyDescent="0.25">
      <c r="I1213" s="37"/>
      <c r="J1213" s="35"/>
    </row>
    <row r="1214" spans="9:10" x14ac:dyDescent="0.25">
      <c r="I1214" s="37"/>
      <c r="J1214" s="35"/>
    </row>
    <row r="1215" spans="9:10" x14ac:dyDescent="0.25">
      <c r="I1215" s="37"/>
      <c r="J1215" s="35"/>
    </row>
    <row r="1216" spans="9:10" x14ac:dyDescent="0.25">
      <c r="I1216" s="37"/>
      <c r="J1216" s="35"/>
    </row>
    <row r="1217" spans="9:10" x14ac:dyDescent="0.25">
      <c r="I1217" s="37"/>
      <c r="J1217" s="35"/>
    </row>
    <row r="1218" spans="9:10" x14ac:dyDescent="0.25">
      <c r="I1218" s="37"/>
      <c r="J1218" s="35"/>
    </row>
    <row r="1219" spans="9:10" x14ac:dyDescent="0.25">
      <c r="I1219" s="37"/>
      <c r="J1219" s="35"/>
    </row>
    <row r="1220" spans="9:10" x14ac:dyDescent="0.25">
      <c r="I1220" s="37"/>
      <c r="J1220" s="35"/>
    </row>
    <row r="1221" spans="9:10" x14ac:dyDescent="0.25">
      <c r="I1221" s="37"/>
      <c r="J1221" s="35"/>
    </row>
    <row r="1222" spans="9:10" x14ac:dyDescent="0.25">
      <c r="I1222" s="37"/>
      <c r="J1222" s="35"/>
    </row>
    <row r="1223" spans="9:10" x14ac:dyDescent="0.25">
      <c r="I1223" s="37"/>
      <c r="J1223" s="35"/>
    </row>
    <row r="1224" spans="9:10" x14ac:dyDescent="0.25">
      <c r="I1224" s="37"/>
      <c r="J1224" s="35"/>
    </row>
    <row r="1225" spans="9:10" x14ac:dyDescent="0.25">
      <c r="I1225" s="37"/>
      <c r="J1225" s="35"/>
    </row>
    <row r="1226" spans="9:10" x14ac:dyDescent="0.25">
      <c r="I1226" s="37"/>
      <c r="J1226" s="35"/>
    </row>
    <row r="1227" spans="9:10" x14ac:dyDescent="0.25">
      <c r="I1227" s="37"/>
      <c r="J1227" s="35"/>
    </row>
    <row r="1228" spans="9:10" x14ac:dyDescent="0.25">
      <c r="I1228" s="37"/>
      <c r="J1228" s="35"/>
    </row>
    <row r="1229" spans="9:10" x14ac:dyDescent="0.25">
      <c r="I1229" s="37"/>
      <c r="J1229" s="35"/>
    </row>
    <row r="1230" spans="9:10" x14ac:dyDescent="0.25">
      <c r="I1230" s="37"/>
      <c r="J1230" s="35"/>
    </row>
    <row r="1231" spans="9:10" x14ac:dyDescent="0.25">
      <c r="I1231" s="37"/>
      <c r="J1231" s="35"/>
    </row>
    <row r="1232" spans="9:10" x14ac:dyDescent="0.25">
      <c r="I1232" s="37"/>
      <c r="J1232" s="35"/>
    </row>
    <row r="1233" spans="9:10" x14ac:dyDescent="0.25">
      <c r="I1233" s="37"/>
      <c r="J1233" s="35"/>
    </row>
    <row r="1234" spans="9:10" x14ac:dyDescent="0.25">
      <c r="I1234" s="37"/>
      <c r="J1234" s="35"/>
    </row>
    <row r="1235" spans="9:10" x14ac:dyDescent="0.25">
      <c r="I1235" s="37"/>
      <c r="J1235" s="35"/>
    </row>
    <row r="1236" spans="9:10" x14ac:dyDescent="0.25">
      <c r="I1236" s="37"/>
      <c r="J1236" s="35"/>
    </row>
    <row r="1237" spans="9:10" x14ac:dyDescent="0.25">
      <c r="I1237" s="37"/>
      <c r="J1237" s="35"/>
    </row>
    <row r="1238" spans="9:10" x14ac:dyDescent="0.25">
      <c r="I1238" s="37"/>
      <c r="J1238" s="35"/>
    </row>
    <row r="1239" spans="9:10" x14ac:dyDescent="0.25">
      <c r="I1239" s="37"/>
      <c r="J1239" s="35"/>
    </row>
    <row r="1240" spans="9:10" x14ac:dyDescent="0.25">
      <c r="I1240" s="37"/>
      <c r="J1240" s="35"/>
    </row>
    <row r="1241" spans="9:10" x14ac:dyDescent="0.25">
      <c r="I1241" s="37"/>
      <c r="J1241" s="35"/>
    </row>
    <row r="1242" spans="9:10" x14ac:dyDescent="0.25">
      <c r="I1242" s="37"/>
      <c r="J1242" s="35"/>
    </row>
    <row r="1243" spans="9:10" x14ac:dyDescent="0.25">
      <c r="I1243" s="37"/>
      <c r="J1243" s="35"/>
    </row>
    <row r="1244" spans="9:10" x14ac:dyDescent="0.25">
      <c r="I1244" s="37"/>
      <c r="J1244" s="35"/>
    </row>
    <row r="1245" spans="9:10" x14ac:dyDescent="0.25">
      <c r="I1245" s="37"/>
      <c r="J1245" s="35"/>
    </row>
    <row r="1246" spans="9:10" x14ac:dyDescent="0.25">
      <c r="I1246" s="37"/>
      <c r="J1246" s="35"/>
    </row>
    <row r="1247" spans="9:10" x14ac:dyDescent="0.25">
      <c r="I1247" s="37"/>
      <c r="J1247" s="35"/>
    </row>
    <row r="1248" spans="9:10" x14ac:dyDescent="0.25">
      <c r="I1248" s="37"/>
      <c r="J1248" s="35"/>
    </row>
    <row r="1249" spans="9:10" x14ac:dyDescent="0.25">
      <c r="I1249" s="37"/>
      <c r="J1249" s="35"/>
    </row>
    <row r="1250" spans="9:10" x14ac:dyDescent="0.25">
      <c r="I1250" s="37"/>
      <c r="J1250" s="35"/>
    </row>
    <row r="1251" spans="9:10" x14ac:dyDescent="0.25">
      <c r="I1251" s="37"/>
      <c r="J1251" s="35"/>
    </row>
    <row r="1252" spans="9:10" x14ac:dyDescent="0.25">
      <c r="I1252" s="37"/>
      <c r="J1252" s="35"/>
    </row>
    <row r="1253" spans="9:10" x14ac:dyDescent="0.25">
      <c r="I1253" s="37"/>
      <c r="J1253" s="35"/>
    </row>
    <row r="1254" spans="9:10" x14ac:dyDescent="0.25">
      <c r="I1254" s="37"/>
      <c r="J1254" s="35"/>
    </row>
    <row r="1255" spans="9:10" x14ac:dyDescent="0.25">
      <c r="I1255" s="37"/>
      <c r="J1255" s="35"/>
    </row>
    <row r="1256" spans="9:10" x14ac:dyDescent="0.25">
      <c r="I1256" s="37"/>
      <c r="J1256" s="35"/>
    </row>
    <row r="1257" spans="9:10" x14ac:dyDescent="0.25">
      <c r="I1257" s="37"/>
      <c r="J1257" s="35"/>
    </row>
    <row r="1258" spans="9:10" x14ac:dyDescent="0.25">
      <c r="I1258" s="37"/>
      <c r="J1258" s="35"/>
    </row>
    <row r="1259" spans="9:10" x14ac:dyDescent="0.25">
      <c r="I1259" s="37"/>
      <c r="J1259" s="35"/>
    </row>
    <row r="1260" spans="9:10" x14ac:dyDescent="0.25">
      <c r="I1260" s="37"/>
      <c r="J1260" s="35"/>
    </row>
    <row r="1261" spans="9:10" x14ac:dyDescent="0.25">
      <c r="I1261" s="37"/>
      <c r="J1261" s="35"/>
    </row>
    <row r="1262" spans="9:10" x14ac:dyDescent="0.25">
      <c r="I1262" s="37"/>
      <c r="J1262" s="35"/>
    </row>
    <row r="1263" spans="9:10" x14ac:dyDescent="0.25">
      <c r="I1263" s="37"/>
      <c r="J1263" s="35"/>
    </row>
    <row r="1264" spans="9:10" x14ac:dyDescent="0.25">
      <c r="I1264" s="37"/>
      <c r="J1264" s="35"/>
    </row>
    <row r="1265" spans="9:10" x14ac:dyDescent="0.25">
      <c r="I1265" s="37"/>
      <c r="J1265" s="35"/>
    </row>
    <row r="1266" spans="9:10" x14ac:dyDescent="0.25">
      <c r="I1266" s="37"/>
      <c r="J1266" s="35"/>
    </row>
    <row r="1267" spans="9:10" x14ac:dyDescent="0.25">
      <c r="I1267" s="37"/>
      <c r="J1267" s="35"/>
    </row>
    <row r="1268" spans="9:10" x14ac:dyDescent="0.25">
      <c r="I1268" s="37"/>
      <c r="J1268" s="35"/>
    </row>
    <row r="1269" spans="9:10" x14ac:dyDescent="0.25">
      <c r="I1269" s="37"/>
      <c r="J1269" s="35"/>
    </row>
    <row r="1270" spans="9:10" x14ac:dyDescent="0.25">
      <c r="I1270" s="37"/>
      <c r="J1270" s="35"/>
    </row>
    <row r="1271" spans="9:10" x14ac:dyDescent="0.25">
      <c r="I1271" s="37"/>
      <c r="J1271" s="35"/>
    </row>
    <row r="1272" spans="9:10" x14ac:dyDescent="0.25">
      <c r="I1272" s="37"/>
      <c r="J1272" s="35"/>
    </row>
    <row r="1273" spans="9:10" x14ac:dyDescent="0.25">
      <c r="I1273" s="37"/>
      <c r="J1273" s="35"/>
    </row>
    <row r="1274" spans="9:10" x14ac:dyDescent="0.25">
      <c r="I1274" s="37"/>
      <c r="J1274" s="35"/>
    </row>
    <row r="1275" spans="9:10" x14ac:dyDescent="0.25">
      <c r="I1275" s="37"/>
      <c r="J1275" s="35"/>
    </row>
    <row r="1276" spans="9:10" x14ac:dyDescent="0.25">
      <c r="I1276" s="37"/>
      <c r="J1276" s="35"/>
    </row>
    <row r="1277" spans="9:10" x14ac:dyDescent="0.25">
      <c r="I1277" s="37"/>
      <c r="J1277" s="35"/>
    </row>
    <row r="1278" spans="9:10" x14ac:dyDescent="0.25">
      <c r="I1278" s="37"/>
      <c r="J1278" s="35"/>
    </row>
    <row r="1279" spans="9:10" x14ac:dyDescent="0.25">
      <c r="I1279" s="37"/>
      <c r="J1279" s="35"/>
    </row>
    <row r="1280" spans="9:10" x14ac:dyDescent="0.25">
      <c r="I1280" s="37"/>
      <c r="J1280" s="35"/>
    </row>
    <row r="1281" spans="9:10" x14ac:dyDescent="0.25">
      <c r="I1281" s="37"/>
      <c r="J1281" s="35"/>
    </row>
    <row r="1282" spans="9:10" x14ac:dyDescent="0.25">
      <c r="I1282" s="37"/>
      <c r="J1282" s="35"/>
    </row>
    <row r="1283" spans="9:10" x14ac:dyDescent="0.25">
      <c r="I1283" s="37"/>
      <c r="J1283" s="35"/>
    </row>
    <row r="1284" spans="9:10" x14ac:dyDescent="0.25">
      <c r="I1284" s="37"/>
      <c r="J1284" s="35"/>
    </row>
    <row r="1285" spans="9:10" x14ac:dyDescent="0.25">
      <c r="I1285" s="37"/>
      <c r="J1285" s="35"/>
    </row>
    <row r="1286" spans="9:10" x14ac:dyDescent="0.25">
      <c r="I1286" s="37"/>
      <c r="J1286" s="35"/>
    </row>
    <row r="1287" spans="9:10" x14ac:dyDescent="0.25">
      <c r="I1287" s="37"/>
      <c r="J1287" s="35"/>
    </row>
    <row r="1288" spans="9:10" x14ac:dyDescent="0.25">
      <c r="I1288" s="37"/>
      <c r="J1288" s="35"/>
    </row>
    <row r="1289" spans="9:10" x14ac:dyDescent="0.25">
      <c r="I1289" s="37"/>
      <c r="J1289" s="35"/>
    </row>
    <row r="1290" spans="9:10" x14ac:dyDescent="0.25">
      <c r="I1290" s="37"/>
      <c r="J1290" s="35"/>
    </row>
    <row r="1291" spans="9:10" x14ac:dyDescent="0.25">
      <c r="I1291" s="37"/>
      <c r="J1291" s="35"/>
    </row>
    <row r="1292" spans="9:10" x14ac:dyDescent="0.25">
      <c r="I1292" s="37"/>
      <c r="J1292" s="35"/>
    </row>
    <row r="1293" spans="9:10" x14ac:dyDescent="0.25">
      <c r="I1293" s="37"/>
      <c r="J1293" s="35"/>
    </row>
    <row r="1294" spans="9:10" x14ac:dyDescent="0.25">
      <c r="I1294" s="37"/>
      <c r="J1294" s="35"/>
    </row>
    <row r="1295" spans="9:10" x14ac:dyDescent="0.25">
      <c r="I1295" s="37"/>
      <c r="J1295" s="35"/>
    </row>
    <row r="1296" spans="9:10" x14ac:dyDescent="0.25">
      <c r="I1296" s="37"/>
      <c r="J1296" s="35"/>
    </row>
    <row r="1297" spans="9:10" x14ac:dyDescent="0.25">
      <c r="I1297" s="37"/>
      <c r="J1297" s="35"/>
    </row>
    <row r="1298" spans="9:10" x14ac:dyDescent="0.25">
      <c r="I1298" s="37"/>
      <c r="J1298" s="35"/>
    </row>
    <row r="1299" spans="9:10" x14ac:dyDescent="0.25">
      <c r="I1299" s="37"/>
      <c r="J1299" s="35"/>
    </row>
    <row r="1300" spans="9:10" x14ac:dyDescent="0.25">
      <c r="I1300" s="37"/>
      <c r="J1300" s="35"/>
    </row>
    <row r="1301" spans="9:10" x14ac:dyDescent="0.25">
      <c r="I1301" s="37"/>
      <c r="J1301" s="35"/>
    </row>
    <row r="1302" spans="9:10" x14ac:dyDescent="0.25">
      <c r="I1302" s="37"/>
      <c r="J1302" s="35"/>
    </row>
    <row r="1303" spans="9:10" x14ac:dyDescent="0.25">
      <c r="I1303" s="37"/>
      <c r="J1303" s="35"/>
    </row>
    <row r="1304" spans="9:10" x14ac:dyDescent="0.25">
      <c r="I1304" s="37"/>
      <c r="J1304" s="35"/>
    </row>
    <row r="1305" spans="9:10" x14ac:dyDescent="0.25">
      <c r="I1305" s="37"/>
      <c r="J1305" s="35"/>
    </row>
    <row r="1306" spans="9:10" x14ac:dyDescent="0.25">
      <c r="I1306" s="37"/>
      <c r="J1306" s="35"/>
    </row>
    <row r="1307" spans="9:10" x14ac:dyDescent="0.25">
      <c r="I1307" s="37"/>
      <c r="J1307" s="35"/>
    </row>
    <row r="1308" spans="9:10" x14ac:dyDescent="0.25">
      <c r="I1308" s="37"/>
      <c r="J1308" s="35"/>
    </row>
    <row r="1309" spans="9:10" x14ac:dyDescent="0.25">
      <c r="I1309" s="37"/>
      <c r="J1309" s="35"/>
    </row>
    <row r="1310" spans="9:10" x14ac:dyDescent="0.25">
      <c r="I1310" s="37"/>
      <c r="J1310" s="35"/>
    </row>
    <row r="1311" spans="9:10" x14ac:dyDescent="0.25">
      <c r="I1311" s="37"/>
      <c r="J1311" s="35"/>
    </row>
    <row r="1312" spans="9:10" x14ac:dyDescent="0.25">
      <c r="I1312" s="37"/>
      <c r="J1312" s="35"/>
    </row>
    <row r="1313" spans="9:10" x14ac:dyDescent="0.25">
      <c r="I1313" s="37"/>
      <c r="J1313" s="35"/>
    </row>
    <row r="1314" spans="9:10" x14ac:dyDescent="0.25">
      <c r="I1314" s="37"/>
      <c r="J1314" s="35"/>
    </row>
    <row r="1315" spans="9:10" x14ac:dyDescent="0.25">
      <c r="I1315" s="37"/>
      <c r="J1315" s="35"/>
    </row>
    <row r="1316" spans="9:10" x14ac:dyDescent="0.25">
      <c r="I1316" s="37"/>
      <c r="J1316" s="35"/>
    </row>
    <row r="1317" spans="9:10" x14ac:dyDescent="0.25">
      <c r="I1317" s="37"/>
      <c r="J1317" s="35"/>
    </row>
    <row r="1318" spans="9:10" x14ac:dyDescent="0.25">
      <c r="I1318" s="37"/>
      <c r="J1318" s="35"/>
    </row>
    <row r="1319" spans="9:10" x14ac:dyDescent="0.25">
      <c r="I1319" s="37"/>
      <c r="J1319" s="35"/>
    </row>
    <row r="1320" spans="9:10" x14ac:dyDescent="0.25">
      <c r="I1320" s="37"/>
      <c r="J1320" s="35"/>
    </row>
    <row r="1321" spans="9:10" x14ac:dyDescent="0.25">
      <c r="I1321" s="37"/>
      <c r="J1321" s="35"/>
    </row>
    <row r="1322" spans="9:10" x14ac:dyDescent="0.25">
      <c r="I1322" s="37"/>
      <c r="J1322" s="35"/>
    </row>
    <row r="1323" spans="9:10" x14ac:dyDescent="0.25">
      <c r="I1323" s="37"/>
      <c r="J1323" s="35"/>
    </row>
    <row r="1324" spans="9:10" x14ac:dyDescent="0.25">
      <c r="I1324" s="37"/>
      <c r="J1324" s="35"/>
    </row>
    <row r="1325" spans="9:10" x14ac:dyDescent="0.25">
      <c r="I1325" s="37"/>
      <c r="J1325" s="35"/>
    </row>
    <row r="1326" spans="9:10" x14ac:dyDescent="0.25">
      <c r="I1326" s="37"/>
      <c r="J1326" s="35"/>
    </row>
    <row r="1327" spans="9:10" x14ac:dyDescent="0.25">
      <c r="I1327" s="37"/>
      <c r="J1327" s="35"/>
    </row>
    <row r="1328" spans="9:10" x14ac:dyDescent="0.25">
      <c r="I1328" s="37"/>
      <c r="J1328" s="35"/>
    </row>
    <row r="1329" spans="9:10" x14ac:dyDescent="0.25">
      <c r="I1329" s="37"/>
      <c r="J1329" s="35"/>
    </row>
    <row r="1330" spans="9:10" x14ac:dyDescent="0.25">
      <c r="I1330" s="37"/>
      <c r="J1330" s="35"/>
    </row>
    <row r="1331" spans="9:10" x14ac:dyDescent="0.25">
      <c r="I1331" s="37"/>
      <c r="J1331" s="35"/>
    </row>
    <row r="1332" spans="9:10" x14ac:dyDescent="0.25">
      <c r="I1332" s="37"/>
      <c r="J1332" s="35"/>
    </row>
    <row r="1333" spans="9:10" x14ac:dyDescent="0.25">
      <c r="I1333" s="37"/>
      <c r="J1333" s="35"/>
    </row>
    <row r="1334" spans="9:10" x14ac:dyDescent="0.25">
      <c r="I1334" s="37"/>
      <c r="J1334" s="35"/>
    </row>
  </sheetData>
  <mergeCells count="18">
    <mergeCell ref="T29:U29"/>
    <mergeCell ref="J16:K16"/>
    <mergeCell ref="L16:M16"/>
    <mergeCell ref="N16:O16"/>
    <mergeCell ref="P16:Q16"/>
    <mergeCell ref="R16:S16"/>
    <mergeCell ref="T16:U16"/>
    <mergeCell ref="J29:K29"/>
    <mergeCell ref="L29:M29"/>
    <mergeCell ref="N29:O29"/>
    <mergeCell ref="P29:Q29"/>
    <mergeCell ref="R29:S29"/>
    <mergeCell ref="T2:U2"/>
    <mergeCell ref="J2:K2"/>
    <mergeCell ref="L2:M2"/>
    <mergeCell ref="N2:O2"/>
    <mergeCell ref="P2:Q2"/>
    <mergeCell ref="R2:S2"/>
  </mergeCells>
  <conditionalFormatting sqref="AE3:AI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:AI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0:AI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8C398-F0BC-4C43-85CE-664EDB2DD633}">
  <dimension ref="B1:AQ1334"/>
  <sheetViews>
    <sheetView showGridLines="0" topLeftCell="V1" zoomScale="85" zoomScaleNormal="85" workbookViewId="0">
      <selection activeCell="P26" sqref="P26"/>
    </sheetView>
  </sheetViews>
  <sheetFormatPr defaultRowHeight="15" outlineLevelRow="1" outlineLevelCol="1" x14ac:dyDescent="0.25"/>
  <cols>
    <col min="1" max="1" width="2.5703125" customWidth="1"/>
    <col min="2" max="2" width="9.140625" customWidth="1"/>
    <col min="3" max="3" width="16.28515625" bestFit="1" customWidth="1"/>
    <col min="4" max="4" width="15.28515625" bestFit="1" customWidth="1"/>
    <col min="5" max="5" width="2.5703125" customWidth="1"/>
    <col min="6" max="6" width="18.140625" bestFit="1" customWidth="1"/>
    <col min="7" max="7" width="2.5703125" customWidth="1"/>
    <col min="8" max="8" width="25.140625" bestFit="1" customWidth="1"/>
    <col min="9" max="9" width="24.28515625" style="11" customWidth="1" outlineLevel="1"/>
    <col min="10" max="10" width="9.42578125" style="6" customWidth="1"/>
    <col min="11" max="11" width="19" style="11" hidden="1" customWidth="1" outlineLevel="1"/>
    <col min="12" max="12" width="12.5703125" style="6" customWidth="1" collapsed="1"/>
    <col min="13" max="13" width="19.5703125" style="11" hidden="1" customWidth="1" outlineLevel="1"/>
    <col min="14" max="14" width="14.140625" style="6" customWidth="1" collapsed="1"/>
    <col min="15" max="15" width="17" style="11" hidden="1" customWidth="1" outlineLevel="1"/>
    <col min="16" max="16" width="9.28515625" style="6" bestFit="1" customWidth="1" collapsed="1"/>
    <col min="17" max="17" width="18" style="11" hidden="1" customWidth="1" outlineLevel="1"/>
    <col min="18" max="18" width="11.42578125" style="5" customWidth="1" collapsed="1"/>
    <col min="19" max="19" width="19.5703125" style="10" hidden="1" customWidth="1" outlineLevel="1"/>
    <col min="20" max="20" width="9.85546875" style="10" bestFit="1" customWidth="1" collapsed="1"/>
    <col min="21" max="21" width="19.5703125" style="10" hidden="1" customWidth="1" outlineLevel="1"/>
    <col min="22" max="22" width="2.5703125" customWidth="1" collapsed="1"/>
    <col min="23" max="24" width="7.140625" hidden="1" customWidth="1" outlineLevel="1"/>
    <col min="25" max="25" width="17.85546875" bestFit="1" customWidth="1" collapsed="1"/>
    <col min="26" max="27" width="17.85546875" bestFit="1" customWidth="1"/>
    <col min="28" max="28" width="17" bestFit="1" customWidth="1"/>
    <col min="29" max="29" width="15.140625" bestFit="1" customWidth="1"/>
    <col min="30" max="30" width="2.5703125" customWidth="1"/>
    <col min="31" max="31" width="7.85546875" bestFit="1" customWidth="1"/>
    <col min="32" max="32" width="11.140625" bestFit="1" customWidth="1"/>
    <col min="33" max="33" width="13.28515625" bestFit="1" customWidth="1"/>
    <col min="34" max="34" width="7.85546875" bestFit="1" customWidth="1"/>
    <col min="35" max="35" width="8.140625" bestFit="1" customWidth="1"/>
    <col min="36" max="36" width="2.5703125" customWidth="1"/>
    <col min="37" max="37" width="17.85546875" bestFit="1" customWidth="1"/>
    <col min="38" max="38" width="8.140625" bestFit="1" customWidth="1"/>
    <col min="39" max="39" width="2.5703125" customWidth="1"/>
    <col min="41" max="41" width="16.28515625" bestFit="1" customWidth="1"/>
  </cols>
  <sheetData>
    <row r="1" spans="2:43" ht="9" customHeight="1" x14ac:dyDescent="0.25"/>
    <row r="2" spans="2:43" x14ac:dyDescent="0.25">
      <c r="B2" s="1"/>
      <c r="C2" s="1" t="s">
        <v>20</v>
      </c>
      <c r="D2" s="1"/>
      <c r="H2" s="4" t="s">
        <v>1</v>
      </c>
      <c r="I2" s="9" t="s">
        <v>4</v>
      </c>
      <c r="J2" s="112" t="s">
        <v>7</v>
      </c>
      <c r="K2" s="112"/>
      <c r="L2" s="112" t="s">
        <v>8</v>
      </c>
      <c r="M2" s="112"/>
      <c r="N2" s="112" t="s">
        <v>10</v>
      </c>
      <c r="O2" s="112"/>
      <c r="P2" s="112" t="s">
        <v>9</v>
      </c>
      <c r="Q2" s="112"/>
      <c r="R2" s="112" t="s">
        <v>21</v>
      </c>
      <c r="S2" s="112"/>
      <c r="T2" s="112" t="s">
        <v>55</v>
      </c>
      <c r="U2" s="112"/>
      <c r="W2" s="1" t="s">
        <v>46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27" t="s">
        <v>49</v>
      </c>
      <c r="AF2" s="27" t="s">
        <v>50</v>
      </c>
      <c r="AG2" s="27" t="s">
        <v>51</v>
      </c>
      <c r="AH2" s="27" t="s">
        <v>52</v>
      </c>
      <c r="AI2" s="27" t="s">
        <v>53</v>
      </c>
      <c r="AK2" s="75" t="s">
        <v>60</v>
      </c>
      <c r="AL2" s="75" t="s">
        <v>61</v>
      </c>
      <c r="AN2" s="1"/>
      <c r="AO2" s="1" t="s">
        <v>20</v>
      </c>
      <c r="AP2" s="1"/>
    </row>
    <row r="3" spans="2:43" x14ac:dyDescent="0.25">
      <c r="B3" s="105" t="s">
        <v>77</v>
      </c>
      <c r="C3" s="106" t="s">
        <v>10</v>
      </c>
      <c r="D3" s="105" t="s">
        <v>7</v>
      </c>
      <c r="F3" s="7">
        <f>J3+L3+N3+P3+R3+T3</f>
        <v>1</v>
      </c>
      <c r="H3" s="97" t="s">
        <v>5</v>
      </c>
      <c r="I3" s="80">
        <v>556879864.96000004</v>
      </c>
      <c r="J3" s="81">
        <f>42.06%+12.93%</f>
        <v>0.54990000000000006</v>
      </c>
      <c r="K3" s="80">
        <f t="shared" ref="K3:Q13" si="0">+J3*$I3</f>
        <v>306228237.74150407</v>
      </c>
      <c r="L3" s="81">
        <f>8.34%+7.4%+3.58%+2.91%</f>
        <v>0.2223</v>
      </c>
      <c r="M3" s="80">
        <f t="shared" si="0"/>
        <v>123794393.980608</v>
      </c>
      <c r="N3" s="81">
        <v>0.17849999999999999</v>
      </c>
      <c r="O3" s="80">
        <f t="shared" si="0"/>
        <v>99403055.895360008</v>
      </c>
      <c r="P3" s="81">
        <v>5.0700000000000002E-2</v>
      </c>
      <c r="Q3" s="80">
        <f t="shared" si="0"/>
        <v>28233809.153472003</v>
      </c>
      <c r="R3" s="108">
        <v>0</v>
      </c>
      <c r="S3" s="80">
        <f t="shared" ref="S3:S13" si="1">+R3*$I3</f>
        <v>0</v>
      </c>
      <c r="T3" s="81">
        <v>-1.4E-3</v>
      </c>
      <c r="U3" s="65">
        <f t="shared" ref="U3:U13" si="2">+T3*$I3</f>
        <v>-779631.81094400003</v>
      </c>
      <c r="Y3" s="12">
        <f>K3-'Fev26'!K3</f>
        <v>-55430975.058495879</v>
      </c>
      <c r="Z3" s="12">
        <f>M3-'Fev26'!M3</f>
        <v>18155504.380607992</v>
      </c>
      <c r="AA3" s="12">
        <f>O3-'Fev26'!O3</f>
        <v>9917967.8953600079</v>
      </c>
      <c r="AB3" s="12">
        <f>Q3-'Fev26'!Q3</f>
        <v>4351749.9534720033</v>
      </c>
      <c r="AC3" s="12">
        <f>+S3-'Fev26'!S3</f>
        <v>0</v>
      </c>
      <c r="AD3" s="98"/>
      <c r="AE3" s="28">
        <f>J3-'Fev26'!J3</f>
        <v>-7.2499999999999898E-2</v>
      </c>
      <c r="AF3" s="28">
        <f>L3-'Fev26'!L3</f>
        <v>4.049999999999998E-2</v>
      </c>
      <c r="AG3" s="28">
        <f>N3-'Fev26'!N3</f>
        <v>2.4499999999999994E-2</v>
      </c>
      <c r="AH3" s="28">
        <f>P3-'Fev26'!P3</f>
        <v>9.6000000000000044E-3</v>
      </c>
      <c r="AI3" s="28">
        <f>R3-'Fev26'!R3</f>
        <v>0</v>
      </c>
      <c r="AJ3" s="8"/>
      <c r="AK3" s="10">
        <f>I3-'Fev26'!I3</f>
        <v>-24192135.039999962</v>
      </c>
      <c r="AL3" s="76">
        <f>I3/'Fev26'!I3-1</f>
        <v>-4.1633627226918435E-2</v>
      </c>
      <c r="AM3" s="8"/>
      <c r="AN3" t="s">
        <v>11</v>
      </c>
      <c r="AO3" s="2" t="s">
        <v>10</v>
      </c>
      <c r="AP3" t="s">
        <v>7</v>
      </c>
      <c r="AQ3" s="8"/>
    </row>
    <row r="4" spans="2:43" x14ac:dyDescent="0.25">
      <c r="B4" s="103" t="s">
        <v>12</v>
      </c>
      <c r="C4" s="104" t="s">
        <v>16</v>
      </c>
      <c r="D4" s="103" t="s">
        <v>58</v>
      </c>
      <c r="F4" s="7">
        <f>J4+L4+N4+P4+R4+T4</f>
        <v>1</v>
      </c>
      <c r="H4" s="3" t="s">
        <v>0</v>
      </c>
      <c r="I4" s="78">
        <v>1649537207.3199999</v>
      </c>
      <c r="J4" s="77">
        <v>0.35333333333333328</v>
      </c>
      <c r="K4" s="78">
        <v>582836479.91973317</v>
      </c>
      <c r="L4" s="77">
        <v>0.2466666666666667</v>
      </c>
      <c r="M4" s="78">
        <v>406885844.47226673</v>
      </c>
      <c r="N4" s="77">
        <v>0.25666666666666671</v>
      </c>
      <c r="O4" s="78">
        <v>423381216.54546672</v>
      </c>
      <c r="P4" s="77">
        <v>0.14333333333333331</v>
      </c>
      <c r="Q4" s="78">
        <v>236433666.38253328</v>
      </c>
      <c r="R4" s="77">
        <v>0</v>
      </c>
      <c r="S4" s="78">
        <v>0</v>
      </c>
      <c r="T4" s="77">
        <v>0</v>
      </c>
      <c r="U4" s="57">
        <f t="shared" si="2"/>
        <v>0</v>
      </c>
      <c r="Y4" s="12">
        <f>K4-'Fev26'!K4</f>
        <v>-33751376.74693346</v>
      </c>
      <c r="Z4" s="12">
        <f>M4-'Fev26'!M4</f>
        <v>-31064408.861066639</v>
      </c>
      <c r="AA4" s="12">
        <f>O4-'Fev26'!O4</f>
        <v>-14569036.787866652</v>
      </c>
      <c r="AB4" s="12">
        <f>Q4-'Fev26'!Q4</f>
        <v>171029.71586662531</v>
      </c>
      <c r="AC4" s="12">
        <f>+S4-'Fev26'!S4</f>
        <v>0</v>
      </c>
      <c r="AE4" s="28">
        <f>J4-'Fev26'!J4</f>
        <v>-3.3333333333333548E-3</v>
      </c>
      <c r="AF4" s="28">
        <f>L4-'Fev26'!L4</f>
        <v>-6.6666666666666541E-3</v>
      </c>
      <c r="AG4" s="28">
        <f>N4-'Fev26'!N4</f>
        <v>3.3333333333333548E-3</v>
      </c>
      <c r="AH4" s="28">
        <f>P4-'Fev26'!P4</f>
        <v>6.6666666666666541E-3</v>
      </c>
      <c r="AI4" s="28">
        <f>R4-'Fev26'!R4</f>
        <v>0</v>
      </c>
      <c r="AK4" s="10">
        <f>I4-'Fev26'!I4</f>
        <v>-79213792.680000067</v>
      </c>
      <c r="AL4" s="76">
        <f>I4/'Fev26'!I4-1</f>
        <v>-4.5821400930498468E-2</v>
      </c>
      <c r="AN4" t="s">
        <v>12</v>
      </c>
      <c r="AO4" s="2" t="s">
        <v>16</v>
      </c>
      <c r="AP4" t="s">
        <v>58</v>
      </c>
    </row>
    <row r="5" spans="2:43" x14ac:dyDescent="0.25">
      <c r="B5" s="103" t="s">
        <v>13</v>
      </c>
      <c r="C5" s="104" t="s">
        <v>17</v>
      </c>
      <c r="D5" s="103" t="s">
        <v>59</v>
      </c>
      <c r="F5" s="7">
        <f t="shared" ref="F5:F36" si="3">J5+L5+N5+P5+R5+T5</f>
        <v>1.0000000000000002</v>
      </c>
      <c r="H5" s="3" t="s">
        <v>3</v>
      </c>
      <c r="I5" s="78">
        <v>209036189.94</v>
      </c>
      <c r="J5" s="77">
        <v>0.53</v>
      </c>
      <c r="K5" s="78">
        <f t="shared" si="0"/>
        <v>110789180.6682</v>
      </c>
      <c r="L5" s="77">
        <v>0</v>
      </c>
      <c r="M5" s="78">
        <f t="shared" si="0"/>
        <v>0</v>
      </c>
      <c r="N5" s="77">
        <v>0.34</v>
      </c>
      <c r="O5" s="78">
        <f t="shared" si="0"/>
        <v>71072304.579600006</v>
      </c>
      <c r="P5" s="77">
        <v>0.03</v>
      </c>
      <c r="Q5" s="78">
        <f t="shared" si="0"/>
        <v>6271085.6981999995</v>
      </c>
      <c r="R5" s="77">
        <v>0.1</v>
      </c>
      <c r="S5" s="78">
        <f t="shared" si="1"/>
        <v>20903618.994000003</v>
      </c>
      <c r="T5" s="77">
        <v>0</v>
      </c>
      <c r="U5" s="57">
        <f t="shared" si="2"/>
        <v>0</v>
      </c>
      <c r="Y5" s="12">
        <f>K5-'Fev26'!K5</f>
        <v>8502200.6682000011</v>
      </c>
      <c r="Z5" s="12">
        <f>M5-'Fev26'!M5</f>
        <v>0</v>
      </c>
      <c r="AA5" s="12">
        <f>O5-'Fev26'!O5</f>
        <v>-8978375.4203999937</v>
      </c>
      <c r="AB5" s="12">
        <f>Q5-'Fev26'!Q5</f>
        <v>-7070694.3018000005</v>
      </c>
      <c r="AC5" s="12">
        <f>+S5-'Fev26'!S5</f>
        <v>-5779941.006000001</v>
      </c>
      <c r="AE5" s="28">
        <f>J5-'Fev26'!J5</f>
        <v>7.0000000000000007E-2</v>
      </c>
      <c r="AF5" s="28">
        <f>L5-'Fev26'!L5</f>
        <v>0</v>
      </c>
      <c r="AG5" s="28">
        <f>N5-'Fev26'!N5</f>
        <v>-1.9999999999999962E-2</v>
      </c>
      <c r="AH5" s="28">
        <f>P5-'Fev26'!P5</f>
        <v>-0.03</v>
      </c>
      <c r="AI5" s="28">
        <f>R5-'Fev26'!R5</f>
        <v>-2.0000000000000004E-2</v>
      </c>
      <c r="AK5" s="10">
        <f>I5-'Fev26'!I5</f>
        <v>-13326810.060000002</v>
      </c>
      <c r="AL5" s="76">
        <f>I5/'Fev26'!I5-1</f>
        <v>-5.9932677918538624E-2</v>
      </c>
      <c r="AN5" t="s">
        <v>13</v>
      </c>
      <c r="AO5" s="2" t="s">
        <v>17</v>
      </c>
      <c r="AP5" t="s">
        <v>59</v>
      </c>
    </row>
    <row r="6" spans="2:43" x14ac:dyDescent="0.25">
      <c r="B6" s="103" t="s">
        <v>14</v>
      </c>
      <c r="C6" s="104" t="s">
        <v>18</v>
      </c>
      <c r="F6" s="7">
        <f t="shared" si="3"/>
        <v>1</v>
      </c>
      <c r="H6" s="3" t="s">
        <v>62</v>
      </c>
      <c r="I6" s="78">
        <v>3971003000</v>
      </c>
      <c r="J6" s="77">
        <f>'Fev26'!J6+'Abr26'!J41</f>
        <v>0.218</v>
      </c>
      <c r="K6" s="78">
        <v>897446678</v>
      </c>
      <c r="L6" s="77">
        <f>'Fev26'!L6+'Abr26'!L41</f>
        <v>0.28966666666666668</v>
      </c>
      <c r="M6" s="78">
        <v>1968293820.3333335</v>
      </c>
      <c r="N6" s="77">
        <f>'Fev26'!N6+'Abr26'!N41</f>
        <v>0.39766666666666667</v>
      </c>
      <c r="O6" s="78">
        <v>1327638669.6666665</v>
      </c>
      <c r="P6" s="77">
        <f>'Fev26'!P6+'Abr26'!P41</f>
        <v>6.933333333333333E-2</v>
      </c>
      <c r="Q6" s="78">
        <v>21178682.666666649</v>
      </c>
      <c r="R6" s="77">
        <f>'Fev26'!R6+'Abr26'!R41</f>
        <v>0</v>
      </c>
      <c r="S6" s="78">
        <v>-423573653.33333337</v>
      </c>
      <c r="T6" s="77">
        <f>'Fev26'!T6+'Abr26'!T41</f>
        <v>2.5333333333333333E-2</v>
      </c>
      <c r="U6" s="57">
        <f t="shared" si="2"/>
        <v>100598742.66666666</v>
      </c>
      <c r="Y6" s="12">
        <f>K6-'Fev26'!K6</f>
        <v>897446678</v>
      </c>
      <c r="Z6" s="12">
        <f>M6-'Fev26'!M6</f>
        <v>1968293820.3333335</v>
      </c>
      <c r="AA6" s="12">
        <f>O6-'Fev26'!O6</f>
        <v>1327638669.6666665</v>
      </c>
      <c r="AB6" s="12">
        <f>Q6-'Fev26'!Q6</f>
        <v>21178682.666666649</v>
      </c>
      <c r="AC6" s="12">
        <f>+S6-'Fev26'!S6</f>
        <v>-423573653.33333337</v>
      </c>
      <c r="AE6" s="28">
        <f>J6-'Fev26'!J6</f>
        <v>3.8000000000000006E-2</v>
      </c>
      <c r="AF6" s="28">
        <f>L6-'Fev26'!L6</f>
        <v>-2.466666666666667E-2</v>
      </c>
      <c r="AG6" s="28">
        <f>N6-'Fev26'!N6</f>
        <v>-1.366666666666666E-2</v>
      </c>
      <c r="AH6" s="28">
        <f>P6-'Fev26'!P6</f>
        <v>2.6666666666666644E-3</v>
      </c>
      <c r="AI6" s="28">
        <f>R6-'Fev26'!R6</f>
        <v>0</v>
      </c>
      <c r="AK6" s="10">
        <f>I6-'Fev26'!I6</f>
        <v>-42872000</v>
      </c>
      <c r="AL6" s="76">
        <f>I6/'Fev26'!I6-1</f>
        <v>-1.068095045311579E-2</v>
      </c>
      <c r="AN6" t="s">
        <v>14</v>
      </c>
      <c r="AO6" s="2" t="s">
        <v>18</v>
      </c>
    </row>
    <row r="7" spans="2:43" x14ac:dyDescent="0.25">
      <c r="B7" s="103" t="s">
        <v>15</v>
      </c>
      <c r="C7" s="104" t="s">
        <v>19</v>
      </c>
      <c r="F7" s="7">
        <f t="shared" si="3"/>
        <v>1</v>
      </c>
      <c r="H7" s="3" t="s">
        <v>22</v>
      </c>
      <c r="I7" s="78">
        <v>3883790000</v>
      </c>
      <c r="J7" s="77">
        <v>0.23200000000000001</v>
      </c>
      <c r="K7" s="78">
        <f t="shared" si="0"/>
        <v>901039280</v>
      </c>
      <c r="L7" s="77">
        <v>0.32600000000000001</v>
      </c>
      <c r="M7" s="78">
        <f t="shared" si="0"/>
        <v>1266115540</v>
      </c>
      <c r="N7" s="77">
        <v>0.30599999999999999</v>
      </c>
      <c r="O7" s="78">
        <f t="shared" si="0"/>
        <v>1188439740</v>
      </c>
      <c r="P7" s="77">
        <v>0.13600000000000001</v>
      </c>
      <c r="Q7" s="78">
        <f t="shared" si="0"/>
        <v>528195440.00000006</v>
      </c>
      <c r="R7" s="77">
        <v>0</v>
      </c>
      <c r="S7" s="78">
        <f t="shared" si="1"/>
        <v>0</v>
      </c>
      <c r="T7" s="77">
        <v>0</v>
      </c>
      <c r="U7" s="57">
        <f t="shared" si="2"/>
        <v>0</v>
      </c>
      <c r="Y7" s="12">
        <f>K7-'Fev26'!K7</f>
        <v>7766669</v>
      </c>
      <c r="Z7" s="12">
        <f>M7-'Fev26'!M7</f>
        <v>17080677</v>
      </c>
      <c r="AA7" s="12">
        <f>O7-'Fev26'!O7</f>
        <v>-21925313</v>
      </c>
      <c r="AB7" s="12">
        <f>Q7-'Fev26'!Q7</f>
        <v>13886967.00000006</v>
      </c>
      <c r="AC7" s="12">
        <f>+S7-'Fev26'!S7</f>
        <v>0</v>
      </c>
      <c r="AE7" s="28">
        <f>J7-'Fev26'!J7</f>
        <v>1.0000000000000009E-3</v>
      </c>
      <c r="AF7" s="28">
        <f>L7-'Fev26'!L7</f>
        <v>3.0000000000000027E-3</v>
      </c>
      <c r="AG7" s="28">
        <f>N7-'Fev26'!N7</f>
        <v>-7.0000000000000062E-3</v>
      </c>
      <c r="AH7" s="28">
        <f>P7-'Fev26'!P7</f>
        <v>3.0000000000000027E-3</v>
      </c>
      <c r="AI7" s="28">
        <f>R7-'Fev26'!R7</f>
        <v>0</v>
      </c>
      <c r="AK7" s="10">
        <f>I7-'Fev26'!I7</f>
        <v>16809000</v>
      </c>
      <c r="AL7" s="76">
        <f>I7/'Fev26'!I7-1</f>
        <v>4.3468018074048764E-3</v>
      </c>
      <c r="AN7" t="s">
        <v>15</v>
      </c>
      <c r="AO7" s="2" t="s">
        <v>19</v>
      </c>
    </row>
    <row r="8" spans="2:43" x14ac:dyDescent="0.25">
      <c r="B8" s="103" t="s">
        <v>57</v>
      </c>
      <c r="F8" s="7">
        <f t="shared" si="3"/>
        <v>1</v>
      </c>
      <c r="H8" s="3" t="s">
        <v>23</v>
      </c>
      <c r="I8" s="78">
        <v>244354382.05000001</v>
      </c>
      <c r="J8" s="77">
        <v>0.13</v>
      </c>
      <c r="K8" s="78">
        <f t="shared" si="0"/>
        <v>31766069.666500002</v>
      </c>
      <c r="L8" s="77">
        <v>0.45</v>
      </c>
      <c r="M8" s="78">
        <f t="shared" si="0"/>
        <v>109959471.92250001</v>
      </c>
      <c r="N8" s="77">
        <v>0.22</v>
      </c>
      <c r="O8" s="78">
        <f t="shared" si="0"/>
        <v>53757964.051000006</v>
      </c>
      <c r="P8" s="77">
        <v>0.08</v>
      </c>
      <c r="Q8" s="78">
        <f t="shared" si="0"/>
        <v>19548350.564000003</v>
      </c>
      <c r="R8" s="77">
        <v>0</v>
      </c>
      <c r="S8" s="78">
        <f t="shared" si="1"/>
        <v>0</v>
      </c>
      <c r="T8" s="77">
        <v>0.12</v>
      </c>
      <c r="U8" s="57">
        <f t="shared" si="2"/>
        <v>29322525.846000001</v>
      </c>
      <c r="Y8" s="12">
        <f>K8-'Fev26'!K8</f>
        <v>-2978575.3334999979</v>
      </c>
      <c r="Z8" s="12">
        <f>M8-'Fev26'!M8</f>
        <v>18054281.922500014</v>
      </c>
      <c r="AA8" s="12">
        <f>O8-'Fev26'!O8</f>
        <v>3322189.0510000065</v>
      </c>
      <c r="AB8" s="12">
        <f>Q8-'Fev26'!Q8</f>
        <v>-625959.43599999696</v>
      </c>
      <c r="AC8" s="12">
        <f>+S8-'Fev26'!S8</f>
        <v>0</v>
      </c>
      <c r="AE8" s="28">
        <f>J8-'Fev26'!J8</f>
        <v>-2.4999999999999994E-2</v>
      </c>
      <c r="AF8" s="28">
        <f>L8-'Fev26'!L8</f>
        <v>3.999999999999998E-2</v>
      </c>
      <c r="AG8" s="28">
        <f>N8-'Fev26'!N8</f>
        <v>-5.0000000000000044E-3</v>
      </c>
      <c r="AH8" s="28">
        <f>P8-'Fev26'!P8</f>
        <v>-9.999999999999995E-3</v>
      </c>
      <c r="AI8" s="28">
        <f>R8-'Fev26'!R8</f>
        <v>0</v>
      </c>
      <c r="AK8" s="10">
        <f>I8-'Fev26'!I8</f>
        <v>20195382.050000012</v>
      </c>
      <c r="AL8" s="76">
        <f>I8/'Fev26'!I8-1</f>
        <v>9.0094004925075577E-2</v>
      </c>
      <c r="AN8" t="s">
        <v>57</v>
      </c>
    </row>
    <row r="9" spans="2:43" x14ac:dyDescent="0.25">
      <c r="F9" s="7">
        <f t="shared" si="3"/>
        <v>1</v>
      </c>
      <c r="H9" s="3" t="s">
        <v>24</v>
      </c>
      <c r="I9" s="78">
        <v>1432338623</v>
      </c>
      <c r="J9" s="77">
        <v>0.59630000000000005</v>
      </c>
      <c r="K9" s="78">
        <f t="shared" si="0"/>
        <v>854103520.89490008</v>
      </c>
      <c r="L9" s="77">
        <v>0.17130000000000001</v>
      </c>
      <c r="M9" s="78">
        <f t="shared" si="0"/>
        <v>245359606.11990002</v>
      </c>
      <c r="N9" s="77">
        <v>0.17069999999999999</v>
      </c>
      <c r="O9" s="78">
        <f t="shared" si="0"/>
        <v>244500202.9461</v>
      </c>
      <c r="P9" s="77">
        <v>4.9799999999999997E-2</v>
      </c>
      <c r="Q9" s="78">
        <f t="shared" si="0"/>
        <v>71330463.425399989</v>
      </c>
      <c r="R9" s="77">
        <v>0</v>
      </c>
      <c r="S9" s="78">
        <f t="shared" si="1"/>
        <v>0</v>
      </c>
      <c r="T9" s="77">
        <v>1.1900000000000001E-2</v>
      </c>
      <c r="U9" s="57">
        <f t="shared" si="2"/>
        <v>17044829.613700002</v>
      </c>
      <c r="Y9" s="12">
        <f>K9-'Fev26'!K9</f>
        <v>-31693459.105099916</v>
      </c>
      <c r="Z9" s="12">
        <f>M9-'Fev26'!M9</f>
        <v>-47270.280100017786</v>
      </c>
      <c r="AA9" s="12">
        <f>O9-'Fev26'!O9</f>
        <v>-28190715.453900039</v>
      </c>
      <c r="AB9" s="12">
        <f>Q9-'Fev26'!Q9</f>
        <v>-2672828.5746000111</v>
      </c>
      <c r="AC9" s="12">
        <f>+S9-'Fev26'!S9</f>
        <v>0</v>
      </c>
      <c r="AE9" s="28">
        <f>J9-'Fev26'!J9</f>
        <v>3.8000000000000256E-3</v>
      </c>
      <c r="AF9" s="28">
        <f>L9-'Fev26'!L9</f>
        <v>7.1499999999999897E-3</v>
      </c>
      <c r="AG9" s="28">
        <f>N9-'Fev26'!N9</f>
        <v>-1.1700000000000016E-2</v>
      </c>
      <c r="AH9" s="28">
        <f>P9-'Fev26'!P9</f>
        <v>2.9999999999999472E-4</v>
      </c>
      <c r="AI9" s="28">
        <f>R9-'Fev26'!R9</f>
        <v>0</v>
      </c>
      <c r="AK9" s="10">
        <f>I9-'Fev26'!I9</f>
        <v>-62677377</v>
      </c>
      <c r="AL9" s="76">
        <f>I9/'Fev26'!I9-1</f>
        <v>-4.1924218202347041E-2</v>
      </c>
    </row>
    <row r="10" spans="2:43" x14ac:dyDescent="0.25">
      <c r="F10" s="7">
        <f t="shared" si="3"/>
        <v>1</v>
      </c>
      <c r="H10" s="3" t="s">
        <v>73</v>
      </c>
      <c r="I10" s="78">
        <v>7595703371.8800001</v>
      </c>
      <c r="J10" s="77">
        <v>0.36399999999999999</v>
      </c>
      <c r="K10" s="78">
        <f t="shared" si="0"/>
        <v>2764836027.3643198</v>
      </c>
      <c r="L10" s="77">
        <v>0.35599999999999998</v>
      </c>
      <c r="M10" s="78">
        <f t="shared" si="0"/>
        <v>2704070400.3892798</v>
      </c>
      <c r="N10" s="77">
        <v>0.22500000000000001</v>
      </c>
      <c r="O10" s="78">
        <f t="shared" si="0"/>
        <v>1709033258.6730001</v>
      </c>
      <c r="P10" s="77">
        <v>5.5E-2</v>
      </c>
      <c r="Q10" s="78">
        <f t="shared" si="0"/>
        <v>417763685.45340002</v>
      </c>
      <c r="R10" s="77">
        <v>0</v>
      </c>
      <c r="S10" s="78">
        <f t="shared" si="1"/>
        <v>0</v>
      </c>
      <c r="T10" s="77">
        <v>0</v>
      </c>
      <c r="U10" s="57">
        <f t="shared" si="2"/>
        <v>0</v>
      </c>
      <c r="Y10" s="12">
        <f>K10-'Fev26'!K10</f>
        <v>-72116797.135680199</v>
      </c>
      <c r="Z10" s="12">
        <f>M10-'Fev26'!M10</f>
        <v>-192232901.61072016</v>
      </c>
      <c r="AA10" s="12">
        <f>O10-'Fev26'!O10</f>
        <v>-63567669.326999664</v>
      </c>
      <c r="AB10" s="12">
        <f>Q10-'Fev26'!Q10</f>
        <v>10223739.953399956</v>
      </c>
      <c r="AC10" s="12">
        <f>+S10-'Fev26'!S10</f>
        <v>0</v>
      </c>
      <c r="AE10" s="28">
        <f>J10-'Fev26'!J10</f>
        <v>5.5000000000000049E-3</v>
      </c>
      <c r="AF10" s="28">
        <f>L10-'Fev26'!L10</f>
        <v>-1.0000000000000009E-2</v>
      </c>
      <c r="AG10" s="28">
        <f>N10-'Fev26'!N10</f>
        <v>1.0000000000000286E-3</v>
      </c>
      <c r="AH10" s="28">
        <f>P10-'Fev26'!P10</f>
        <v>3.4999999999999962E-3</v>
      </c>
      <c r="AI10" s="28">
        <f>R10-'Fev26'!R10</f>
        <v>0</v>
      </c>
      <c r="AK10" s="10">
        <f>I10-'Fev26'!I10</f>
        <v>-317693628.11999989</v>
      </c>
      <c r="AL10" s="76">
        <f>I10/'Fev26'!I10-1</f>
        <v>-4.0146302292176195E-2</v>
      </c>
    </row>
    <row r="11" spans="2:43" x14ac:dyDescent="0.25">
      <c r="F11" s="7">
        <f t="shared" si="3"/>
        <v>1</v>
      </c>
      <c r="H11" s="3" t="s">
        <v>47</v>
      </c>
      <c r="I11" s="78">
        <v>2865576367.1500001</v>
      </c>
      <c r="J11" s="77">
        <v>0.62</v>
      </c>
      <c r="K11" s="78">
        <f t="shared" si="0"/>
        <v>1776657347.6330001</v>
      </c>
      <c r="L11" s="77">
        <v>0.27</v>
      </c>
      <c r="M11" s="78">
        <f t="shared" si="0"/>
        <v>773705619.13050008</v>
      </c>
      <c r="N11" s="77">
        <v>0.11</v>
      </c>
      <c r="O11" s="78">
        <f t="shared" si="0"/>
        <v>315213400.3865</v>
      </c>
      <c r="P11" s="77">
        <v>0</v>
      </c>
      <c r="Q11" s="78">
        <f t="shared" si="0"/>
        <v>0</v>
      </c>
      <c r="R11" s="77">
        <v>0</v>
      </c>
      <c r="S11" s="78">
        <f t="shared" si="1"/>
        <v>0</v>
      </c>
      <c r="T11" s="77">
        <v>0</v>
      </c>
      <c r="U11" s="57">
        <f t="shared" si="2"/>
        <v>0</v>
      </c>
      <c r="Y11" s="12">
        <f>K11-'Fev26'!K11</f>
        <v>66144384.373000145</v>
      </c>
      <c r="Z11" s="12">
        <f>M11-'Fev26'!M11</f>
        <v>-96046735.06949985</v>
      </c>
      <c r="AA11" s="12">
        <f>O11-'Fev26'!O11</f>
        <v>-3695796.1535000205</v>
      </c>
      <c r="AB11" s="12">
        <f>Q11-'Fev26'!Q11</f>
        <v>0</v>
      </c>
      <c r="AC11" s="12">
        <f>+S11-'Fev26'!S11</f>
        <v>0</v>
      </c>
      <c r="AE11" s="28">
        <f>J11-'Fev26'!J11</f>
        <v>3.0000000000000027E-2</v>
      </c>
      <c r="AF11" s="28">
        <f>L11-'Fev26'!L11</f>
        <v>-2.9999999999999971E-2</v>
      </c>
      <c r="AG11" s="28">
        <f>N11-'Fev26'!N11</f>
        <v>0</v>
      </c>
      <c r="AH11" s="28">
        <f>P11-'Fev26'!P11</f>
        <v>0</v>
      </c>
      <c r="AI11" s="28">
        <f>R11-'Fev26'!R11</f>
        <v>0</v>
      </c>
      <c r="AK11" s="10">
        <f>I11-'Fev26'!I11</f>
        <v>-33598146.849999905</v>
      </c>
      <c r="AL11" s="76">
        <f>I11/'Fev26'!I11-1</f>
        <v>-1.1588866654199559E-2</v>
      </c>
    </row>
    <row r="12" spans="2:43" x14ac:dyDescent="0.25">
      <c r="B12" t="s">
        <v>70</v>
      </c>
      <c r="F12" s="7">
        <f t="shared" si="3"/>
        <v>1</v>
      </c>
      <c r="H12" s="3" t="s">
        <v>30</v>
      </c>
      <c r="I12" s="78">
        <v>1389750000</v>
      </c>
      <c r="J12" s="77">
        <v>0.251</v>
      </c>
      <c r="K12" s="78">
        <f t="shared" si="0"/>
        <v>348827250</v>
      </c>
      <c r="L12" s="77">
        <f>34.3%+13.6%</f>
        <v>0.47899999999999998</v>
      </c>
      <c r="M12" s="78">
        <f t="shared" si="0"/>
        <v>665690250</v>
      </c>
      <c r="N12" s="77">
        <f>22.2%+2.3%</f>
        <v>0.245</v>
      </c>
      <c r="O12" s="78">
        <f t="shared" si="0"/>
        <v>340488750</v>
      </c>
      <c r="P12" s="77">
        <v>2.5000000000000001E-2</v>
      </c>
      <c r="Q12" s="78">
        <f t="shared" si="0"/>
        <v>34743750</v>
      </c>
      <c r="R12" s="77">
        <v>0</v>
      </c>
      <c r="S12" s="78">
        <f t="shared" si="1"/>
        <v>0</v>
      </c>
      <c r="T12" s="77">
        <v>0</v>
      </c>
      <c r="U12" s="57">
        <f t="shared" si="2"/>
        <v>0</v>
      </c>
      <c r="Y12" s="12">
        <f>K12-'Fev26'!K12</f>
        <v>-4691335</v>
      </c>
      <c r="Z12" s="12">
        <f>M12-'Fev26'!M12</f>
        <v>-37739587.5</v>
      </c>
      <c r="AA12" s="12">
        <f>O12-'Fev26'!O12</f>
        <v>-9422502.5</v>
      </c>
      <c r="AB12" s="12">
        <f>Q12-'Fev26'!Q12</f>
        <v>-1329575</v>
      </c>
      <c r="AC12" s="12">
        <f>+S12-'Fev26'!S12</f>
        <v>0</v>
      </c>
      <c r="AE12" s="28">
        <f>J12-'Fev26'!J12</f>
        <v>6.0000000000000053E-3</v>
      </c>
      <c r="AF12" s="28">
        <f>L12-'Fev26'!L12</f>
        <v>-8.5000000000000075E-3</v>
      </c>
      <c r="AG12" s="28">
        <f>N12-'Fev26'!N12</f>
        <v>2.5000000000000022E-3</v>
      </c>
      <c r="AH12" s="28">
        <f>P12-'Fev26'!P12</f>
        <v>0</v>
      </c>
      <c r="AI12" s="28">
        <f>R12-'Fev26'!R12</f>
        <v>0</v>
      </c>
      <c r="AK12" s="10">
        <f>I12-'Fev26'!I12</f>
        <v>-53183000</v>
      </c>
      <c r="AL12" s="76">
        <f>I12/'Fev26'!I12-1</f>
        <v>-3.6857567191269425E-2</v>
      </c>
    </row>
    <row r="13" spans="2:43" x14ac:dyDescent="0.25">
      <c r="B13" t="s">
        <v>74</v>
      </c>
      <c r="F13" s="7">
        <f t="shared" si="3"/>
        <v>0.99999999999999989</v>
      </c>
      <c r="H13" s="3" t="s">
        <v>64</v>
      </c>
      <c r="I13" s="102">
        <v>788100000</v>
      </c>
      <c r="J13" s="77">
        <v>0.06</v>
      </c>
      <c r="K13" s="78">
        <f t="shared" si="0"/>
        <v>47286000</v>
      </c>
      <c r="L13" s="77">
        <v>0.59</v>
      </c>
      <c r="M13" s="78">
        <f t="shared" si="0"/>
        <v>464979000</v>
      </c>
      <c r="N13" s="77">
        <v>0.2</v>
      </c>
      <c r="O13" s="78">
        <f t="shared" si="0"/>
        <v>157620000</v>
      </c>
      <c r="P13" s="77">
        <v>0.15</v>
      </c>
      <c r="Q13" s="78">
        <f t="shared" si="0"/>
        <v>118215000</v>
      </c>
      <c r="R13" s="77">
        <v>0</v>
      </c>
      <c r="S13" s="78">
        <f t="shared" si="1"/>
        <v>0</v>
      </c>
      <c r="T13" s="77">
        <v>0</v>
      </c>
      <c r="U13" s="57">
        <f t="shared" si="2"/>
        <v>0</v>
      </c>
      <c r="Y13" s="12">
        <f>K13-'Fev26'!K13</f>
        <v>-193405920.00000003</v>
      </c>
      <c r="Z13" s="12">
        <f>M13-'Fev26'!M13</f>
        <v>69556560.00000006</v>
      </c>
      <c r="AA13" s="12">
        <f>O13-'Fev26'!O13</f>
        <v>2889480</v>
      </c>
      <c r="AB13" s="12">
        <f>Q13-'Fev26'!Q13</f>
        <v>49445880</v>
      </c>
      <c r="AC13" s="12">
        <f>+S13-'Fev26'!S13</f>
        <v>0</v>
      </c>
      <c r="AE13" s="28">
        <f>J13-'Fev26'!J13</f>
        <v>-0.22000000000000003</v>
      </c>
      <c r="AF13" s="28">
        <f>L13-'Fev26'!L13</f>
        <v>0.13</v>
      </c>
      <c r="AG13" s="28">
        <f>N13-'Fev26'!N13</f>
        <v>2.0000000000000018E-2</v>
      </c>
      <c r="AH13" s="28">
        <f>P13-'Fev26'!P13</f>
        <v>6.9999999999999993E-2</v>
      </c>
      <c r="AI13" s="28">
        <f>R13-'Fev26'!R13</f>
        <v>0</v>
      </c>
      <c r="AK13" s="10">
        <f>I13-'Fev26'!I13</f>
        <v>-71514000</v>
      </c>
      <c r="AL13" s="76">
        <f>I13/'Fev26'!I13-1</f>
        <v>-8.3193154136624092E-2</v>
      </c>
    </row>
    <row r="14" spans="2:43" s="8" customFormat="1" x14ac:dyDescent="0.25">
      <c r="B14" t="s">
        <v>42</v>
      </c>
      <c r="E14"/>
      <c r="F14" s="7">
        <f>J14+L14+N14+P14+R14+T14</f>
        <v>0.99676971296307493</v>
      </c>
      <c r="G14"/>
      <c r="H14" s="21" t="s">
        <v>45</v>
      </c>
      <c r="I14" s="20">
        <f>SUM(I3:I13)</f>
        <v>24586069006.299999</v>
      </c>
      <c r="J14" s="15">
        <f>K14/$I$14</f>
        <v>0.35067891779197724</v>
      </c>
      <c r="K14" s="17">
        <f>SUM(K3:K13)</f>
        <v>8621816071.8881569</v>
      </c>
      <c r="L14" s="15">
        <f>M14/$I$14</f>
        <v>0.35503251634540212</v>
      </c>
      <c r="M14" s="20">
        <f>SUM(M3:M13)</f>
        <v>8728853946.3483887</v>
      </c>
      <c r="N14" s="15">
        <f>O14/$I$14</f>
        <v>0.2412158105154604</v>
      </c>
      <c r="O14" s="17">
        <f>SUM(O3:O13)</f>
        <v>5930548562.7436943</v>
      </c>
      <c r="P14" s="15">
        <f>Q14/$I$14</f>
        <v>6.0274537298497882E-2</v>
      </c>
      <c r="Q14" s="17">
        <f>SUM(Q3:Q13)</f>
        <v>1481913933.343672</v>
      </c>
      <c r="R14" s="15">
        <f>S14/$I$14</f>
        <v>-1.6377975439512193E-2</v>
      </c>
      <c r="S14" s="17">
        <f>SUM(S3:S13)</f>
        <v>-402670034.33933336</v>
      </c>
      <c r="T14" s="15">
        <f>U14/$I$14</f>
        <v>5.9459064512494232E-3</v>
      </c>
      <c r="U14" s="63">
        <f>SUM(U3:U13)</f>
        <v>146186466.31542265</v>
      </c>
      <c r="Y14" s="12">
        <f>K14-'Fev26'!K14</f>
        <v>585791493.66148949</v>
      </c>
      <c r="Z14" s="12">
        <f>M14-'Fev26'!M14</f>
        <v>1734009940.3150549</v>
      </c>
      <c r="AA14" s="12">
        <f>O14-'Fev26'!O14</f>
        <v>1193418897.9703608</v>
      </c>
      <c r="AB14" s="12">
        <f>Q14-'Fev26'!Q14</f>
        <v>87558991.977005243</v>
      </c>
      <c r="AC14" s="12">
        <f>+S14-'Fev26'!S14</f>
        <v>-429353594.33933336</v>
      </c>
      <c r="AE14" s="28">
        <f>J14-'Fev26'!J14</f>
        <v>3.2386931147660669E-2</v>
      </c>
      <c r="AF14" s="28">
        <f>L14-'Fev26'!L14</f>
        <v>7.7979755583594379E-2</v>
      </c>
      <c r="AG14" s="28">
        <f>N14-'Fev26'!N14</f>
        <v>5.3586915492200266E-2</v>
      </c>
      <c r="AH14" s="28">
        <f>P14-'Fev26'!P14</f>
        <v>5.0467315526805667E-3</v>
      </c>
      <c r="AI14" s="28">
        <f>R14-'Fev26'!R14</f>
        <v>-1.743486162004414E-2</v>
      </c>
      <c r="AK14" s="92">
        <f>I14-'Fev26'!I14</f>
        <v>-661266507.70000076</v>
      </c>
      <c r="AL14" s="76">
        <f>I14/'Fev26'!I14-1</f>
        <v>-2.6191536423054163E-2</v>
      </c>
    </row>
    <row r="15" spans="2:43" x14ac:dyDescent="0.25">
      <c r="B15" t="s">
        <v>66</v>
      </c>
      <c r="F15" s="7"/>
      <c r="I15" s="10"/>
      <c r="J15" s="10"/>
      <c r="K15" s="10"/>
      <c r="L15" s="5"/>
      <c r="M15" s="10"/>
      <c r="N15" s="10"/>
      <c r="O15" s="10"/>
      <c r="P15" s="5"/>
      <c r="Q15" s="10"/>
    </row>
    <row r="16" spans="2:43" x14ac:dyDescent="0.25">
      <c r="F16" s="7"/>
      <c r="H16" s="4" t="s">
        <v>2</v>
      </c>
      <c r="I16" s="9" t="s">
        <v>4</v>
      </c>
      <c r="J16" s="112" t="s">
        <v>7</v>
      </c>
      <c r="K16" s="112"/>
      <c r="L16" s="112" t="s">
        <v>8</v>
      </c>
      <c r="M16" s="112"/>
      <c r="N16" s="112" t="s">
        <v>10</v>
      </c>
      <c r="O16" s="112"/>
      <c r="P16" s="112" t="s">
        <v>9</v>
      </c>
      <c r="Q16" s="112"/>
      <c r="R16" s="112" t="s">
        <v>21</v>
      </c>
      <c r="S16" s="112"/>
      <c r="T16" s="112" t="s">
        <v>55</v>
      </c>
      <c r="U16" s="112"/>
      <c r="Y16" s="27" t="s">
        <v>49</v>
      </c>
      <c r="Z16" s="27" t="s">
        <v>50</v>
      </c>
      <c r="AA16" s="27" t="s">
        <v>51</v>
      </c>
      <c r="AB16" s="27" t="s">
        <v>52</v>
      </c>
      <c r="AC16" s="27" t="s">
        <v>53</v>
      </c>
      <c r="AE16" s="27" t="s">
        <v>49</v>
      </c>
      <c r="AF16" s="27" t="s">
        <v>50</v>
      </c>
      <c r="AG16" s="27" t="s">
        <v>51</v>
      </c>
      <c r="AH16" s="27" t="s">
        <v>52</v>
      </c>
      <c r="AI16" s="27" t="s">
        <v>53</v>
      </c>
    </row>
    <row r="17" spans="2:39" x14ac:dyDescent="0.25">
      <c r="F17" s="7">
        <f t="shared" si="3"/>
        <v>1</v>
      </c>
      <c r="H17" s="21" t="s">
        <v>6</v>
      </c>
      <c r="I17" s="80">
        <v>322065280.23000002</v>
      </c>
      <c r="J17" s="81">
        <v>0.32890000000000003</v>
      </c>
      <c r="K17" s="80">
        <f t="shared" ref="K17:K26" si="4">+J17*$I17</f>
        <v>105927270.66764702</v>
      </c>
      <c r="L17" s="81">
        <f>10.97%+6.49%+4.68%+4.31%</f>
        <v>0.26449999999999996</v>
      </c>
      <c r="M17" s="80">
        <f t="shared" ref="M17:M26" si="5">+L17*$I17</f>
        <v>85186266.620834991</v>
      </c>
      <c r="N17" s="81">
        <f>25.72%+0.84%</f>
        <v>0.2656</v>
      </c>
      <c r="O17" s="80">
        <f t="shared" ref="O17:O26" si="6">+N17*$I17</f>
        <v>85540538.429088011</v>
      </c>
      <c r="P17" s="81">
        <v>7.6200000000000004E-2</v>
      </c>
      <c r="Q17" s="80">
        <f t="shared" ref="Q17:Q26" si="7">+P17*$I17</f>
        <v>24541374.353526004</v>
      </c>
      <c r="R17" s="81">
        <v>0</v>
      </c>
      <c r="S17" s="80">
        <f t="shared" ref="S17:S26" si="8">+R17*$I17</f>
        <v>0</v>
      </c>
      <c r="T17" s="81">
        <v>6.4799999999999996E-2</v>
      </c>
      <c r="U17" s="80">
        <f t="shared" ref="U17:U26" si="9">+T17*$I17</f>
        <v>20869830.158904001</v>
      </c>
      <c r="Y17" s="12">
        <f>K17-'Fev26'!K17</f>
        <v>-55900363.132352993</v>
      </c>
      <c r="Z17" s="12">
        <f>M17-'Fev26'!M17</f>
        <v>1869069.0208349824</v>
      </c>
      <c r="AA17" s="12">
        <f>O17-'Fev26'!O17</f>
        <v>-5330141.3709119856</v>
      </c>
      <c r="AB17" s="12">
        <f>Q17-'Fev26'!Q17</f>
        <v>354971.75352600589</v>
      </c>
      <c r="AC17" s="12">
        <f>+S17-'Fev26'!S17</f>
        <v>0</v>
      </c>
      <c r="AD17" s="98"/>
      <c r="AE17" s="28">
        <f>J17-'Fev26'!J17</f>
        <v>-9.5299999999999996E-2</v>
      </c>
      <c r="AF17" s="28">
        <f>L17-'Fev26'!L17</f>
        <v>4.6099999999999947E-2</v>
      </c>
      <c r="AG17" s="28">
        <f>N17-'Fev26'!N17</f>
        <v>2.7400000000000008E-2</v>
      </c>
      <c r="AH17" s="28">
        <f>P17-'Fev26'!P17</f>
        <v>1.2800000000000006E-2</v>
      </c>
      <c r="AI17" s="28">
        <f>R17-'Fev26'!R17</f>
        <v>0</v>
      </c>
      <c r="AJ17" s="8"/>
      <c r="AK17" s="10">
        <f>I17-'Fev26'!I17</f>
        <v>-59423719.769999981</v>
      </c>
      <c r="AL17" s="76">
        <f>I17/'Fev26'!I17-1</f>
        <v>-0.15576784591429893</v>
      </c>
      <c r="AM17" s="8"/>
    </row>
    <row r="18" spans="2:39" x14ac:dyDescent="0.25">
      <c r="F18" s="7">
        <f t="shared" si="3"/>
        <v>1</v>
      </c>
      <c r="H18" s="3" t="s">
        <v>26</v>
      </c>
      <c r="I18" s="78">
        <v>861215287.46000004</v>
      </c>
      <c r="J18" s="77">
        <v>0.08</v>
      </c>
      <c r="K18" s="78">
        <f t="shared" si="4"/>
        <v>68897222.996800005</v>
      </c>
      <c r="L18" s="77">
        <v>0.25</v>
      </c>
      <c r="M18" s="78">
        <f t="shared" si="5"/>
        <v>215303821.86500001</v>
      </c>
      <c r="N18" s="77">
        <v>0.38</v>
      </c>
      <c r="O18" s="78">
        <f t="shared" si="6"/>
        <v>327261809.23480004</v>
      </c>
      <c r="P18" s="77">
        <v>0.17</v>
      </c>
      <c r="Q18" s="78">
        <f t="shared" si="7"/>
        <v>146406598.8682</v>
      </c>
      <c r="R18" s="77">
        <v>0</v>
      </c>
      <c r="S18" s="78">
        <f t="shared" si="8"/>
        <v>0</v>
      </c>
      <c r="T18" s="77">
        <v>0.12</v>
      </c>
      <c r="U18" s="78">
        <f t="shared" si="9"/>
        <v>103345834.49520001</v>
      </c>
      <c r="Y18" s="12">
        <f>K18-'Fev26'!K18</f>
        <v>10141042.996799998</v>
      </c>
      <c r="Z18" s="12">
        <f>M18-'Fev26'!M18</f>
        <v>5460321.8650000095</v>
      </c>
      <c r="AA18" s="12">
        <f>O18-'Fev26'!O18</f>
        <v>4102819.2348000407</v>
      </c>
      <c r="AB18" s="12">
        <f>Q18-'Fev26'!Q18</f>
        <v>-483851.1317999959</v>
      </c>
      <c r="AC18" s="12">
        <f>+S18-'Fev26'!S18</f>
        <v>0</v>
      </c>
      <c r="AE18" s="28">
        <f>J18-'Fev26'!J18</f>
        <v>9.999999999999995E-3</v>
      </c>
      <c r="AF18" s="28">
        <f>L18-'Fev26'!L18</f>
        <v>0</v>
      </c>
      <c r="AG18" s="28">
        <f>N18-'Fev26'!N18</f>
        <v>-5.0000000000000044E-3</v>
      </c>
      <c r="AH18" s="28">
        <f>P18-'Fev26'!P18</f>
        <v>-4.9999999999999767E-3</v>
      </c>
      <c r="AI18" s="28">
        <f>R18-'Fev26'!R18</f>
        <v>0</v>
      </c>
      <c r="AK18" s="10">
        <f>I18-'Fev26'!I18</f>
        <v>21841287.460000038</v>
      </c>
      <c r="AL18" s="76">
        <f>I18/'Fev26'!I18-1</f>
        <v>2.6020924474668083E-2</v>
      </c>
    </row>
    <row r="19" spans="2:39" x14ac:dyDescent="0.25">
      <c r="F19" s="7">
        <f t="shared" si="3"/>
        <v>1</v>
      </c>
      <c r="H19" s="3" t="s">
        <v>27</v>
      </c>
      <c r="I19" s="78">
        <v>526410678</v>
      </c>
      <c r="J19" s="77">
        <v>0.155</v>
      </c>
      <c r="K19" s="78">
        <f t="shared" si="4"/>
        <v>81593655.090000004</v>
      </c>
      <c r="L19" s="77">
        <v>0.187</v>
      </c>
      <c r="M19" s="78">
        <f t="shared" si="5"/>
        <v>98438796.785999998</v>
      </c>
      <c r="N19" s="77">
        <v>0.53700000000000003</v>
      </c>
      <c r="O19" s="78">
        <f t="shared" si="6"/>
        <v>282682534.08600003</v>
      </c>
      <c r="P19" s="77">
        <v>9.0999999999999998E-2</v>
      </c>
      <c r="Q19" s="78">
        <f t="shared" si="7"/>
        <v>47903371.697999999</v>
      </c>
      <c r="R19" s="77">
        <v>0</v>
      </c>
      <c r="S19" s="78">
        <f t="shared" si="8"/>
        <v>0</v>
      </c>
      <c r="T19" s="77">
        <v>0.03</v>
      </c>
      <c r="U19" s="78">
        <f t="shared" si="9"/>
        <v>15792320.34</v>
      </c>
      <c r="Y19" s="12">
        <f>K19-'Fev26'!K19</f>
        <v>18525791.090000011</v>
      </c>
      <c r="Z19" s="12">
        <f>M19-'Fev26'!M19</f>
        <v>-27974763.214000002</v>
      </c>
      <c r="AA19" s="12">
        <f>O19-'Fev26'!O19</f>
        <v>-14875537.914000034</v>
      </c>
      <c r="AB19" s="12">
        <f>Q19-'Fev26'!Q19</f>
        <v>-161564.30200000107</v>
      </c>
      <c r="AC19" s="12">
        <f>+S19-'Fev26'!S19</f>
        <v>0</v>
      </c>
      <c r="AE19" s="28">
        <f>J19-'Fev26'!J19</f>
        <v>4.1500000000000009E-2</v>
      </c>
      <c r="AF19" s="28">
        <f>L19-'Fev26'!L19</f>
        <v>-4.0500000000000008E-2</v>
      </c>
      <c r="AG19" s="28">
        <f>N19-'Fev26'!N19</f>
        <v>1.4999999999999458E-3</v>
      </c>
      <c r="AH19" s="28">
        <f>P19-'Fev26'!P19</f>
        <v>4.500000000000004E-3</v>
      </c>
      <c r="AI19" s="28">
        <f>R19-'Fev26'!R19</f>
        <v>0</v>
      </c>
      <c r="AK19" s="10">
        <f>I19-'Fev26'!I19</f>
        <v>-29253322</v>
      </c>
      <c r="AL19" s="76">
        <f>I19/'Fev26'!I19-1</f>
        <v>-5.2645703158743395E-2</v>
      </c>
    </row>
    <row r="20" spans="2:39" x14ac:dyDescent="0.25">
      <c r="B20" s="1"/>
      <c r="C20" s="1" t="s">
        <v>20</v>
      </c>
      <c r="D20" s="1"/>
      <c r="F20" s="7">
        <f t="shared" si="3"/>
        <v>1</v>
      </c>
      <c r="H20" s="3" t="s">
        <v>67</v>
      </c>
      <c r="I20" s="78">
        <v>1291980680</v>
      </c>
      <c r="J20" s="77">
        <v>0.21</v>
      </c>
      <c r="K20" s="78">
        <f t="shared" si="4"/>
        <v>271315942.80000001</v>
      </c>
      <c r="L20" s="77">
        <v>0.32</v>
      </c>
      <c r="M20" s="78">
        <f t="shared" si="5"/>
        <v>413433817.60000002</v>
      </c>
      <c r="N20" s="77">
        <v>0.28999999999999998</v>
      </c>
      <c r="O20" s="78">
        <f t="shared" si="6"/>
        <v>374674397.19999999</v>
      </c>
      <c r="P20" s="77">
        <v>0.18</v>
      </c>
      <c r="Q20" s="78">
        <f t="shared" si="7"/>
        <v>232556522.40000001</v>
      </c>
      <c r="R20" s="77">
        <v>0</v>
      </c>
      <c r="S20" s="78">
        <f t="shared" si="8"/>
        <v>0</v>
      </c>
      <c r="T20" s="77">
        <v>0</v>
      </c>
      <c r="U20" s="78">
        <f t="shared" si="9"/>
        <v>0</v>
      </c>
      <c r="Y20" s="12">
        <f>K20-'Fev26'!K20</f>
        <v>-372397.19999998808</v>
      </c>
      <c r="Z20" s="12">
        <f>M20-'Fev26'!M20</f>
        <v>-567462.39999991655</v>
      </c>
      <c r="AA20" s="12">
        <f>O20-'Fev26'!O20</f>
        <v>-514262.80000007153</v>
      </c>
      <c r="AB20" s="12">
        <f>Q20-'Fev26'!Q20</f>
        <v>-319197.59999999404</v>
      </c>
      <c r="AC20" s="12">
        <f>+S20-'Fev26'!S20</f>
        <v>0</v>
      </c>
      <c r="AE20" s="28">
        <f>J20-'Fev26'!J20</f>
        <v>0</v>
      </c>
      <c r="AF20" s="28">
        <f>L20-'Fev26'!L20</f>
        <v>0</v>
      </c>
      <c r="AG20" s="28">
        <f>N20-'Fev26'!N20</f>
        <v>0</v>
      </c>
      <c r="AH20" s="28">
        <f>P20-'Fev26'!P20</f>
        <v>0</v>
      </c>
      <c r="AI20" s="28">
        <f>R20-'Fev26'!R20</f>
        <v>0</v>
      </c>
      <c r="AK20" s="10">
        <f>I20-'Fev26'!I20</f>
        <v>-1773320</v>
      </c>
      <c r="AL20" s="76">
        <f>I20/'Fev26'!I20-1</f>
        <v>-1.3706778877592418E-3</v>
      </c>
    </row>
    <row r="21" spans="2:39" x14ac:dyDescent="0.25">
      <c r="B21" t="s">
        <v>11</v>
      </c>
      <c r="C21" s="2" t="s">
        <v>10</v>
      </c>
      <c r="D21" t="s">
        <v>7</v>
      </c>
      <c r="F21" s="7">
        <f t="shared" si="3"/>
        <v>1.01</v>
      </c>
      <c r="H21" s="3" t="s">
        <v>32</v>
      </c>
      <c r="I21" s="78">
        <v>149250000</v>
      </c>
      <c r="J21" s="77">
        <v>0.2</v>
      </c>
      <c r="K21" s="78">
        <f t="shared" si="4"/>
        <v>29850000</v>
      </c>
      <c r="L21" s="77">
        <v>0.17</v>
      </c>
      <c r="M21" s="78">
        <f t="shared" si="5"/>
        <v>25372500</v>
      </c>
      <c r="N21" s="77">
        <v>0.52</v>
      </c>
      <c r="O21" s="78">
        <f t="shared" si="6"/>
        <v>77610000</v>
      </c>
      <c r="P21" s="77">
        <v>0.12</v>
      </c>
      <c r="Q21" s="78">
        <f t="shared" si="7"/>
        <v>17910000</v>
      </c>
      <c r="R21" s="77">
        <v>0</v>
      </c>
      <c r="S21" s="78">
        <f t="shared" si="8"/>
        <v>0</v>
      </c>
      <c r="T21" s="77">
        <v>0</v>
      </c>
      <c r="U21" s="78">
        <f t="shared" si="9"/>
        <v>0</v>
      </c>
      <c r="Y21" s="12">
        <f>K21-'Fev26'!K21</f>
        <v>-3750160</v>
      </c>
      <c r="Z21" s="12">
        <f>M21-'Fev26'!M21</f>
        <v>-591260.00000000373</v>
      </c>
      <c r="AA21" s="12">
        <f>O21-'Fev26'!O21</f>
        <v>2009640</v>
      </c>
      <c r="AB21" s="12">
        <f>Q21-'Fev26'!Q21</f>
        <v>-417360</v>
      </c>
      <c r="AC21" s="12">
        <f>+S21-'Fev26'!S21</f>
        <v>0</v>
      </c>
      <c r="AE21" s="28">
        <f>J21-'Fev26'!J21</f>
        <v>-1.999999999999999E-2</v>
      </c>
      <c r="AF21" s="28">
        <f>L21-'Fev26'!L21</f>
        <v>0</v>
      </c>
      <c r="AG21" s="28">
        <f>N21-'Fev26'!N21</f>
        <v>2.5000000000000022E-2</v>
      </c>
      <c r="AH21" s="28">
        <f>P21-'Fev26'!P21</f>
        <v>0</v>
      </c>
      <c r="AI21" s="28">
        <f>R21-'Fev26'!R21</f>
        <v>0</v>
      </c>
      <c r="AK21" s="10">
        <f>I21-'Fev26'!I21</f>
        <v>-3478000</v>
      </c>
      <c r="AL21" s="76">
        <f>I21/'Fev26'!I21-1</f>
        <v>-2.27725106070924E-2</v>
      </c>
    </row>
    <row r="22" spans="2:39" x14ac:dyDescent="0.25">
      <c r="B22" t="s">
        <v>12</v>
      </c>
      <c r="C22" s="2" t="s">
        <v>16</v>
      </c>
      <c r="D22" t="s">
        <v>58</v>
      </c>
      <c r="F22" s="7">
        <f t="shared" si="3"/>
        <v>1</v>
      </c>
      <c r="H22" s="3" t="s">
        <v>33</v>
      </c>
      <c r="I22" s="78">
        <v>1254200000</v>
      </c>
      <c r="J22" s="77">
        <v>0.16</v>
      </c>
      <c r="K22" s="78">
        <f t="shared" si="4"/>
        <v>200672000</v>
      </c>
      <c r="L22" s="77">
        <v>0.32</v>
      </c>
      <c r="M22" s="78">
        <f t="shared" si="5"/>
        <v>401344000</v>
      </c>
      <c r="N22" s="77">
        <v>0.48</v>
      </c>
      <c r="O22" s="78">
        <f t="shared" si="6"/>
        <v>602016000</v>
      </c>
      <c r="P22" s="77">
        <v>0.04</v>
      </c>
      <c r="Q22" s="78">
        <f t="shared" si="7"/>
        <v>50168000</v>
      </c>
      <c r="R22" s="77">
        <v>0</v>
      </c>
      <c r="S22" s="78">
        <f t="shared" si="8"/>
        <v>0</v>
      </c>
      <c r="T22" s="77">
        <v>0</v>
      </c>
      <c r="U22" s="78">
        <f t="shared" si="9"/>
        <v>0</v>
      </c>
      <c r="Y22" s="12">
        <f>K22-'Fev26'!K22</f>
        <v>-22076575</v>
      </c>
      <c r="Z22" s="12">
        <f>M22-'Fev26'!M22</f>
        <v>19489299.99999994</v>
      </c>
      <c r="AA22" s="12">
        <f>O22-'Fev26'!O22</f>
        <v>-21680010</v>
      </c>
      <c r="AB22" s="12">
        <f>Q22-'Fev26'!Q22</f>
        <v>5618284.9999999925</v>
      </c>
      <c r="AC22" s="12">
        <f>+S22-'Fev26'!S22</f>
        <v>0</v>
      </c>
      <c r="AE22" s="28">
        <f>J22-'Fev26'!J22</f>
        <v>-1.4999999999999986E-2</v>
      </c>
      <c r="AF22" s="28">
        <f>L22-'Fev26'!L22</f>
        <v>1.9999999999999962E-2</v>
      </c>
      <c r="AG22" s="28">
        <f>N22-'Fev26'!N22</f>
        <v>-1.0000000000000009E-2</v>
      </c>
      <c r="AH22" s="28">
        <f>P22-'Fev26'!P22</f>
        <v>4.9999999999999975E-3</v>
      </c>
      <c r="AI22" s="28">
        <f>R22-'Fev26'!R22</f>
        <v>0</v>
      </c>
      <c r="AK22" s="10">
        <f>I22-'Fev26'!I22</f>
        <v>-18649000</v>
      </c>
      <c r="AL22" s="76">
        <f>I22/'Fev26'!I22-1</f>
        <v>-1.4651384414019253E-2</v>
      </c>
    </row>
    <row r="23" spans="2:39" x14ac:dyDescent="0.25">
      <c r="B23" t="s">
        <v>13</v>
      </c>
      <c r="C23" s="2" t="s">
        <v>17</v>
      </c>
      <c r="D23" t="s">
        <v>59</v>
      </c>
      <c r="F23" s="7">
        <f t="shared" si="3"/>
        <v>1</v>
      </c>
      <c r="H23" s="3" t="s">
        <v>68</v>
      </c>
      <c r="I23" s="78">
        <v>205827081</v>
      </c>
      <c r="J23" s="77">
        <v>0.4924</v>
      </c>
      <c r="K23" s="78">
        <f t="shared" si="4"/>
        <v>101349254.68440001</v>
      </c>
      <c r="L23" s="77">
        <v>0.12989999999999999</v>
      </c>
      <c r="M23" s="78">
        <f t="shared" si="5"/>
        <v>26736937.821899999</v>
      </c>
      <c r="N23" s="77">
        <v>0.26190000000000002</v>
      </c>
      <c r="O23" s="78">
        <f t="shared" si="6"/>
        <v>53906112.513900004</v>
      </c>
      <c r="P23" s="77">
        <v>0.1031</v>
      </c>
      <c r="Q23" s="78">
        <f t="shared" si="7"/>
        <v>21220772.051100001</v>
      </c>
      <c r="R23" s="77">
        <v>0</v>
      </c>
      <c r="S23" s="78">
        <f t="shared" si="8"/>
        <v>0</v>
      </c>
      <c r="T23" s="77">
        <v>1.2699999999999999E-2</v>
      </c>
      <c r="U23" s="78">
        <f t="shared" si="9"/>
        <v>2614003.9287</v>
      </c>
      <c r="Y23" s="12">
        <f>K23-'Fev26'!K23</f>
        <v>-3120916.8656000048</v>
      </c>
      <c r="Z23" s="12">
        <f>M23-'Fev26'!M23</f>
        <v>989391.27189999819</v>
      </c>
      <c r="AA23" s="12">
        <f>O23-'Fev26'!O23</f>
        <v>-2301841.7361000031</v>
      </c>
      <c r="AB23" s="12">
        <f>Q23-'Fev26'!Q23</f>
        <v>301546.50110000372</v>
      </c>
      <c r="AC23" s="12">
        <f>+S23-'Fev26'!S23</f>
        <v>0</v>
      </c>
      <c r="AE23" s="28">
        <f>J23-'Fev26'!J23</f>
        <v>-5.2500000000000324E-3</v>
      </c>
      <c r="AF23" s="28">
        <f>L23-'Fev26'!L23</f>
        <v>7.2499999999999926E-3</v>
      </c>
      <c r="AG23" s="28">
        <f>N23-'Fev26'!N23</f>
        <v>-5.8500000000000218E-3</v>
      </c>
      <c r="AH23" s="28">
        <f>P23-'Fev26'!P23</f>
        <v>3.4500000000000086E-3</v>
      </c>
      <c r="AI23" s="28">
        <f>R23-'Fev26'!R23</f>
        <v>0</v>
      </c>
      <c r="AK23" s="10">
        <f>I23-'Fev26'!I23</f>
        <v>-4099919</v>
      </c>
      <c r="AL23" s="76">
        <f>I23/'Fev26'!I23-1</f>
        <v>-1.9530212883526188E-2</v>
      </c>
    </row>
    <row r="24" spans="2:39" x14ac:dyDescent="0.25">
      <c r="B24" t="s">
        <v>14</v>
      </c>
      <c r="C24" s="2" t="s">
        <v>18</v>
      </c>
      <c r="F24" s="7">
        <f t="shared" si="3"/>
        <v>1</v>
      </c>
      <c r="H24" s="3" t="s">
        <v>35</v>
      </c>
      <c r="I24" s="78">
        <v>550131236.37</v>
      </c>
      <c r="J24" s="77">
        <v>0.13</v>
      </c>
      <c r="K24" s="78">
        <f t="shared" si="4"/>
        <v>71517060.728100002</v>
      </c>
      <c r="L24" s="77">
        <v>0.40300000000000002</v>
      </c>
      <c r="M24" s="78">
        <f t="shared" si="5"/>
        <v>221702888.25711003</v>
      </c>
      <c r="N24" s="77">
        <v>0.35399999999999998</v>
      </c>
      <c r="O24" s="78">
        <f t="shared" si="6"/>
        <v>194746457.67497998</v>
      </c>
      <c r="P24" s="77">
        <v>0.113</v>
      </c>
      <c r="Q24" s="78">
        <f t="shared" si="7"/>
        <v>62164829.709810004</v>
      </c>
      <c r="R24" s="77">
        <v>0</v>
      </c>
      <c r="S24" s="78">
        <f t="shared" si="8"/>
        <v>0</v>
      </c>
      <c r="T24" s="77">
        <v>0</v>
      </c>
      <c r="U24" s="78">
        <f t="shared" si="9"/>
        <v>0</v>
      </c>
      <c r="Y24" s="12">
        <f>K24-'Fev26'!K24</f>
        <v>10512883.728100002</v>
      </c>
      <c r="Z24" s="12">
        <f>M24-'Fev26'!M24</f>
        <v>-9892154.7428899705</v>
      </c>
      <c r="AA24" s="12">
        <f>O24-'Fev26'!O24</f>
        <v>-5380367.325020045</v>
      </c>
      <c r="AB24" s="12">
        <f>Q24-'Fev26'!Q24</f>
        <v>2816874.7098100036</v>
      </c>
      <c r="AC24" s="12">
        <f>+S24-'Fev26'!S24</f>
        <v>0</v>
      </c>
      <c r="AE24" s="28">
        <f>J24-'Fev26'!J24</f>
        <v>1.9500000000000003E-2</v>
      </c>
      <c r="AF24" s="28">
        <f>L24-'Fev26'!L24</f>
        <v>-1.6499999999999959E-2</v>
      </c>
      <c r="AG24" s="28">
        <f>N24-'Fev26'!N24</f>
        <v>-8.5000000000000631E-3</v>
      </c>
      <c r="AH24" s="28">
        <f>P24-'Fev26'!P24</f>
        <v>5.5000000000000049E-3</v>
      </c>
      <c r="AI24" s="28">
        <f>R24-'Fev26'!R24</f>
        <v>0</v>
      </c>
      <c r="AK24" s="10">
        <f>I24-'Fev26'!I24</f>
        <v>-1942763.6299999952</v>
      </c>
      <c r="AL24" s="76">
        <f>I24/'Fev26'!I24-1</f>
        <v>-3.5190275760133005E-3</v>
      </c>
    </row>
    <row r="25" spans="2:39" x14ac:dyDescent="0.25">
      <c r="B25" t="s">
        <v>15</v>
      </c>
      <c r="C25" s="2" t="s">
        <v>19</v>
      </c>
      <c r="F25" s="7">
        <f t="shared" si="3"/>
        <v>0.99999999999999989</v>
      </c>
      <c r="H25" s="3" t="s">
        <v>36</v>
      </c>
      <c r="I25" s="78">
        <v>610000000</v>
      </c>
      <c r="J25" s="77">
        <v>0.19</v>
      </c>
      <c r="K25" s="78">
        <f t="shared" si="4"/>
        <v>115900000</v>
      </c>
      <c r="L25" s="77">
        <v>0.25</v>
      </c>
      <c r="M25" s="78">
        <f t="shared" si="5"/>
        <v>152500000</v>
      </c>
      <c r="N25" s="77">
        <v>0.47</v>
      </c>
      <c r="O25" s="78">
        <f t="shared" si="6"/>
        <v>286700000</v>
      </c>
      <c r="P25" s="77">
        <v>0.09</v>
      </c>
      <c r="Q25" s="78">
        <f t="shared" si="7"/>
        <v>54900000</v>
      </c>
      <c r="R25" s="77">
        <v>0</v>
      </c>
      <c r="S25" s="78">
        <f t="shared" si="8"/>
        <v>0</v>
      </c>
      <c r="T25" s="77">
        <v>0</v>
      </c>
      <c r="U25" s="78">
        <f t="shared" si="9"/>
        <v>0</v>
      </c>
      <c r="Y25" s="12">
        <f>K25-'Fev26'!K25</f>
        <v>-6109600</v>
      </c>
      <c r="Z25" s="12">
        <f>M25-'Fev26'!M25</f>
        <v>-3062240</v>
      </c>
      <c r="AA25" s="12">
        <f>O25-'Fev26'!O25</f>
        <v>9128160</v>
      </c>
      <c r="AB25" s="12">
        <f>Q25-'Fev26'!Q25</f>
        <v>-4320</v>
      </c>
      <c r="AC25" s="12">
        <f>+S25-'Fev26'!S25</f>
        <v>0</v>
      </c>
      <c r="AE25" s="28">
        <f>J25-'Fev26'!J25</f>
        <v>-1.0000000000000009E-2</v>
      </c>
      <c r="AF25" s="28">
        <f>L25-'Fev26'!L25</f>
        <v>-5.0000000000000044E-3</v>
      </c>
      <c r="AG25" s="28">
        <f>N25-'Fev26'!N25</f>
        <v>1.5000000000000013E-2</v>
      </c>
      <c r="AH25" s="28">
        <f>P25-'Fev26'!P25</f>
        <v>0</v>
      </c>
      <c r="AI25" s="28">
        <f>R25-'Fev26'!R25</f>
        <v>0</v>
      </c>
      <c r="AK25" s="10">
        <f>I25-'Fev26'!I25</f>
        <v>-48000</v>
      </c>
      <c r="AL25" s="76">
        <f>I25/'Fev26'!I25-1</f>
        <v>-7.8682333193413889E-5</v>
      </c>
    </row>
    <row r="26" spans="2:39" x14ac:dyDescent="0.25">
      <c r="B26" t="s">
        <v>57</v>
      </c>
      <c r="F26" s="7">
        <f>J26+L26+N26+P26+R26+T26</f>
        <v>0.99999999999999989</v>
      </c>
      <c r="H26" s="3" t="s">
        <v>65</v>
      </c>
      <c r="I26" s="78">
        <v>1919115000</v>
      </c>
      <c r="J26" s="77">
        <v>0.21</v>
      </c>
      <c r="K26" s="78">
        <f t="shared" si="4"/>
        <v>403014150</v>
      </c>
      <c r="L26" s="77">
        <v>0.24</v>
      </c>
      <c r="M26" s="78">
        <f t="shared" si="5"/>
        <v>460587600</v>
      </c>
      <c r="N26" s="77">
        <v>0.44</v>
      </c>
      <c r="O26" s="78">
        <f t="shared" si="6"/>
        <v>844410600</v>
      </c>
      <c r="P26" s="77">
        <v>0.11</v>
      </c>
      <c r="Q26" s="78">
        <f t="shared" si="7"/>
        <v>211102650</v>
      </c>
      <c r="R26" s="77">
        <v>0</v>
      </c>
      <c r="S26" s="78">
        <f t="shared" si="8"/>
        <v>0</v>
      </c>
      <c r="T26" s="77">
        <v>0</v>
      </c>
      <c r="U26" s="78">
        <f t="shared" si="9"/>
        <v>0</v>
      </c>
      <c r="Y26" s="12">
        <f>K26-'Fev26'!K26</f>
        <v>-171857200</v>
      </c>
      <c r="Z26" s="12">
        <f>M26-'Fev26'!M26</f>
        <v>34389875</v>
      </c>
      <c r="AA26" s="12">
        <f>O26-'Fev26'!O26</f>
        <v>-7984850</v>
      </c>
      <c r="AB26" s="12">
        <f>Q26-'Fev26'!Q26</f>
        <v>82252175</v>
      </c>
      <c r="AC26" s="12">
        <f>+S26-'Fev26'!S26</f>
        <v>0</v>
      </c>
      <c r="AE26" s="28">
        <f>J26-'Fev26'!J26</f>
        <v>-7.9999999999999988E-2</v>
      </c>
      <c r="AF26" s="28">
        <f>L26-'Fev26'!L26</f>
        <v>2.4999999999999994E-2</v>
      </c>
      <c r="AG26" s="28">
        <f>N26-'Fev26'!N26</f>
        <v>1.0000000000000009E-2</v>
      </c>
      <c r="AH26" s="28">
        <f>P26-'Fev26'!P26</f>
        <v>4.4999999999999998E-2</v>
      </c>
      <c r="AI26" s="28">
        <f>R26-'Fev26'!R26</f>
        <v>0</v>
      </c>
      <c r="AK26" s="10">
        <f>I26-'Fev26'!I26</f>
        <v>-63200000</v>
      </c>
      <c r="AL26" s="76">
        <f>I26/'Fev26'!I26-1</f>
        <v>-3.188191584082245E-2</v>
      </c>
    </row>
    <row r="27" spans="2:39" s="8" customFormat="1" x14ac:dyDescent="0.25">
      <c r="B27"/>
      <c r="C27"/>
      <c r="E27"/>
      <c r="F27" s="7">
        <f t="shared" si="3"/>
        <v>1.0001940782974721</v>
      </c>
      <c r="G27"/>
      <c r="H27" s="21" t="s">
        <v>45</v>
      </c>
      <c r="I27" s="20">
        <f>SUM(I17:I26)</f>
        <v>7690195243.0600004</v>
      </c>
      <c r="J27" s="15">
        <f>K27/$I$27</f>
        <v>0.18855653349965715</v>
      </c>
      <c r="K27" s="63">
        <f>SUM(K17:K26)</f>
        <v>1450036556.9669471</v>
      </c>
      <c r="L27" s="15">
        <f>M27/$I$27</f>
        <v>0.27315387484427434</v>
      </c>
      <c r="M27" s="62">
        <f>SUM(M17:M26)</f>
        <v>2100606628.950845</v>
      </c>
      <c r="N27" s="15">
        <f>O27/$I$27</f>
        <v>0.40695305518582536</v>
      </c>
      <c r="O27" s="63">
        <f>SUM(O17:O26)</f>
        <v>3129548449.1387682</v>
      </c>
      <c r="P27" s="15">
        <f>Q27/$I$27</f>
        <v>0.11298466314814953</v>
      </c>
      <c r="Q27" s="63">
        <f>SUM(Q17:Q26)</f>
        <v>868874119.08063602</v>
      </c>
      <c r="R27" s="15">
        <f>S27/$I$27</f>
        <v>0</v>
      </c>
      <c r="S27" s="63">
        <f>SUM(S17:S26)</f>
        <v>0</v>
      </c>
      <c r="T27" s="15">
        <f>U27/$I$27</f>
        <v>1.8545951619565564E-2</v>
      </c>
      <c r="U27" s="17">
        <f>SUM(U17:U26)</f>
        <v>142621988.922804</v>
      </c>
      <c r="Y27" s="12">
        <f>K27-'Fev26'!K27</f>
        <v>-224007494.38305283</v>
      </c>
      <c r="Z27" s="12">
        <f>M27-'Fev26'!M27</f>
        <v>20110076.800845146</v>
      </c>
      <c r="AA27" s="12">
        <f>O27-'Fev26'!O27</f>
        <v>-42826391.911231995</v>
      </c>
      <c r="AB27" s="12">
        <f>Q27-'Fev26'!Q27</f>
        <v>89957559.930635929</v>
      </c>
      <c r="AC27" s="12">
        <f>+S27-'Fev26'!S27</f>
        <v>0</v>
      </c>
      <c r="AE27" s="28">
        <f>J27-'Fev26'!J27</f>
        <v>-2.469145507315007E-2</v>
      </c>
      <c r="AF27" s="28">
        <f>L27-'Fev26'!L27</f>
        <v>8.1299618708577936E-3</v>
      </c>
      <c r="AG27" s="28">
        <f>N27-'Fev26'!N27</f>
        <v>2.840300024251563E-3</v>
      </c>
      <c r="AH27" s="28">
        <f>P27-'Fev26'!P27</f>
        <v>1.3762429796022671E-2</v>
      </c>
      <c r="AI27" s="28">
        <f>R27-'Fev26'!R27</f>
        <v>0</v>
      </c>
      <c r="AK27" s="92">
        <f>I27-'Fev26'!I27</f>
        <v>-160026756.93999958</v>
      </c>
      <c r="AL27" s="76">
        <f>I27/'Fev26'!I27-1</f>
        <v>-2.0384997639557145E-2</v>
      </c>
    </row>
    <row r="28" spans="2:39" x14ac:dyDescent="0.25">
      <c r="F28" s="7"/>
      <c r="I28" s="10"/>
      <c r="J28" s="10"/>
      <c r="K28" s="10"/>
      <c r="L28" s="5"/>
      <c r="M28" s="10"/>
      <c r="N28" s="10"/>
      <c r="O28" s="10"/>
      <c r="P28" s="5"/>
      <c r="Q28" s="10"/>
    </row>
    <row r="29" spans="2:39" x14ac:dyDescent="0.25">
      <c r="F29" s="7"/>
      <c r="H29" s="4" t="s">
        <v>38</v>
      </c>
      <c r="I29" s="9" t="s">
        <v>4</v>
      </c>
      <c r="J29" s="113" t="s">
        <v>7</v>
      </c>
      <c r="K29" s="113"/>
      <c r="L29" s="112" t="s">
        <v>8</v>
      </c>
      <c r="M29" s="112"/>
      <c r="N29" s="112" t="s">
        <v>10</v>
      </c>
      <c r="O29" s="112"/>
      <c r="P29" s="112" t="s">
        <v>9</v>
      </c>
      <c r="Q29" s="112"/>
      <c r="R29" s="112" t="s">
        <v>40</v>
      </c>
      <c r="S29" s="112"/>
      <c r="T29" s="112" t="s">
        <v>55</v>
      </c>
      <c r="U29" s="112"/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  <c r="AE29" s="27" t="s">
        <v>49</v>
      </c>
      <c r="AF29" s="27" t="s">
        <v>50</v>
      </c>
      <c r="AG29" s="27" t="s">
        <v>51</v>
      </c>
      <c r="AH29" s="27" t="s">
        <v>52</v>
      </c>
      <c r="AI29" s="27" t="s">
        <v>54</v>
      </c>
    </row>
    <row r="30" spans="2:39" x14ac:dyDescent="0.25">
      <c r="F30" s="7">
        <f>J30+L30+N30+P30+R30+T30</f>
        <v>0.99999999999999989</v>
      </c>
      <c r="H30" s="21" t="s">
        <v>39</v>
      </c>
      <c r="I30" s="94">
        <v>227201264.05000001</v>
      </c>
      <c r="J30" s="81">
        <f>16.52%+1.41%</f>
        <v>0.17929999999999999</v>
      </c>
      <c r="K30" s="80">
        <f t="shared" ref="K30:K35" si="10">+J30*$I30</f>
        <v>40737186.644165002</v>
      </c>
      <c r="L30" s="81">
        <f>8.61%+7.73%+3.06%</f>
        <v>0.19400000000000001</v>
      </c>
      <c r="M30" s="80">
        <f t="shared" ref="M30:M35" si="11">+L30*$I30</f>
        <v>44077045.225700006</v>
      </c>
      <c r="N30" s="81">
        <f>36.14%+1.88%+1.15%</f>
        <v>0.39169999999999999</v>
      </c>
      <c r="O30" s="80">
        <f t="shared" ref="O30:O35" si="12">+N30*$I30</f>
        <v>88994735.128385007</v>
      </c>
      <c r="P30" s="81">
        <v>0.15629999999999999</v>
      </c>
      <c r="Q30" s="80">
        <f t="shared" ref="Q30:Q35" si="13">+P30*$I30</f>
        <v>35511557.571015</v>
      </c>
      <c r="R30" s="88">
        <v>5.4100000000000002E-2</v>
      </c>
      <c r="S30" s="80">
        <f t="shared" ref="S30:S35" si="14">+R30*$I30</f>
        <v>12291588.385105001</v>
      </c>
      <c r="T30" s="81">
        <v>2.46E-2</v>
      </c>
      <c r="U30" s="80">
        <f t="shared" ref="U30:U35" si="15">+T30*$I30</f>
        <v>5589151.0956300003</v>
      </c>
      <c r="V30" s="8"/>
      <c r="Y30" s="12">
        <f>K30-'Fev26'!K30</f>
        <v>9915470.9441650026</v>
      </c>
      <c r="Z30" s="12">
        <f>M30-'Fev26'!M30</f>
        <v>-3062049.3743000031</v>
      </c>
      <c r="AA30" s="12">
        <f>O30-'Fev26'!O30</f>
        <v>-6637498.1716149896</v>
      </c>
      <c r="AB30" s="12">
        <f>Q30-'Fev26'!Q30</f>
        <v>-795184.22898500413</v>
      </c>
      <c r="AC30" s="12">
        <f>+S30-'Fev26'!S30</f>
        <v>-1432451.8148949984</v>
      </c>
      <c r="AD30" s="98"/>
      <c r="AE30" s="28">
        <f>J30-'Fev26'!J30</f>
        <v>4.4999999999999984E-2</v>
      </c>
      <c r="AF30" s="28">
        <f>L30-'Fev26'!L30</f>
        <v>-1.1400000000000021E-2</v>
      </c>
      <c r="AG30" s="28">
        <f>N30-'Fev26'!N30</f>
        <v>-2.5000000000000022E-2</v>
      </c>
      <c r="AH30" s="28">
        <f>P30-'Fev26'!P30</f>
        <v>-1.9000000000000128E-3</v>
      </c>
      <c r="AI30" s="28">
        <f>R30-'Fev26'!R30</f>
        <v>-5.6999999999999967E-3</v>
      </c>
      <c r="AJ30" s="8"/>
      <c r="AK30" s="10">
        <f>I30-'Fev26'!I30</f>
        <v>-2297735.9499999881</v>
      </c>
      <c r="AL30" s="76">
        <f>I30/'Fev26'!I30-1</f>
        <v>-1.0011964975882193E-2</v>
      </c>
      <c r="AM30" s="8"/>
    </row>
    <row r="31" spans="2:39" hidden="1" outlineLevel="1" x14ac:dyDescent="0.25">
      <c r="F31" s="7">
        <f t="shared" si="3"/>
        <v>0</v>
      </c>
      <c r="H31" s="3" t="s">
        <v>56</v>
      </c>
      <c r="I31" s="78"/>
      <c r="J31" s="77"/>
      <c r="K31" s="78">
        <f t="shared" si="10"/>
        <v>0</v>
      </c>
      <c r="L31" s="77"/>
      <c r="M31" s="78">
        <f t="shared" si="11"/>
        <v>0</v>
      </c>
      <c r="N31" s="77"/>
      <c r="O31" s="78">
        <f t="shared" si="12"/>
        <v>0</v>
      </c>
      <c r="P31" s="77"/>
      <c r="Q31" s="78">
        <f t="shared" si="13"/>
        <v>0</v>
      </c>
      <c r="R31" s="77"/>
      <c r="S31" s="78">
        <f t="shared" si="14"/>
        <v>0</v>
      </c>
      <c r="T31" s="77"/>
      <c r="U31" s="78">
        <f t="shared" si="15"/>
        <v>0</v>
      </c>
      <c r="Y31" s="12">
        <f>K31-'Fev26'!K31</f>
        <v>0</v>
      </c>
      <c r="Z31" s="12">
        <f>M31-'Fev26'!M31</f>
        <v>0</v>
      </c>
      <c r="AA31" s="12">
        <f>O31-'Fev26'!O31</f>
        <v>0</v>
      </c>
      <c r="AB31" s="12">
        <f>Q31-'Fev26'!Q31</f>
        <v>0</v>
      </c>
      <c r="AC31" s="12">
        <f>+S31-'Fev26'!S31</f>
        <v>0</v>
      </c>
      <c r="AE31" s="28">
        <f>J31-'Fev26'!J31</f>
        <v>0</v>
      </c>
      <c r="AF31" s="28">
        <f>L31-'Fev26'!L31</f>
        <v>0</v>
      </c>
      <c r="AG31" s="28">
        <f>N31-'Fev26'!N31</f>
        <v>0</v>
      </c>
      <c r="AH31" s="28">
        <f>P31-'Fev26'!P31</f>
        <v>0</v>
      </c>
      <c r="AI31" s="28">
        <f>R31-'Fev26'!R31</f>
        <v>0</v>
      </c>
      <c r="AK31" s="10">
        <f>I31-'Fev26'!I31</f>
        <v>0</v>
      </c>
      <c r="AL31" s="76" t="e">
        <f>I31/'Fev26'!I31-1</f>
        <v>#DIV/0!</v>
      </c>
    </row>
    <row r="32" spans="2:39" collapsed="1" x14ac:dyDescent="0.25">
      <c r="F32" s="7">
        <f t="shared" si="3"/>
        <v>1</v>
      </c>
      <c r="H32" s="3" t="s">
        <v>42</v>
      </c>
      <c r="I32" s="84">
        <v>323176836</v>
      </c>
      <c r="J32" s="77">
        <v>7.0000000000000007E-2</v>
      </c>
      <c r="K32" s="78">
        <f t="shared" si="10"/>
        <v>22622378.520000003</v>
      </c>
      <c r="L32" s="77">
        <v>0.11</v>
      </c>
      <c r="M32" s="78">
        <f t="shared" si="11"/>
        <v>35549451.960000001</v>
      </c>
      <c r="N32" s="77">
        <v>0.5</v>
      </c>
      <c r="O32" s="78">
        <f t="shared" si="12"/>
        <v>161588418</v>
      </c>
      <c r="P32" s="77">
        <v>0.08</v>
      </c>
      <c r="Q32" s="78">
        <f t="shared" si="13"/>
        <v>25854146.879999999</v>
      </c>
      <c r="R32" s="77">
        <v>0.18</v>
      </c>
      <c r="S32" s="78">
        <f t="shared" si="14"/>
        <v>58171830.479999997</v>
      </c>
      <c r="T32" s="77">
        <v>0.06</v>
      </c>
      <c r="U32" s="78">
        <f t="shared" si="15"/>
        <v>19390610.16</v>
      </c>
      <c r="Y32" s="12">
        <f>K32-'Fev26'!K32</f>
        <v>-1162296.4800000004</v>
      </c>
      <c r="Z32" s="12">
        <f>M32-'Fev26'!M32</f>
        <v>-920383.03999999911</v>
      </c>
      <c r="AA32" s="12">
        <f>O32-'Fev26'!O32</f>
        <v>3023918</v>
      </c>
      <c r="AB32" s="12">
        <f>Q32-'Fev26'!Q32</f>
        <v>-1101818.1199999973</v>
      </c>
      <c r="AC32" s="12">
        <f>+S32-'Fev26'!S32</f>
        <v>1088610.4799999967</v>
      </c>
      <c r="AE32" s="28">
        <f>J32-'Fev26'!J32</f>
        <v>-5.0000000000000044E-3</v>
      </c>
      <c r="AF32" s="28">
        <f>L32-'Fev26'!L32</f>
        <v>-4.9999999999999906E-3</v>
      </c>
      <c r="AG32" s="28">
        <f>N32-'Fev26'!N32</f>
        <v>0</v>
      </c>
      <c r="AH32" s="28">
        <f>P32-'Fev26'!P32</f>
        <v>-4.9999999999999906E-3</v>
      </c>
      <c r="AI32" s="28">
        <f>R32-'Fev26'!R32</f>
        <v>0</v>
      </c>
      <c r="AK32" s="10">
        <f>I32-'Fev26'!I32</f>
        <v>6047836</v>
      </c>
      <c r="AL32" s="76">
        <f>I32/'Fev26'!I32-1</f>
        <v>1.907058641751469E-2</v>
      </c>
    </row>
    <row r="33" spans="5:38" x14ac:dyDescent="0.25">
      <c r="F33" s="7">
        <f t="shared" si="3"/>
        <v>1</v>
      </c>
      <c r="H33" s="3" t="s">
        <v>69</v>
      </c>
      <c r="I33" s="84">
        <v>451832856</v>
      </c>
      <c r="J33" s="77">
        <v>0.21</v>
      </c>
      <c r="K33" s="78">
        <f t="shared" si="10"/>
        <v>94884899.75999999</v>
      </c>
      <c r="L33" s="77">
        <v>0.21</v>
      </c>
      <c r="M33" s="78">
        <f t="shared" si="11"/>
        <v>94884899.75999999</v>
      </c>
      <c r="N33" s="77">
        <v>0.4</v>
      </c>
      <c r="O33" s="78">
        <f t="shared" si="12"/>
        <v>180733142.40000001</v>
      </c>
      <c r="P33" s="77">
        <v>0.18</v>
      </c>
      <c r="Q33" s="78">
        <f t="shared" si="13"/>
        <v>81329914.079999998</v>
      </c>
      <c r="R33" s="77">
        <v>0</v>
      </c>
      <c r="S33" s="78">
        <f t="shared" si="14"/>
        <v>0</v>
      </c>
      <c r="T33" s="77">
        <v>0</v>
      </c>
      <c r="U33" s="78">
        <f t="shared" si="15"/>
        <v>0</v>
      </c>
      <c r="Y33" s="12">
        <f>K33-'Fev26'!K33</f>
        <v>8208039.7599999905</v>
      </c>
      <c r="Z33" s="12">
        <f>M33-'Fev26'!M33</f>
        <v>3646099.7599999905</v>
      </c>
      <c r="AA33" s="12">
        <f>O33-'Fev26'!O33</f>
        <v>-13149307.600000024</v>
      </c>
      <c r="AB33" s="12">
        <f>Q33-'Fev26'!Q33</f>
        <v>-785005.92000000179</v>
      </c>
      <c r="AC33" s="12">
        <f>+S33-'Fev26'!S33</f>
        <v>0</v>
      </c>
      <c r="AE33" s="28">
        <f>J33-'Fev26'!J33</f>
        <v>1.999999999999999E-2</v>
      </c>
      <c r="AF33" s="28">
        <f>L33-'Fev26'!L33</f>
        <v>9.9999999999999811E-3</v>
      </c>
      <c r="AG33" s="28">
        <f>N33-'Fev26'!N33</f>
        <v>-2.5000000000000022E-2</v>
      </c>
      <c r="AH33" s="28">
        <f>P33-'Fev26'!P33</f>
        <v>0</v>
      </c>
      <c r="AI33" s="28">
        <f>R33-'Fev26'!R33</f>
        <v>0</v>
      </c>
      <c r="AK33" s="10">
        <f>I33-'Fev26'!I33</f>
        <v>-4361144</v>
      </c>
      <c r="AL33" s="76">
        <f>I33/'Fev26'!I33-1</f>
        <v>-9.5598451535969797E-3</v>
      </c>
    </row>
    <row r="34" spans="5:38" x14ac:dyDescent="0.25">
      <c r="F34" s="7">
        <f t="shared" si="3"/>
        <v>1</v>
      </c>
      <c r="H34" s="3" t="s">
        <v>44</v>
      </c>
      <c r="I34" s="84">
        <v>78100000</v>
      </c>
      <c r="J34" s="77">
        <v>0.04</v>
      </c>
      <c r="K34" s="78">
        <f t="shared" si="10"/>
        <v>3124000</v>
      </c>
      <c r="L34" s="77">
        <v>0.26</v>
      </c>
      <c r="M34" s="78">
        <f t="shared" si="11"/>
        <v>20306000</v>
      </c>
      <c r="N34" s="77">
        <v>0.48</v>
      </c>
      <c r="O34" s="78">
        <f t="shared" si="12"/>
        <v>37488000</v>
      </c>
      <c r="P34" s="77">
        <v>0.04</v>
      </c>
      <c r="Q34" s="78">
        <f t="shared" si="13"/>
        <v>3124000</v>
      </c>
      <c r="R34" s="77">
        <v>0.18</v>
      </c>
      <c r="S34" s="78">
        <f t="shared" si="14"/>
        <v>14058000</v>
      </c>
      <c r="T34" s="77">
        <v>0</v>
      </c>
      <c r="U34" s="78">
        <f t="shared" si="15"/>
        <v>0</v>
      </c>
      <c r="Y34" s="12">
        <f>K34-'Fev26'!K34</f>
        <v>63640</v>
      </c>
      <c r="Z34" s="12">
        <f>M34-'Fev26'!M34</f>
        <v>796205</v>
      </c>
      <c r="AA34" s="12">
        <f>O34-'Fev26'!O34</f>
        <v>-1531590</v>
      </c>
      <c r="AB34" s="12">
        <f>Q34-'Fev26'!Q34</f>
        <v>828730</v>
      </c>
      <c r="AC34" s="12">
        <f>+S34-'Fev26'!S34</f>
        <v>1434015.0000000019</v>
      </c>
      <c r="AE34" s="28">
        <f>J34-'Fev26'!J34</f>
        <v>0</v>
      </c>
      <c r="AF34" s="28">
        <f>L34-'Fev26'!L34</f>
        <v>5.0000000000000044E-3</v>
      </c>
      <c r="AG34" s="28">
        <f>N34-'Fev26'!N34</f>
        <v>-3.0000000000000027E-2</v>
      </c>
      <c r="AH34" s="28">
        <f>P34-'Fev26'!P34</f>
        <v>1.0000000000000002E-2</v>
      </c>
      <c r="AI34" s="28">
        <f>R34-'Fev26'!R34</f>
        <v>1.5000000000000013E-2</v>
      </c>
      <c r="AK34" s="10">
        <f>I34-'Fev26'!I34</f>
        <v>1591000</v>
      </c>
      <c r="AL34" s="76">
        <f>I34/'Fev26'!I34-1</f>
        <v>2.0794939157484649E-2</v>
      </c>
    </row>
    <row r="35" spans="5:38" x14ac:dyDescent="0.25">
      <c r="F35" s="7">
        <f t="shared" si="3"/>
        <v>1</v>
      </c>
      <c r="H35" s="3" t="s">
        <v>66</v>
      </c>
      <c r="I35" s="84">
        <v>305268000</v>
      </c>
      <c r="J35" s="77">
        <v>5.6666666666666671E-2</v>
      </c>
      <c r="K35" s="78">
        <v>17298520</v>
      </c>
      <c r="L35" s="77">
        <v>9.9999999999999967E-3</v>
      </c>
      <c r="M35" s="78">
        <v>3052679.9999999991</v>
      </c>
      <c r="N35" s="77">
        <v>0.42666666666666664</v>
      </c>
      <c r="O35" s="78">
        <v>130247679.99999999</v>
      </c>
      <c r="P35" s="77">
        <v>0.42000000000000004</v>
      </c>
      <c r="Q35" s="78">
        <v>128212560.00000001</v>
      </c>
      <c r="R35" s="77">
        <v>8.666666666666667E-2</v>
      </c>
      <c r="S35" s="78">
        <v>26456560</v>
      </c>
      <c r="T35" s="77">
        <v>0</v>
      </c>
      <c r="U35" s="78">
        <f t="shared" si="15"/>
        <v>0</v>
      </c>
      <c r="Y35" s="12">
        <f>K35-'Fev26'!K35</f>
        <v>-8327173.3333333358</v>
      </c>
      <c r="Z35" s="12">
        <f>M35-'Fev26'!M35</f>
        <v>-2438540</v>
      </c>
      <c r="AA35" s="12">
        <f>O35-'Fev26'!O35</f>
        <v>288806.66666665673</v>
      </c>
      <c r="AB35" s="12">
        <f>Q35-'Fev26'!Q35</f>
        <v>48589870</v>
      </c>
      <c r="AC35" s="12">
        <f>+S35-'Fev26'!S35</f>
        <v>-7405963.3333333358</v>
      </c>
      <c r="AE35" s="28">
        <f>J35-'Fev26'!J35</f>
        <v>-3.6666666666666667E-2</v>
      </c>
      <c r="AF35" s="28">
        <f>L35-'Fev26'!L35</f>
        <v>-0.01</v>
      </c>
      <c r="AG35" s="28">
        <f>N35-'Fev26'!N35</f>
        <v>-4.666666666666669E-2</v>
      </c>
      <c r="AH35" s="28">
        <f>P35-'Fev26'!P35</f>
        <v>0.13</v>
      </c>
      <c r="AI35" s="28">
        <f>R35-'Fev26'!R35</f>
        <v>-3.6666666666666667E-2</v>
      </c>
      <c r="AK35" s="10">
        <f>I35-'Fev26'!I35</f>
        <v>30707000</v>
      </c>
      <c r="AL35" s="76">
        <f>I35/'Fev26'!I35-1</f>
        <v>0.11184035605930931</v>
      </c>
    </row>
    <row r="36" spans="5:38" s="8" customFormat="1" x14ac:dyDescent="0.25">
      <c r="E36"/>
      <c r="F36" s="7">
        <f t="shared" si="3"/>
        <v>1</v>
      </c>
      <c r="G36"/>
      <c r="H36" s="3" t="s">
        <v>45</v>
      </c>
      <c r="I36" s="17">
        <f>SUM(I30:I35)</f>
        <v>1385578956.05</v>
      </c>
      <c r="J36" s="15">
        <f>+K36/$I$36</f>
        <v>0.12894753066509307</v>
      </c>
      <c r="K36" s="17">
        <f>SUM(K30:K35)</f>
        <v>178666984.92416501</v>
      </c>
      <c r="L36" s="15">
        <f>+M36/$I$36</f>
        <v>0.14280678562684496</v>
      </c>
      <c r="M36" s="17">
        <f>SUM(M30:M35)</f>
        <v>197870076.94569999</v>
      </c>
      <c r="N36" s="15">
        <f>+O36/$I$36</f>
        <v>0.43234777268569291</v>
      </c>
      <c r="O36" s="17">
        <f>SUM(O30:O35)</f>
        <v>599051975.52838504</v>
      </c>
      <c r="P36" s="15">
        <f>+Q36/$I$36</f>
        <v>0.19777449515560214</v>
      </c>
      <c r="Q36" s="17">
        <f>SUM(Q30:Q35)</f>
        <v>274032178.53101498</v>
      </c>
      <c r="R36" s="15">
        <f>+S36/$I$36</f>
        <v>8.0095023369494839E-2</v>
      </c>
      <c r="S36" s="17">
        <f>SUM(S30:S35)</f>
        <v>110977978.865105</v>
      </c>
      <c r="T36" s="15">
        <f>+U36/$I$36</f>
        <v>1.8028392497272155E-2</v>
      </c>
      <c r="U36" s="63">
        <f>SUM(U30:U35)</f>
        <v>24979761.255630001</v>
      </c>
      <c r="Y36" s="12">
        <f>K36-'Fev26'!K36</f>
        <v>8697680.8908316791</v>
      </c>
      <c r="Z36" s="12">
        <f>M36-'Fev26'!M36</f>
        <v>-1978667.654300034</v>
      </c>
      <c r="AA36" s="12">
        <f>O36-'Fev26'!O36</f>
        <v>-18005671.104948401</v>
      </c>
      <c r="AB36" s="12">
        <f>Q36-'Fev26'!Q36</f>
        <v>46736591.731014967</v>
      </c>
      <c r="AC36" s="12">
        <f>+S36-'Fev26'!S36</f>
        <v>-6315789.6682283282</v>
      </c>
      <c r="AE36" s="28">
        <f>J36-'Fev26'!J36</f>
        <v>3.4062732875966839E-3</v>
      </c>
      <c r="AF36" s="28">
        <f>L36-'Fev26'!L36</f>
        <v>-4.8037657317567817E-3</v>
      </c>
      <c r="AG36" s="28">
        <f>N36-'Fev26'!N36</f>
        <v>-2.3418009690843344E-2</v>
      </c>
      <c r="AH36" s="28">
        <f>P36-'Fev26'!P36</f>
        <v>2.9891394583326042E-2</v>
      </c>
      <c r="AI36" s="28">
        <f>R36-'Fev26'!R36</f>
        <v>-6.5394855376656458E-3</v>
      </c>
      <c r="AK36" s="92">
        <f>I36-'Fev26'!I36</f>
        <v>31686956.049999952</v>
      </c>
      <c r="AL36" s="76">
        <f>I36/'Fev26'!I36-1</f>
        <v>2.3404345435234175E-2</v>
      </c>
    </row>
    <row r="37" spans="5:38" x14ac:dyDescent="0.25">
      <c r="F37" s="7"/>
    </row>
    <row r="38" spans="5:38" x14ac:dyDescent="0.25">
      <c r="F38" s="7"/>
      <c r="K38"/>
    </row>
    <row r="39" spans="5:38" x14ac:dyDescent="0.25">
      <c r="F39" s="7"/>
      <c r="J39" s="38"/>
    </row>
    <row r="40" spans="5:38" x14ac:dyDescent="0.25">
      <c r="F40" s="7"/>
      <c r="I40" s="30"/>
      <c r="J40" s="35"/>
    </row>
    <row r="41" spans="5:38" x14ac:dyDescent="0.25">
      <c r="F41" s="7"/>
      <c r="I41" s="37"/>
      <c r="J41" s="35"/>
    </row>
    <row r="42" spans="5:38" x14ac:dyDescent="0.25">
      <c r="F42" s="7"/>
      <c r="I42" s="37"/>
      <c r="J42" s="35"/>
    </row>
    <row r="43" spans="5:38" x14ac:dyDescent="0.25">
      <c r="F43" s="7"/>
      <c r="I43" s="37"/>
      <c r="J43" s="35"/>
    </row>
    <row r="44" spans="5:38" x14ac:dyDescent="0.25">
      <c r="F44" s="7"/>
      <c r="I44" s="37"/>
      <c r="J44" s="35"/>
    </row>
    <row r="45" spans="5:38" x14ac:dyDescent="0.25">
      <c r="F45" s="7"/>
      <c r="I45" s="37"/>
      <c r="J45" s="35"/>
      <c r="K45" s="37"/>
    </row>
    <row r="46" spans="5:38" x14ac:dyDescent="0.25">
      <c r="F46" s="7"/>
      <c r="I46" s="37"/>
      <c r="J46" s="35"/>
    </row>
    <row r="47" spans="5:38" x14ac:dyDescent="0.25">
      <c r="F47" s="7"/>
      <c r="I47" s="37"/>
      <c r="J47" s="35"/>
    </row>
    <row r="48" spans="5:38" x14ac:dyDescent="0.25">
      <c r="F48" s="7"/>
      <c r="I48" s="37"/>
      <c r="J48" s="35"/>
    </row>
    <row r="49" spans="9:10" x14ac:dyDescent="0.25">
      <c r="I49" s="37"/>
      <c r="J49" s="35"/>
    </row>
    <row r="50" spans="9:10" x14ac:dyDescent="0.25">
      <c r="I50" s="37"/>
      <c r="J50" s="35"/>
    </row>
    <row r="51" spans="9:10" x14ac:dyDescent="0.25">
      <c r="I51" s="37"/>
      <c r="J51" s="35"/>
    </row>
    <row r="52" spans="9:10" x14ac:dyDescent="0.25">
      <c r="I52" s="37"/>
      <c r="J52" s="35"/>
    </row>
    <row r="53" spans="9:10" x14ac:dyDescent="0.25">
      <c r="I53" s="37"/>
      <c r="J53" s="35"/>
    </row>
    <row r="54" spans="9:10" x14ac:dyDescent="0.25">
      <c r="I54" s="37"/>
      <c r="J54" s="35"/>
    </row>
    <row r="55" spans="9:10" x14ac:dyDescent="0.25">
      <c r="I55" s="37"/>
      <c r="J55" s="35"/>
    </row>
    <row r="56" spans="9:10" x14ac:dyDescent="0.25">
      <c r="I56" s="37"/>
      <c r="J56" s="35"/>
    </row>
    <row r="57" spans="9:10" x14ac:dyDescent="0.25">
      <c r="I57" s="37"/>
      <c r="J57" s="35"/>
    </row>
    <row r="58" spans="9:10" x14ac:dyDescent="0.25">
      <c r="I58" s="37"/>
      <c r="J58" s="35"/>
    </row>
    <row r="59" spans="9:10" x14ac:dyDescent="0.25">
      <c r="I59" s="37"/>
      <c r="J59" s="35"/>
    </row>
    <row r="60" spans="9:10" x14ac:dyDescent="0.25">
      <c r="I60" s="37"/>
      <c r="J60" s="35"/>
    </row>
    <row r="61" spans="9:10" x14ac:dyDescent="0.25">
      <c r="I61" s="37"/>
      <c r="J61" s="35"/>
    </row>
    <row r="62" spans="9:10" x14ac:dyDescent="0.25">
      <c r="I62" s="37"/>
      <c r="J62" s="35"/>
    </row>
    <row r="63" spans="9:10" x14ac:dyDescent="0.25">
      <c r="I63" s="37"/>
      <c r="J63" s="35"/>
    </row>
    <row r="64" spans="9:10" x14ac:dyDescent="0.25">
      <c r="I64" s="37"/>
      <c r="J64" s="35"/>
    </row>
    <row r="65" spans="9:10" x14ac:dyDescent="0.25">
      <c r="I65" s="37"/>
      <c r="J65" s="35"/>
    </row>
    <row r="66" spans="9:10" x14ac:dyDescent="0.25">
      <c r="I66" s="37"/>
      <c r="J66" s="35"/>
    </row>
    <row r="67" spans="9:10" x14ac:dyDescent="0.25">
      <c r="I67" s="37"/>
      <c r="J67" s="35"/>
    </row>
    <row r="68" spans="9:10" x14ac:dyDescent="0.25">
      <c r="I68" s="37"/>
      <c r="J68" s="35"/>
    </row>
    <row r="69" spans="9:10" x14ac:dyDescent="0.25">
      <c r="I69" s="37"/>
      <c r="J69" s="35"/>
    </row>
    <row r="70" spans="9:10" x14ac:dyDescent="0.25">
      <c r="I70" s="37"/>
      <c r="J70" s="35"/>
    </row>
    <row r="71" spans="9:10" x14ac:dyDescent="0.25">
      <c r="I71" s="37"/>
      <c r="J71" s="35"/>
    </row>
    <row r="72" spans="9:10" x14ac:dyDescent="0.25">
      <c r="I72" s="37"/>
      <c r="J72" s="35"/>
    </row>
    <row r="73" spans="9:10" x14ac:dyDescent="0.25">
      <c r="I73" s="37"/>
      <c r="J73" s="35"/>
    </row>
    <row r="74" spans="9:10" x14ac:dyDescent="0.25">
      <c r="I74" s="37"/>
      <c r="J74" s="35"/>
    </row>
    <row r="75" spans="9:10" x14ac:dyDescent="0.25">
      <c r="I75" s="37"/>
      <c r="J75" s="35"/>
    </row>
    <row r="76" spans="9:10" x14ac:dyDescent="0.25">
      <c r="I76" s="37"/>
      <c r="J76" s="35"/>
    </row>
    <row r="77" spans="9:10" x14ac:dyDescent="0.25">
      <c r="I77" s="37"/>
      <c r="J77" s="35"/>
    </row>
    <row r="78" spans="9:10" x14ac:dyDescent="0.25">
      <c r="I78" s="37"/>
      <c r="J78" s="35"/>
    </row>
    <row r="79" spans="9:10" x14ac:dyDescent="0.25">
      <c r="I79" s="37"/>
      <c r="J79" s="35"/>
    </row>
    <row r="80" spans="9:10" x14ac:dyDescent="0.25">
      <c r="I80" s="37"/>
      <c r="J80" s="35"/>
    </row>
    <row r="81" spans="9:10" x14ac:dyDescent="0.25">
      <c r="I81" s="37"/>
      <c r="J81" s="35"/>
    </row>
    <row r="82" spans="9:10" x14ac:dyDescent="0.25">
      <c r="I82" s="37"/>
      <c r="J82" s="35"/>
    </row>
    <row r="83" spans="9:10" x14ac:dyDescent="0.25">
      <c r="I83" s="37"/>
      <c r="J83" s="35"/>
    </row>
    <row r="84" spans="9:10" x14ac:dyDescent="0.25">
      <c r="I84" s="37"/>
      <c r="J84" s="35"/>
    </row>
    <row r="85" spans="9:10" x14ac:dyDescent="0.25">
      <c r="I85" s="37"/>
      <c r="J85" s="35"/>
    </row>
    <row r="86" spans="9:10" x14ac:dyDescent="0.25">
      <c r="I86" s="37"/>
      <c r="J86" s="35"/>
    </row>
    <row r="87" spans="9:10" x14ac:dyDescent="0.25">
      <c r="I87" s="37"/>
      <c r="J87" s="35"/>
    </row>
    <row r="88" spans="9:10" x14ac:dyDescent="0.25">
      <c r="I88" s="37"/>
      <c r="J88" s="35"/>
    </row>
    <row r="89" spans="9:10" x14ac:dyDescent="0.25">
      <c r="I89" s="37"/>
      <c r="J89" s="35"/>
    </row>
    <row r="90" spans="9:10" x14ac:dyDescent="0.25">
      <c r="I90" s="37"/>
      <c r="J90" s="35"/>
    </row>
    <row r="91" spans="9:10" x14ac:dyDescent="0.25">
      <c r="I91" s="37"/>
      <c r="J91" s="35"/>
    </row>
    <row r="92" spans="9:10" x14ac:dyDescent="0.25">
      <c r="I92" s="37"/>
      <c r="J92" s="35"/>
    </row>
    <row r="93" spans="9:10" x14ac:dyDescent="0.25">
      <c r="I93" s="37"/>
      <c r="J93" s="35"/>
    </row>
    <row r="94" spans="9:10" x14ac:dyDescent="0.25">
      <c r="I94" s="37"/>
      <c r="J94" s="35"/>
    </row>
    <row r="95" spans="9:10" x14ac:dyDescent="0.25">
      <c r="I95" s="37"/>
      <c r="J95" s="35"/>
    </row>
    <row r="96" spans="9:10" x14ac:dyDescent="0.25">
      <c r="I96" s="37"/>
      <c r="J96" s="35"/>
    </row>
    <row r="97" spans="9:10" x14ac:dyDescent="0.25">
      <c r="I97" s="37"/>
      <c r="J97" s="35"/>
    </row>
    <row r="98" spans="9:10" x14ac:dyDescent="0.25">
      <c r="I98" s="37"/>
      <c r="J98" s="35"/>
    </row>
    <row r="99" spans="9:10" x14ac:dyDescent="0.25">
      <c r="I99" s="37"/>
      <c r="J99" s="35"/>
    </row>
    <row r="100" spans="9:10" x14ac:dyDescent="0.25">
      <c r="I100" s="37"/>
      <c r="J100" s="35"/>
    </row>
    <row r="101" spans="9:10" x14ac:dyDescent="0.25">
      <c r="I101" s="37"/>
      <c r="J101" s="35"/>
    </row>
    <row r="102" spans="9:10" x14ac:dyDescent="0.25">
      <c r="I102" s="37"/>
      <c r="J102" s="35"/>
    </row>
    <row r="103" spans="9:10" x14ac:dyDescent="0.25">
      <c r="I103" s="37"/>
      <c r="J103" s="35"/>
    </row>
    <row r="104" spans="9:10" x14ac:dyDescent="0.25">
      <c r="I104" s="37"/>
      <c r="J104" s="35"/>
    </row>
    <row r="105" spans="9:10" x14ac:dyDescent="0.25">
      <c r="I105" s="37"/>
      <c r="J105" s="35"/>
    </row>
    <row r="106" spans="9:10" x14ac:dyDescent="0.25">
      <c r="I106" s="37"/>
      <c r="J106" s="35"/>
    </row>
    <row r="107" spans="9:10" x14ac:dyDescent="0.25">
      <c r="I107" s="37"/>
      <c r="J107" s="35"/>
    </row>
    <row r="108" spans="9:10" x14ac:dyDescent="0.25">
      <c r="I108" s="37"/>
      <c r="J108" s="35"/>
    </row>
    <row r="109" spans="9:10" x14ac:dyDescent="0.25">
      <c r="I109" s="37"/>
      <c r="J109" s="35"/>
    </row>
    <row r="110" spans="9:10" x14ac:dyDescent="0.25">
      <c r="I110" s="37"/>
      <c r="J110" s="35"/>
    </row>
    <row r="111" spans="9:10" x14ac:dyDescent="0.25">
      <c r="I111" s="37"/>
      <c r="J111" s="35"/>
    </row>
    <row r="112" spans="9:10" x14ac:dyDescent="0.25">
      <c r="I112" s="37"/>
      <c r="J112" s="35"/>
    </row>
    <row r="113" spans="9:10" x14ac:dyDescent="0.25">
      <c r="I113" s="37"/>
      <c r="J113" s="35"/>
    </row>
    <row r="114" spans="9:10" x14ac:dyDescent="0.25">
      <c r="I114" s="37"/>
      <c r="J114" s="35"/>
    </row>
    <row r="115" spans="9:10" x14ac:dyDescent="0.25">
      <c r="I115" s="37"/>
      <c r="J115" s="35"/>
    </row>
    <row r="116" spans="9:10" x14ac:dyDescent="0.25">
      <c r="I116" s="37"/>
      <c r="J116" s="35"/>
    </row>
    <row r="117" spans="9:10" x14ac:dyDescent="0.25">
      <c r="I117" s="37"/>
      <c r="J117" s="35"/>
    </row>
    <row r="118" spans="9:10" x14ac:dyDescent="0.25">
      <c r="I118" s="37"/>
      <c r="J118" s="35"/>
    </row>
    <row r="119" spans="9:10" x14ac:dyDescent="0.25">
      <c r="I119" s="37"/>
      <c r="J119" s="35"/>
    </row>
    <row r="120" spans="9:10" x14ac:dyDescent="0.25">
      <c r="I120" s="37"/>
      <c r="J120" s="35"/>
    </row>
    <row r="121" spans="9:10" x14ac:dyDescent="0.25">
      <c r="I121" s="37"/>
      <c r="J121" s="35"/>
    </row>
    <row r="122" spans="9:10" x14ac:dyDescent="0.25">
      <c r="I122" s="37"/>
      <c r="J122" s="35"/>
    </row>
    <row r="123" spans="9:10" x14ac:dyDescent="0.25">
      <c r="I123" s="37"/>
      <c r="J123" s="35"/>
    </row>
    <row r="124" spans="9:10" x14ac:dyDescent="0.25">
      <c r="I124" s="37"/>
      <c r="J124" s="35"/>
    </row>
    <row r="125" spans="9:10" x14ac:dyDescent="0.25">
      <c r="I125" s="37"/>
      <c r="J125" s="35"/>
    </row>
    <row r="126" spans="9:10" x14ac:dyDescent="0.25">
      <c r="I126" s="37"/>
      <c r="J126" s="35"/>
    </row>
    <row r="127" spans="9:10" x14ac:dyDescent="0.25">
      <c r="I127" s="37"/>
      <c r="J127" s="35"/>
    </row>
    <row r="128" spans="9:10" x14ac:dyDescent="0.25">
      <c r="I128" s="37"/>
      <c r="J128" s="35"/>
    </row>
    <row r="129" spans="9:10" x14ac:dyDescent="0.25">
      <c r="I129" s="37"/>
      <c r="J129" s="35"/>
    </row>
    <row r="130" spans="9:10" x14ac:dyDescent="0.25">
      <c r="I130" s="37"/>
      <c r="J130" s="35"/>
    </row>
    <row r="131" spans="9:10" x14ac:dyDescent="0.25">
      <c r="I131" s="37"/>
      <c r="J131" s="35"/>
    </row>
    <row r="132" spans="9:10" x14ac:dyDescent="0.25">
      <c r="I132" s="37"/>
      <c r="J132" s="35"/>
    </row>
    <row r="133" spans="9:10" x14ac:dyDescent="0.25">
      <c r="I133" s="37"/>
      <c r="J133" s="35"/>
    </row>
    <row r="134" spans="9:10" x14ac:dyDescent="0.25">
      <c r="I134" s="37"/>
      <c r="J134" s="35"/>
    </row>
    <row r="135" spans="9:10" x14ac:dyDescent="0.25">
      <c r="I135" s="37"/>
      <c r="J135" s="35"/>
    </row>
    <row r="136" spans="9:10" x14ac:dyDescent="0.25">
      <c r="I136" s="37"/>
      <c r="J136" s="35"/>
    </row>
    <row r="137" spans="9:10" x14ac:dyDescent="0.25">
      <c r="I137" s="37"/>
      <c r="J137" s="35"/>
    </row>
    <row r="138" spans="9:10" x14ac:dyDescent="0.25">
      <c r="I138" s="37"/>
      <c r="J138" s="35"/>
    </row>
    <row r="139" spans="9:10" x14ac:dyDescent="0.25">
      <c r="I139" s="37"/>
      <c r="J139" s="35"/>
    </row>
    <row r="140" spans="9:10" x14ac:dyDescent="0.25">
      <c r="I140" s="37"/>
      <c r="J140" s="35"/>
    </row>
    <row r="141" spans="9:10" x14ac:dyDescent="0.25">
      <c r="I141" s="37"/>
      <c r="J141" s="35"/>
    </row>
    <row r="142" spans="9:10" x14ac:dyDescent="0.25">
      <c r="I142" s="37"/>
      <c r="J142" s="35"/>
    </row>
    <row r="143" spans="9:10" x14ac:dyDescent="0.25">
      <c r="I143" s="37"/>
      <c r="J143" s="35"/>
    </row>
    <row r="144" spans="9:10" x14ac:dyDescent="0.25">
      <c r="I144" s="37"/>
      <c r="J144" s="35"/>
    </row>
    <row r="145" spans="9:10" x14ac:dyDescent="0.25">
      <c r="I145" s="37"/>
      <c r="J145" s="35"/>
    </row>
    <row r="146" spans="9:10" x14ac:dyDescent="0.25">
      <c r="I146" s="37"/>
      <c r="J146" s="35"/>
    </row>
    <row r="147" spans="9:10" x14ac:dyDescent="0.25">
      <c r="I147" s="37"/>
      <c r="J147" s="35"/>
    </row>
    <row r="148" spans="9:10" x14ac:dyDescent="0.25">
      <c r="I148" s="37"/>
      <c r="J148" s="35"/>
    </row>
    <row r="149" spans="9:10" x14ac:dyDescent="0.25">
      <c r="I149" s="37"/>
      <c r="J149" s="35"/>
    </row>
    <row r="150" spans="9:10" x14ac:dyDescent="0.25">
      <c r="I150" s="37"/>
      <c r="J150" s="35"/>
    </row>
    <row r="151" spans="9:10" x14ac:dyDescent="0.25">
      <c r="I151" s="37"/>
      <c r="J151" s="35"/>
    </row>
    <row r="152" spans="9:10" x14ac:dyDescent="0.25">
      <c r="I152" s="37"/>
      <c r="J152" s="35"/>
    </row>
    <row r="153" spans="9:10" x14ac:dyDescent="0.25">
      <c r="I153" s="37"/>
      <c r="J153" s="35"/>
    </row>
    <row r="154" spans="9:10" x14ac:dyDescent="0.25">
      <c r="I154" s="37"/>
      <c r="J154" s="35"/>
    </row>
    <row r="155" spans="9:10" x14ac:dyDescent="0.25">
      <c r="I155" s="37"/>
      <c r="J155" s="35"/>
    </row>
    <row r="156" spans="9:10" x14ac:dyDescent="0.25">
      <c r="I156" s="37"/>
      <c r="J156" s="35"/>
    </row>
    <row r="157" spans="9:10" x14ac:dyDescent="0.25">
      <c r="I157" s="37"/>
      <c r="J157" s="35"/>
    </row>
    <row r="158" spans="9:10" x14ac:dyDescent="0.25">
      <c r="I158" s="37"/>
      <c r="J158" s="35"/>
    </row>
    <row r="159" spans="9:10" x14ac:dyDescent="0.25">
      <c r="I159" s="37"/>
      <c r="J159" s="35"/>
    </row>
    <row r="160" spans="9:10" x14ac:dyDescent="0.25">
      <c r="I160" s="37"/>
      <c r="J160" s="35"/>
    </row>
    <row r="161" spans="9:10" x14ac:dyDescent="0.25">
      <c r="I161" s="37"/>
      <c r="J161" s="35"/>
    </row>
    <row r="162" spans="9:10" x14ac:dyDescent="0.25">
      <c r="I162" s="37"/>
      <c r="J162" s="35"/>
    </row>
    <row r="163" spans="9:10" x14ac:dyDescent="0.25">
      <c r="I163" s="37"/>
      <c r="J163" s="35"/>
    </row>
    <row r="164" spans="9:10" x14ac:dyDescent="0.25">
      <c r="I164" s="37"/>
      <c r="J164" s="35"/>
    </row>
    <row r="165" spans="9:10" x14ac:dyDescent="0.25">
      <c r="I165" s="37"/>
      <c r="J165" s="35"/>
    </row>
    <row r="166" spans="9:10" x14ac:dyDescent="0.25">
      <c r="I166" s="37"/>
      <c r="J166" s="35"/>
    </row>
    <row r="167" spans="9:10" x14ac:dyDescent="0.25">
      <c r="I167" s="37"/>
      <c r="J167" s="35"/>
    </row>
    <row r="168" spans="9:10" x14ac:dyDescent="0.25">
      <c r="I168" s="37"/>
      <c r="J168" s="35"/>
    </row>
    <row r="169" spans="9:10" x14ac:dyDescent="0.25">
      <c r="I169" s="37"/>
      <c r="J169" s="35"/>
    </row>
    <row r="170" spans="9:10" x14ac:dyDescent="0.25">
      <c r="I170" s="37"/>
      <c r="J170" s="35"/>
    </row>
    <row r="171" spans="9:10" x14ac:dyDescent="0.25">
      <c r="I171" s="37"/>
      <c r="J171" s="35"/>
    </row>
    <row r="172" spans="9:10" x14ac:dyDescent="0.25">
      <c r="I172" s="37"/>
      <c r="J172" s="35"/>
    </row>
    <row r="173" spans="9:10" x14ac:dyDescent="0.25">
      <c r="I173" s="37"/>
      <c r="J173" s="35"/>
    </row>
    <row r="174" spans="9:10" x14ac:dyDescent="0.25">
      <c r="I174" s="37"/>
      <c r="J174" s="35"/>
    </row>
    <row r="175" spans="9:10" x14ac:dyDescent="0.25">
      <c r="I175" s="37"/>
      <c r="J175" s="35"/>
    </row>
    <row r="176" spans="9:10" x14ac:dyDescent="0.25">
      <c r="I176" s="37"/>
      <c r="J176" s="35"/>
    </row>
    <row r="177" spans="9:10" x14ac:dyDescent="0.25">
      <c r="I177" s="37"/>
      <c r="J177" s="35"/>
    </row>
    <row r="178" spans="9:10" x14ac:dyDescent="0.25">
      <c r="I178" s="37"/>
      <c r="J178" s="35"/>
    </row>
    <row r="179" spans="9:10" x14ac:dyDescent="0.25">
      <c r="I179" s="37"/>
      <c r="J179" s="35"/>
    </row>
    <row r="180" spans="9:10" x14ac:dyDescent="0.25">
      <c r="I180" s="37"/>
      <c r="J180" s="35"/>
    </row>
    <row r="181" spans="9:10" x14ac:dyDescent="0.25">
      <c r="I181" s="37"/>
      <c r="J181" s="35"/>
    </row>
    <row r="182" spans="9:10" x14ac:dyDescent="0.25">
      <c r="I182" s="37"/>
      <c r="J182" s="35"/>
    </row>
    <row r="183" spans="9:10" x14ac:dyDescent="0.25">
      <c r="I183" s="37"/>
      <c r="J183" s="35"/>
    </row>
    <row r="184" spans="9:10" x14ac:dyDescent="0.25">
      <c r="I184" s="37"/>
      <c r="J184" s="35"/>
    </row>
    <row r="185" spans="9:10" x14ac:dyDescent="0.25">
      <c r="I185" s="37"/>
      <c r="J185" s="35"/>
    </row>
    <row r="186" spans="9:10" x14ac:dyDescent="0.25">
      <c r="I186" s="37"/>
      <c r="J186" s="35"/>
    </row>
    <row r="187" spans="9:10" x14ac:dyDescent="0.25">
      <c r="I187" s="37"/>
      <c r="J187" s="35"/>
    </row>
    <row r="188" spans="9:10" x14ac:dyDescent="0.25">
      <c r="I188" s="37"/>
      <c r="J188" s="35"/>
    </row>
    <row r="189" spans="9:10" x14ac:dyDescent="0.25">
      <c r="I189" s="37"/>
      <c r="J189" s="35"/>
    </row>
    <row r="190" spans="9:10" x14ac:dyDescent="0.25">
      <c r="I190" s="37"/>
      <c r="J190" s="35"/>
    </row>
    <row r="191" spans="9:10" x14ac:dyDescent="0.25">
      <c r="I191" s="37"/>
      <c r="J191" s="35"/>
    </row>
    <row r="192" spans="9:10" x14ac:dyDescent="0.25">
      <c r="I192" s="37"/>
      <c r="J192" s="35"/>
    </row>
    <row r="193" spans="9:10" x14ac:dyDescent="0.25">
      <c r="I193" s="37"/>
      <c r="J193" s="35"/>
    </row>
    <row r="194" spans="9:10" x14ac:dyDescent="0.25">
      <c r="I194" s="37"/>
      <c r="J194" s="35"/>
    </row>
    <row r="195" spans="9:10" x14ac:dyDescent="0.25">
      <c r="I195" s="37"/>
      <c r="J195" s="35"/>
    </row>
    <row r="196" spans="9:10" x14ac:dyDescent="0.25">
      <c r="I196" s="37"/>
      <c r="J196" s="35"/>
    </row>
    <row r="197" spans="9:10" x14ac:dyDescent="0.25">
      <c r="I197" s="37"/>
      <c r="J197" s="35"/>
    </row>
    <row r="198" spans="9:10" x14ac:dyDescent="0.25">
      <c r="I198" s="37"/>
      <c r="J198" s="35"/>
    </row>
    <row r="199" spans="9:10" x14ac:dyDescent="0.25">
      <c r="I199" s="37"/>
      <c r="J199" s="35"/>
    </row>
    <row r="200" spans="9:10" x14ac:dyDescent="0.25">
      <c r="I200" s="37"/>
      <c r="J200" s="35"/>
    </row>
    <row r="201" spans="9:10" x14ac:dyDescent="0.25">
      <c r="I201" s="37"/>
      <c r="J201" s="35"/>
    </row>
    <row r="202" spans="9:10" x14ac:dyDescent="0.25">
      <c r="I202" s="37"/>
      <c r="J202" s="35"/>
    </row>
    <row r="203" spans="9:10" x14ac:dyDescent="0.25">
      <c r="I203" s="37"/>
      <c r="J203" s="35"/>
    </row>
    <row r="204" spans="9:10" x14ac:dyDescent="0.25">
      <c r="I204" s="37"/>
      <c r="J204" s="35"/>
    </row>
    <row r="205" spans="9:10" x14ac:dyDescent="0.25">
      <c r="I205" s="37"/>
      <c r="J205" s="35"/>
    </row>
    <row r="206" spans="9:10" x14ac:dyDescent="0.25">
      <c r="I206" s="37"/>
      <c r="J206" s="35"/>
    </row>
    <row r="207" spans="9:10" x14ac:dyDescent="0.25">
      <c r="I207" s="37"/>
      <c r="J207" s="35"/>
    </row>
    <row r="208" spans="9:10" x14ac:dyDescent="0.25">
      <c r="I208" s="37"/>
      <c r="J208" s="35"/>
    </row>
    <row r="209" spans="9:10" x14ac:dyDescent="0.25">
      <c r="I209" s="37"/>
      <c r="J209" s="35"/>
    </row>
    <row r="210" spans="9:10" x14ac:dyDescent="0.25">
      <c r="I210" s="37"/>
      <c r="J210" s="35"/>
    </row>
    <row r="211" spans="9:10" x14ac:dyDescent="0.25">
      <c r="I211" s="37"/>
      <c r="J211" s="35"/>
    </row>
    <row r="212" spans="9:10" x14ac:dyDescent="0.25">
      <c r="I212" s="37"/>
      <c r="J212" s="35"/>
    </row>
    <row r="213" spans="9:10" x14ac:dyDescent="0.25">
      <c r="I213" s="37"/>
      <c r="J213" s="35"/>
    </row>
    <row r="214" spans="9:10" x14ac:dyDescent="0.25">
      <c r="I214" s="37"/>
      <c r="J214" s="35"/>
    </row>
    <row r="215" spans="9:10" x14ac:dyDescent="0.25">
      <c r="I215" s="37"/>
      <c r="J215" s="35"/>
    </row>
    <row r="216" spans="9:10" x14ac:dyDescent="0.25">
      <c r="I216" s="37"/>
      <c r="J216" s="35"/>
    </row>
    <row r="217" spans="9:10" x14ac:dyDescent="0.25">
      <c r="I217" s="37"/>
      <c r="J217" s="35"/>
    </row>
    <row r="218" spans="9:10" x14ac:dyDescent="0.25">
      <c r="I218" s="37"/>
      <c r="J218" s="35"/>
    </row>
    <row r="219" spans="9:10" x14ac:dyDescent="0.25">
      <c r="I219" s="37"/>
      <c r="J219" s="35"/>
    </row>
    <row r="220" spans="9:10" x14ac:dyDescent="0.25">
      <c r="I220" s="37"/>
      <c r="J220" s="35"/>
    </row>
    <row r="221" spans="9:10" x14ac:dyDescent="0.25">
      <c r="I221" s="37"/>
      <c r="J221" s="35"/>
    </row>
    <row r="222" spans="9:10" x14ac:dyDescent="0.25">
      <c r="I222" s="37"/>
      <c r="J222" s="35"/>
    </row>
    <row r="223" spans="9:10" x14ac:dyDescent="0.25">
      <c r="I223" s="37"/>
      <c r="J223" s="35"/>
    </row>
    <row r="224" spans="9:10" x14ac:dyDescent="0.25">
      <c r="I224" s="37"/>
      <c r="J224" s="35"/>
    </row>
    <row r="225" spans="9:10" x14ac:dyDescent="0.25">
      <c r="I225" s="37"/>
      <c r="J225" s="35"/>
    </row>
    <row r="226" spans="9:10" x14ac:dyDescent="0.25">
      <c r="I226" s="37"/>
      <c r="J226" s="35"/>
    </row>
    <row r="227" spans="9:10" x14ac:dyDescent="0.25">
      <c r="I227" s="37"/>
      <c r="J227" s="35"/>
    </row>
    <row r="228" spans="9:10" x14ac:dyDescent="0.25">
      <c r="I228" s="37"/>
      <c r="J228" s="35"/>
    </row>
    <row r="229" spans="9:10" x14ac:dyDescent="0.25">
      <c r="I229" s="37"/>
      <c r="J229" s="35"/>
    </row>
    <row r="230" spans="9:10" x14ac:dyDescent="0.25">
      <c r="I230" s="37"/>
      <c r="J230" s="35"/>
    </row>
    <row r="231" spans="9:10" x14ac:dyDescent="0.25">
      <c r="I231" s="37"/>
      <c r="J231" s="35"/>
    </row>
    <row r="232" spans="9:10" x14ac:dyDescent="0.25">
      <c r="I232" s="37"/>
      <c r="J232" s="35"/>
    </row>
    <row r="233" spans="9:10" x14ac:dyDescent="0.25">
      <c r="I233" s="37"/>
      <c r="J233" s="35"/>
    </row>
    <row r="234" spans="9:10" x14ac:dyDescent="0.25">
      <c r="I234" s="37"/>
      <c r="J234" s="35"/>
    </row>
    <row r="235" spans="9:10" x14ac:dyDescent="0.25">
      <c r="I235" s="37"/>
      <c r="J235" s="35"/>
    </row>
    <row r="236" spans="9:10" x14ac:dyDescent="0.25">
      <c r="I236" s="37"/>
      <c r="J236" s="35"/>
    </row>
    <row r="237" spans="9:10" x14ac:dyDescent="0.25">
      <c r="I237" s="37"/>
      <c r="J237" s="35"/>
    </row>
    <row r="238" spans="9:10" x14ac:dyDescent="0.25">
      <c r="I238" s="37"/>
      <c r="J238" s="35"/>
    </row>
    <row r="239" spans="9:10" x14ac:dyDescent="0.25">
      <c r="I239" s="37"/>
      <c r="J239" s="35"/>
    </row>
    <row r="240" spans="9:10" x14ac:dyDescent="0.25">
      <c r="I240" s="37"/>
      <c r="J240" s="35"/>
    </row>
    <row r="241" spans="9:10" x14ac:dyDescent="0.25">
      <c r="I241" s="37"/>
      <c r="J241" s="35"/>
    </row>
    <row r="242" spans="9:10" x14ac:dyDescent="0.25">
      <c r="I242" s="37"/>
      <c r="J242" s="35"/>
    </row>
    <row r="243" spans="9:10" x14ac:dyDescent="0.25">
      <c r="I243" s="37"/>
      <c r="J243" s="35"/>
    </row>
    <row r="244" spans="9:10" x14ac:dyDescent="0.25">
      <c r="I244" s="37"/>
      <c r="J244" s="35"/>
    </row>
    <row r="245" spans="9:10" x14ac:dyDescent="0.25">
      <c r="I245" s="37"/>
      <c r="J245" s="35"/>
    </row>
    <row r="246" spans="9:10" x14ac:dyDescent="0.25">
      <c r="I246" s="37"/>
      <c r="J246" s="35"/>
    </row>
    <row r="247" spans="9:10" x14ac:dyDescent="0.25">
      <c r="I247" s="37"/>
      <c r="J247" s="35"/>
    </row>
    <row r="248" spans="9:10" x14ac:dyDescent="0.25">
      <c r="I248" s="37"/>
      <c r="J248" s="35"/>
    </row>
    <row r="249" spans="9:10" x14ac:dyDescent="0.25">
      <c r="I249" s="37"/>
      <c r="J249" s="35"/>
    </row>
    <row r="250" spans="9:10" x14ac:dyDescent="0.25">
      <c r="I250" s="37"/>
      <c r="J250" s="35"/>
    </row>
    <row r="251" spans="9:10" x14ac:dyDescent="0.25">
      <c r="I251" s="37"/>
      <c r="J251" s="35"/>
    </row>
    <row r="252" spans="9:10" x14ac:dyDescent="0.25">
      <c r="I252" s="37"/>
      <c r="J252" s="35"/>
    </row>
    <row r="253" spans="9:10" x14ac:dyDescent="0.25">
      <c r="I253" s="37"/>
      <c r="J253" s="35"/>
    </row>
    <row r="254" spans="9:10" x14ac:dyDescent="0.25">
      <c r="I254" s="37"/>
      <c r="J254" s="35"/>
    </row>
    <row r="255" spans="9:10" x14ac:dyDescent="0.25">
      <c r="I255" s="37"/>
      <c r="J255" s="35"/>
    </row>
    <row r="256" spans="9:10" x14ac:dyDescent="0.25">
      <c r="I256" s="37"/>
      <c r="J256" s="35"/>
    </row>
    <row r="257" spans="9:10" x14ac:dyDescent="0.25">
      <c r="I257" s="37"/>
      <c r="J257" s="35"/>
    </row>
    <row r="258" spans="9:10" x14ac:dyDescent="0.25">
      <c r="I258" s="37"/>
      <c r="J258" s="35"/>
    </row>
    <row r="259" spans="9:10" x14ac:dyDescent="0.25">
      <c r="I259" s="37"/>
      <c r="J259" s="35"/>
    </row>
    <row r="260" spans="9:10" x14ac:dyDescent="0.25">
      <c r="I260" s="37"/>
      <c r="J260" s="35"/>
    </row>
    <row r="261" spans="9:10" x14ac:dyDescent="0.25">
      <c r="I261" s="37"/>
      <c r="J261" s="35"/>
    </row>
    <row r="262" spans="9:10" x14ac:dyDescent="0.25">
      <c r="I262" s="37"/>
      <c r="J262" s="35"/>
    </row>
    <row r="263" spans="9:10" x14ac:dyDescent="0.25">
      <c r="I263" s="37"/>
      <c r="J263" s="35"/>
    </row>
    <row r="264" spans="9:10" x14ac:dyDescent="0.25">
      <c r="I264" s="37"/>
      <c r="J264" s="35"/>
    </row>
    <row r="265" spans="9:10" x14ac:dyDescent="0.25">
      <c r="I265" s="37"/>
      <c r="J265" s="35"/>
    </row>
    <row r="266" spans="9:10" x14ac:dyDescent="0.25">
      <c r="I266" s="37"/>
      <c r="J266" s="35"/>
    </row>
    <row r="267" spans="9:10" x14ac:dyDescent="0.25">
      <c r="I267" s="37"/>
      <c r="J267" s="35"/>
    </row>
    <row r="268" spans="9:10" x14ac:dyDescent="0.25">
      <c r="I268" s="37"/>
      <c r="J268" s="35"/>
    </row>
    <row r="269" spans="9:10" x14ac:dyDescent="0.25">
      <c r="I269" s="37"/>
      <c r="J269" s="35"/>
    </row>
    <row r="270" spans="9:10" x14ac:dyDescent="0.25">
      <c r="I270" s="37"/>
      <c r="J270" s="35"/>
    </row>
    <row r="271" spans="9:10" x14ac:dyDescent="0.25">
      <c r="I271" s="37"/>
      <c r="J271" s="35"/>
    </row>
    <row r="272" spans="9:10" x14ac:dyDescent="0.25">
      <c r="I272" s="37"/>
      <c r="J272" s="35"/>
    </row>
    <row r="273" spans="9:10" x14ac:dyDescent="0.25">
      <c r="I273" s="37"/>
      <c r="J273" s="35"/>
    </row>
    <row r="274" spans="9:10" x14ac:dyDescent="0.25">
      <c r="I274" s="37"/>
      <c r="J274" s="35"/>
    </row>
    <row r="275" spans="9:10" x14ac:dyDescent="0.25">
      <c r="I275" s="37"/>
      <c r="J275" s="35"/>
    </row>
    <row r="276" spans="9:10" x14ac:dyDescent="0.25">
      <c r="I276" s="37"/>
      <c r="J276" s="35"/>
    </row>
    <row r="277" spans="9:10" x14ac:dyDescent="0.25">
      <c r="I277" s="37"/>
      <c r="J277" s="35"/>
    </row>
    <row r="278" spans="9:10" x14ac:dyDescent="0.25">
      <c r="I278" s="37"/>
      <c r="J278" s="35"/>
    </row>
    <row r="279" spans="9:10" x14ac:dyDescent="0.25">
      <c r="I279" s="37"/>
      <c r="J279" s="35"/>
    </row>
    <row r="280" spans="9:10" x14ac:dyDescent="0.25">
      <c r="I280" s="37"/>
      <c r="J280" s="35"/>
    </row>
    <row r="281" spans="9:10" x14ac:dyDescent="0.25">
      <c r="I281" s="37"/>
      <c r="J281" s="35"/>
    </row>
    <row r="282" spans="9:10" x14ac:dyDescent="0.25">
      <c r="I282" s="37"/>
      <c r="J282" s="35"/>
    </row>
    <row r="283" spans="9:10" x14ac:dyDescent="0.25">
      <c r="I283" s="37"/>
      <c r="J283" s="35"/>
    </row>
    <row r="284" spans="9:10" x14ac:dyDescent="0.25">
      <c r="I284" s="37"/>
      <c r="J284" s="35"/>
    </row>
    <row r="285" spans="9:10" x14ac:dyDescent="0.25">
      <c r="I285" s="37"/>
      <c r="J285" s="35"/>
    </row>
    <row r="286" spans="9:10" x14ac:dyDescent="0.25">
      <c r="I286" s="37"/>
      <c r="J286" s="35"/>
    </row>
    <row r="287" spans="9:10" x14ac:dyDescent="0.25">
      <c r="I287" s="37"/>
      <c r="J287" s="35"/>
    </row>
    <row r="288" spans="9:10" x14ac:dyDescent="0.25">
      <c r="I288" s="37"/>
      <c r="J288" s="35"/>
    </row>
    <row r="289" spans="9:10" x14ac:dyDescent="0.25">
      <c r="I289" s="37"/>
      <c r="J289" s="35"/>
    </row>
    <row r="290" spans="9:10" x14ac:dyDescent="0.25">
      <c r="I290" s="37"/>
      <c r="J290" s="35"/>
    </row>
    <row r="291" spans="9:10" x14ac:dyDescent="0.25">
      <c r="I291" s="37"/>
      <c r="J291" s="35"/>
    </row>
    <row r="292" spans="9:10" x14ac:dyDescent="0.25">
      <c r="I292" s="37"/>
      <c r="J292" s="35"/>
    </row>
    <row r="293" spans="9:10" x14ac:dyDescent="0.25">
      <c r="I293" s="37"/>
      <c r="J293" s="35"/>
    </row>
    <row r="294" spans="9:10" x14ac:dyDescent="0.25">
      <c r="I294" s="37"/>
      <c r="J294" s="35"/>
    </row>
    <row r="295" spans="9:10" x14ac:dyDescent="0.25">
      <c r="I295" s="37"/>
      <c r="J295" s="35"/>
    </row>
    <row r="296" spans="9:10" x14ac:dyDescent="0.25">
      <c r="I296" s="37"/>
      <c r="J296" s="35"/>
    </row>
    <row r="297" spans="9:10" x14ac:dyDescent="0.25">
      <c r="I297" s="37"/>
      <c r="J297" s="35"/>
    </row>
    <row r="298" spans="9:10" x14ac:dyDescent="0.25">
      <c r="I298" s="37"/>
      <c r="J298" s="35"/>
    </row>
    <row r="299" spans="9:10" x14ac:dyDescent="0.25">
      <c r="I299" s="37"/>
      <c r="J299" s="35"/>
    </row>
    <row r="300" spans="9:10" x14ac:dyDescent="0.25">
      <c r="I300" s="37"/>
      <c r="J300" s="35"/>
    </row>
    <row r="301" spans="9:10" x14ac:dyDescent="0.25">
      <c r="I301" s="37"/>
      <c r="J301" s="35"/>
    </row>
    <row r="302" spans="9:10" x14ac:dyDescent="0.25">
      <c r="I302" s="37"/>
      <c r="J302" s="35"/>
    </row>
    <row r="303" spans="9:10" x14ac:dyDescent="0.25">
      <c r="I303" s="37"/>
      <c r="J303" s="35"/>
    </row>
    <row r="304" spans="9:10" x14ac:dyDescent="0.25">
      <c r="I304" s="37"/>
      <c r="J304" s="35"/>
    </row>
    <row r="305" spans="9:12" x14ac:dyDescent="0.25">
      <c r="I305" s="37"/>
      <c r="J305" s="35"/>
    </row>
    <row r="306" spans="9:12" x14ac:dyDescent="0.25">
      <c r="I306" s="37"/>
      <c r="J306" s="35"/>
    </row>
    <row r="307" spans="9:12" x14ac:dyDescent="0.25">
      <c r="I307" s="37"/>
      <c r="J307" s="35"/>
    </row>
    <row r="308" spans="9:12" x14ac:dyDescent="0.25">
      <c r="I308" s="37"/>
      <c r="J308" s="35"/>
    </row>
    <row r="309" spans="9:12" x14ac:dyDescent="0.25">
      <c r="I309" s="37"/>
      <c r="J309" s="35"/>
    </row>
    <row r="310" spans="9:12" x14ac:dyDescent="0.25">
      <c r="I310" s="37"/>
      <c r="J310" s="35"/>
    </row>
    <row r="311" spans="9:12" x14ac:dyDescent="0.25">
      <c r="I311" s="37"/>
      <c r="J311" s="35"/>
    </row>
    <row r="312" spans="9:12" x14ac:dyDescent="0.25">
      <c r="I312" s="37"/>
      <c r="J312" s="35"/>
      <c r="L312" s="36"/>
    </row>
    <row r="313" spans="9:12" x14ac:dyDescent="0.25">
      <c r="I313" s="37"/>
      <c r="J313" s="35"/>
    </row>
    <row r="314" spans="9:12" x14ac:dyDescent="0.25">
      <c r="I314" s="37"/>
      <c r="J314" s="35"/>
    </row>
    <row r="315" spans="9:12" x14ac:dyDescent="0.25">
      <c r="I315" s="37"/>
      <c r="J315" s="35"/>
    </row>
    <row r="316" spans="9:12" x14ac:dyDescent="0.25">
      <c r="I316" s="37"/>
      <c r="J316" s="35"/>
    </row>
    <row r="317" spans="9:12" x14ac:dyDescent="0.25">
      <c r="I317" s="37"/>
      <c r="J317" s="35"/>
    </row>
    <row r="318" spans="9:12" x14ac:dyDescent="0.25">
      <c r="I318" s="37"/>
      <c r="J318" s="35"/>
    </row>
    <row r="319" spans="9:12" x14ac:dyDescent="0.25">
      <c r="I319" s="37"/>
      <c r="J319" s="35"/>
    </row>
    <row r="320" spans="9:12" x14ac:dyDescent="0.25">
      <c r="I320" s="37"/>
      <c r="J320" s="35"/>
    </row>
    <row r="321" spans="9:10" x14ac:dyDescent="0.25">
      <c r="I321" s="37"/>
      <c r="J321" s="35"/>
    </row>
    <row r="322" spans="9:10" x14ac:dyDescent="0.25">
      <c r="I322" s="37"/>
      <c r="J322" s="35"/>
    </row>
    <row r="323" spans="9:10" x14ac:dyDescent="0.25">
      <c r="I323" s="37"/>
      <c r="J323" s="35"/>
    </row>
    <row r="324" spans="9:10" x14ac:dyDescent="0.25">
      <c r="I324" s="37"/>
      <c r="J324" s="35"/>
    </row>
    <row r="325" spans="9:10" x14ac:dyDescent="0.25">
      <c r="I325" s="37"/>
      <c r="J325" s="35"/>
    </row>
    <row r="326" spans="9:10" x14ac:dyDescent="0.25">
      <c r="I326" s="37"/>
      <c r="J326" s="35"/>
    </row>
    <row r="327" spans="9:10" x14ac:dyDescent="0.25">
      <c r="I327" s="37"/>
      <c r="J327" s="35"/>
    </row>
    <row r="328" spans="9:10" x14ac:dyDescent="0.25">
      <c r="I328" s="37"/>
      <c r="J328" s="35"/>
    </row>
    <row r="329" spans="9:10" x14ac:dyDescent="0.25">
      <c r="I329" s="37"/>
      <c r="J329" s="35"/>
    </row>
    <row r="330" spans="9:10" x14ac:dyDescent="0.25">
      <c r="I330" s="37"/>
      <c r="J330" s="35"/>
    </row>
    <row r="331" spans="9:10" x14ac:dyDescent="0.25">
      <c r="I331" s="37"/>
      <c r="J331" s="35"/>
    </row>
    <row r="332" spans="9:10" x14ac:dyDescent="0.25">
      <c r="I332" s="37"/>
      <c r="J332" s="35"/>
    </row>
    <row r="333" spans="9:10" x14ac:dyDescent="0.25">
      <c r="I333" s="37"/>
      <c r="J333" s="35"/>
    </row>
    <row r="334" spans="9:10" x14ac:dyDescent="0.25">
      <c r="I334" s="37"/>
      <c r="J334" s="35"/>
    </row>
    <row r="335" spans="9:10" x14ac:dyDescent="0.25">
      <c r="I335" s="37"/>
      <c r="J335" s="35"/>
    </row>
    <row r="336" spans="9:10" x14ac:dyDescent="0.25">
      <c r="I336" s="37"/>
      <c r="J336" s="35"/>
    </row>
    <row r="337" spans="9:10" x14ac:dyDescent="0.25">
      <c r="I337" s="37"/>
      <c r="J337" s="35"/>
    </row>
    <row r="338" spans="9:10" x14ac:dyDescent="0.25">
      <c r="I338" s="37"/>
      <c r="J338" s="35"/>
    </row>
    <row r="339" spans="9:10" x14ac:dyDescent="0.25">
      <c r="I339" s="37"/>
      <c r="J339" s="35"/>
    </row>
    <row r="340" spans="9:10" x14ac:dyDescent="0.25">
      <c r="I340" s="37"/>
      <c r="J340" s="35"/>
    </row>
    <row r="341" spans="9:10" x14ac:dyDescent="0.25">
      <c r="I341" s="37"/>
      <c r="J341" s="35"/>
    </row>
    <row r="342" spans="9:10" x14ac:dyDescent="0.25">
      <c r="I342" s="37"/>
      <c r="J342" s="35"/>
    </row>
    <row r="343" spans="9:10" x14ac:dyDescent="0.25">
      <c r="I343" s="37"/>
      <c r="J343" s="35"/>
    </row>
    <row r="344" spans="9:10" x14ac:dyDescent="0.25">
      <c r="I344" s="37"/>
      <c r="J344" s="35"/>
    </row>
    <row r="345" spans="9:10" x14ac:dyDescent="0.25">
      <c r="I345" s="37"/>
      <c r="J345" s="35"/>
    </row>
    <row r="346" spans="9:10" x14ac:dyDescent="0.25">
      <c r="I346" s="37"/>
      <c r="J346" s="35"/>
    </row>
    <row r="347" spans="9:10" x14ac:dyDescent="0.25">
      <c r="I347" s="37"/>
      <c r="J347" s="35"/>
    </row>
    <row r="348" spans="9:10" x14ac:dyDescent="0.25">
      <c r="I348" s="37"/>
      <c r="J348" s="35"/>
    </row>
    <row r="349" spans="9:10" x14ac:dyDescent="0.25">
      <c r="I349" s="37"/>
      <c r="J349" s="35"/>
    </row>
    <row r="350" spans="9:10" x14ac:dyDescent="0.25">
      <c r="I350" s="37"/>
      <c r="J350" s="35"/>
    </row>
    <row r="351" spans="9:10" x14ac:dyDescent="0.25">
      <c r="I351" s="37"/>
      <c r="J351" s="35"/>
    </row>
    <row r="352" spans="9:10" x14ac:dyDescent="0.25">
      <c r="I352" s="37"/>
      <c r="J352" s="35"/>
    </row>
    <row r="353" spans="9:10" x14ac:dyDescent="0.25">
      <c r="I353" s="37"/>
      <c r="J353" s="35"/>
    </row>
    <row r="354" spans="9:10" x14ac:dyDescent="0.25">
      <c r="I354" s="37"/>
      <c r="J354" s="35"/>
    </row>
    <row r="355" spans="9:10" x14ac:dyDescent="0.25">
      <c r="I355" s="37"/>
      <c r="J355" s="35"/>
    </row>
    <row r="356" spans="9:10" x14ac:dyDescent="0.25">
      <c r="I356" s="37"/>
      <c r="J356" s="35"/>
    </row>
    <row r="357" spans="9:10" x14ac:dyDescent="0.25">
      <c r="I357" s="37"/>
      <c r="J357" s="35"/>
    </row>
    <row r="358" spans="9:10" x14ac:dyDescent="0.25">
      <c r="I358" s="37"/>
      <c r="J358" s="35"/>
    </row>
    <row r="359" spans="9:10" x14ac:dyDescent="0.25">
      <c r="I359" s="37"/>
      <c r="J359" s="35"/>
    </row>
    <row r="360" spans="9:10" x14ac:dyDescent="0.25">
      <c r="I360" s="37"/>
      <c r="J360" s="35"/>
    </row>
    <row r="361" spans="9:10" x14ac:dyDescent="0.25">
      <c r="I361" s="37"/>
      <c r="J361" s="35"/>
    </row>
    <row r="362" spans="9:10" x14ac:dyDescent="0.25">
      <c r="I362" s="37"/>
      <c r="J362" s="35"/>
    </row>
    <row r="363" spans="9:10" x14ac:dyDescent="0.25">
      <c r="I363" s="37"/>
      <c r="J363" s="35"/>
    </row>
    <row r="364" spans="9:10" x14ac:dyDescent="0.25">
      <c r="I364" s="37"/>
      <c r="J364" s="35"/>
    </row>
    <row r="365" spans="9:10" x14ac:dyDescent="0.25">
      <c r="I365" s="37"/>
      <c r="J365" s="35"/>
    </row>
    <row r="366" spans="9:10" x14ac:dyDescent="0.25">
      <c r="I366" s="37"/>
      <c r="J366" s="35"/>
    </row>
    <row r="367" spans="9:10" x14ac:dyDescent="0.25">
      <c r="I367" s="37"/>
      <c r="J367" s="35"/>
    </row>
    <row r="368" spans="9:10" x14ac:dyDescent="0.25">
      <c r="I368" s="37"/>
      <c r="J368" s="35"/>
    </row>
    <row r="369" spans="9:10" x14ac:dyDescent="0.25">
      <c r="I369" s="37"/>
      <c r="J369" s="35"/>
    </row>
    <row r="370" spans="9:10" x14ac:dyDescent="0.25">
      <c r="I370" s="37"/>
      <c r="J370" s="35"/>
    </row>
    <row r="371" spans="9:10" x14ac:dyDescent="0.25">
      <c r="I371" s="37"/>
      <c r="J371" s="35"/>
    </row>
    <row r="372" spans="9:10" x14ac:dyDescent="0.25">
      <c r="I372" s="37"/>
      <c r="J372" s="35"/>
    </row>
    <row r="373" spans="9:10" x14ac:dyDescent="0.25">
      <c r="I373" s="37"/>
      <c r="J373" s="35"/>
    </row>
    <row r="374" spans="9:10" x14ac:dyDescent="0.25">
      <c r="I374" s="37"/>
      <c r="J374" s="35"/>
    </row>
    <row r="375" spans="9:10" x14ac:dyDescent="0.25">
      <c r="I375" s="37"/>
      <c r="J375" s="35"/>
    </row>
    <row r="376" spans="9:10" x14ac:dyDescent="0.25">
      <c r="I376" s="37"/>
      <c r="J376" s="35"/>
    </row>
    <row r="377" spans="9:10" x14ac:dyDescent="0.25">
      <c r="I377" s="37"/>
      <c r="J377" s="35"/>
    </row>
    <row r="378" spans="9:10" x14ac:dyDescent="0.25">
      <c r="I378" s="37"/>
      <c r="J378" s="35"/>
    </row>
    <row r="379" spans="9:10" x14ac:dyDescent="0.25">
      <c r="I379" s="37"/>
      <c r="J379" s="35"/>
    </row>
    <row r="380" spans="9:10" x14ac:dyDescent="0.25">
      <c r="I380" s="37"/>
      <c r="J380" s="35"/>
    </row>
    <row r="381" spans="9:10" x14ac:dyDescent="0.25">
      <c r="I381" s="37"/>
      <c r="J381" s="35"/>
    </row>
    <row r="382" spans="9:10" x14ac:dyDescent="0.25">
      <c r="I382" s="37"/>
      <c r="J382" s="35"/>
    </row>
    <row r="383" spans="9:10" x14ac:dyDescent="0.25">
      <c r="I383" s="37"/>
      <c r="J383" s="35"/>
    </row>
    <row r="384" spans="9:10" x14ac:dyDescent="0.25">
      <c r="I384" s="37"/>
      <c r="J384" s="35"/>
    </row>
    <row r="385" spans="9:10" x14ac:dyDescent="0.25">
      <c r="I385" s="37"/>
      <c r="J385" s="35"/>
    </row>
    <row r="386" spans="9:10" x14ac:dyDescent="0.25">
      <c r="I386" s="37"/>
      <c r="J386" s="35"/>
    </row>
    <row r="387" spans="9:10" x14ac:dyDescent="0.25">
      <c r="I387" s="37"/>
      <c r="J387" s="35"/>
    </row>
    <row r="388" spans="9:10" x14ac:dyDescent="0.25">
      <c r="I388" s="37"/>
      <c r="J388" s="35"/>
    </row>
    <row r="389" spans="9:10" x14ac:dyDescent="0.25">
      <c r="I389" s="37"/>
      <c r="J389" s="35"/>
    </row>
    <row r="390" spans="9:10" x14ac:dyDescent="0.25">
      <c r="I390" s="37"/>
      <c r="J390" s="35"/>
    </row>
    <row r="391" spans="9:10" x14ac:dyDescent="0.25">
      <c r="I391" s="37"/>
      <c r="J391" s="35"/>
    </row>
    <row r="392" spans="9:10" x14ac:dyDescent="0.25">
      <c r="I392" s="37"/>
      <c r="J392" s="35"/>
    </row>
    <row r="393" spans="9:10" x14ac:dyDescent="0.25">
      <c r="I393" s="37"/>
      <c r="J393" s="35"/>
    </row>
    <row r="394" spans="9:10" x14ac:dyDescent="0.25">
      <c r="I394" s="37"/>
      <c r="J394" s="35"/>
    </row>
    <row r="395" spans="9:10" x14ac:dyDescent="0.25">
      <c r="I395" s="37"/>
      <c r="J395" s="35"/>
    </row>
    <row r="396" spans="9:10" x14ac:dyDescent="0.25">
      <c r="I396" s="37"/>
      <c r="J396" s="35"/>
    </row>
    <row r="397" spans="9:10" x14ac:dyDescent="0.25">
      <c r="I397" s="37"/>
      <c r="J397" s="35"/>
    </row>
    <row r="398" spans="9:10" x14ac:dyDescent="0.25">
      <c r="I398" s="37"/>
      <c r="J398" s="35"/>
    </row>
    <row r="399" spans="9:10" x14ac:dyDescent="0.25">
      <c r="I399" s="37"/>
      <c r="J399" s="35"/>
    </row>
    <row r="400" spans="9:10" x14ac:dyDescent="0.25">
      <c r="I400" s="37"/>
      <c r="J400" s="35"/>
    </row>
    <row r="401" spans="9:10" x14ac:dyDescent="0.25">
      <c r="I401" s="37"/>
      <c r="J401" s="35"/>
    </row>
    <row r="402" spans="9:10" x14ac:dyDescent="0.25">
      <c r="I402" s="37"/>
      <c r="J402" s="35"/>
    </row>
    <row r="403" spans="9:10" x14ac:dyDescent="0.25">
      <c r="I403" s="37"/>
      <c r="J403" s="35"/>
    </row>
    <row r="404" spans="9:10" x14ac:dyDescent="0.25">
      <c r="I404" s="37"/>
      <c r="J404" s="35"/>
    </row>
    <row r="405" spans="9:10" x14ac:dyDescent="0.25">
      <c r="I405" s="37"/>
      <c r="J405" s="35"/>
    </row>
    <row r="406" spans="9:10" x14ac:dyDescent="0.25">
      <c r="I406" s="37"/>
      <c r="J406" s="35"/>
    </row>
    <row r="407" spans="9:10" x14ac:dyDescent="0.25">
      <c r="I407" s="37"/>
      <c r="J407" s="35"/>
    </row>
    <row r="408" spans="9:10" x14ac:dyDescent="0.25">
      <c r="I408" s="37"/>
      <c r="J408" s="35"/>
    </row>
    <row r="409" spans="9:10" x14ac:dyDescent="0.25">
      <c r="I409" s="37"/>
      <c r="J409" s="35"/>
    </row>
    <row r="410" spans="9:10" x14ac:dyDescent="0.25">
      <c r="I410" s="37"/>
      <c r="J410" s="35"/>
    </row>
    <row r="411" spans="9:10" x14ac:dyDescent="0.25">
      <c r="I411" s="37"/>
      <c r="J411" s="35"/>
    </row>
    <row r="412" spans="9:10" x14ac:dyDescent="0.25">
      <c r="I412" s="37"/>
      <c r="J412" s="35"/>
    </row>
    <row r="413" spans="9:10" x14ac:dyDescent="0.25">
      <c r="I413" s="37"/>
      <c r="J413" s="35"/>
    </row>
    <row r="414" spans="9:10" x14ac:dyDescent="0.25">
      <c r="I414" s="37"/>
      <c r="J414" s="35"/>
    </row>
    <row r="415" spans="9:10" x14ac:dyDescent="0.25">
      <c r="I415" s="37"/>
      <c r="J415" s="35"/>
    </row>
    <row r="416" spans="9:10" x14ac:dyDescent="0.25">
      <c r="I416" s="37"/>
      <c r="J416" s="35"/>
    </row>
    <row r="417" spans="9:10" x14ac:dyDescent="0.25">
      <c r="I417" s="37"/>
      <c r="J417" s="35"/>
    </row>
    <row r="418" spans="9:10" x14ac:dyDescent="0.25">
      <c r="I418" s="37"/>
      <c r="J418" s="35"/>
    </row>
    <row r="419" spans="9:10" x14ac:dyDescent="0.25">
      <c r="I419" s="37"/>
      <c r="J419" s="35"/>
    </row>
    <row r="420" spans="9:10" x14ac:dyDescent="0.25">
      <c r="I420" s="37"/>
      <c r="J420" s="35"/>
    </row>
    <row r="421" spans="9:10" x14ac:dyDescent="0.25">
      <c r="I421" s="37"/>
      <c r="J421" s="35"/>
    </row>
    <row r="422" spans="9:10" x14ac:dyDescent="0.25">
      <c r="I422" s="37"/>
      <c r="J422" s="35"/>
    </row>
    <row r="423" spans="9:10" x14ac:dyDescent="0.25">
      <c r="I423" s="37"/>
      <c r="J423" s="35"/>
    </row>
    <row r="424" spans="9:10" x14ac:dyDescent="0.25">
      <c r="I424" s="37"/>
      <c r="J424" s="35"/>
    </row>
    <row r="425" spans="9:10" x14ac:dyDescent="0.25">
      <c r="I425" s="37"/>
      <c r="J425" s="35"/>
    </row>
    <row r="426" spans="9:10" x14ac:dyDescent="0.25">
      <c r="I426" s="37"/>
      <c r="J426" s="35"/>
    </row>
    <row r="427" spans="9:10" x14ac:dyDescent="0.25">
      <c r="I427" s="37"/>
      <c r="J427" s="35"/>
    </row>
    <row r="428" spans="9:10" x14ac:dyDescent="0.25">
      <c r="I428" s="37"/>
      <c r="J428" s="35"/>
    </row>
    <row r="429" spans="9:10" x14ac:dyDescent="0.25">
      <c r="I429" s="37"/>
      <c r="J429" s="35"/>
    </row>
    <row r="430" spans="9:10" x14ac:dyDescent="0.25">
      <c r="I430" s="37"/>
      <c r="J430" s="35"/>
    </row>
    <row r="431" spans="9:10" x14ac:dyDescent="0.25">
      <c r="I431" s="37"/>
      <c r="J431" s="35"/>
    </row>
    <row r="432" spans="9:10" x14ac:dyDescent="0.25">
      <c r="I432" s="37"/>
      <c r="J432" s="35"/>
    </row>
    <row r="433" spans="9:10" x14ac:dyDescent="0.25">
      <c r="I433" s="37"/>
      <c r="J433" s="35"/>
    </row>
    <row r="434" spans="9:10" x14ac:dyDescent="0.25">
      <c r="I434" s="37"/>
      <c r="J434" s="35"/>
    </row>
    <row r="435" spans="9:10" x14ac:dyDescent="0.25">
      <c r="I435" s="37"/>
      <c r="J435" s="35"/>
    </row>
    <row r="436" spans="9:10" x14ac:dyDescent="0.25">
      <c r="I436" s="37"/>
      <c r="J436" s="35"/>
    </row>
    <row r="437" spans="9:10" x14ac:dyDescent="0.25">
      <c r="I437" s="37"/>
      <c r="J437" s="35"/>
    </row>
    <row r="438" spans="9:10" x14ac:dyDescent="0.25">
      <c r="I438" s="37"/>
      <c r="J438" s="35"/>
    </row>
    <row r="439" spans="9:10" x14ac:dyDescent="0.25">
      <c r="I439" s="37"/>
      <c r="J439" s="35"/>
    </row>
    <row r="440" spans="9:10" x14ac:dyDescent="0.25">
      <c r="I440" s="37"/>
      <c r="J440" s="35"/>
    </row>
    <row r="441" spans="9:10" x14ac:dyDescent="0.25">
      <c r="I441" s="37"/>
      <c r="J441" s="35"/>
    </row>
    <row r="442" spans="9:10" x14ac:dyDescent="0.25">
      <c r="I442" s="37"/>
      <c r="J442" s="35"/>
    </row>
    <row r="443" spans="9:10" x14ac:dyDescent="0.25">
      <c r="I443" s="37"/>
      <c r="J443" s="35"/>
    </row>
    <row r="444" spans="9:10" x14ac:dyDescent="0.25">
      <c r="I444" s="37"/>
      <c r="J444" s="35"/>
    </row>
    <row r="445" spans="9:10" x14ac:dyDescent="0.25">
      <c r="I445" s="37"/>
      <c r="J445" s="35"/>
    </row>
    <row r="446" spans="9:10" x14ac:dyDescent="0.25">
      <c r="I446" s="37"/>
      <c r="J446" s="35"/>
    </row>
    <row r="447" spans="9:10" x14ac:dyDescent="0.25">
      <c r="I447" s="37"/>
      <c r="J447" s="35"/>
    </row>
    <row r="448" spans="9:10" x14ac:dyDescent="0.25">
      <c r="I448" s="37"/>
      <c r="J448" s="35"/>
    </row>
    <row r="449" spans="9:10" x14ac:dyDescent="0.25">
      <c r="I449" s="37"/>
      <c r="J449" s="35"/>
    </row>
    <row r="450" spans="9:10" x14ac:dyDescent="0.25">
      <c r="I450" s="37"/>
      <c r="J450" s="35"/>
    </row>
    <row r="451" spans="9:10" x14ac:dyDescent="0.25">
      <c r="I451" s="37"/>
      <c r="J451" s="35"/>
    </row>
    <row r="452" spans="9:10" x14ac:dyDescent="0.25">
      <c r="I452" s="37"/>
      <c r="J452" s="35"/>
    </row>
    <row r="453" spans="9:10" x14ac:dyDescent="0.25">
      <c r="I453" s="37"/>
      <c r="J453" s="35"/>
    </row>
    <row r="454" spans="9:10" x14ac:dyDescent="0.25">
      <c r="I454" s="37"/>
      <c r="J454" s="35"/>
    </row>
    <row r="455" spans="9:10" x14ac:dyDescent="0.25">
      <c r="I455" s="37"/>
      <c r="J455" s="35"/>
    </row>
    <row r="456" spans="9:10" x14ac:dyDescent="0.25">
      <c r="I456" s="37"/>
      <c r="J456" s="35"/>
    </row>
    <row r="457" spans="9:10" x14ac:dyDescent="0.25">
      <c r="I457" s="37"/>
      <c r="J457" s="35"/>
    </row>
    <row r="458" spans="9:10" x14ac:dyDescent="0.25">
      <c r="I458" s="37"/>
      <c r="J458" s="35"/>
    </row>
    <row r="459" spans="9:10" x14ac:dyDescent="0.25">
      <c r="I459" s="37"/>
      <c r="J459" s="35"/>
    </row>
    <row r="460" spans="9:10" x14ac:dyDescent="0.25">
      <c r="I460" s="37"/>
      <c r="J460" s="35"/>
    </row>
    <row r="461" spans="9:10" x14ac:dyDescent="0.25">
      <c r="I461" s="37"/>
      <c r="J461" s="35"/>
    </row>
    <row r="462" spans="9:10" x14ac:dyDescent="0.25">
      <c r="I462" s="37"/>
      <c r="J462" s="35"/>
    </row>
    <row r="463" spans="9:10" x14ac:dyDescent="0.25">
      <c r="I463" s="37"/>
      <c r="J463" s="35"/>
    </row>
    <row r="464" spans="9:10" x14ac:dyDescent="0.25">
      <c r="I464" s="37"/>
      <c r="J464" s="35"/>
    </row>
    <row r="465" spans="9:10" x14ac:dyDescent="0.25">
      <c r="I465" s="37"/>
      <c r="J465" s="35"/>
    </row>
    <row r="466" spans="9:10" x14ac:dyDescent="0.25">
      <c r="I466" s="37"/>
      <c r="J466" s="35"/>
    </row>
    <row r="467" spans="9:10" x14ac:dyDescent="0.25">
      <c r="I467" s="37"/>
      <c r="J467" s="35"/>
    </row>
    <row r="468" spans="9:10" x14ac:dyDescent="0.25">
      <c r="I468" s="37"/>
      <c r="J468" s="35"/>
    </row>
    <row r="469" spans="9:10" x14ac:dyDescent="0.25">
      <c r="I469" s="37"/>
      <c r="J469" s="35"/>
    </row>
    <row r="470" spans="9:10" x14ac:dyDescent="0.25">
      <c r="I470" s="37"/>
      <c r="J470" s="35"/>
    </row>
    <row r="471" spans="9:10" x14ac:dyDescent="0.25">
      <c r="I471" s="37"/>
      <c r="J471" s="35"/>
    </row>
    <row r="472" spans="9:10" x14ac:dyDescent="0.25">
      <c r="I472" s="37"/>
      <c r="J472" s="35"/>
    </row>
    <row r="473" spans="9:10" x14ac:dyDescent="0.25">
      <c r="I473" s="37"/>
      <c r="J473" s="35"/>
    </row>
    <row r="474" spans="9:10" x14ac:dyDescent="0.25">
      <c r="I474" s="37"/>
      <c r="J474" s="35"/>
    </row>
    <row r="475" spans="9:10" x14ac:dyDescent="0.25">
      <c r="I475" s="37"/>
      <c r="J475" s="35"/>
    </row>
    <row r="476" spans="9:10" x14ac:dyDescent="0.25">
      <c r="I476" s="37"/>
      <c r="J476" s="35"/>
    </row>
    <row r="477" spans="9:10" x14ac:dyDescent="0.25">
      <c r="I477" s="37"/>
      <c r="J477" s="35"/>
    </row>
    <row r="478" spans="9:10" x14ac:dyDescent="0.25">
      <c r="I478" s="37"/>
      <c r="J478" s="35"/>
    </row>
    <row r="479" spans="9:10" x14ac:dyDescent="0.25">
      <c r="I479" s="37"/>
      <c r="J479" s="35"/>
    </row>
    <row r="480" spans="9:10" x14ac:dyDescent="0.25">
      <c r="I480" s="37"/>
      <c r="J480" s="35"/>
    </row>
    <row r="481" spans="9:10" x14ac:dyDescent="0.25">
      <c r="I481" s="37"/>
      <c r="J481" s="35"/>
    </row>
    <row r="482" spans="9:10" x14ac:dyDescent="0.25">
      <c r="I482" s="37"/>
      <c r="J482" s="35"/>
    </row>
    <row r="483" spans="9:10" x14ac:dyDescent="0.25">
      <c r="I483" s="37"/>
      <c r="J483" s="35"/>
    </row>
    <row r="484" spans="9:10" x14ac:dyDescent="0.25">
      <c r="I484" s="37"/>
      <c r="J484" s="35"/>
    </row>
    <row r="485" spans="9:10" x14ac:dyDescent="0.25">
      <c r="I485" s="37"/>
      <c r="J485" s="35"/>
    </row>
    <row r="486" spans="9:10" x14ac:dyDescent="0.25">
      <c r="I486" s="37"/>
      <c r="J486" s="35"/>
    </row>
    <row r="487" spans="9:10" x14ac:dyDescent="0.25">
      <c r="I487" s="37"/>
      <c r="J487" s="35"/>
    </row>
    <row r="488" spans="9:10" x14ac:dyDescent="0.25">
      <c r="I488" s="37"/>
      <c r="J488" s="35"/>
    </row>
    <row r="489" spans="9:10" x14ac:dyDescent="0.25">
      <c r="I489" s="37"/>
      <c r="J489" s="35"/>
    </row>
    <row r="490" spans="9:10" x14ac:dyDescent="0.25">
      <c r="I490" s="37"/>
      <c r="J490" s="35"/>
    </row>
    <row r="491" spans="9:10" x14ac:dyDescent="0.25">
      <c r="I491" s="37"/>
      <c r="J491" s="35"/>
    </row>
    <row r="492" spans="9:10" x14ac:dyDescent="0.25">
      <c r="I492" s="37"/>
      <c r="J492" s="35"/>
    </row>
    <row r="493" spans="9:10" x14ac:dyDescent="0.25">
      <c r="I493" s="37"/>
      <c r="J493" s="35"/>
    </row>
    <row r="494" spans="9:10" x14ac:dyDescent="0.25">
      <c r="I494" s="37"/>
      <c r="J494" s="35"/>
    </row>
    <row r="495" spans="9:10" x14ac:dyDescent="0.25">
      <c r="I495" s="37"/>
      <c r="J495" s="35"/>
    </row>
    <row r="496" spans="9:10" x14ac:dyDescent="0.25">
      <c r="I496" s="37"/>
      <c r="J496" s="35"/>
    </row>
    <row r="497" spans="9:10" x14ac:dyDescent="0.25">
      <c r="I497" s="37"/>
      <c r="J497" s="35"/>
    </row>
    <row r="498" spans="9:10" x14ac:dyDescent="0.25">
      <c r="I498" s="37"/>
      <c r="J498" s="35"/>
    </row>
    <row r="499" spans="9:10" x14ac:dyDescent="0.25">
      <c r="I499" s="37"/>
      <c r="J499" s="35"/>
    </row>
    <row r="500" spans="9:10" x14ac:dyDescent="0.25">
      <c r="I500" s="37"/>
      <c r="J500" s="35"/>
    </row>
    <row r="501" spans="9:10" x14ac:dyDescent="0.25">
      <c r="I501" s="37"/>
      <c r="J501" s="35"/>
    </row>
    <row r="502" spans="9:10" x14ac:dyDescent="0.25">
      <c r="I502" s="37"/>
      <c r="J502" s="35"/>
    </row>
    <row r="503" spans="9:10" x14ac:dyDescent="0.25">
      <c r="I503" s="37"/>
      <c r="J503" s="35"/>
    </row>
    <row r="504" spans="9:10" x14ac:dyDescent="0.25">
      <c r="I504" s="37"/>
      <c r="J504" s="35"/>
    </row>
    <row r="505" spans="9:10" x14ac:dyDescent="0.25">
      <c r="I505" s="37"/>
      <c r="J505" s="35"/>
    </row>
    <row r="506" spans="9:10" x14ac:dyDescent="0.25">
      <c r="I506" s="37"/>
      <c r="J506" s="35"/>
    </row>
    <row r="507" spans="9:10" x14ac:dyDescent="0.25">
      <c r="I507" s="37"/>
      <c r="J507" s="35"/>
    </row>
    <row r="508" spans="9:10" x14ac:dyDescent="0.25">
      <c r="I508" s="37"/>
      <c r="J508" s="35"/>
    </row>
    <row r="509" spans="9:10" x14ac:dyDescent="0.25">
      <c r="I509" s="37"/>
      <c r="J509" s="35"/>
    </row>
    <row r="510" spans="9:10" x14ac:dyDescent="0.25">
      <c r="I510" s="37"/>
      <c r="J510" s="35"/>
    </row>
    <row r="511" spans="9:10" x14ac:dyDescent="0.25">
      <c r="I511" s="37"/>
      <c r="J511" s="35"/>
    </row>
    <row r="512" spans="9:10" x14ac:dyDescent="0.25">
      <c r="I512" s="37"/>
      <c r="J512" s="35"/>
    </row>
    <row r="513" spans="9:10" x14ac:dyDescent="0.25">
      <c r="I513" s="37"/>
      <c r="J513" s="35"/>
    </row>
    <row r="514" spans="9:10" x14ac:dyDescent="0.25">
      <c r="I514" s="37"/>
      <c r="J514" s="35"/>
    </row>
    <row r="515" spans="9:10" x14ac:dyDescent="0.25">
      <c r="I515" s="37"/>
      <c r="J515" s="35"/>
    </row>
    <row r="516" spans="9:10" x14ac:dyDescent="0.25">
      <c r="I516" s="37"/>
      <c r="J516" s="35"/>
    </row>
    <row r="517" spans="9:10" x14ac:dyDescent="0.25">
      <c r="I517" s="37"/>
      <c r="J517" s="35"/>
    </row>
    <row r="518" spans="9:10" x14ac:dyDescent="0.25">
      <c r="I518" s="37"/>
      <c r="J518" s="35"/>
    </row>
    <row r="519" spans="9:10" x14ac:dyDescent="0.25">
      <c r="I519" s="37"/>
      <c r="J519" s="35"/>
    </row>
    <row r="520" spans="9:10" x14ac:dyDescent="0.25">
      <c r="I520" s="37"/>
      <c r="J520" s="35"/>
    </row>
    <row r="521" spans="9:10" x14ac:dyDescent="0.25">
      <c r="I521" s="37"/>
      <c r="J521" s="35"/>
    </row>
    <row r="522" spans="9:10" x14ac:dyDescent="0.25">
      <c r="I522" s="37"/>
      <c r="J522" s="35"/>
    </row>
    <row r="523" spans="9:10" x14ac:dyDescent="0.25">
      <c r="I523" s="37"/>
      <c r="J523" s="35"/>
    </row>
    <row r="524" spans="9:10" x14ac:dyDescent="0.25">
      <c r="I524" s="37"/>
      <c r="J524" s="35"/>
    </row>
    <row r="525" spans="9:10" x14ac:dyDescent="0.25">
      <c r="I525" s="37"/>
      <c r="J525" s="35"/>
    </row>
    <row r="526" spans="9:10" x14ac:dyDescent="0.25">
      <c r="I526" s="37"/>
      <c r="J526" s="35"/>
    </row>
    <row r="527" spans="9:10" x14ac:dyDescent="0.25">
      <c r="I527" s="37"/>
      <c r="J527" s="35"/>
    </row>
    <row r="528" spans="9:10" x14ac:dyDescent="0.25">
      <c r="I528" s="37"/>
      <c r="J528" s="35"/>
    </row>
    <row r="529" spans="9:10" x14ac:dyDescent="0.25">
      <c r="I529" s="37"/>
      <c r="J529" s="35"/>
    </row>
    <row r="530" spans="9:10" x14ac:dyDescent="0.25">
      <c r="I530" s="37"/>
      <c r="J530" s="35"/>
    </row>
    <row r="531" spans="9:10" x14ac:dyDescent="0.25">
      <c r="I531" s="37"/>
      <c r="J531" s="35"/>
    </row>
    <row r="532" spans="9:10" x14ac:dyDescent="0.25">
      <c r="I532" s="37"/>
      <c r="J532" s="35"/>
    </row>
    <row r="533" spans="9:10" x14ac:dyDescent="0.25">
      <c r="I533" s="37"/>
      <c r="J533" s="35"/>
    </row>
    <row r="534" spans="9:10" x14ac:dyDescent="0.25">
      <c r="I534" s="37"/>
      <c r="J534" s="35"/>
    </row>
    <row r="535" spans="9:10" x14ac:dyDescent="0.25">
      <c r="I535" s="37"/>
      <c r="J535" s="35"/>
    </row>
    <row r="536" spans="9:10" x14ac:dyDescent="0.25">
      <c r="I536" s="37"/>
      <c r="J536" s="35"/>
    </row>
    <row r="537" spans="9:10" x14ac:dyDescent="0.25">
      <c r="I537" s="37"/>
      <c r="J537" s="35"/>
    </row>
    <row r="538" spans="9:10" x14ac:dyDescent="0.25">
      <c r="I538" s="37"/>
      <c r="J538" s="35"/>
    </row>
    <row r="539" spans="9:10" x14ac:dyDescent="0.25">
      <c r="I539" s="37"/>
      <c r="J539" s="35"/>
    </row>
    <row r="540" spans="9:10" x14ac:dyDescent="0.25">
      <c r="I540" s="37"/>
      <c r="J540" s="35"/>
    </row>
    <row r="541" spans="9:10" x14ac:dyDescent="0.25">
      <c r="I541" s="37"/>
      <c r="J541" s="35"/>
    </row>
    <row r="542" spans="9:10" x14ac:dyDescent="0.25">
      <c r="I542" s="37"/>
      <c r="J542" s="35"/>
    </row>
    <row r="543" spans="9:10" x14ac:dyDescent="0.25">
      <c r="I543" s="37"/>
      <c r="J543" s="35"/>
    </row>
    <row r="544" spans="9:10" x14ac:dyDescent="0.25">
      <c r="I544" s="37"/>
      <c r="J544" s="35"/>
    </row>
    <row r="545" spans="9:10" x14ac:dyDescent="0.25">
      <c r="I545" s="37"/>
      <c r="J545" s="35"/>
    </row>
    <row r="546" spans="9:10" x14ac:dyDescent="0.25">
      <c r="I546" s="37"/>
      <c r="J546" s="35"/>
    </row>
    <row r="547" spans="9:10" x14ac:dyDescent="0.25">
      <c r="I547" s="37"/>
      <c r="J547" s="35"/>
    </row>
    <row r="548" spans="9:10" x14ac:dyDescent="0.25">
      <c r="I548" s="37"/>
      <c r="J548" s="35"/>
    </row>
    <row r="549" spans="9:10" x14ac:dyDescent="0.25">
      <c r="I549" s="37"/>
      <c r="J549" s="35"/>
    </row>
    <row r="550" spans="9:10" x14ac:dyDescent="0.25">
      <c r="I550" s="37"/>
      <c r="J550" s="35"/>
    </row>
    <row r="551" spans="9:10" x14ac:dyDescent="0.25">
      <c r="I551" s="37"/>
      <c r="J551" s="35"/>
    </row>
    <row r="552" spans="9:10" x14ac:dyDescent="0.25">
      <c r="I552" s="37"/>
      <c r="J552" s="35"/>
    </row>
    <row r="553" spans="9:10" x14ac:dyDescent="0.25">
      <c r="I553" s="37"/>
      <c r="J553" s="35"/>
    </row>
    <row r="554" spans="9:10" x14ac:dyDescent="0.25">
      <c r="I554" s="37"/>
      <c r="J554" s="35"/>
    </row>
    <row r="555" spans="9:10" x14ac:dyDescent="0.25">
      <c r="I555" s="37"/>
      <c r="J555" s="35"/>
    </row>
    <row r="556" spans="9:10" x14ac:dyDescent="0.25">
      <c r="I556" s="37"/>
      <c r="J556" s="35"/>
    </row>
    <row r="557" spans="9:10" x14ac:dyDescent="0.25">
      <c r="I557" s="37"/>
      <c r="J557" s="35"/>
    </row>
    <row r="558" spans="9:10" x14ac:dyDescent="0.25">
      <c r="I558" s="37"/>
      <c r="J558" s="35"/>
    </row>
    <row r="559" spans="9:10" x14ac:dyDescent="0.25">
      <c r="I559" s="37"/>
      <c r="J559" s="35"/>
    </row>
    <row r="560" spans="9:10" x14ac:dyDescent="0.25">
      <c r="I560" s="37"/>
      <c r="J560" s="35"/>
    </row>
    <row r="561" spans="9:10" x14ac:dyDescent="0.25">
      <c r="I561" s="37"/>
      <c r="J561" s="35"/>
    </row>
    <row r="562" spans="9:10" x14ac:dyDescent="0.25">
      <c r="I562" s="37"/>
      <c r="J562" s="35"/>
    </row>
    <row r="563" spans="9:10" x14ac:dyDescent="0.25">
      <c r="I563" s="37"/>
      <c r="J563" s="35"/>
    </row>
    <row r="564" spans="9:10" x14ac:dyDescent="0.25">
      <c r="I564" s="37"/>
      <c r="J564" s="35"/>
    </row>
    <row r="565" spans="9:10" x14ac:dyDescent="0.25">
      <c r="I565" s="37"/>
      <c r="J565" s="35"/>
    </row>
    <row r="566" spans="9:10" x14ac:dyDescent="0.25">
      <c r="I566" s="37"/>
      <c r="J566" s="35"/>
    </row>
    <row r="567" spans="9:10" x14ac:dyDescent="0.25">
      <c r="I567" s="37"/>
      <c r="J567" s="35"/>
    </row>
    <row r="568" spans="9:10" x14ac:dyDescent="0.25">
      <c r="I568" s="37"/>
      <c r="J568" s="35"/>
    </row>
    <row r="569" spans="9:10" x14ac:dyDescent="0.25">
      <c r="I569" s="37"/>
      <c r="J569" s="35"/>
    </row>
    <row r="570" spans="9:10" x14ac:dyDescent="0.25">
      <c r="I570" s="37"/>
      <c r="J570" s="35"/>
    </row>
    <row r="571" spans="9:10" x14ac:dyDescent="0.25">
      <c r="I571" s="37"/>
      <c r="J571" s="35"/>
    </row>
    <row r="572" spans="9:10" x14ac:dyDescent="0.25">
      <c r="I572" s="37"/>
      <c r="J572" s="35"/>
    </row>
    <row r="573" spans="9:10" x14ac:dyDescent="0.25">
      <c r="I573" s="37"/>
      <c r="J573" s="35"/>
    </row>
    <row r="574" spans="9:10" x14ac:dyDescent="0.25">
      <c r="I574" s="37"/>
      <c r="J574" s="35"/>
    </row>
    <row r="575" spans="9:10" x14ac:dyDescent="0.25">
      <c r="I575" s="37"/>
      <c r="J575" s="35"/>
    </row>
    <row r="576" spans="9:10" x14ac:dyDescent="0.25">
      <c r="I576" s="37"/>
      <c r="J576" s="35"/>
    </row>
    <row r="577" spans="9:10" x14ac:dyDescent="0.25">
      <c r="I577" s="37"/>
      <c r="J577" s="35"/>
    </row>
    <row r="578" spans="9:10" x14ac:dyDescent="0.25">
      <c r="I578" s="37"/>
      <c r="J578" s="35"/>
    </row>
    <row r="579" spans="9:10" x14ac:dyDescent="0.25">
      <c r="I579" s="37"/>
      <c r="J579" s="35"/>
    </row>
    <row r="580" spans="9:10" x14ac:dyDescent="0.25">
      <c r="I580" s="37"/>
      <c r="J580" s="35"/>
    </row>
    <row r="581" spans="9:10" x14ac:dyDescent="0.25">
      <c r="I581" s="37"/>
      <c r="J581" s="35"/>
    </row>
    <row r="582" spans="9:10" x14ac:dyDescent="0.25">
      <c r="I582" s="37"/>
      <c r="J582" s="35"/>
    </row>
    <row r="583" spans="9:10" x14ac:dyDescent="0.25">
      <c r="I583" s="37"/>
      <c r="J583" s="35"/>
    </row>
    <row r="584" spans="9:10" x14ac:dyDescent="0.25">
      <c r="I584" s="37"/>
      <c r="J584" s="35"/>
    </row>
    <row r="585" spans="9:10" x14ac:dyDescent="0.25">
      <c r="I585" s="37"/>
      <c r="J585" s="35"/>
    </row>
    <row r="586" spans="9:10" x14ac:dyDescent="0.25">
      <c r="I586" s="37"/>
      <c r="J586" s="35"/>
    </row>
    <row r="587" spans="9:10" x14ac:dyDescent="0.25">
      <c r="I587" s="37"/>
      <c r="J587" s="35"/>
    </row>
    <row r="588" spans="9:10" x14ac:dyDescent="0.25">
      <c r="I588" s="37"/>
      <c r="J588" s="35"/>
    </row>
    <row r="589" spans="9:10" x14ac:dyDescent="0.25">
      <c r="I589" s="37"/>
      <c r="J589" s="35"/>
    </row>
    <row r="590" spans="9:10" x14ac:dyDescent="0.25">
      <c r="I590" s="37"/>
      <c r="J590" s="35"/>
    </row>
    <row r="591" spans="9:10" x14ac:dyDescent="0.25">
      <c r="I591" s="37"/>
      <c r="J591" s="35"/>
    </row>
    <row r="592" spans="9:10" x14ac:dyDescent="0.25">
      <c r="I592" s="37"/>
      <c r="J592" s="35"/>
    </row>
    <row r="593" spans="9:10" x14ac:dyDescent="0.25">
      <c r="I593" s="37"/>
      <c r="J593" s="35"/>
    </row>
    <row r="594" spans="9:10" x14ac:dyDescent="0.25">
      <c r="I594" s="37"/>
      <c r="J594" s="35"/>
    </row>
    <row r="595" spans="9:10" x14ac:dyDescent="0.25">
      <c r="I595" s="37"/>
      <c r="J595" s="35"/>
    </row>
    <row r="596" spans="9:10" x14ac:dyDescent="0.25">
      <c r="I596" s="37"/>
      <c r="J596" s="35"/>
    </row>
    <row r="597" spans="9:10" x14ac:dyDescent="0.25">
      <c r="I597" s="37"/>
      <c r="J597" s="35"/>
    </row>
    <row r="598" spans="9:10" x14ac:dyDescent="0.25">
      <c r="I598" s="37"/>
      <c r="J598" s="35"/>
    </row>
    <row r="599" spans="9:10" x14ac:dyDescent="0.25">
      <c r="I599" s="37"/>
      <c r="J599" s="35"/>
    </row>
    <row r="600" spans="9:10" x14ac:dyDescent="0.25">
      <c r="I600" s="37"/>
      <c r="J600" s="35"/>
    </row>
    <row r="601" spans="9:10" x14ac:dyDescent="0.25">
      <c r="I601" s="37"/>
      <c r="J601" s="35"/>
    </row>
    <row r="602" spans="9:10" x14ac:dyDescent="0.25">
      <c r="I602" s="37"/>
      <c r="J602" s="35"/>
    </row>
    <row r="603" spans="9:10" x14ac:dyDescent="0.25">
      <c r="I603" s="37"/>
      <c r="J603" s="35"/>
    </row>
    <row r="604" spans="9:10" x14ac:dyDescent="0.25">
      <c r="I604" s="37"/>
      <c r="J604" s="35"/>
    </row>
    <row r="605" spans="9:10" x14ac:dyDescent="0.25">
      <c r="I605" s="37"/>
      <c r="J605" s="35"/>
    </row>
    <row r="606" spans="9:10" x14ac:dyDescent="0.25">
      <c r="I606" s="37"/>
      <c r="J606" s="35"/>
    </row>
    <row r="607" spans="9:10" x14ac:dyDescent="0.25">
      <c r="I607" s="37"/>
      <c r="J607" s="35"/>
    </row>
    <row r="608" spans="9:10" x14ac:dyDescent="0.25">
      <c r="I608" s="37"/>
      <c r="J608" s="35"/>
    </row>
    <row r="609" spans="9:10" x14ac:dyDescent="0.25">
      <c r="I609" s="37"/>
      <c r="J609" s="35"/>
    </row>
    <row r="610" spans="9:10" x14ac:dyDescent="0.25">
      <c r="I610" s="37"/>
      <c r="J610" s="35"/>
    </row>
    <row r="611" spans="9:10" x14ac:dyDescent="0.25">
      <c r="I611" s="37"/>
      <c r="J611" s="35"/>
    </row>
    <row r="612" spans="9:10" x14ac:dyDescent="0.25">
      <c r="I612" s="37"/>
      <c r="J612" s="35"/>
    </row>
    <row r="613" spans="9:10" x14ac:dyDescent="0.25">
      <c r="I613" s="37"/>
      <c r="J613" s="35"/>
    </row>
    <row r="614" spans="9:10" x14ac:dyDescent="0.25">
      <c r="I614" s="37"/>
      <c r="J614" s="35"/>
    </row>
    <row r="615" spans="9:10" x14ac:dyDescent="0.25">
      <c r="I615" s="37"/>
      <c r="J615" s="35"/>
    </row>
    <row r="616" spans="9:10" x14ac:dyDescent="0.25">
      <c r="I616" s="37"/>
      <c r="J616" s="35"/>
    </row>
    <row r="617" spans="9:10" x14ac:dyDescent="0.25">
      <c r="I617" s="37"/>
      <c r="J617" s="35"/>
    </row>
    <row r="618" spans="9:10" x14ac:dyDescent="0.25">
      <c r="I618" s="37"/>
      <c r="J618" s="35"/>
    </row>
    <row r="619" spans="9:10" x14ac:dyDescent="0.25">
      <c r="I619" s="37"/>
      <c r="J619" s="35"/>
    </row>
    <row r="620" spans="9:10" x14ac:dyDescent="0.25">
      <c r="I620" s="37"/>
      <c r="J620" s="35"/>
    </row>
    <row r="621" spans="9:10" x14ac:dyDescent="0.25">
      <c r="I621" s="37"/>
      <c r="J621" s="35"/>
    </row>
    <row r="622" spans="9:10" x14ac:dyDescent="0.25">
      <c r="I622" s="37"/>
      <c r="J622" s="35"/>
    </row>
    <row r="623" spans="9:10" x14ac:dyDescent="0.25">
      <c r="I623" s="37"/>
      <c r="J623" s="35"/>
    </row>
    <row r="624" spans="9:10" x14ac:dyDescent="0.25">
      <c r="I624" s="37"/>
      <c r="J624" s="35"/>
    </row>
    <row r="625" spans="9:10" x14ac:dyDescent="0.25">
      <c r="I625" s="37"/>
      <c r="J625" s="35"/>
    </row>
    <row r="626" spans="9:10" x14ac:dyDescent="0.25">
      <c r="I626" s="37"/>
      <c r="J626" s="35"/>
    </row>
    <row r="627" spans="9:10" x14ac:dyDescent="0.25">
      <c r="I627" s="37"/>
      <c r="J627" s="35"/>
    </row>
    <row r="628" spans="9:10" x14ac:dyDescent="0.25">
      <c r="I628" s="37"/>
      <c r="J628" s="35"/>
    </row>
    <row r="629" spans="9:10" x14ac:dyDescent="0.25">
      <c r="I629" s="37"/>
      <c r="J629" s="35"/>
    </row>
    <row r="630" spans="9:10" x14ac:dyDescent="0.25">
      <c r="I630" s="37"/>
      <c r="J630" s="35"/>
    </row>
    <row r="631" spans="9:10" x14ac:dyDescent="0.25">
      <c r="I631" s="37"/>
      <c r="J631" s="35"/>
    </row>
    <row r="632" spans="9:10" x14ac:dyDescent="0.25">
      <c r="I632" s="37"/>
      <c r="J632" s="35"/>
    </row>
    <row r="633" spans="9:10" x14ac:dyDescent="0.25">
      <c r="I633" s="37"/>
      <c r="J633" s="35"/>
    </row>
    <row r="634" spans="9:10" x14ac:dyDescent="0.25">
      <c r="I634" s="37"/>
      <c r="J634" s="35"/>
    </row>
    <row r="635" spans="9:10" x14ac:dyDescent="0.25">
      <c r="I635" s="37"/>
      <c r="J635" s="35"/>
    </row>
    <row r="636" spans="9:10" x14ac:dyDescent="0.25">
      <c r="I636" s="37"/>
      <c r="J636" s="35"/>
    </row>
    <row r="637" spans="9:10" x14ac:dyDescent="0.25">
      <c r="I637" s="37"/>
      <c r="J637" s="35"/>
    </row>
    <row r="638" spans="9:10" x14ac:dyDescent="0.25">
      <c r="I638" s="37"/>
      <c r="J638" s="35"/>
    </row>
    <row r="639" spans="9:10" x14ac:dyDescent="0.25">
      <c r="I639" s="37"/>
      <c r="J639" s="35"/>
    </row>
    <row r="640" spans="9:10" x14ac:dyDescent="0.25">
      <c r="I640" s="37"/>
      <c r="J640" s="35"/>
    </row>
    <row r="641" spans="9:10" x14ac:dyDescent="0.25">
      <c r="I641" s="37"/>
      <c r="J641" s="35"/>
    </row>
    <row r="642" spans="9:10" x14ac:dyDescent="0.25">
      <c r="I642" s="37"/>
      <c r="J642" s="35"/>
    </row>
    <row r="643" spans="9:10" x14ac:dyDescent="0.25">
      <c r="I643" s="37"/>
      <c r="J643" s="35"/>
    </row>
    <row r="644" spans="9:10" x14ac:dyDescent="0.25">
      <c r="I644" s="37"/>
      <c r="J644" s="35"/>
    </row>
    <row r="645" spans="9:10" x14ac:dyDescent="0.25">
      <c r="I645" s="37"/>
      <c r="J645" s="35"/>
    </row>
    <row r="646" spans="9:10" x14ac:dyDescent="0.25">
      <c r="I646" s="37"/>
      <c r="J646" s="35"/>
    </row>
    <row r="647" spans="9:10" x14ac:dyDescent="0.25">
      <c r="I647" s="37"/>
      <c r="J647" s="35"/>
    </row>
    <row r="648" spans="9:10" x14ac:dyDescent="0.25">
      <c r="I648" s="37"/>
      <c r="J648" s="35"/>
    </row>
    <row r="649" spans="9:10" x14ac:dyDescent="0.25">
      <c r="I649" s="37"/>
      <c r="J649" s="35"/>
    </row>
    <row r="650" spans="9:10" x14ac:dyDescent="0.25">
      <c r="I650" s="37"/>
      <c r="J650" s="35"/>
    </row>
    <row r="651" spans="9:10" x14ac:dyDescent="0.25">
      <c r="I651" s="37"/>
      <c r="J651" s="35"/>
    </row>
    <row r="652" spans="9:10" x14ac:dyDescent="0.25">
      <c r="I652" s="37"/>
      <c r="J652" s="35"/>
    </row>
    <row r="653" spans="9:10" x14ac:dyDescent="0.25">
      <c r="I653" s="37"/>
      <c r="J653" s="35"/>
    </row>
    <row r="654" spans="9:10" x14ac:dyDescent="0.25">
      <c r="I654" s="37"/>
      <c r="J654" s="35"/>
    </row>
    <row r="655" spans="9:10" x14ac:dyDescent="0.25">
      <c r="I655" s="37"/>
      <c r="J655" s="35"/>
    </row>
    <row r="656" spans="9:10" x14ac:dyDescent="0.25">
      <c r="I656" s="37"/>
      <c r="J656" s="35"/>
    </row>
    <row r="657" spans="9:10" x14ac:dyDescent="0.25">
      <c r="I657" s="37"/>
      <c r="J657" s="35"/>
    </row>
    <row r="658" spans="9:10" x14ac:dyDescent="0.25">
      <c r="I658" s="37"/>
      <c r="J658" s="35"/>
    </row>
    <row r="659" spans="9:10" x14ac:dyDescent="0.25">
      <c r="I659" s="37"/>
      <c r="J659" s="35"/>
    </row>
    <row r="660" spans="9:10" x14ac:dyDescent="0.25">
      <c r="I660" s="37"/>
      <c r="J660" s="35"/>
    </row>
    <row r="661" spans="9:10" x14ac:dyDescent="0.25">
      <c r="I661" s="37"/>
      <c r="J661" s="35"/>
    </row>
    <row r="662" spans="9:10" x14ac:dyDescent="0.25">
      <c r="I662" s="37"/>
      <c r="J662" s="35"/>
    </row>
    <row r="663" spans="9:10" x14ac:dyDescent="0.25">
      <c r="I663" s="37"/>
      <c r="J663" s="35"/>
    </row>
    <row r="664" spans="9:10" x14ac:dyDescent="0.25">
      <c r="I664" s="37"/>
      <c r="J664" s="35"/>
    </row>
    <row r="665" spans="9:10" x14ac:dyDescent="0.25">
      <c r="I665" s="37"/>
      <c r="J665" s="35"/>
    </row>
    <row r="666" spans="9:10" x14ac:dyDescent="0.25">
      <c r="I666" s="37"/>
      <c r="J666" s="35"/>
    </row>
    <row r="667" spans="9:10" x14ac:dyDescent="0.25">
      <c r="I667" s="37"/>
      <c r="J667" s="35"/>
    </row>
    <row r="668" spans="9:10" x14ac:dyDescent="0.25">
      <c r="I668" s="37"/>
      <c r="J668" s="35"/>
    </row>
    <row r="669" spans="9:10" x14ac:dyDescent="0.25">
      <c r="I669" s="37"/>
      <c r="J669" s="35"/>
    </row>
    <row r="670" spans="9:10" x14ac:dyDescent="0.25">
      <c r="I670" s="37"/>
      <c r="J670" s="35"/>
    </row>
    <row r="671" spans="9:10" x14ac:dyDescent="0.25">
      <c r="I671" s="37"/>
      <c r="J671" s="35"/>
    </row>
    <row r="672" spans="9:10" x14ac:dyDescent="0.25">
      <c r="I672" s="37"/>
      <c r="J672" s="35"/>
    </row>
    <row r="673" spans="9:10" x14ac:dyDescent="0.25">
      <c r="I673" s="37"/>
      <c r="J673" s="35"/>
    </row>
    <row r="674" spans="9:10" x14ac:dyDescent="0.25">
      <c r="I674" s="37"/>
      <c r="J674" s="35"/>
    </row>
    <row r="675" spans="9:10" x14ac:dyDescent="0.25">
      <c r="I675" s="37"/>
      <c r="J675" s="35"/>
    </row>
    <row r="676" spans="9:10" x14ac:dyDescent="0.25">
      <c r="I676" s="37"/>
      <c r="J676" s="35"/>
    </row>
    <row r="677" spans="9:10" x14ac:dyDescent="0.25">
      <c r="I677" s="37"/>
      <c r="J677" s="35"/>
    </row>
    <row r="678" spans="9:10" x14ac:dyDescent="0.25">
      <c r="I678" s="37"/>
      <c r="J678" s="35"/>
    </row>
    <row r="679" spans="9:10" x14ac:dyDescent="0.25">
      <c r="I679" s="37"/>
      <c r="J679" s="35"/>
    </row>
    <row r="680" spans="9:10" x14ac:dyDescent="0.25">
      <c r="I680" s="37"/>
      <c r="J680" s="35"/>
    </row>
    <row r="681" spans="9:10" x14ac:dyDescent="0.25">
      <c r="I681" s="37"/>
      <c r="J681" s="35"/>
    </row>
    <row r="682" spans="9:10" x14ac:dyDescent="0.25">
      <c r="I682" s="37"/>
      <c r="J682" s="35"/>
    </row>
    <row r="683" spans="9:10" x14ac:dyDescent="0.25">
      <c r="I683" s="37"/>
      <c r="J683" s="35"/>
    </row>
    <row r="684" spans="9:10" x14ac:dyDescent="0.25">
      <c r="I684" s="37"/>
      <c r="J684" s="35"/>
    </row>
    <row r="685" spans="9:10" x14ac:dyDescent="0.25">
      <c r="I685" s="37"/>
      <c r="J685" s="35"/>
    </row>
    <row r="686" spans="9:10" x14ac:dyDescent="0.25">
      <c r="I686" s="37"/>
      <c r="J686" s="35"/>
    </row>
    <row r="687" spans="9:10" x14ac:dyDescent="0.25">
      <c r="I687" s="37"/>
      <c r="J687" s="35"/>
    </row>
    <row r="688" spans="9:10" x14ac:dyDescent="0.25">
      <c r="I688" s="37"/>
      <c r="J688" s="35"/>
    </row>
    <row r="689" spans="9:10" x14ac:dyDescent="0.25">
      <c r="I689" s="37"/>
      <c r="J689" s="35"/>
    </row>
    <row r="690" spans="9:10" x14ac:dyDescent="0.25">
      <c r="I690" s="37"/>
      <c r="J690" s="35"/>
    </row>
    <row r="691" spans="9:10" x14ac:dyDescent="0.25">
      <c r="I691" s="37"/>
      <c r="J691" s="35"/>
    </row>
    <row r="692" spans="9:10" x14ac:dyDescent="0.25">
      <c r="I692" s="37"/>
      <c r="J692" s="35"/>
    </row>
    <row r="693" spans="9:10" x14ac:dyDescent="0.25">
      <c r="I693" s="37"/>
      <c r="J693" s="35"/>
    </row>
    <row r="694" spans="9:10" x14ac:dyDescent="0.25">
      <c r="I694" s="37"/>
      <c r="J694" s="35"/>
    </row>
    <row r="695" spans="9:10" x14ac:dyDescent="0.25">
      <c r="I695" s="37"/>
      <c r="J695" s="35"/>
    </row>
    <row r="696" spans="9:10" x14ac:dyDescent="0.25">
      <c r="I696" s="37"/>
      <c r="J696" s="35"/>
    </row>
    <row r="697" spans="9:10" x14ac:dyDescent="0.25">
      <c r="I697" s="37"/>
      <c r="J697" s="35"/>
    </row>
    <row r="698" spans="9:10" x14ac:dyDescent="0.25">
      <c r="I698" s="37"/>
      <c r="J698" s="35"/>
    </row>
    <row r="699" spans="9:10" x14ac:dyDescent="0.25">
      <c r="I699" s="37"/>
      <c r="J699" s="35"/>
    </row>
    <row r="700" spans="9:10" x14ac:dyDescent="0.25">
      <c r="I700" s="37"/>
      <c r="J700" s="35"/>
    </row>
    <row r="701" spans="9:10" x14ac:dyDescent="0.25">
      <c r="I701" s="37"/>
      <c r="J701" s="35"/>
    </row>
    <row r="702" spans="9:10" x14ac:dyDescent="0.25">
      <c r="I702" s="37"/>
      <c r="J702" s="35"/>
    </row>
    <row r="703" spans="9:10" x14ac:dyDescent="0.25">
      <c r="I703" s="37"/>
      <c r="J703" s="35"/>
    </row>
    <row r="704" spans="9:10" x14ac:dyDescent="0.25">
      <c r="I704" s="37"/>
      <c r="J704" s="35"/>
    </row>
    <row r="705" spans="9:10" x14ac:dyDescent="0.25">
      <c r="I705" s="37"/>
      <c r="J705" s="35"/>
    </row>
    <row r="706" spans="9:10" x14ac:dyDescent="0.25">
      <c r="I706" s="37"/>
      <c r="J706" s="35"/>
    </row>
    <row r="707" spans="9:10" x14ac:dyDescent="0.25">
      <c r="I707" s="37"/>
      <c r="J707" s="35"/>
    </row>
    <row r="708" spans="9:10" x14ac:dyDescent="0.25">
      <c r="I708" s="37"/>
      <c r="J708" s="35"/>
    </row>
    <row r="709" spans="9:10" x14ac:dyDescent="0.25">
      <c r="I709" s="37"/>
      <c r="J709" s="35"/>
    </row>
    <row r="710" spans="9:10" x14ac:dyDescent="0.25">
      <c r="I710" s="37"/>
      <c r="J710" s="35"/>
    </row>
    <row r="711" spans="9:10" x14ac:dyDescent="0.25">
      <c r="I711" s="37"/>
      <c r="J711" s="35"/>
    </row>
    <row r="712" spans="9:10" x14ac:dyDescent="0.25">
      <c r="I712" s="37"/>
      <c r="J712" s="35"/>
    </row>
    <row r="713" spans="9:10" x14ac:dyDescent="0.25">
      <c r="I713" s="37"/>
      <c r="J713" s="35"/>
    </row>
    <row r="714" spans="9:10" x14ac:dyDescent="0.25">
      <c r="I714" s="37"/>
      <c r="J714" s="35"/>
    </row>
    <row r="715" spans="9:10" x14ac:dyDescent="0.25">
      <c r="I715" s="37"/>
      <c r="J715" s="35"/>
    </row>
    <row r="716" spans="9:10" x14ac:dyDescent="0.25">
      <c r="I716" s="37"/>
      <c r="J716" s="35"/>
    </row>
    <row r="717" spans="9:10" x14ac:dyDescent="0.25">
      <c r="I717" s="37"/>
      <c r="J717" s="35"/>
    </row>
    <row r="718" spans="9:10" x14ac:dyDescent="0.25">
      <c r="I718" s="37"/>
      <c r="J718" s="35"/>
    </row>
    <row r="719" spans="9:10" x14ac:dyDescent="0.25">
      <c r="I719" s="37"/>
      <c r="J719" s="35"/>
    </row>
    <row r="720" spans="9:10" x14ac:dyDescent="0.25">
      <c r="I720" s="37"/>
      <c r="J720" s="35"/>
    </row>
    <row r="721" spans="9:10" x14ac:dyDescent="0.25">
      <c r="I721" s="37"/>
      <c r="J721" s="35"/>
    </row>
    <row r="722" spans="9:10" x14ac:dyDescent="0.25">
      <c r="I722" s="37"/>
      <c r="J722" s="35"/>
    </row>
    <row r="723" spans="9:10" x14ac:dyDescent="0.25">
      <c r="I723" s="37"/>
      <c r="J723" s="35"/>
    </row>
    <row r="724" spans="9:10" x14ac:dyDescent="0.25">
      <c r="I724" s="37"/>
      <c r="J724" s="35"/>
    </row>
    <row r="725" spans="9:10" x14ac:dyDescent="0.25">
      <c r="I725" s="37"/>
      <c r="J725" s="35"/>
    </row>
    <row r="726" spans="9:10" x14ac:dyDescent="0.25">
      <c r="I726" s="37"/>
      <c r="J726" s="35"/>
    </row>
    <row r="727" spans="9:10" x14ac:dyDescent="0.25">
      <c r="I727" s="37"/>
      <c r="J727" s="35"/>
    </row>
    <row r="728" spans="9:10" x14ac:dyDescent="0.25">
      <c r="I728" s="37"/>
      <c r="J728" s="35"/>
    </row>
    <row r="729" spans="9:10" x14ac:dyDescent="0.25">
      <c r="I729" s="37"/>
      <c r="J729" s="35"/>
    </row>
    <row r="730" spans="9:10" x14ac:dyDescent="0.25">
      <c r="I730" s="37"/>
      <c r="J730" s="35"/>
    </row>
    <row r="731" spans="9:10" x14ac:dyDescent="0.25">
      <c r="I731" s="37"/>
      <c r="J731" s="35"/>
    </row>
    <row r="732" spans="9:10" x14ac:dyDescent="0.25">
      <c r="I732" s="37"/>
      <c r="J732" s="35"/>
    </row>
    <row r="733" spans="9:10" x14ac:dyDescent="0.25">
      <c r="I733" s="37"/>
      <c r="J733" s="35"/>
    </row>
    <row r="734" spans="9:10" x14ac:dyDescent="0.25">
      <c r="I734" s="37"/>
      <c r="J734" s="35"/>
    </row>
    <row r="735" spans="9:10" x14ac:dyDescent="0.25">
      <c r="I735" s="37"/>
      <c r="J735" s="35"/>
    </row>
    <row r="736" spans="9:10" x14ac:dyDescent="0.25">
      <c r="I736" s="37"/>
      <c r="J736" s="35"/>
    </row>
    <row r="737" spans="9:10" x14ac:dyDescent="0.25">
      <c r="I737" s="37"/>
      <c r="J737" s="35"/>
    </row>
    <row r="738" spans="9:10" x14ac:dyDescent="0.25">
      <c r="I738" s="37"/>
      <c r="J738" s="35"/>
    </row>
    <row r="739" spans="9:10" x14ac:dyDescent="0.25">
      <c r="I739" s="37"/>
      <c r="J739" s="35"/>
    </row>
    <row r="740" spans="9:10" x14ac:dyDescent="0.25">
      <c r="I740" s="37"/>
      <c r="J740" s="35"/>
    </row>
    <row r="741" spans="9:10" x14ac:dyDescent="0.25">
      <c r="I741" s="37"/>
      <c r="J741" s="35"/>
    </row>
    <row r="742" spans="9:10" x14ac:dyDescent="0.25">
      <c r="I742" s="37"/>
      <c r="J742" s="35"/>
    </row>
    <row r="743" spans="9:10" x14ac:dyDescent="0.25">
      <c r="I743" s="37"/>
      <c r="J743" s="35"/>
    </row>
    <row r="744" spans="9:10" x14ac:dyDescent="0.25">
      <c r="I744" s="37"/>
      <c r="J744" s="35"/>
    </row>
    <row r="745" spans="9:10" x14ac:dyDescent="0.25">
      <c r="I745" s="37"/>
      <c r="J745" s="35"/>
    </row>
    <row r="746" spans="9:10" x14ac:dyDescent="0.25">
      <c r="I746" s="37"/>
      <c r="J746" s="35"/>
    </row>
    <row r="747" spans="9:10" x14ac:dyDescent="0.25">
      <c r="I747" s="37"/>
      <c r="J747" s="35"/>
    </row>
    <row r="748" spans="9:10" x14ac:dyDescent="0.25">
      <c r="I748" s="37"/>
      <c r="J748" s="35"/>
    </row>
    <row r="749" spans="9:10" x14ac:dyDescent="0.25">
      <c r="I749" s="37"/>
      <c r="J749" s="35"/>
    </row>
    <row r="750" spans="9:10" x14ac:dyDescent="0.25">
      <c r="I750" s="37"/>
      <c r="J750" s="35"/>
    </row>
    <row r="751" spans="9:10" x14ac:dyDescent="0.25">
      <c r="I751" s="37"/>
      <c r="J751" s="35"/>
    </row>
    <row r="752" spans="9:10" x14ac:dyDescent="0.25">
      <c r="I752" s="37"/>
      <c r="J752" s="35"/>
    </row>
    <row r="753" spans="9:10" x14ac:dyDescent="0.25">
      <c r="I753" s="37"/>
      <c r="J753" s="35"/>
    </row>
    <row r="754" spans="9:10" x14ac:dyDescent="0.25">
      <c r="I754" s="37"/>
      <c r="J754" s="35"/>
    </row>
    <row r="755" spans="9:10" x14ac:dyDescent="0.25">
      <c r="I755" s="37"/>
      <c r="J755" s="35"/>
    </row>
    <row r="756" spans="9:10" x14ac:dyDescent="0.25">
      <c r="I756" s="37"/>
      <c r="J756" s="35"/>
    </row>
    <row r="757" spans="9:10" x14ac:dyDescent="0.25">
      <c r="I757" s="37"/>
      <c r="J757" s="35"/>
    </row>
    <row r="758" spans="9:10" x14ac:dyDescent="0.25">
      <c r="I758" s="37"/>
      <c r="J758" s="35"/>
    </row>
    <row r="759" spans="9:10" x14ac:dyDescent="0.25">
      <c r="I759" s="37"/>
      <c r="J759" s="35"/>
    </row>
    <row r="760" spans="9:10" x14ac:dyDescent="0.25">
      <c r="I760" s="37"/>
      <c r="J760" s="35"/>
    </row>
    <row r="761" spans="9:10" x14ac:dyDescent="0.25">
      <c r="I761" s="37"/>
      <c r="J761" s="35"/>
    </row>
    <row r="762" spans="9:10" x14ac:dyDescent="0.25">
      <c r="I762" s="37"/>
      <c r="J762" s="35"/>
    </row>
    <row r="763" spans="9:10" x14ac:dyDescent="0.25">
      <c r="I763" s="37"/>
      <c r="J763" s="35"/>
    </row>
    <row r="764" spans="9:10" x14ac:dyDescent="0.25">
      <c r="I764" s="37"/>
      <c r="J764" s="35"/>
    </row>
    <row r="765" spans="9:10" x14ac:dyDescent="0.25">
      <c r="I765" s="37"/>
      <c r="J765" s="35"/>
    </row>
    <row r="766" spans="9:10" x14ac:dyDescent="0.25">
      <c r="I766" s="37"/>
      <c r="J766" s="35"/>
    </row>
    <row r="767" spans="9:10" x14ac:dyDescent="0.25">
      <c r="I767" s="37"/>
      <c r="J767" s="35"/>
    </row>
    <row r="768" spans="9:10" x14ac:dyDescent="0.25">
      <c r="I768" s="37"/>
      <c r="J768" s="35"/>
    </row>
    <row r="769" spans="9:10" x14ac:dyDescent="0.25">
      <c r="I769" s="37"/>
      <c r="J769" s="35"/>
    </row>
    <row r="770" spans="9:10" x14ac:dyDescent="0.25">
      <c r="I770" s="37"/>
      <c r="J770" s="35"/>
    </row>
    <row r="771" spans="9:10" x14ac:dyDescent="0.25">
      <c r="I771" s="37"/>
      <c r="J771" s="35"/>
    </row>
    <row r="772" spans="9:10" x14ac:dyDescent="0.25">
      <c r="I772" s="37"/>
      <c r="J772" s="35"/>
    </row>
    <row r="773" spans="9:10" x14ac:dyDescent="0.25">
      <c r="I773" s="37"/>
      <c r="J773" s="35"/>
    </row>
    <row r="774" spans="9:10" x14ac:dyDescent="0.25">
      <c r="I774" s="37"/>
      <c r="J774" s="35"/>
    </row>
    <row r="775" spans="9:10" x14ac:dyDescent="0.25">
      <c r="I775" s="37"/>
      <c r="J775" s="35"/>
    </row>
    <row r="776" spans="9:10" x14ac:dyDescent="0.25">
      <c r="I776" s="37"/>
      <c r="J776" s="35"/>
    </row>
    <row r="777" spans="9:10" x14ac:dyDescent="0.25">
      <c r="I777" s="37"/>
      <c r="J777" s="35"/>
    </row>
    <row r="778" spans="9:10" x14ac:dyDescent="0.25">
      <c r="I778" s="37"/>
      <c r="J778" s="35"/>
    </row>
    <row r="779" spans="9:10" x14ac:dyDescent="0.25">
      <c r="I779" s="37"/>
      <c r="J779" s="35"/>
    </row>
    <row r="780" spans="9:10" x14ac:dyDescent="0.25">
      <c r="I780" s="37"/>
      <c r="J780" s="35"/>
    </row>
    <row r="781" spans="9:10" x14ac:dyDescent="0.25">
      <c r="I781" s="37"/>
      <c r="J781" s="35"/>
    </row>
    <row r="782" spans="9:10" x14ac:dyDescent="0.25">
      <c r="I782" s="37"/>
      <c r="J782" s="35"/>
    </row>
    <row r="783" spans="9:10" x14ac:dyDescent="0.25">
      <c r="I783" s="37"/>
      <c r="J783" s="35"/>
    </row>
    <row r="784" spans="9:10" x14ac:dyDescent="0.25">
      <c r="I784" s="37"/>
      <c r="J784" s="35"/>
    </row>
    <row r="785" spans="9:10" x14ac:dyDescent="0.25">
      <c r="I785" s="37"/>
      <c r="J785" s="35"/>
    </row>
    <row r="786" spans="9:10" x14ac:dyDescent="0.25">
      <c r="I786" s="37"/>
      <c r="J786" s="35"/>
    </row>
    <row r="787" spans="9:10" x14ac:dyDescent="0.25">
      <c r="I787" s="37"/>
      <c r="J787" s="35"/>
    </row>
    <row r="788" spans="9:10" x14ac:dyDescent="0.25">
      <c r="I788" s="37"/>
      <c r="J788" s="35"/>
    </row>
    <row r="789" spans="9:10" x14ac:dyDescent="0.25">
      <c r="I789" s="37"/>
      <c r="J789" s="35"/>
    </row>
    <row r="790" spans="9:10" x14ac:dyDescent="0.25">
      <c r="I790" s="37"/>
      <c r="J790" s="35"/>
    </row>
    <row r="791" spans="9:10" x14ac:dyDescent="0.25">
      <c r="I791" s="37"/>
      <c r="J791" s="35"/>
    </row>
    <row r="792" spans="9:10" x14ac:dyDescent="0.25">
      <c r="I792" s="37"/>
      <c r="J792" s="35"/>
    </row>
    <row r="793" spans="9:10" x14ac:dyDescent="0.25">
      <c r="I793" s="37"/>
      <c r="J793" s="35"/>
    </row>
    <row r="794" spans="9:10" x14ac:dyDescent="0.25">
      <c r="I794" s="37"/>
      <c r="J794" s="35"/>
    </row>
    <row r="795" spans="9:10" x14ac:dyDescent="0.25">
      <c r="I795" s="37"/>
      <c r="J795" s="35"/>
    </row>
    <row r="796" spans="9:10" x14ac:dyDescent="0.25">
      <c r="I796" s="37"/>
      <c r="J796" s="35"/>
    </row>
    <row r="797" spans="9:10" x14ac:dyDescent="0.25">
      <c r="I797" s="37"/>
      <c r="J797" s="35"/>
    </row>
    <row r="798" spans="9:10" x14ac:dyDescent="0.25">
      <c r="I798" s="37"/>
      <c r="J798" s="35"/>
    </row>
    <row r="799" spans="9:10" x14ac:dyDescent="0.25">
      <c r="I799" s="37"/>
      <c r="J799" s="35"/>
    </row>
    <row r="800" spans="9:10" x14ac:dyDescent="0.25">
      <c r="I800" s="37"/>
      <c r="J800" s="35"/>
    </row>
    <row r="801" spans="9:10" x14ac:dyDescent="0.25">
      <c r="I801" s="37"/>
      <c r="J801" s="35"/>
    </row>
    <row r="802" spans="9:10" x14ac:dyDescent="0.25">
      <c r="I802" s="37"/>
      <c r="J802" s="35"/>
    </row>
    <row r="803" spans="9:10" x14ac:dyDescent="0.25">
      <c r="I803" s="37"/>
      <c r="J803" s="35"/>
    </row>
    <row r="804" spans="9:10" x14ac:dyDescent="0.25">
      <c r="I804" s="37"/>
      <c r="J804" s="35"/>
    </row>
    <row r="805" spans="9:10" x14ac:dyDescent="0.25">
      <c r="I805" s="37"/>
      <c r="J805" s="35"/>
    </row>
    <row r="806" spans="9:10" x14ac:dyDescent="0.25">
      <c r="I806" s="37"/>
      <c r="J806" s="35"/>
    </row>
    <row r="807" spans="9:10" x14ac:dyDescent="0.25">
      <c r="I807" s="37"/>
      <c r="J807" s="35"/>
    </row>
    <row r="808" spans="9:10" x14ac:dyDescent="0.25">
      <c r="I808" s="37"/>
      <c r="J808" s="35"/>
    </row>
    <row r="809" spans="9:10" x14ac:dyDescent="0.25">
      <c r="I809" s="37"/>
      <c r="J809" s="35"/>
    </row>
    <row r="810" spans="9:10" x14ac:dyDescent="0.25">
      <c r="I810" s="37"/>
      <c r="J810" s="35"/>
    </row>
    <row r="811" spans="9:10" x14ac:dyDescent="0.25">
      <c r="I811" s="37"/>
      <c r="J811" s="35"/>
    </row>
    <row r="812" spans="9:10" x14ac:dyDescent="0.25">
      <c r="I812" s="37"/>
      <c r="J812" s="35"/>
    </row>
    <row r="813" spans="9:10" x14ac:dyDescent="0.25">
      <c r="I813" s="37"/>
      <c r="J813" s="35"/>
    </row>
    <row r="814" spans="9:10" x14ac:dyDescent="0.25">
      <c r="I814" s="37"/>
      <c r="J814" s="35"/>
    </row>
    <row r="815" spans="9:10" x14ac:dyDescent="0.25">
      <c r="I815" s="37"/>
      <c r="J815" s="35"/>
    </row>
    <row r="816" spans="9:10" x14ac:dyDescent="0.25">
      <c r="I816" s="37"/>
      <c r="J816" s="35"/>
    </row>
    <row r="817" spans="9:10" x14ac:dyDescent="0.25">
      <c r="I817" s="37"/>
      <c r="J817" s="35"/>
    </row>
    <row r="818" spans="9:10" x14ac:dyDescent="0.25">
      <c r="I818" s="37"/>
      <c r="J818" s="35"/>
    </row>
    <row r="819" spans="9:10" x14ac:dyDescent="0.25">
      <c r="I819" s="37"/>
      <c r="J819" s="35"/>
    </row>
    <row r="820" spans="9:10" x14ac:dyDescent="0.25">
      <c r="I820" s="37"/>
      <c r="J820" s="35"/>
    </row>
    <row r="821" spans="9:10" x14ac:dyDescent="0.25">
      <c r="I821" s="37"/>
      <c r="J821" s="35"/>
    </row>
    <row r="822" spans="9:10" x14ac:dyDescent="0.25">
      <c r="I822" s="37"/>
      <c r="J822" s="35"/>
    </row>
    <row r="823" spans="9:10" x14ac:dyDescent="0.25">
      <c r="I823" s="37"/>
      <c r="J823" s="35"/>
    </row>
    <row r="824" spans="9:10" x14ac:dyDescent="0.25">
      <c r="I824" s="37"/>
      <c r="J824" s="35"/>
    </row>
    <row r="825" spans="9:10" x14ac:dyDescent="0.25">
      <c r="I825" s="37"/>
      <c r="J825" s="35"/>
    </row>
    <row r="826" spans="9:10" x14ac:dyDescent="0.25">
      <c r="I826" s="37"/>
      <c r="J826" s="35"/>
    </row>
    <row r="827" spans="9:10" x14ac:dyDescent="0.25">
      <c r="I827" s="37"/>
      <c r="J827" s="35"/>
    </row>
    <row r="828" spans="9:10" x14ac:dyDescent="0.25">
      <c r="I828" s="37"/>
      <c r="J828" s="35"/>
    </row>
    <row r="829" spans="9:10" x14ac:dyDescent="0.25">
      <c r="I829" s="37"/>
      <c r="J829" s="35"/>
    </row>
    <row r="830" spans="9:10" x14ac:dyDescent="0.25">
      <c r="I830" s="37"/>
      <c r="J830" s="35"/>
    </row>
    <row r="831" spans="9:10" x14ac:dyDescent="0.25">
      <c r="I831" s="37"/>
      <c r="J831" s="35"/>
    </row>
    <row r="832" spans="9:10" x14ac:dyDescent="0.25">
      <c r="I832" s="37"/>
      <c r="J832" s="35"/>
    </row>
    <row r="833" spans="9:10" x14ac:dyDescent="0.25">
      <c r="I833" s="37"/>
      <c r="J833" s="35"/>
    </row>
    <row r="834" spans="9:10" x14ac:dyDescent="0.25">
      <c r="I834" s="37"/>
      <c r="J834" s="35"/>
    </row>
    <row r="835" spans="9:10" x14ac:dyDescent="0.25">
      <c r="I835" s="37"/>
      <c r="J835" s="35"/>
    </row>
    <row r="836" spans="9:10" x14ac:dyDescent="0.25">
      <c r="I836" s="37"/>
      <c r="J836" s="35"/>
    </row>
    <row r="837" spans="9:10" x14ac:dyDescent="0.25">
      <c r="I837" s="37"/>
      <c r="J837" s="35"/>
    </row>
    <row r="838" spans="9:10" x14ac:dyDescent="0.25">
      <c r="I838" s="37"/>
      <c r="J838" s="35"/>
    </row>
    <row r="839" spans="9:10" x14ac:dyDescent="0.25">
      <c r="I839" s="37"/>
      <c r="J839" s="35"/>
    </row>
    <row r="840" spans="9:10" x14ac:dyDescent="0.25">
      <c r="I840" s="37"/>
      <c r="J840" s="35"/>
    </row>
    <row r="841" spans="9:10" x14ac:dyDescent="0.25">
      <c r="I841" s="37"/>
      <c r="J841" s="35"/>
    </row>
    <row r="842" spans="9:10" x14ac:dyDescent="0.25">
      <c r="I842" s="37"/>
      <c r="J842" s="35"/>
    </row>
    <row r="843" spans="9:10" x14ac:dyDescent="0.25">
      <c r="I843" s="37"/>
      <c r="J843" s="35"/>
    </row>
    <row r="844" spans="9:10" x14ac:dyDescent="0.25">
      <c r="I844" s="37"/>
      <c r="J844" s="35"/>
    </row>
    <row r="845" spans="9:10" x14ac:dyDescent="0.25">
      <c r="I845" s="37"/>
      <c r="J845" s="35"/>
    </row>
    <row r="846" spans="9:10" x14ac:dyDescent="0.25">
      <c r="I846" s="37"/>
      <c r="J846" s="35"/>
    </row>
    <row r="847" spans="9:10" x14ac:dyDescent="0.25">
      <c r="I847" s="37"/>
      <c r="J847" s="35"/>
    </row>
    <row r="848" spans="9:10" x14ac:dyDescent="0.25">
      <c r="I848" s="37"/>
      <c r="J848" s="35"/>
    </row>
    <row r="849" spans="9:10" x14ac:dyDescent="0.25">
      <c r="I849" s="37"/>
      <c r="J849" s="35"/>
    </row>
    <row r="850" spans="9:10" x14ac:dyDescent="0.25">
      <c r="I850" s="37"/>
      <c r="J850" s="35"/>
    </row>
    <row r="851" spans="9:10" x14ac:dyDescent="0.25">
      <c r="I851" s="37"/>
      <c r="J851" s="35"/>
    </row>
    <row r="852" spans="9:10" x14ac:dyDescent="0.25">
      <c r="I852" s="37"/>
      <c r="J852" s="35"/>
    </row>
    <row r="853" spans="9:10" x14ac:dyDescent="0.25">
      <c r="I853" s="37"/>
      <c r="J853" s="35"/>
    </row>
    <row r="854" spans="9:10" x14ac:dyDescent="0.25">
      <c r="I854" s="37"/>
      <c r="J854" s="35"/>
    </row>
    <row r="855" spans="9:10" x14ac:dyDescent="0.25">
      <c r="I855" s="37"/>
      <c r="J855" s="35"/>
    </row>
    <row r="856" spans="9:10" x14ac:dyDescent="0.25">
      <c r="I856" s="37"/>
      <c r="J856" s="35"/>
    </row>
    <row r="857" spans="9:10" x14ac:dyDescent="0.25">
      <c r="I857" s="37"/>
      <c r="J857" s="35"/>
    </row>
    <row r="858" spans="9:10" x14ac:dyDescent="0.25">
      <c r="I858" s="37"/>
      <c r="J858" s="35"/>
    </row>
    <row r="859" spans="9:10" x14ac:dyDescent="0.25">
      <c r="I859" s="37"/>
      <c r="J859" s="35"/>
    </row>
    <row r="860" spans="9:10" x14ac:dyDescent="0.25">
      <c r="I860" s="37"/>
      <c r="J860" s="35"/>
    </row>
    <row r="861" spans="9:10" x14ac:dyDescent="0.25">
      <c r="I861" s="37"/>
      <c r="J861" s="35"/>
    </row>
    <row r="862" spans="9:10" x14ac:dyDescent="0.25">
      <c r="I862" s="37"/>
      <c r="J862" s="35"/>
    </row>
    <row r="863" spans="9:10" x14ac:dyDescent="0.25">
      <c r="I863" s="37"/>
      <c r="J863" s="35"/>
    </row>
    <row r="864" spans="9:10" x14ac:dyDescent="0.25">
      <c r="I864" s="37"/>
      <c r="J864" s="35"/>
    </row>
    <row r="865" spans="9:10" x14ac:dyDescent="0.25">
      <c r="I865" s="37"/>
      <c r="J865" s="35"/>
    </row>
    <row r="866" spans="9:10" x14ac:dyDescent="0.25">
      <c r="I866" s="37"/>
      <c r="J866" s="35"/>
    </row>
    <row r="867" spans="9:10" x14ac:dyDescent="0.25">
      <c r="I867" s="37"/>
      <c r="J867" s="35"/>
    </row>
    <row r="868" spans="9:10" x14ac:dyDescent="0.25">
      <c r="I868" s="37"/>
      <c r="J868" s="35"/>
    </row>
    <row r="869" spans="9:10" x14ac:dyDescent="0.25">
      <c r="I869" s="37"/>
      <c r="J869" s="35"/>
    </row>
    <row r="870" spans="9:10" x14ac:dyDescent="0.25">
      <c r="I870" s="37"/>
      <c r="J870" s="35"/>
    </row>
    <row r="871" spans="9:10" x14ac:dyDescent="0.25">
      <c r="I871" s="37"/>
      <c r="J871" s="35"/>
    </row>
    <row r="872" spans="9:10" x14ac:dyDescent="0.25">
      <c r="I872" s="37"/>
      <c r="J872" s="35"/>
    </row>
    <row r="873" spans="9:10" x14ac:dyDescent="0.25">
      <c r="I873" s="37"/>
      <c r="J873" s="35"/>
    </row>
    <row r="874" spans="9:10" x14ac:dyDescent="0.25">
      <c r="I874" s="37"/>
      <c r="J874" s="35"/>
    </row>
    <row r="875" spans="9:10" x14ac:dyDescent="0.25">
      <c r="I875" s="37"/>
      <c r="J875" s="35"/>
    </row>
    <row r="876" spans="9:10" x14ac:dyDescent="0.25">
      <c r="I876" s="37"/>
      <c r="J876" s="35"/>
    </row>
    <row r="877" spans="9:10" x14ac:dyDescent="0.25">
      <c r="I877" s="37"/>
      <c r="J877" s="35"/>
    </row>
    <row r="878" spans="9:10" x14ac:dyDescent="0.25">
      <c r="I878" s="37"/>
      <c r="J878" s="35"/>
    </row>
    <row r="879" spans="9:10" x14ac:dyDescent="0.25">
      <c r="I879" s="37"/>
      <c r="J879" s="35"/>
    </row>
    <row r="880" spans="9:10" x14ac:dyDescent="0.25">
      <c r="I880" s="37"/>
      <c r="J880" s="35"/>
    </row>
    <row r="881" spans="9:10" x14ac:dyDescent="0.25">
      <c r="I881" s="37"/>
      <c r="J881" s="35"/>
    </row>
    <row r="882" spans="9:10" x14ac:dyDescent="0.25">
      <c r="I882" s="37"/>
      <c r="J882" s="35"/>
    </row>
    <row r="883" spans="9:10" x14ac:dyDescent="0.25">
      <c r="I883" s="37"/>
      <c r="J883" s="35"/>
    </row>
    <row r="884" spans="9:10" x14ac:dyDescent="0.25">
      <c r="I884" s="37"/>
      <c r="J884" s="35"/>
    </row>
    <row r="885" spans="9:10" x14ac:dyDescent="0.25">
      <c r="I885" s="37"/>
      <c r="J885" s="35"/>
    </row>
    <row r="886" spans="9:10" x14ac:dyDescent="0.25">
      <c r="I886" s="37"/>
      <c r="J886" s="35"/>
    </row>
    <row r="887" spans="9:10" x14ac:dyDescent="0.25">
      <c r="I887" s="37"/>
      <c r="J887" s="35"/>
    </row>
    <row r="888" spans="9:10" x14ac:dyDescent="0.25">
      <c r="I888" s="37"/>
      <c r="J888" s="35"/>
    </row>
    <row r="889" spans="9:10" x14ac:dyDescent="0.25">
      <c r="I889" s="37"/>
      <c r="J889" s="35"/>
    </row>
    <row r="890" spans="9:10" x14ac:dyDescent="0.25">
      <c r="I890" s="37"/>
      <c r="J890" s="35"/>
    </row>
    <row r="891" spans="9:10" x14ac:dyDescent="0.25">
      <c r="I891" s="37"/>
      <c r="J891" s="35"/>
    </row>
    <row r="892" spans="9:10" x14ac:dyDescent="0.25">
      <c r="I892" s="37"/>
      <c r="J892" s="35"/>
    </row>
    <row r="893" spans="9:10" x14ac:dyDescent="0.25">
      <c r="I893" s="37"/>
      <c r="J893" s="35"/>
    </row>
    <row r="894" spans="9:10" x14ac:dyDescent="0.25">
      <c r="I894" s="37"/>
      <c r="J894" s="35"/>
    </row>
    <row r="895" spans="9:10" x14ac:dyDescent="0.25">
      <c r="I895" s="37"/>
      <c r="J895" s="35"/>
    </row>
    <row r="896" spans="9:10" x14ac:dyDescent="0.25">
      <c r="I896" s="37"/>
      <c r="J896" s="35"/>
    </row>
    <row r="897" spans="9:10" x14ac:dyDescent="0.25">
      <c r="I897" s="37"/>
      <c r="J897" s="35"/>
    </row>
    <row r="898" spans="9:10" x14ac:dyDescent="0.25">
      <c r="I898" s="37"/>
      <c r="J898" s="35"/>
    </row>
    <row r="899" spans="9:10" x14ac:dyDescent="0.25">
      <c r="I899" s="37"/>
      <c r="J899" s="35"/>
    </row>
    <row r="900" spans="9:10" x14ac:dyDescent="0.25">
      <c r="I900" s="37"/>
      <c r="J900" s="35"/>
    </row>
    <row r="901" spans="9:10" x14ac:dyDescent="0.25">
      <c r="I901" s="37"/>
      <c r="J901" s="35"/>
    </row>
    <row r="902" spans="9:10" x14ac:dyDescent="0.25">
      <c r="I902" s="37"/>
      <c r="J902" s="35"/>
    </row>
    <row r="903" spans="9:10" x14ac:dyDescent="0.25">
      <c r="I903" s="37"/>
      <c r="J903" s="35"/>
    </row>
    <row r="904" spans="9:10" x14ac:dyDescent="0.25">
      <c r="I904" s="37"/>
      <c r="J904" s="35"/>
    </row>
    <row r="905" spans="9:10" x14ac:dyDescent="0.25">
      <c r="I905" s="37"/>
      <c r="J905" s="35"/>
    </row>
    <row r="906" spans="9:10" x14ac:dyDescent="0.25">
      <c r="I906" s="37"/>
      <c r="J906" s="35"/>
    </row>
    <row r="907" spans="9:10" x14ac:dyDescent="0.25">
      <c r="I907" s="37"/>
      <c r="J907" s="35"/>
    </row>
    <row r="908" spans="9:10" x14ac:dyDescent="0.25">
      <c r="I908" s="37"/>
      <c r="J908" s="35"/>
    </row>
    <row r="909" spans="9:10" x14ac:dyDescent="0.25">
      <c r="I909" s="37"/>
      <c r="J909" s="35"/>
    </row>
    <row r="910" spans="9:10" x14ac:dyDescent="0.25">
      <c r="I910" s="37"/>
      <c r="J910" s="35"/>
    </row>
    <row r="911" spans="9:10" x14ac:dyDescent="0.25">
      <c r="I911" s="37"/>
      <c r="J911" s="35"/>
    </row>
    <row r="912" spans="9:10" x14ac:dyDescent="0.25">
      <c r="I912" s="37"/>
      <c r="J912" s="35"/>
    </row>
    <row r="913" spans="9:10" x14ac:dyDescent="0.25">
      <c r="I913" s="37"/>
      <c r="J913" s="35"/>
    </row>
    <row r="914" spans="9:10" x14ac:dyDescent="0.25">
      <c r="I914" s="37"/>
      <c r="J914" s="35"/>
    </row>
    <row r="915" spans="9:10" x14ac:dyDescent="0.25">
      <c r="I915" s="37"/>
      <c r="J915" s="35"/>
    </row>
    <row r="916" spans="9:10" x14ac:dyDescent="0.25">
      <c r="I916" s="37"/>
      <c r="J916" s="35"/>
    </row>
    <row r="917" spans="9:10" x14ac:dyDescent="0.25">
      <c r="I917" s="37"/>
      <c r="J917" s="35"/>
    </row>
    <row r="918" spans="9:10" x14ac:dyDescent="0.25">
      <c r="I918" s="37"/>
      <c r="J918" s="35"/>
    </row>
    <row r="919" spans="9:10" x14ac:dyDescent="0.25">
      <c r="I919" s="37"/>
      <c r="J919" s="35"/>
    </row>
    <row r="920" spans="9:10" x14ac:dyDescent="0.25">
      <c r="I920" s="37"/>
      <c r="J920" s="35"/>
    </row>
    <row r="921" spans="9:10" x14ac:dyDescent="0.25">
      <c r="I921" s="37"/>
      <c r="J921" s="35"/>
    </row>
    <row r="922" spans="9:10" x14ac:dyDescent="0.25">
      <c r="I922" s="37"/>
      <c r="J922" s="35"/>
    </row>
    <row r="923" spans="9:10" x14ac:dyDescent="0.25">
      <c r="I923" s="37"/>
      <c r="J923" s="35"/>
    </row>
    <row r="924" spans="9:10" x14ac:dyDescent="0.25">
      <c r="I924" s="37"/>
      <c r="J924" s="35"/>
    </row>
    <row r="925" spans="9:10" x14ac:dyDescent="0.25">
      <c r="I925" s="37"/>
      <c r="J925" s="35"/>
    </row>
    <row r="926" spans="9:10" x14ac:dyDescent="0.25">
      <c r="I926" s="37"/>
      <c r="J926" s="35"/>
    </row>
    <row r="927" spans="9:10" x14ac:dyDescent="0.25">
      <c r="I927" s="37"/>
      <c r="J927" s="35"/>
    </row>
    <row r="928" spans="9:10" x14ac:dyDescent="0.25">
      <c r="I928" s="37"/>
      <c r="J928" s="35"/>
    </row>
    <row r="929" spans="9:10" x14ac:dyDescent="0.25">
      <c r="I929" s="37"/>
      <c r="J929" s="35"/>
    </row>
    <row r="930" spans="9:10" x14ac:dyDescent="0.25">
      <c r="I930" s="37"/>
      <c r="J930" s="35"/>
    </row>
    <row r="931" spans="9:10" x14ac:dyDescent="0.25">
      <c r="I931" s="37"/>
      <c r="J931" s="35"/>
    </row>
    <row r="932" spans="9:10" x14ac:dyDescent="0.25">
      <c r="I932" s="37"/>
      <c r="J932" s="35"/>
    </row>
    <row r="933" spans="9:10" x14ac:dyDescent="0.25">
      <c r="I933" s="37"/>
      <c r="J933" s="35"/>
    </row>
    <row r="934" spans="9:10" x14ac:dyDescent="0.25">
      <c r="I934" s="37"/>
      <c r="J934" s="35"/>
    </row>
    <row r="935" spans="9:10" x14ac:dyDescent="0.25">
      <c r="I935" s="37"/>
      <c r="J935" s="35"/>
    </row>
    <row r="936" spans="9:10" x14ac:dyDescent="0.25">
      <c r="I936" s="37"/>
      <c r="J936" s="35"/>
    </row>
    <row r="937" spans="9:10" x14ac:dyDescent="0.25">
      <c r="I937" s="37"/>
      <c r="J937" s="35"/>
    </row>
    <row r="938" spans="9:10" x14ac:dyDescent="0.25">
      <c r="I938" s="37"/>
      <c r="J938" s="35"/>
    </row>
    <row r="939" spans="9:10" x14ac:dyDescent="0.25">
      <c r="I939" s="37"/>
      <c r="J939" s="35"/>
    </row>
    <row r="940" spans="9:10" x14ac:dyDescent="0.25">
      <c r="I940" s="37"/>
      <c r="J940" s="35"/>
    </row>
    <row r="941" spans="9:10" x14ac:dyDescent="0.25">
      <c r="I941" s="37"/>
      <c r="J941" s="35"/>
    </row>
    <row r="942" spans="9:10" x14ac:dyDescent="0.25">
      <c r="I942" s="37"/>
      <c r="J942" s="35"/>
    </row>
    <row r="943" spans="9:10" x14ac:dyDescent="0.25">
      <c r="I943" s="37"/>
      <c r="J943" s="35"/>
    </row>
    <row r="944" spans="9:10" x14ac:dyDescent="0.25">
      <c r="I944" s="37"/>
      <c r="J944" s="35"/>
    </row>
    <row r="945" spans="9:10" x14ac:dyDescent="0.25">
      <c r="I945" s="37"/>
      <c r="J945" s="35"/>
    </row>
    <row r="946" spans="9:10" x14ac:dyDescent="0.25">
      <c r="I946" s="37"/>
      <c r="J946" s="35"/>
    </row>
    <row r="947" spans="9:10" x14ac:dyDescent="0.25">
      <c r="I947" s="37"/>
      <c r="J947" s="35"/>
    </row>
    <row r="948" spans="9:10" x14ac:dyDescent="0.25">
      <c r="I948" s="37"/>
      <c r="J948" s="35"/>
    </row>
    <row r="949" spans="9:10" x14ac:dyDescent="0.25">
      <c r="I949" s="37"/>
      <c r="J949" s="35"/>
    </row>
    <row r="950" spans="9:10" x14ac:dyDescent="0.25">
      <c r="I950" s="37"/>
      <c r="J950" s="35"/>
    </row>
    <row r="951" spans="9:10" x14ac:dyDescent="0.25">
      <c r="I951" s="37"/>
      <c r="J951" s="35"/>
    </row>
    <row r="952" spans="9:10" x14ac:dyDescent="0.25">
      <c r="I952" s="37"/>
      <c r="J952" s="35"/>
    </row>
    <row r="953" spans="9:10" x14ac:dyDescent="0.25">
      <c r="I953" s="37"/>
      <c r="J953" s="35"/>
    </row>
    <row r="954" spans="9:10" x14ac:dyDescent="0.25">
      <c r="I954" s="37"/>
      <c r="J954" s="35"/>
    </row>
    <row r="955" spans="9:10" x14ac:dyDescent="0.25">
      <c r="I955" s="37"/>
      <c r="J955" s="35"/>
    </row>
    <row r="956" spans="9:10" x14ac:dyDescent="0.25">
      <c r="I956" s="37"/>
      <c r="J956" s="35"/>
    </row>
    <row r="957" spans="9:10" x14ac:dyDescent="0.25">
      <c r="I957" s="37"/>
      <c r="J957" s="35"/>
    </row>
    <row r="958" spans="9:10" x14ac:dyDescent="0.25">
      <c r="I958" s="37"/>
      <c r="J958" s="35"/>
    </row>
    <row r="959" spans="9:10" x14ac:dyDescent="0.25">
      <c r="I959" s="37"/>
      <c r="J959" s="35"/>
    </row>
    <row r="960" spans="9:10" x14ac:dyDescent="0.25">
      <c r="I960" s="37"/>
      <c r="J960" s="35"/>
    </row>
    <row r="961" spans="9:10" x14ac:dyDescent="0.25">
      <c r="I961" s="37"/>
      <c r="J961" s="35"/>
    </row>
    <row r="962" spans="9:10" x14ac:dyDescent="0.25">
      <c r="I962" s="37"/>
      <c r="J962" s="35"/>
    </row>
    <row r="963" spans="9:10" x14ac:dyDescent="0.25">
      <c r="I963" s="37"/>
      <c r="J963" s="35"/>
    </row>
    <row r="964" spans="9:10" x14ac:dyDescent="0.25">
      <c r="I964" s="37"/>
      <c r="J964" s="35"/>
    </row>
    <row r="965" spans="9:10" x14ac:dyDescent="0.25">
      <c r="I965" s="37"/>
      <c r="J965" s="35"/>
    </row>
    <row r="966" spans="9:10" x14ac:dyDescent="0.25">
      <c r="I966" s="37"/>
      <c r="J966" s="35"/>
    </row>
    <row r="967" spans="9:10" x14ac:dyDescent="0.25">
      <c r="I967" s="37"/>
      <c r="J967" s="35"/>
    </row>
    <row r="968" spans="9:10" x14ac:dyDescent="0.25">
      <c r="I968" s="37"/>
      <c r="J968" s="35"/>
    </row>
    <row r="969" spans="9:10" x14ac:dyDescent="0.25">
      <c r="I969" s="37"/>
      <c r="J969" s="35"/>
    </row>
    <row r="970" spans="9:10" x14ac:dyDescent="0.25">
      <c r="I970" s="37"/>
      <c r="J970" s="35"/>
    </row>
    <row r="971" spans="9:10" x14ac:dyDescent="0.25">
      <c r="I971" s="37"/>
      <c r="J971" s="35"/>
    </row>
    <row r="972" spans="9:10" x14ac:dyDescent="0.25">
      <c r="I972" s="37"/>
      <c r="J972" s="35"/>
    </row>
    <row r="973" spans="9:10" x14ac:dyDescent="0.25">
      <c r="I973" s="37"/>
      <c r="J973" s="35"/>
    </row>
    <row r="974" spans="9:10" x14ac:dyDescent="0.25">
      <c r="I974" s="37"/>
      <c r="J974" s="35"/>
    </row>
    <row r="975" spans="9:10" x14ac:dyDescent="0.25">
      <c r="I975" s="37"/>
      <c r="J975" s="35"/>
    </row>
    <row r="976" spans="9:10" x14ac:dyDescent="0.25">
      <c r="I976" s="37"/>
      <c r="J976" s="35"/>
    </row>
    <row r="977" spans="9:10" x14ac:dyDescent="0.25">
      <c r="I977" s="37"/>
      <c r="J977" s="35"/>
    </row>
    <row r="978" spans="9:10" x14ac:dyDescent="0.25">
      <c r="I978" s="37"/>
      <c r="J978" s="35"/>
    </row>
    <row r="979" spans="9:10" x14ac:dyDescent="0.25">
      <c r="I979" s="37"/>
      <c r="J979" s="35"/>
    </row>
    <row r="980" spans="9:10" x14ac:dyDescent="0.25">
      <c r="I980" s="37"/>
      <c r="J980" s="35"/>
    </row>
    <row r="981" spans="9:10" x14ac:dyDescent="0.25">
      <c r="I981" s="37"/>
      <c r="J981" s="35"/>
    </row>
    <row r="982" spans="9:10" x14ac:dyDescent="0.25">
      <c r="I982" s="37"/>
      <c r="J982" s="35"/>
    </row>
    <row r="983" spans="9:10" x14ac:dyDescent="0.25">
      <c r="I983" s="37"/>
      <c r="J983" s="35"/>
    </row>
    <row r="984" spans="9:10" x14ac:dyDescent="0.25">
      <c r="I984" s="37"/>
      <c r="J984" s="35"/>
    </row>
    <row r="985" spans="9:10" x14ac:dyDescent="0.25">
      <c r="I985" s="37"/>
      <c r="J985" s="35"/>
    </row>
    <row r="986" spans="9:10" x14ac:dyDescent="0.25">
      <c r="I986" s="37"/>
      <c r="J986" s="35"/>
    </row>
    <row r="987" spans="9:10" x14ac:dyDescent="0.25">
      <c r="I987" s="37"/>
      <c r="J987" s="35"/>
    </row>
    <row r="988" spans="9:10" x14ac:dyDescent="0.25">
      <c r="I988" s="37"/>
      <c r="J988" s="35"/>
    </row>
    <row r="989" spans="9:10" x14ac:dyDescent="0.25">
      <c r="I989" s="37"/>
      <c r="J989" s="35"/>
    </row>
    <row r="990" spans="9:10" x14ac:dyDescent="0.25">
      <c r="I990" s="37"/>
      <c r="J990" s="35"/>
    </row>
    <row r="991" spans="9:10" x14ac:dyDescent="0.25">
      <c r="I991" s="37"/>
      <c r="J991" s="35"/>
    </row>
    <row r="992" spans="9:10" x14ac:dyDescent="0.25">
      <c r="I992" s="37"/>
      <c r="J992" s="35"/>
    </row>
    <row r="993" spans="9:10" x14ac:dyDescent="0.25">
      <c r="I993" s="37"/>
      <c r="J993" s="35"/>
    </row>
    <row r="994" spans="9:10" x14ac:dyDescent="0.25">
      <c r="I994" s="37"/>
      <c r="J994" s="35"/>
    </row>
    <row r="995" spans="9:10" x14ac:dyDescent="0.25">
      <c r="I995" s="37"/>
      <c r="J995" s="35"/>
    </row>
    <row r="996" spans="9:10" x14ac:dyDescent="0.25">
      <c r="I996" s="37"/>
      <c r="J996" s="35"/>
    </row>
    <row r="997" spans="9:10" x14ac:dyDescent="0.25">
      <c r="I997" s="37"/>
      <c r="J997" s="35"/>
    </row>
    <row r="998" spans="9:10" x14ac:dyDescent="0.25">
      <c r="I998" s="37"/>
      <c r="J998" s="35"/>
    </row>
    <row r="999" spans="9:10" x14ac:dyDescent="0.25">
      <c r="I999" s="37"/>
      <c r="J999" s="35"/>
    </row>
    <row r="1000" spans="9:10" x14ac:dyDescent="0.25">
      <c r="I1000" s="37"/>
      <c r="J1000" s="35"/>
    </row>
    <row r="1001" spans="9:10" x14ac:dyDescent="0.25">
      <c r="I1001" s="37"/>
      <c r="J1001" s="35"/>
    </row>
    <row r="1002" spans="9:10" x14ac:dyDescent="0.25">
      <c r="I1002" s="37"/>
      <c r="J1002" s="35"/>
    </row>
    <row r="1003" spans="9:10" x14ac:dyDescent="0.25">
      <c r="I1003" s="37"/>
      <c r="J1003" s="35"/>
    </row>
    <row r="1004" spans="9:10" x14ac:dyDescent="0.25">
      <c r="I1004" s="37"/>
      <c r="J1004" s="35"/>
    </row>
    <row r="1005" spans="9:10" x14ac:dyDescent="0.25">
      <c r="I1005" s="37"/>
      <c r="J1005" s="35"/>
    </row>
    <row r="1006" spans="9:10" x14ac:dyDescent="0.25">
      <c r="I1006" s="37"/>
      <c r="J1006" s="35"/>
    </row>
    <row r="1007" spans="9:10" x14ac:dyDescent="0.25">
      <c r="I1007" s="37"/>
      <c r="J1007" s="35"/>
    </row>
    <row r="1008" spans="9:10" x14ac:dyDescent="0.25">
      <c r="I1008" s="37"/>
      <c r="J1008" s="35"/>
    </row>
    <row r="1009" spans="9:10" x14ac:dyDescent="0.25">
      <c r="I1009" s="37"/>
      <c r="J1009" s="35"/>
    </row>
    <row r="1010" spans="9:10" x14ac:dyDescent="0.25">
      <c r="I1010" s="37"/>
      <c r="J1010" s="35"/>
    </row>
    <row r="1011" spans="9:10" x14ac:dyDescent="0.25">
      <c r="I1011" s="37"/>
      <c r="J1011" s="35"/>
    </row>
    <row r="1012" spans="9:10" x14ac:dyDescent="0.25">
      <c r="I1012" s="37"/>
      <c r="J1012" s="35"/>
    </row>
    <row r="1013" spans="9:10" x14ac:dyDescent="0.25">
      <c r="I1013" s="37"/>
      <c r="J1013" s="35"/>
    </row>
    <row r="1014" spans="9:10" x14ac:dyDescent="0.25">
      <c r="I1014" s="37"/>
      <c r="J1014" s="35"/>
    </row>
    <row r="1015" spans="9:10" x14ac:dyDescent="0.25">
      <c r="I1015" s="37"/>
      <c r="J1015" s="35"/>
    </row>
    <row r="1016" spans="9:10" x14ac:dyDescent="0.25">
      <c r="I1016" s="37"/>
      <c r="J1016" s="35"/>
    </row>
    <row r="1017" spans="9:10" x14ac:dyDescent="0.25">
      <c r="I1017" s="37"/>
      <c r="J1017" s="35"/>
    </row>
    <row r="1018" spans="9:10" x14ac:dyDescent="0.25">
      <c r="I1018" s="37"/>
      <c r="J1018" s="35"/>
    </row>
    <row r="1019" spans="9:10" x14ac:dyDescent="0.25">
      <c r="I1019" s="37"/>
      <c r="J1019" s="35"/>
    </row>
    <row r="1020" spans="9:10" x14ac:dyDescent="0.25">
      <c r="I1020" s="37"/>
      <c r="J1020" s="35"/>
    </row>
    <row r="1021" spans="9:10" x14ac:dyDescent="0.25">
      <c r="I1021" s="37"/>
      <c r="J1021" s="35"/>
    </row>
    <row r="1022" spans="9:10" x14ac:dyDescent="0.25">
      <c r="I1022" s="37"/>
      <c r="J1022" s="35"/>
    </row>
    <row r="1023" spans="9:10" x14ac:dyDescent="0.25">
      <c r="I1023" s="37"/>
      <c r="J1023" s="35"/>
    </row>
    <row r="1024" spans="9:10" x14ac:dyDescent="0.25">
      <c r="I1024" s="37"/>
      <c r="J1024" s="35"/>
    </row>
    <row r="1025" spans="9:10" x14ac:dyDescent="0.25">
      <c r="I1025" s="37"/>
      <c r="J1025" s="35"/>
    </row>
    <row r="1026" spans="9:10" x14ac:dyDescent="0.25">
      <c r="I1026" s="37"/>
      <c r="J1026" s="35"/>
    </row>
    <row r="1027" spans="9:10" x14ac:dyDescent="0.25">
      <c r="I1027" s="37"/>
      <c r="J1027" s="35"/>
    </row>
    <row r="1028" spans="9:10" x14ac:dyDescent="0.25">
      <c r="I1028" s="37"/>
      <c r="J1028" s="35"/>
    </row>
    <row r="1029" spans="9:10" x14ac:dyDescent="0.25">
      <c r="I1029" s="37"/>
      <c r="J1029" s="35"/>
    </row>
    <row r="1030" spans="9:10" x14ac:dyDescent="0.25">
      <c r="I1030" s="37"/>
      <c r="J1030" s="35"/>
    </row>
    <row r="1031" spans="9:10" x14ac:dyDescent="0.25">
      <c r="I1031" s="37"/>
      <c r="J1031" s="35"/>
    </row>
    <row r="1032" spans="9:10" x14ac:dyDescent="0.25">
      <c r="I1032" s="37"/>
      <c r="J1032" s="35"/>
    </row>
    <row r="1033" spans="9:10" x14ac:dyDescent="0.25">
      <c r="I1033" s="37"/>
      <c r="J1033" s="35"/>
    </row>
    <row r="1034" spans="9:10" x14ac:dyDescent="0.25">
      <c r="I1034" s="37"/>
      <c r="J1034" s="35"/>
    </row>
    <row r="1035" spans="9:10" x14ac:dyDescent="0.25">
      <c r="I1035" s="37"/>
      <c r="J1035" s="35"/>
    </row>
    <row r="1036" spans="9:10" x14ac:dyDescent="0.25">
      <c r="I1036" s="37"/>
      <c r="J1036" s="35"/>
    </row>
    <row r="1037" spans="9:10" x14ac:dyDescent="0.25">
      <c r="I1037" s="37"/>
      <c r="J1037" s="35"/>
    </row>
    <row r="1038" spans="9:10" x14ac:dyDescent="0.25">
      <c r="I1038" s="37"/>
      <c r="J1038" s="35"/>
    </row>
    <row r="1039" spans="9:10" x14ac:dyDescent="0.25">
      <c r="I1039" s="37"/>
      <c r="J1039" s="35"/>
    </row>
    <row r="1040" spans="9:10" x14ac:dyDescent="0.25">
      <c r="I1040" s="37"/>
      <c r="J1040" s="35"/>
    </row>
    <row r="1041" spans="9:10" x14ac:dyDescent="0.25">
      <c r="I1041" s="37"/>
      <c r="J1041" s="35"/>
    </row>
    <row r="1042" spans="9:10" x14ac:dyDescent="0.25">
      <c r="I1042" s="37"/>
      <c r="J1042" s="35"/>
    </row>
    <row r="1043" spans="9:10" x14ac:dyDescent="0.25">
      <c r="I1043" s="37"/>
      <c r="J1043" s="35"/>
    </row>
    <row r="1044" spans="9:10" x14ac:dyDescent="0.25">
      <c r="I1044" s="37"/>
      <c r="J1044" s="35"/>
    </row>
    <row r="1045" spans="9:10" x14ac:dyDescent="0.25">
      <c r="I1045" s="37"/>
      <c r="J1045" s="35"/>
    </row>
    <row r="1046" spans="9:10" x14ac:dyDescent="0.25">
      <c r="I1046" s="37"/>
      <c r="J1046" s="35"/>
    </row>
    <row r="1047" spans="9:10" x14ac:dyDescent="0.25">
      <c r="I1047" s="37"/>
      <c r="J1047" s="35"/>
    </row>
    <row r="1048" spans="9:10" x14ac:dyDescent="0.25">
      <c r="I1048" s="37"/>
      <c r="J1048" s="35"/>
    </row>
    <row r="1049" spans="9:10" x14ac:dyDescent="0.25">
      <c r="I1049" s="37"/>
      <c r="J1049" s="35"/>
    </row>
    <row r="1050" spans="9:10" x14ac:dyDescent="0.25">
      <c r="I1050" s="37"/>
      <c r="J1050" s="35"/>
    </row>
    <row r="1051" spans="9:10" x14ac:dyDescent="0.25">
      <c r="I1051" s="37"/>
      <c r="J1051" s="35"/>
    </row>
    <row r="1052" spans="9:10" x14ac:dyDescent="0.25">
      <c r="I1052" s="37"/>
      <c r="J1052" s="35"/>
    </row>
    <row r="1053" spans="9:10" x14ac:dyDescent="0.25">
      <c r="I1053" s="37"/>
      <c r="J1053" s="35"/>
    </row>
    <row r="1054" spans="9:10" x14ac:dyDescent="0.25">
      <c r="I1054" s="37"/>
      <c r="J1054" s="35"/>
    </row>
    <row r="1055" spans="9:10" x14ac:dyDescent="0.25">
      <c r="I1055" s="37"/>
      <c r="J1055" s="35"/>
    </row>
    <row r="1056" spans="9:10" x14ac:dyDescent="0.25">
      <c r="I1056" s="37"/>
      <c r="J1056" s="35"/>
    </row>
    <row r="1057" spans="9:10" x14ac:dyDescent="0.25">
      <c r="I1057" s="37"/>
      <c r="J1057" s="35"/>
    </row>
    <row r="1058" spans="9:10" x14ac:dyDescent="0.25">
      <c r="I1058" s="37"/>
      <c r="J1058" s="35"/>
    </row>
    <row r="1059" spans="9:10" x14ac:dyDescent="0.25">
      <c r="I1059" s="37"/>
      <c r="J1059" s="35"/>
    </row>
    <row r="1060" spans="9:10" x14ac:dyDescent="0.25">
      <c r="I1060" s="37"/>
      <c r="J1060" s="35"/>
    </row>
    <row r="1061" spans="9:10" x14ac:dyDescent="0.25">
      <c r="I1061" s="37"/>
      <c r="J1061" s="35"/>
    </row>
    <row r="1062" spans="9:10" x14ac:dyDescent="0.25">
      <c r="I1062" s="37"/>
      <c r="J1062" s="35"/>
    </row>
    <row r="1063" spans="9:10" x14ac:dyDescent="0.25">
      <c r="I1063" s="37"/>
      <c r="J1063" s="35"/>
    </row>
    <row r="1064" spans="9:10" x14ac:dyDescent="0.25">
      <c r="I1064" s="37"/>
      <c r="J1064" s="35"/>
    </row>
    <row r="1065" spans="9:10" x14ac:dyDescent="0.25">
      <c r="I1065" s="37"/>
      <c r="J1065" s="35"/>
    </row>
    <row r="1066" spans="9:10" x14ac:dyDescent="0.25">
      <c r="I1066" s="37"/>
      <c r="J1066" s="35"/>
    </row>
    <row r="1067" spans="9:10" x14ac:dyDescent="0.25">
      <c r="I1067" s="37"/>
      <c r="J1067" s="35"/>
    </row>
    <row r="1068" spans="9:10" x14ac:dyDescent="0.25">
      <c r="I1068" s="37"/>
      <c r="J1068" s="35"/>
    </row>
    <row r="1069" spans="9:10" x14ac:dyDescent="0.25">
      <c r="I1069" s="37"/>
      <c r="J1069" s="35"/>
    </row>
    <row r="1070" spans="9:10" x14ac:dyDescent="0.25">
      <c r="I1070" s="37"/>
      <c r="J1070" s="35"/>
    </row>
    <row r="1071" spans="9:10" x14ac:dyDescent="0.25">
      <c r="I1071" s="37"/>
      <c r="J1071" s="35"/>
    </row>
    <row r="1072" spans="9:10" x14ac:dyDescent="0.25">
      <c r="I1072" s="37"/>
      <c r="J1072" s="35"/>
    </row>
    <row r="1073" spans="9:10" x14ac:dyDescent="0.25">
      <c r="I1073" s="37"/>
      <c r="J1073" s="35"/>
    </row>
    <row r="1074" spans="9:10" x14ac:dyDescent="0.25">
      <c r="I1074" s="37"/>
      <c r="J1074" s="35"/>
    </row>
    <row r="1075" spans="9:10" x14ac:dyDescent="0.25">
      <c r="I1075" s="37"/>
      <c r="J1075" s="35"/>
    </row>
    <row r="1076" spans="9:10" x14ac:dyDescent="0.25">
      <c r="I1076" s="37"/>
      <c r="J1076" s="35"/>
    </row>
    <row r="1077" spans="9:10" x14ac:dyDescent="0.25">
      <c r="I1077" s="37"/>
      <c r="J1077" s="35"/>
    </row>
    <row r="1078" spans="9:10" x14ac:dyDescent="0.25">
      <c r="I1078" s="37"/>
      <c r="J1078" s="35"/>
    </row>
    <row r="1079" spans="9:10" x14ac:dyDescent="0.25">
      <c r="I1079" s="37"/>
      <c r="J1079" s="35"/>
    </row>
    <row r="1080" spans="9:10" x14ac:dyDescent="0.25">
      <c r="I1080" s="37"/>
      <c r="J1080" s="35"/>
    </row>
    <row r="1081" spans="9:10" x14ac:dyDescent="0.25">
      <c r="I1081" s="37"/>
      <c r="J1081" s="35"/>
    </row>
    <row r="1082" spans="9:10" x14ac:dyDescent="0.25">
      <c r="I1082" s="37"/>
      <c r="J1082" s="35"/>
    </row>
    <row r="1083" spans="9:10" x14ac:dyDescent="0.25">
      <c r="I1083" s="37"/>
      <c r="J1083" s="35"/>
    </row>
    <row r="1084" spans="9:10" x14ac:dyDescent="0.25">
      <c r="I1084" s="37"/>
      <c r="J1084" s="35"/>
    </row>
    <row r="1085" spans="9:10" x14ac:dyDescent="0.25">
      <c r="I1085" s="37"/>
      <c r="J1085" s="35"/>
    </row>
    <row r="1086" spans="9:10" x14ac:dyDescent="0.25">
      <c r="I1086" s="37"/>
      <c r="J1086" s="35"/>
    </row>
    <row r="1087" spans="9:10" x14ac:dyDescent="0.25">
      <c r="I1087" s="37"/>
      <c r="J1087" s="35"/>
    </row>
    <row r="1088" spans="9:10" x14ac:dyDescent="0.25">
      <c r="I1088" s="37"/>
      <c r="J1088" s="35"/>
    </row>
    <row r="1089" spans="9:10" x14ac:dyDescent="0.25">
      <c r="I1089" s="37"/>
      <c r="J1089" s="35"/>
    </row>
    <row r="1090" spans="9:10" x14ac:dyDescent="0.25">
      <c r="I1090" s="37"/>
      <c r="J1090" s="35"/>
    </row>
    <row r="1091" spans="9:10" x14ac:dyDescent="0.25">
      <c r="I1091" s="37"/>
      <c r="J1091" s="35"/>
    </row>
    <row r="1092" spans="9:10" x14ac:dyDescent="0.25">
      <c r="I1092" s="37"/>
      <c r="J1092" s="35"/>
    </row>
    <row r="1093" spans="9:10" x14ac:dyDescent="0.25">
      <c r="I1093" s="37"/>
      <c r="J1093" s="35"/>
    </row>
    <row r="1094" spans="9:10" x14ac:dyDescent="0.25">
      <c r="I1094" s="37"/>
      <c r="J1094" s="35"/>
    </row>
    <row r="1095" spans="9:10" x14ac:dyDescent="0.25">
      <c r="I1095" s="37"/>
      <c r="J1095" s="35"/>
    </row>
    <row r="1096" spans="9:10" x14ac:dyDescent="0.25">
      <c r="I1096" s="37"/>
      <c r="J1096" s="35"/>
    </row>
    <row r="1097" spans="9:10" x14ac:dyDescent="0.25">
      <c r="I1097" s="37"/>
      <c r="J1097" s="35"/>
    </row>
    <row r="1098" spans="9:10" x14ac:dyDescent="0.25">
      <c r="I1098" s="37"/>
      <c r="J1098" s="35"/>
    </row>
    <row r="1099" spans="9:10" x14ac:dyDescent="0.25">
      <c r="I1099" s="37"/>
      <c r="J1099" s="35"/>
    </row>
    <row r="1100" spans="9:10" x14ac:dyDescent="0.25">
      <c r="I1100" s="37"/>
      <c r="J1100" s="35"/>
    </row>
    <row r="1101" spans="9:10" x14ac:dyDescent="0.25">
      <c r="I1101" s="37"/>
      <c r="J1101" s="35"/>
    </row>
    <row r="1102" spans="9:10" x14ac:dyDescent="0.25">
      <c r="I1102" s="37"/>
      <c r="J1102" s="35"/>
    </row>
    <row r="1103" spans="9:10" x14ac:dyDescent="0.25">
      <c r="I1103" s="37"/>
      <c r="J1103" s="35"/>
    </row>
    <row r="1104" spans="9:10" x14ac:dyDescent="0.25">
      <c r="I1104" s="37"/>
      <c r="J1104" s="35"/>
    </row>
    <row r="1105" spans="9:10" x14ac:dyDescent="0.25">
      <c r="I1105" s="37"/>
      <c r="J1105" s="35"/>
    </row>
    <row r="1106" spans="9:10" x14ac:dyDescent="0.25">
      <c r="I1106" s="37"/>
      <c r="J1106" s="35"/>
    </row>
    <row r="1107" spans="9:10" x14ac:dyDescent="0.25">
      <c r="I1107" s="37"/>
      <c r="J1107" s="35"/>
    </row>
    <row r="1108" spans="9:10" x14ac:dyDescent="0.25">
      <c r="I1108" s="37"/>
      <c r="J1108" s="35"/>
    </row>
    <row r="1109" spans="9:10" x14ac:dyDescent="0.25">
      <c r="I1109" s="37"/>
      <c r="J1109" s="35"/>
    </row>
    <row r="1110" spans="9:10" x14ac:dyDescent="0.25">
      <c r="I1110" s="37"/>
      <c r="J1110" s="35"/>
    </row>
    <row r="1111" spans="9:10" x14ac:dyDescent="0.25">
      <c r="I1111" s="37"/>
      <c r="J1111" s="35"/>
    </row>
    <row r="1112" spans="9:10" x14ac:dyDescent="0.25">
      <c r="I1112" s="37"/>
      <c r="J1112" s="35"/>
    </row>
    <row r="1113" spans="9:10" x14ac:dyDescent="0.25">
      <c r="I1113" s="37"/>
      <c r="J1113" s="35"/>
    </row>
    <row r="1114" spans="9:10" x14ac:dyDescent="0.25">
      <c r="I1114" s="37"/>
      <c r="J1114" s="35"/>
    </row>
    <row r="1115" spans="9:10" x14ac:dyDescent="0.25">
      <c r="I1115" s="37"/>
      <c r="J1115" s="35"/>
    </row>
    <row r="1116" spans="9:10" x14ac:dyDescent="0.25">
      <c r="I1116" s="37"/>
      <c r="J1116" s="35"/>
    </row>
    <row r="1117" spans="9:10" x14ac:dyDescent="0.25">
      <c r="I1117" s="37"/>
      <c r="J1117" s="35"/>
    </row>
    <row r="1118" spans="9:10" x14ac:dyDescent="0.25">
      <c r="I1118" s="37"/>
      <c r="J1118" s="35"/>
    </row>
    <row r="1119" spans="9:10" x14ac:dyDescent="0.25">
      <c r="I1119" s="37"/>
      <c r="J1119" s="35"/>
    </row>
    <row r="1120" spans="9:10" x14ac:dyDescent="0.25">
      <c r="I1120" s="37"/>
      <c r="J1120" s="35"/>
    </row>
    <row r="1121" spans="9:10" x14ac:dyDescent="0.25">
      <c r="I1121" s="37"/>
      <c r="J1121" s="35"/>
    </row>
    <row r="1122" spans="9:10" x14ac:dyDescent="0.25">
      <c r="I1122" s="37"/>
      <c r="J1122" s="35"/>
    </row>
    <row r="1123" spans="9:10" x14ac:dyDescent="0.25">
      <c r="I1123" s="37"/>
      <c r="J1123" s="35"/>
    </row>
    <row r="1124" spans="9:10" x14ac:dyDescent="0.25">
      <c r="I1124" s="37"/>
      <c r="J1124" s="35"/>
    </row>
    <row r="1125" spans="9:10" x14ac:dyDescent="0.25">
      <c r="I1125" s="37"/>
      <c r="J1125" s="35"/>
    </row>
    <row r="1126" spans="9:10" x14ac:dyDescent="0.25">
      <c r="I1126" s="37"/>
      <c r="J1126" s="35"/>
    </row>
    <row r="1127" spans="9:10" x14ac:dyDescent="0.25">
      <c r="I1127" s="37"/>
      <c r="J1127" s="35"/>
    </row>
    <row r="1128" spans="9:10" x14ac:dyDescent="0.25">
      <c r="I1128" s="37"/>
      <c r="J1128" s="35"/>
    </row>
    <row r="1129" spans="9:10" x14ac:dyDescent="0.25">
      <c r="I1129" s="37"/>
      <c r="J1129" s="35"/>
    </row>
    <row r="1130" spans="9:10" x14ac:dyDescent="0.25">
      <c r="I1130" s="37"/>
      <c r="J1130" s="35"/>
    </row>
    <row r="1131" spans="9:10" x14ac:dyDescent="0.25">
      <c r="I1131" s="37"/>
      <c r="J1131" s="35"/>
    </row>
    <row r="1132" spans="9:10" x14ac:dyDescent="0.25">
      <c r="I1132" s="37"/>
      <c r="J1132" s="35"/>
    </row>
    <row r="1133" spans="9:10" x14ac:dyDescent="0.25">
      <c r="I1133" s="37"/>
      <c r="J1133" s="35"/>
    </row>
    <row r="1134" spans="9:10" x14ac:dyDescent="0.25">
      <c r="I1134" s="37"/>
      <c r="J1134" s="35"/>
    </row>
    <row r="1135" spans="9:10" x14ac:dyDescent="0.25">
      <c r="I1135" s="37"/>
      <c r="J1135" s="35"/>
    </row>
    <row r="1136" spans="9:10" x14ac:dyDescent="0.25">
      <c r="I1136" s="37"/>
      <c r="J1136" s="35"/>
    </row>
    <row r="1137" spans="9:10" x14ac:dyDescent="0.25">
      <c r="I1137" s="37"/>
      <c r="J1137" s="35"/>
    </row>
    <row r="1138" spans="9:10" x14ac:dyDescent="0.25">
      <c r="I1138" s="37"/>
      <c r="J1138" s="35"/>
    </row>
    <row r="1139" spans="9:10" x14ac:dyDescent="0.25">
      <c r="I1139" s="37"/>
      <c r="J1139" s="35"/>
    </row>
    <row r="1140" spans="9:10" x14ac:dyDescent="0.25">
      <c r="I1140" s="37"/>
      <c r="J1140" s="35"/>
    </row>
    <row r="1141" spans="9:10" x14ac:dyDescent="0.25">
      <c r="I1141" s="37"/>
      <c r="J1141" s="35"/>
    </row>
    <row r="1142" spans="9:10" x14ac:dyDescent="0.25">
      <c r="I1142" s="37"/>
      <c r="J1142" s="35"/>
    </row>
    <row r="1143" spans="9:10" x14ac:dyDescent="0.25">
      <c r="I1143" s="37"/>
      <c r="J1143" s="35"/>
    </row>
    <row r="1144" spans="9:10" x14ac:dyDescent="0.25">
      <c r="I1144" s="37"/>
      <c r="J1144" s="35"/>
    </row>
    <row r="1145" spans="9:10" x14ac:dyDescent="0.25">
      <c r="I1145" s="37"/>
      <c r="J1145" s="35"/>
    </row>
    <row r="1146" spans="9:10" x14ac:dyDescent="0.25">
      <c r="I1146" s="37"/>
      <c r="J1146" s="35"/>
    </row>
    <row r="1147" spans="9:10" x14ac:dyDescent="0.25">
      <c r="I1147" s="37"/>
      <c r="J1147" s="35"/>
    </row>
    <row r="1148" spans="9:10" x14ac:dyDescent="0.25">
      <c r="I1148" s="37"/>
      <c r="J1148" s="35"/>
    </row>
    <row r="1149" spans="9:10" x14ac:dyDescent="0.25">
      <c r="I1149" s="37"/>
      <c r="J1149" s="35"/>
    </row>
    <row r="1150" spans="9:10" x14ac:dyDescent="0.25">
      <c r="I1150" s="37"/>
      <c r="J1150" s="35"/>
    </row>
    <row r="1151" spans="9:10" x14ac:dyDescent="0.25">
      <c r="I1151" s="37"/>
      <c r="J1151" s="35"/>
    </row>
    <row r="1152" spans="9:10" x14ac:dyDescent="0.25">
      <c r="I1152" s="37"/>
      <c r="J1152" s="35"/>
    </row>
    <row r="1153" spans="9:10" x14ac:dyDescent="0.25">
      <c r="I1153" s="37"/>
      <c r="J1153" s="35"/>
    </row>
    <row r="1154" spans="9:10" x14ac:dyDescent="0.25">
      <c r="I1154" s="37"/>
      <c r="J1154" s="35"/>
    </row>
    <row r="1155" spans="9:10" x14ac:dyDescent="0.25">
      <c r="I1155" s="37"/>
      <c r="J1155" s="35"/>
    </row>
    <row r="1156" spans="9:10" x14ac:dyDescent="0.25">
      <c r="I1156" s="37"/>
      <c r="J1156" s="35"/>
    </row>
    <row r="1157" spans="9:10" x14ac:dyDescent="0.25">
      <c r="I1157" s="37"/>
      <c r="J1157" s="35"/>
    </row>
    <row r="1158" spans="9:10" x14ac:dyDescent="0.25">
      <c r="I1158" s="37"/>
      <c r="J1158" s="35"/>
    </row>
    <row r="1159" spans="9:10" x14ac:dyDescent="0.25">
      <c r="I1159" s="37"/>
      <c r="J1159" s="35"/>
    </row>
    <row r="1160" spans="9:10" x14ac:dyDescent="0.25">
      <c r="I1160" s="37"/>
      <c r="J1160" s="35"/>
    </row>
    <row r="1161" spans="9:10" x14ac:dyDescent="0.25">
      <c r="I1161" s="37"/>
      <c r="J1161" s="35"/>
    </row>
    <row r="1162" spans="9:10" x14ac:dyDescent="0.25">
      <c r="I1162" s="37"/>
      <c r="J1162" s="35"/>
    </row>
    <row r="1163" spans="9:10" x14ac:dyDescent="0.25">
      <c r="I1163" s="37"/>
      <c r="J1163" s="35"/>
    </row>
    <row r="1164" spans="9:10" x14ac:dyDescent="0.25">
      <c r="I1164" s="37"/>
      <c r="J1164" s="35"/>
    </row>
    <row r="1165" spans="9:10" x14ac:dyDescent="0.25">
      <c r="I1165" s="37"/>
      <c r="J1165" s="35"/>
    </row>
    <row r="1166" spans="9:10" x14ac:dyDescent="0.25">
      <c r="I1166" s="37"/>
      <c r="J1166" s="35"/>
    </row>
    <row r="1167" spans="9:10" x14ac:dyDescent="0.25">
      <c r="I1167" s="37"/>
      <c r="J1167" s="35"/>
    </row>
    <row r="1168" spans="9:10" x14ac:dyDescent="0.25">
      <c r="I1168" s="37"/>
      <c r="J1168" s="35"/>
    </row>
    <row r="1169" spans="9:10" x14ac:dyDescent="0.25">
      <c r="I1169" s="37"/>
      <c r="J1169" s="35"/>
    </row>
    <row r="1170" spans="9:10" x14ac:dyDescent="0.25">
      <c r="I1170" s="37"/>
      <c r="J1170" s="35"/>
    </row>
    <row r="1171" spans="9:10" x14ac:dyDescent="0.25">
      <c r="I1171" s="37"/>
      <c r="J1171" s="35"/>
    </row>
    <row r="1172" spans="9:10" x14ac:dyDescent="0.25">
      <c r="I1172" s="37"/>
      <c r="J1172" s="35"/>
    </row>
    <row r="1173" spans="9:10" x14ac:dyDescent="0.25">
      <c r="I1173" s="37"/>
      <c r="J1173" s="35"/>
    </row>
    <row r="1174" spans="9:10" x14ac:dyDescent="0.25">
      <c r="I1174" s="37"/>
      <c r="J1174" s="35"/>
    </row>
    <row r="1175" spans="9:10" x14ac:dyDescent="0.25">
      <c r="I1175" s="37"/>
      <c r="J1175" s="35"/>
    </row>
    <row r="1176" spans="9:10" x14ac:dyDescent="0.25">
      <c r="I1176" s="37"/>
      <c r="J1176" s="35"/>
    </row>
    <row r="1177" spans="9:10" x14ac:dyDescent="0.25">
      <c r="I1177" s="37"/>
      <c r="J1177" s="35"/>
    </row>
    <row r="1178" spans="9:10" x14ac:dyDescent="0.25">
      <c r="I1178" s="37"/>
      <c r="J1178" s="35"/>
    </row>
    <row r="1179" spans="9:10" x14ac:dyDescent="0.25">
      <c r="I1179" s="37"/>
      <c r="J1179" s="35"/>
    </row>
    <row r="1180" spans="9:10" x14ac:dyDescent="0.25">
      <c r="I1180" s="37"/>
      <c r="J1180" s="35"/>
    </row>
    <row r="1181" spans="9:10" x14ac:dyDescent="0.25">
      <c r="I1181" s="37"/>
      <c r="J1181" s="35"/>
    </row>
    <row r="1182" spans="9:10" x14ac:dyDescent="0.25">
      <c r="I1182" s="37"/>
      <c r="J1182" s="35"/>
    </row>
    <row r="1183" spans="9:10" x14ac:dyDescent="0.25">
      <c r="I1183" s="37"/>
      <c r="J1183" s="35"/>
    </row>
    <row r="1184" spans="9:10" x14ac:dyDescent="0.25">
      <c r="I1184" s="37"/>
      <c r="J1184" s="35"/>
    </row>
    <row r="1185" spans="9:10" x14ac:dyDescent="0.25">
      <c r="I1185" s="37"/>
      <c r="J1185" s="35"/>
    </row>
    <row r="1186" spans="9:10" x14ac:dyDescent="0.25">
      <c r="I1186" s="37"/>
      <c r="J1186" s="35"/>
    </row>
    <row r="1187" spans="9:10" x14ac:dyDescent="0.25">
      <c r="I1187" s="37"/>
      <c r="J1187" s="35"/>
    </row>
    <row r="1188" spans="9:10" x14ac:dyDescent="0.25">
      <c r="I1188" s="37"/>
      <c r="J1188" s="35"/>
    </row>
    <row r="1189" spans="9:10" x14ac:dyDescent="0.25">
      <c r="I1189" s="37"/>
      <c r="J1189" s="35"/>
    </row>
    <row r="1190" spans="9:10" x14ac:dyDescent="0.25">
      <c r="I1190" s="37"/>
      <c r="J1190" s="35"/>
    </row>
    <row r="1191" spans="9:10" x14ac:dyDescent="0.25">
      <c r="I1191" s="37"/>
      <c r="J1191" s="35"/>
    </row>
    <row r="1192" spans="9:10" x14ac:dyDescent="0.25">
      <c r="I1192" s="37"/>
      <c r="J1192" s="35"/>
    </row>
    <row r="1193" spans="9:10" x14ac:dyDescent="0.25">
      <c r="I1193" s="37"/>
      <c r="J1193" s="35"/>
    </row>
    <row r="1194" spans="9:10" x14ac:dyDescent="0.25">
      <c r="I1194" s="37"/>
      <c r="J1194" s="35"/>
    </row>
    <row r="1195" spans="9:10" x14ac:dyDescent="0.25">
      <c r="I1195" s="37"/>
      <c r="J1195" s="35"/>
    </row>
    <row r="1196" spans="9:10" x14ac:dyDescent="0.25">
      <c r="I1196" s="37"/>
      <c r="J1196" s="35"/>
    </row>
    <row r="1197" spans="9:10" x14ac:dyDescent="0.25">
      <c r="I1197" s="37"/>
      <c r="J1197" s="35"/>
    </row>
    <row r="1198" spans="9:10" x14ac:dyDescent="0.25">
      <c r="I1198" s="37"/>
      <c r="J1198" s="35"/>
    </row>
    <row r="1199" spans="9:10" x14ac:dyDescent="0.25">
      <c r="I1199" s="37"/>
      <c r="J1199" s="35"/>
    </row>
    <row r="1200" spans="9:10" x14ac:dyDescent="0.25">
      <c r="I1200" s="37"/>
      <c r="J1200" s="35"/>
    </row>
    <row r="1201" spans="9:10" x14ac:dyDescent="0.25">
      <c r="I1201" s="37"/>
      <c r="J1201" s="35"/>
    </row>
    <row r="1202" spans="9:10" x14ac:dyDescent="0.25">
      <c r="I1202" s="37"/>
      <c r="J1202" s="35"/>
    </row>
    <row r="1203" spans="9:10" x14ac:dyDescent="0.25">
      <c r="I1203" s="37"/>
      <c r="J1203" s="35"/>
    </row>
    <row r="1204" spans="9:10" x14ac:dyDescent="0.25">
      <c r="I1204" s="37"/>
      <c r="J1204" s="35"/>
    </row>
    <row r="1205" spans="9:10" x14ac:dyDescent="0.25">
      <c r="I1205" s="37"/>
      <c r="J1205" s="35"/>
    </row>
    <row r="1206" spans="9:10" x14ac:dyDescent="0.25">
      <c r="I1206" s="37"/>
      <c r="J1206" s="35"/>
    </row>
    <row r="1207" spans="9:10" x14ac:dyDescent="0.25">
      <c r="I1207" s="37"/>
      <c r="J1207" s="35"/>
    </row>
    <row r="1208" spans="9:10" x14ac:dyDescent="0.25">
      <c r="I1208" s="37"/>
      <c r="J1208" s="35"/>
    </row>
    <row r="1209" spans="9:10" x14ac:dyDescent="0.25">
      <c r="I1209" s="37"/>
      <c r="J1209" s="35"/>
    </row>
    <row r="1210" spans="9:10" x14ac:dyDescent="0.25">
      <c r="I1210" s="37"/>
      <c r="J1210" s="35"/>
    </row>
    <row r="1211" spans="9:10" x14ac:dyDescent="0.25">
      <c r="I1211" s="37"/>
      <c r="J1211" s="35"/>
    </row>
    <row r="1212" spans="9:10" x14ac:dyDescent="0.25">
      <c r="I1212" s="37"/>
      <c r="J1212" s="35"/>
    </row>
    <row r="1213" spans="9:10" x14ac:dyDescent="0.25">
      <c r="I1213" s="37"/>
      <c r="J1213" s="35"/>
    </row>
    <row r="1214" spans="9:10" x14ac:dyDescent="0.25">
      <c r="I1214" s="37"/>
      <c r="J1214" s="35"/>
    </row>
    <row r="1215" spans="9:10" x14ac:dyDescent="0.25">
      <c r="I1215" s="37"/>
      <c r="J1215" s="35"/>
    </row>
    <row r="1216" spans="9:10" x14ac:dyDescent="0.25">
      <c r="I1216" s="37"/>
      <c r="J1216" s="35"/>
    </row>
    <row r="1217" spans="9:10" x14ac:dyDescent="0.25">
      <c r="I1217" s="37"/>
      <c r="J1217" s="35"/>
    </row>
    <row r="1218" spans="9:10" x14ac:dyDescent="0.25">
      <c r="I1218" s="37"/>
      <c r="J1218" s="35"/>
    </row>
    <row r="1219" spans="9:10" x14ac:dyDescent="0.25">
      <c r="I1219" s="37"/>
      <c r="J1219" s="35"/>
    </row>
    <row r="1220" spans="9:10" x14ac:dyDescent="0.25">
      <c r="I1220" s="37"/>
      <c r="J1220" s="35"/>
    </row>
    <row r="1221" spans="9:10" x14ac:dyDescent="0.25">
      <c r="I1221" s="37"/>
      <c r="J1221" s="35"/>
    </row>
    <row r="1222" spans="9:10" x14ac:dyDescent="0.25">
      <c r="I1222" s="37"/>
      <c r="J1222" s="35"/>
    </row>
    <row r="1223" spans="9:10" x14ac:dyDescent="0.25">
      <c r="I1223" s="37"/>
      <c r="J1223" s="35"/>
    </row>
    <row r="1224" spans="9:10" x14ac:dyDescent="0.25">
      <c r="I1224" s="37"/>
      <c r="J1224" s="35"/>
    </row>
    <row r="1225" spans="9:10" x14ac:dyDescent="0.25">
      <c r="I1225" s="37"/>
      <c r="J1225" s="35"/>
    </row>
    <row r="1226" spans="9:10" x14ac:dyDescent="0.25">
      <c r="I1226" s="37"/>
      <c r="J1226" s="35"/>
    </row>
    <row r="1227" spans="9:10" x14ac:dyDescent="0.25">
      <c r="I1227" s="37"/>
      <c r="J1227" s="35"/>
    </row>
    <row r="1228" spans="9:10" x14ac:dyDescent="0.25">
      <c r="I1228" s="37"/>
      <c r="J1228" s="35"/>
    </row>
    <row r="1229" spans="9:10" x14ac:dyDescent="0.25">
      <c r="I1229" s="37"/>
      <c r="J1229" s="35"/>
    </row>
    <row r="1230" spans="9:10" x14ac:dyDescent="0.25">
      <c r="I1230" s="37"/>
      <c r="J1230" s="35"/>
    </row>
    <row r="1231" spans="9:10" x14ac:dyDescent="0.25">
      <c r="I1231" s="37"/>
      <c r="J1231" s="35"/>
    </row>
    <row r="1232" spans="9:10" x14ac:dyDescent="0.25">
      <c r="I1232" s="37"/>
      <c r="J1232" s="35"/>
    </row>
    <row r="1233" spans="9:10" x14ac:dyDescent="0.25">
      <c r="I1233" s="37"/>
      <c r="J1233" s="35"/>
    </row>
    <row r="1234" spans="9:10" x14ac:dyDescent="0.25">
      <c r="I1234" s="37"/>
      <c r="J1234" s="35"/>
    </row>
    <row r="1235" spans="9:10" x14ac:dyDescent="0.25">
      <c r="I1235" s="37"/>
      <c r="J1235" s="35"/>
    </row>
    <row r="1236" spans="9:10" x14ac:dyDescent="0.25">
      <c r="I1236" s="37"/>
      <c r="J1236" s="35"/>
    </row>
    <row r="1237" spans="9:10" x14ac:dyDescent="0.25">
      <c r="I1237" s="37"/>
      <c r="J1237" s="35"/>
    </row>
    <row r="1238" spans="9:10" x14ac:dyDescent="0.25">
      <c r="I1238" s="37"/>
      <c r="J1238" s="35"/>
    </row>
    <row r="1239" spans="9:10" x14ac:dyDescent="0.25">
      <c r="I1239" s="37"/>
      <c r="J1239" s="35"/>
    </row>
    <row r="1240" spans="9:10" x14ac:dyDescent="0.25">
      <c r="I1240" s="37"/>
      <c r="J1240" s="35"/>
    </row>
    <row r="1241" spans="9:10" x14ac:dyDescent="0.25">
      <c r="I1241" s="37"/>
      <c r="J1241" s="35"/>
    </row>
    <row r="1242" spans="9:10" x14ac:dyDescent="0.25">
      <c r="I1242" s="37"/>
      <c r="J1242" s="35"/>
    </row>
    <row r="1243" spans="9:10" x14ac:dyDescent="0.25">
      <c r="I1243" s="37"/>
      <c r="J1243" s="35"/>
    </row>
    <row r="1244" spans="9:10" x14ac:dyDescent="0.25">
      <c r="I1244" s="37"/>
      <c r="J1244" s="35"/>
    </row>
    <row r="1245" spans="9:10" x14ac:dyDescent="0.25">
      <c r="I1245" s="37"/>
      <c r="J1245" s="35"/>
    </row>
    <row r="1246" spans="9:10" x14ac:dyDescent="0.25">
      <c r="I1246" s="37"/>
      <c r="J1246" s="35"/>
    </row>
    <row r="1247" spans="9:10" x14ac:dyDescent="0.25">
      <c r="I1247" s="37"/>
      <c r="J1247" s="35"/>
    </row>
    <row r="1248" spans="9:10" x14ac:dyDescent="0.25">
      <c r="I1248" s="37"/>
      <c r="J1248" s="35"/>
    </row>
    <row r="1249" spans="9:10" x14ac:dyDescent="0.25">
      <c r="I1249" s="37"/>
      <c r="J1249" s="35"/>
    </row>
    <row r="1250" spans="9:10" x14ac:dyDescent="0.25">
      <c r="I1250" s="37"/>
      <c r="J1250" s="35"/>
    </row>
    <row r="1251" spans="9:10" x14ac:dyDescent="0.25">
      <c r="I1251" s="37"/>
      <c r="J1251" s="35"/>
    </row>
    <row r="1252" spans="9:10" x14ac:dyDescent="0.25">
      <c r="I1252" s="37"/>
      <c r="J1252" s="35"/>
    </row>
    <row r="1253" spans="9:10" x14ac:dyDescent="0.25">
      <c r="I1253" s="37"/>
      <c r="J1253" s="35"/>
    </row>
    <row r="1254" spans="9:10" x14ac:dyDescent="0.25">
      <c r="I1254" s="37"/>
      <c r="J1254" s="35"/>
    </row>
    <row r="1255" spans="9:10" x14ac:dyDescent="0.25">
      <c r="I1255" s="37"/>
      <c r="J1255" s="35"/>
    </row>
    <row r="1256" spans="9:10" x14ac:dyDescent="0.25">
      <c r="I1256" s="37"/>
      <c r="J1256" s="35"/>
    </row>
    <row r="1257" spans="9:10" x14ac:dyDescent="0.25">
      <c r="I1257" s="37"/>
      <c r="J1257" s="35"/>
    </row>
    <row r="1258" spans="9:10" x14ac:dyDescent="0.25">
      <c r="I1258" s="37"/>
      <c r="J1258" s="35"/>
    </row>
    <row r="1259" spans="9:10" x14ac:dyDescent="0.25">
      <c r="I1259" s="37"/>
      <c r="J1259" s="35"/>
    </row>
    <row r="1260" spans="9:10" x14ac:dyDescent="0.25">
      <c r="I1260" s="37"/>
      <c r="J1260" s="35"/>
    </row>
    <row r="1261" spans="9:10" x14ac:dyDescent="0.25">
      <c r="I1261" s="37"/>
      <c r="J1261" s="35"/>
    </row>
    <row r="1262" spans="9:10" x14ac:dyDescent="0.25">
      <c r="I1262" s="37"/>
      <c r="J1262" s="35"/>
    </row>
    <row r="1263" spans="9:10" x14ac:dyDescent="0.25">
      <c r="I1263" s="37"/>
      <c r="J1263" s="35"/>
    </row>
    <row r="1264" spans="9:10" x14ac:dyDescent="0.25">
      <c r="I1264" s="37"/>
      <c r="J1264" s="35"/>
    </row>
    <row r="1265" spans="9:10" x14ac:dyDescent="0.25">
      <c r="I1265" s="37"/>
      <c r="J1265" s="35"/>
    </row>
    <row r="1266" spans="9:10" x14ac:dyDescent="0.25">
      <c r="I1266" s="37"/>
      <c r="J1266" s="35"/>
    </row>
    <row r="1267" spans="9:10" x14ac:dyDescent="0.25">
      <c r="I1267" s="37"/>
      <c r="J1267" s="35"/>
    </row>
    <row r="1268" spans="9:10" x14ac:dyDescent="0.25">
      <c r="I1268" s="37"/>
      <c r="J1268" s="35"/>
    </row>
    <row r="1269" spans="9:10" x14ac:dyDescent="0.25">
      <c r="I1269" s="37"/>
      <c r="J1269" s="35"/>
    </row>
    <row r="1270" spans="9:10" x14ac:dyDescent="0.25">
      <c r="I1270" s="37"/>
      <c r="J1270" s="35"/>
    </row>
    <row r="1271" spans="9:10" x14ac:dyDescent="0.25">
      <c r="I1271" s="37"/>
      <c r="J1271" s="35"/>
    </row>
    <row r="1272" spans="9:10" x14ac:dyDescent="0.25">
      <c r="I1272" s="37"/>
      <c r="J1272" s="35"/>
    </row>
    <row r="1273" spans="9:10" x14ac:dyDescent="0.25">
      <c r="I1273" s="37"/>
      <c r="J1273" s="35"/>
    </row>
    <row r="1274" spans="9:10" x14ac:dyDescent="0.25">
      <c r="I1274" s="37"/>
      <c r="J1274" s="35"/>
    </row>
    <row r="1275" spans="9:10" x14ac:dyDescent="0.25">
      <c r="I1275" s="37"/>
      <c r="J1275" s="35"/>
    </row>
    <row r="1276" spans="9:10" x14ac:dyDescent="0.25">
      <c r="I1276" s="37"/>
      <c r="J1276" s="35"/>
    </row>
    <row r="1277" spans="9:10" x14ac:dyDescent="0.25">
      <c r="I1277" s="37"/>
      <c r="J1277" s="35"/>
    </row>
    <row r="1278" spans="9:10" x14ac:dyDescent="0.25">
      <c r="I1278" s="37"/>
      <c r="J1278" s="35"/>
    </row>
    <row r="1279" spans="9:10" x14ac:dyDescent="0.25">
      <c r="I1279" s="37"/>
      <c r="J1279" s="35"/>
    </row>
    <row r="1280" spans="9:10" x14ac:dyDescent="0.25">
      <c r="I1280" s="37"/>
      <c r="J1280" s="35"/>
    </row>
    <row r="1281" spans="9:10" x14ac:dyDescent="0.25">
      <c r="I1281" s="37"/>
      <c r="J1281" s="35"/>
    </row>
    <row r="1282" spans="9:10" x14ac:dyDescent="0.25">
      <c r="I1282" s="37"/>
      <c r="J1282" s="35"/>
    </row>
    <row r="1283" spans="9:10" x14ac:dyDescent="0.25">
      <c r="I1283" s="37"/>
      <c r="J1283" s="35"/>
    </row>
    <row r="1284" spans="9:10" x14ac:dyDescent="0.25">
      <c r="I1284" s="37"/>
      <c r="J1284" s="35"/>
    </row>
    <row r="1285" spans="9:10" x14ac:dyDescent="0.25">
      <c r="I1285" s="37"/>
      <c r="J1285" s="35"/>
    </row>
    <row r="1286" spans="9:10" x14ac:dyDescent="0.25">
      <c r="I1286" s="37"/>
      <c r="J1286" s="35"/>
    </row>
    <row r="1287" spans="9:10" x14ac:dyDescent="0.25">
      <c r="I1287" s="37"/>
      <c r="J1287" s="35"/>
    </row>
    <row r="1288" spans="9:10" x14ac:dyDescent="0.25">
      <c r="I1288" s="37"/>
      <c r="J1288" s="35"/>
    </row>
    <row r="1289" spans="9:10" x14ac:dyDescent="0.25">
      <c r="I1289" s="37"/>
      <c r="J1289" s="35"/>
    </row>
    <row r="1290" spans="9:10" x14ac:dyDescent="0.25">
      <c r="I1290" s="37"/>
      <c r="J1290" s="35"/>
    </row>
    <row r="1291" spans="9:10" x14ac:dyDescent="0.25">
      <c r="I1291" s="37"/>
      <c r="J1291" s="35"/>
    </row>
    <row r="1292" spans="9:10" x14ac:dyDescent="0.25">
      <c r="I1292" s="37"/>
      <c r="J1292" s="35"/>
    </row>
    <row r="1293" spans="9:10" x14ac:dyDescent="0.25">
      <c r="I1293" s="37"/>
      <c r="J1293" s="35"/>
    </row>
    <row r="1294" spans="9:10" x14ac:dyDescent="0.25">
      <c r="I1294" s="37"/>
      <c r="J1294" s="35"/>
    </row>
    <row r="1295" spans="9:10" x14ac:dyDescent="0.25">
      <c r="I1295" s="37"/>
      <c r="J1295" s="35"/>
    </row>
    <row r="1296" spans="9:10" x14ac:dyDescent="0.25">
      <c r="I1296" s="37"/>
      <c r="J1296" s="35"/>
    </row>
    <row r="1297" spans="9:10" x14ac:dyDescent="0.25">
      <c r="I1297" s="37"/>
      <c r="J1297" s="35"/>
    </row>
    <row r="1298" spans="9:10" x14ac:dyDescent="0.25">
      <c r="I1298" s="37"/>
      <c r="J1298" s="35"/>
    </row>
    <row r="1299" spans="9:10" x14ac:dyDescent="0.25">
      <c r="I1299" s="37"/>
      <c r="J1299" s="35"/>
    </row>
    <row r="1300" spans="9:10" x14ac:dyDescent="0.25">
      <c r="I1300" s="37"/>
      <c r="J1300" s="35"/>
    </row>
    <row r="1301" spans="9:10" x14ac:dyDescent="0.25">
      <c r="I1301" s="37"/>
      <c r="J1301" s="35"/>
    </row>
    <row r="1302" spans="9:10" x14ac:dyDescent="0.25">
      <c r="I1302" s="37"/>
      <c r="J1302" s="35"/>
    </row>
    <row r="1303" spans="9:10" x14ac:dyDescent="0.25">
      <c r="I1303" s="37"/>
      <c r="J1303" s="35"/>
    </row>
    <row r="1304" spans="9:10" x14ac:dyDescent="0.25">
      <c r="I1304" s="37"/>
      <c r="J1304" s="35"/>
    </row>
    <row r="1305" spans="9:10" x14ac:dyDescent="0.25">
      <c r="I1305" s="37"/>
      <c r="J1305" s="35"/>
    </row>
    <row r="1306" spans="9:10" x14ac:dyDescent="0.25">
      <c r="I1306" s="37"/>
      <c r="J1306" s="35"/>
    </row>
    <row r="1307" spans="9:10" x14ac:dyDescent="0.25">
      <c r="I1307" s="37"/>
      <c r="J1307" s="35"/>
    </row>
    <row r="1308" spans="9:10" x14ac:dyDescent="0.25">
      <c r="I1308" s="37"/>
      <c r="J1308" s="35"/>
    </row>
    <row r="1309" spans="9:10" x14ac:dyDescent="0.25">
      <c r="I1309" s="37"/>
      <c r="J1309" s="35"/>
    </row>
    <row r="1310" spans="9:10" x14ac:dyDescent="0.25">
      <c r="I1310" s="37"/>
      <c r="J1310" s="35"/>
    </row>
    <row r="1311" spans="9:10" x14ac:dyDescent="0.25">
      <c r="I1311" s="37"/>
      <c r="J1311" s="35"/>
    </row>
    <row r="1312" spans="9:10" x14ac:dyDescent="0.25">
      <c r="I1312" s="37"/>
      <c r="J1312" s="35"/>
    </row>
    <row r="1313" spans="9:10" x14ac:dyDescent="0.25">
      <c r="I1313" s="37"/>
      <c r="J1313" s="35"/>
    </row>
    <row r="1314" spans="9:10" x14ac:dyDescent="0.25">
      <c r="I1314" s="37"/>
      <c r="J1314" s="35"/>
    </row>
    <row r="1315" spans="9:10" x14ac:dyDescent="0.25">
      <c r="I1315" s="37"/>
      <c r="J1315" s="35"/>
    </row>
    <row r="1316" spans="9:10" x14ac:dyDescent="0.25">
      <c r="I1316" s="37"/>
      <c r="J1316" s="35"/>
    </row>
    <row r="1317" spans="9:10" x14ac:dyDescent="0.25">
      <c r="I1317" s="37"/>
      <c r="J1317" s="35"/>
    </row>
    <row r="1318" spans="9:10" x14ac:dyDescent="0.25">
      <c r="I1318" s="37"/>
      <c r="J1318" s="35"/>
    </row>
    <row r="1319" spans="9:10" x14ac:dyDescent="0.25">
      <c r="I1319" s="37"/>
      <c r="J1319" s="35"/>
    </row>
    <row r="1320" spans="9:10" x14ac:dyDescent="0.25">
      <c r="I1320" s="37"/>
      <c r="J1320" s="35"/>
    </row>
    <row r="1321" spans="9:10" x14ac:dyDescent="0.25">
      <c r="I1321" s="37"/>
      <c r="J1321" s="35"/>
    </row>
    <row r="1322" spans="9:10" x14ac:dyDescent="0.25">
      <c r="I1322" s="37"/>
      <c r="J1322" s="35"/>
    </row>
    <row r="1323" spans="9:10" x14ac:dyDescent="0.25">
      <c r="I1323" s="37"/>
      <c r="J1323" s="35"/>
    </row>
    <row r="1324" spans="9:10" x14ac:dyDescent="0.25">
      <c r="I1324" s="37"/>
      <c r="J1324" s="35"/>
    </row>
    <row r="1325" spans="9:10" x14ac:dyDescent="0.25">
      <c r="I1325" s="37"/>
      <c r="J1325" s="35"/>
    </row>
    <row r="1326" spans="9:10" x14ac:dyDescent="0.25">
      <c r="I1326" s="37"/>
      <c r="J1326" s="35"/>
    </row>
    <row r="1327" spans="9:10" x14ac:dyDescent="0.25">
      <c r="I1327" s="37"/>
      <c r="J1327" s="35"/>
    </row>
    <row r="1328" spans="9:10" x14ac:dyDescent="0.25">
      <c r="I1328" s="37"/>
      <c r="J1328" s="35"/>
    </row>
    <row r="1329" spans="9:10" x14ac:dyDescent="0.25">
      <c r="I1329" s="37"/>
      <c r="J1329" s="35"/>
    </row>
    <row r="1330" spans="9:10" x14ac:dyDescent="0.25">
      <c r="I1330" s="37"/>
      <c r="J1330" s="35"/>
    </row>
    <row r="1331" spans="9:10" x14ac:dyDescent="0.25">
      <c r="I1331" s="37"/>
      <c r="J1331" s="35"/>
    </row>
    <row r="1332" spans="9:10" x14ac:dyDescent="0.25">
      <c r="I1332" s="37"/>
      <c r="J1332" s="35"/>
    </row>
    <row r="1333" spans="9:10" x14ac:dyDescent="0.25">
      <c r="I1333" s="37"/>
      <c r="J1333" s="35"/>
    </row>
    <row r="1334" spans="9:10" x14ac:dyDescent="0.25">
      <c r="I1334" s="37"/>
      <c r="J1334" s="35"/>
    </row>
  </sheetData>
  <mergeCells count="18">
    <mergeCell ref="T29:U29"/>
    <mergeCell ref="J16:K16"/>
    <mergeCell ref="L16:M16"/>
    <mergeCell ref="N16:O16"/>
    <mergeCell ref="P16:Q16"/>
    <mergeCell ref="R16:S16"/>
    <mergeCell ref="T16:U16"/>
    <mergeCell ref="J29:K29"/>
    <mergeCell ref="L29:M29"/>
    <mergeCell ref="N29:O29"/>
    <mergeCell ref="P29:Q29"/>
    <mergeCell ref="R29:S29"/>
    <mergeCell ref="T2:U2"/>
    <mergeCell ref="J2:K2"/>
    <mergeCell ref="L2:M2"/>
    <mergeCell ref="N2:O2"/>
    <mergeCell ref="P2:Q2"/>
    <mergeCell ref="R2:S2"/>
  </mergeCells>
  <conditionalFormatting sqref="AE3:AI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:AI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0:AI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F8722-F4A4-470C-A1F3-F9C2E48809C5}">
  <dimension ref="B1:AQ1334"/>
  <sheetViews>
    <sheetView showGridLines="0" topLeftCell="B19" zoomScale="85" zoomScaleNormal="85" workbookViewId="0">
      <selection activeCell="I26" sqref="I26"/>
    </sheetView>
  </sheetViews>
  <sheetFormatPr defaultRowHeight="15" outlineLevelRow="1" outlineLevelCol="1" x14ac:dyDescent="0.25"/>
  <cols>
    <col min="1" max="1" width="2.5703125" customWidth="1"/>
    <col min="2" max="2" width="9.140625" customWidth="1"/>
    <col min="3" max="3" width="16.28515625" bestFit="1" customWidth="1"/>
    <col min="4" max="4" width="15.28515625" bestFit="1" customWidth="1"/>
    <col min="5" max="5" width="2.5703125" customWidth="1"/>
    <col min="6" max="6" width="18.140625" bestFit="1" customWidth="1"/>
    <col min="7" max="7" width="2.5703125" customWidth="1"/>
    <col min="8" max="8" width="25.140625" bestFit="1" customWidth="1"/>
    <col min="9" max="9" width="24.28515625" style="11" customWidth="1" outlineLevel="1"/>
    <col min="10" max="10" width="9.42578125" style="6" customWidth="1"/>
    <col min="11" max="11" width="19" style="11" hidden="1" customWidth="1" outlineLevel="1"/>
    <col min="12" max="12" width="12.5703125" style="6" customWidth="1" collapsed="1"/>
    <col min="13" max="13" width="19.5703125" style="11" hidden="1" customWidth="1" outlineLevel="1"/>
    <col min="14" max="14" width="14.140625" style="6" customWidth="1" collapsed="1"/>
    <col min="15" max="15" width="17" style="11" hidden="1" customWidth="1" outlineLevel="1"/>
    <col min="16" max="16" width="8.5703125" style="6" bestFit="1" customWidth="1" collapsed="1"/>
    <col min="17" max="17" width="18" style="11" hidden="1" customWidth="1" outlineLevel="1"/>
    <col min="18" max="18" width="11.42578125" style="5" customWidth="1" collapsed="1"/>
    <col min="19" max="19" width="19.5703125" style="10" hidden="1" customWidth="1" outlineLevel="1"/>
    <col min="20" max="20" width="9.85546875" style="10" bestFit="1" customWidth="1" collapsed="1"/>
    <col min="21" max="21" width="19.5703125" style="10" hidden="1" customWidth="1" outlineLevel="1"/>
    <col min="22" max="22" width="2.5703125" customWidth="1" collapsed="1"/>
    <col min="23" max="24" width="7.140625" hidden="1" customWidth="1" outlineLevel="1"/>
    <col min="25" max="25" width="17.85546875" bestFit="1" customWidth="1" collapsed="1"/>
    <col min="26" max="27" width="17.85546875" bestFit="1" customWidth="1"/>
    <col min="28" max="28" width="17" bestFit="1" customWidth="1"/>
    <col min="29" max="29" width="15.140625" bestFit="1" customWidth="1"/>
    <col min="30" max="30" width="2.5703125" customWidth="1"/>
    <col min="31" max="31" width="7.85546875" bestFit="1" customWidth="1"/>
    <col min="32" max="32" width="11.140625" bestFit="1" customWidth="1"/>
    <col min="33" max="33" width="13.28515625" bestFit="1" customWidth="1"/>
    <col min="34" max="34" width="7.85546875" bestFit="1" customWidth="1"/>
    <col min="35" max="35" width="8.140625" bestFit="1" customWidth="1"/>
    <col min="36" max="36" width="2.5703125" customWidth="1"/>
    <col min="37" max="37" width="17.85546875" bestFit="1" customWidth="1"/>
    <col min="38" max="38" width="8.140625" bestFit="1" customWidth="1"/>
    <col min="39" max="39" width="2.5703125" customWidth="1"/>
    <col min="41" max="41" width="16.28515625" bestFit="1" customWidth="1"/>
  </cols>
  <sheetData>
    <row r="1" spans="2:43" ht="9" customHeight="1" x14ac:dyDescent="0.25"/>
    <row r="2" spans="2:43" x14ac:dyDescent="0.25">
      <c r="B2" s="1"/>
      <c r="C2" s="1" t="s">
        <v>20</v>
      </c>
      <c r="D2" s="1"/>
      <c r="H2" s="4" t="s">
        <v>1</v>
      </c>
      <c r="I2" s="9" t="s">
        <v>4</v>
      </c>
      <c r="J2" s="112" t="s">
        <v>7</v>
      </c>
      <c r="K2" s="112"/>
      <c r="L2" s="112" t="s">
        <v>8</v>
      </c>
      <c r="M2" s="112"/>
      <c r="N2" s="112" t="s">
        <v>10</v>
      </c>
      <c r="O2" s="112"/>
      <c r="P2" s="112" t="s">
        <v>9</v>
      </c>
      <c r="Q2" s="112"/>
      <c r="R2" s="112" t="s">
        <v>21</v>
      </c>
      <c r="S2" s="112"/>
      <c r="T2" s="112" t="s">
        <v>55</v>
      </c>
      <c r="U2" s="112"/>
      <c r="W2" s="1" t="s">
        <v>46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27" t="s">
        <v>49</v>
      </c>
      <c r="AF2" s="27" t="s">
        <v>50</v>
      </c>
      <c r="AG2" s="27" t="s">
        <v>51</v>
      </c>
      <c r="AH2" s="27" t="s">
        <v>52</v>
      </c>
      <c r="AI2" s="27" t="s">
        <v>53</v>
      </c>
      <c r="AK2" s="75" t="s">
        <v>60</v>
      </c>
      <c r="AL2" s="75" t="s">
        <v>61</v>
      </c>
      <c r="AN2" s="1"/>
      <c r="AO2" s="1" t="s">
        <v>20</v>
      </c>
      <c r="AP2" s="1"/>
    </row>
    <row r="3" spans="2:43" x14ac:dyDescent="0.25">
      <c r="B3" s="105" t="s">
        <v>77</v>
      </c>
      <c r="C3" s="106" t="s">
        <v>10</v>
      </c>
      <c r="D3" s="105" t="s">
        <v>7</v>
      </c>
      <c r="F3" s="7">
        <f>J3+L3+N3+P3+R3+T3</f>
        <v>1</v>
      </c>
      <c r="H3" s="97" t="s">
        <v>5</v>
      </c>
      <c r="I3" s="80">
        <v>581072000</v>
      </c>
      <c r="J3" s="81">
        <v>0.62239999999999995</v>
      </c>
      <c r="K3" s="80">
        <f t="shared" ref="K3:Q13" si="0">+J3*$I3</f>
        <v>361659212.79999995</v>
      </c>
      <c r="L3" s="81">
        <v>0.18180000000000002</v>
      </c>
      <c r="M3" s="80">
        <f t="shared" si="0"/>
        <v>105638889.60000001</v>
      </c>
      <c r="N3" s="81">
        <v>0.154</v>
      </c>
      <c r="O3" s="80">
        <f t="shared" si="0"/>
        <v>89485088</v>
      </c>
      <c r="P3" s="81">
        <v>4.1099999999999998E-2</v>
      </c>
      <c r="Q3" s="80">
        <f t="shared" si="0"/>
        <v>23882059.199999999</v>
      </c>
      <c r="R3" s="108">
        <v>0</v>
      </c>
      <c r="S3" s="80">
        <f t="shared" ref="S3:S13" si="1">+R3*$I3</f>
        <v>0</v>
      </c>
      <c r="T3" s="81">
        <v>6.9999999999999999E-4</v>
      </c>
      <c r="U3" s="65">
        <f t="shared" ref="U3:U13" si="2">+T3*$I3</f>
        <v>406750.4</v>
      </c>
      <c r="Y3" s="12">
        <f>K3-'Jan26'!K3</f>
        <v>1602288.1336849332</v>
      </c>
      <c r="Z3" s="12">
        <f>M3-'Jan26'!M3</f>
        <v>-22628669.644794971</v>
      </c>
      <c r="AA3" s="12">
        <f>O3-'Jan26'!O3</f>
        <v>-16088501.722570017</v>
      </c>
      <c r="AB3" s="12">
        <f>Q3-'Jan26'!Q3</f>
        <v>-4283333.1111450009</v>
      </c>
      <c r="AC3" s="12">
        <f>+S3-'Jan26'!S3</f>
        <v>0</v>
      </c>
      <c r="AD3" s="98"/>
      <c r="AE3" s="28">
        <f>J3-'Jan26'!J3</f>
        <v>4.3299999999999894E-2</v>
      </c>
      <c r="AF3" s="28">
        <f>L3-'Jan26'!L3</f>
        <v>-2.4499999999999966E-2</v>
      </c>
      <c r="AG3" s="28">
        <f>N3-'Jan26'!N3</f>
        <v>-1.5800000000000036E-2</v>
      </c>
      <c r="AH3" s="28">
        <f>P3-'Jan26'!P3</f>
        <v>-4.2000000000000023E-3</v>
      </c>
      <c r="AI3" s="28">
        <f>R3-'Jan26'!R3</f>
        <v>0</v>
      </c>
      <c r="AJ3" s="8"/>
      <c r="AK3" s="10">
        <f>I3-'Nov25'!I3</f>
        <v>-44978508.830000043</v>
      </c>
      <c r="AL3" s="76">
        <f>I3/'Nov25'!I3-1</f>
        <v>-7.1844856278542979E-2</v>
      </c>
      <c r="AM3" s="8"/>
      <c r="AN3" t="s">
        <v>11</v>
      </c>
      <c r="AO3" s="2" t="s">
        <v>10</v>
      </c>
      <c r="AP3" t="s">
        <v>7</v>
      </c>
      <c r="AQ3" s="8"/>
    </row>
    <row r="4" spans="2:43" x14ac:dyDescent="0.25">
      <c r="B4" s="103" t="s">
        <v>12</v>
      </c>
      <c r="C4" s="104" t="s">
        <v>16</v>
      </c>
      <c r="D4" s="103" t="s">
        <v>58</v>
      </c>
      <c r="F4" s="7">
        <f>J4+L4+N4+P4+R4+T4</f>
        <v>1</v>
      </c>
      <c r="H4" s="3" t="s">
        <v>0</v>
      </c>
      <c r="I4" s="78">
        <v>1728751000</v>
      </c>
      <c r="J4" s="77">
        <v>0.35666666666666663</v>
      </c>
      <c r="K4" s="78">
        <v>616587856.66666663</v>
      </c>
      <c r="L4" s="77">
        <v>0.25333333333333335</v>
      </c>
      <c r="M4" s="78">
        <v>437950253.33333337</v>
      </c>
      <c r="N4" s="77">
        <v>0.25333333333333335</v>
      </c>
      <c r="O4" s="78">
        <v>437950253.33333337</v>
      </c>
      <c r="P4" s="77">
        <v>0.13666666666666666</v>
      </c>
      <c r="Q4" s="78">
        <v>236262636.66666666</v>
      </c>
      <c r="R4" s="77">
        <v>0</v>
      </c>
      <c r="S4" s="78">
        <v>0</v>
      </c>
      <c r="T4" s="77">
        <v>0</v>
      </c>
      <c r="U4" s="57">
        <f t="shared" si="2"/>
        <v>0</v>
      </c>
      <c r="Y4" s="12">
        <f>K4-'Jan26'!K4</f>
        <v>-11851563.853333354</v>
      </c>
      <c r="Z4" s="12">
        <f>M4-'Jan26'!M4</f>
        <v>-15922661.48666662</v>
      </c>
      <c r="AA4" s="12">
        <f>O4-'Jan26'!O4</f>
        <v>1533989.0833333731</v>
      </c>
      <c r="AB4" s="12">
        <f>Q4-'Jan26'!Q4</f>
        <v>9326179.2566666603</v>
      </c>
      <c r="AC4" s="12">
        <f>+S4-'Jan26'!S4</f>
        <v>0</v>
      </c>
      <c r="AE4" s="28">
        <f>J4-'Jan26'!J4</f>
        <v>-3.3333333333333548E-3</v>
      </c>
      <c r="AF4" s="28">
        <f>L4-'Jan26'!L4</f>
        <v>-6.6666666666666541E-3</v>
      </c>
      <c r="AG4" s="28">
        <f>N4-'Jan26'!N4</f>
        <v>3.3333333333333548E-3</v>
      </c>
      <c r="AH4" s="28">
        <f>P4-'Jan26'!P4</f>
        <v>6.6666666666666541E-3</v>
      </c>
      <c r="AI4" s="28">
        <f>R4-'Jan26'!R4</f>
        <v>0</v>
      </c>
      <c r="AK4" s="10">
        <f>I4-'Nov25'!I4</f>
        <v>-25442247</v>
      </c>
      <c r="AL4" s="76">
        <f>I4/'Nov25'!I4-1</f>
        <v>-1.4503674007131817E-2</v>
      </c>
      <c r="AN4" t="s">
        <v>12</v>
      </c>
      <c r="AO4" s="2" t="s">
        <v>16</v>
      </c>
      <c r="AP4" t="s">
        <v>58</v>
      </c>
    </row>
    <row r="5" spans="2:43" x14ac:dyDescent="0.25">
      <c r="B5" s="103" t="s">
        <v>13</v>
      </c>
      <c r="C5" s="104" t="s">
        <v>17</v>
      </c>
      <c r="D5" s="103" t="s">
        <v>59</v>
      </c>
      <c r="F5" s="7">
        <f t="shared" ref="F5:F36" si="3">J5+L5+N5+P5+R5+T5</f>
        <v>1.0000000000000002</v>
      </c>
      <c r="H5" s="3" t="s">
        <v>3</v>
      </c>
      <c r="I5" s="78">
        <v>222363000</v>
      </c>
      <c r="J5" s="77">
        <f>AVERAGE('Mar26'!J5,'Jan26'!J5)</f>
        <v>0.46</v>
      </c>
      <c r="K5" s="78">
        <f t="shared" si="0"/>
        <v>102286980</v>
      </c>
      <c r="L5" s="77">
        <f>AVERAGE('Mar26'!L5,'Jan26'!L5)</f>
        <v>0</v>
      </c>
      <c r="M5" s="78">
        <f t="shared" si="0"/>
        <v>0</v>
      </c>
      <c r="N5" s="77">
        <f>AVERAGE('Mar26'!N5,'Jan26'!N5)</f>
        <v>0.36</v>
      </c>
      <c r="O5" s="78">
        <f t="shared" si="0"/>
        <v>80050680</v>
      </c>
      <c r="P5" s="77">
        <f>AVERAGE('Mar26'!P5,'Jan26'!P5)</f>
        <v>0.06</v>
      </c>
      <c r="Q5" s="78">
        <f t="shared" si="0"/>
        <v>13341780</v>
      </c>
      <c r="R5" s="77">
        <f>AVERAGE('Mar26'!R5,'Jan26'!R5)</f>
        <v>0.12000000000000001</v>
      </c>
      <c r="S5" s="78">
        <f t="shared" si="1"/>
        <v>26683560.000000004</v>
      </c>
      <c r="T5" s="77">
        <f>AVERAGE('Mar26'!T5,'Jan26'!T5)</f>
        <v>0</v>
      </c>
      <c r="U5" s="57">
        <f t="shared" si="2"/>
        <v>0</v>
      </c>
      <c r="Y5" s="12">
        <f>K5-'Jan26'!K5</f>
        <v>12897667.100099996</v>
      </c>
      <c r="Z5" s="12">
        <f>M5-'Jan26'!M5</f>
        <v>0</v>
      </c>
      <c r="AA5" s="12">
        <f>O5-'Jan26'!O5</f>
        <v>-7046599.235799998</v>
      </c>
      <c r="AB5" s="12">
        <f>Q5-'Jan26'!Q5</f>
        <v>-7286522.9769000001</v>
      </c>
      <c r="AC5" s="12">
        <f>+S5-'Jan26'!S5</f>
        <v>-5404911.2973999977</v>
      </c>
      <c r="AE5" s="28">
        <f>J5-'Jan26'!J5</f>
        <v>7.0000000000000007E-2</v>
      </c>
      <c r="AF5" s="28">
        <f>L5-'Jan26'!L5</f>
        <v>0</v>
      </c>
      <c r="AG5" s="28">
        <f>N5-'Jan26'!N5</f>
        <v>-2.0000000000000018E-2</v>
      </c>
      <c r="AH5" s="28">
        <f>P5-'Jan26'!P5</f>
        <v>-0.03</v>
      </c>
      <c r="AI5" s="28">
        <f>R5-'Jan26'!R5</f>
        <v>-2.0000000000000004E-2</v>
      </c>
      <c r="AK5" s="10">
        <f>I5-'Nov25'!I5</f>
        <v>-25289254.370000005</v>
      </c>
      <c r="AL5" s="76">
        <f>I5/'Nov25'!I5-1</f>
        <v>-0.10211598692825585</v>
      </c>
      <c r="AN5" t="s">
        <v>13</v>
      </c>
      <c r="AO5" s="2" t="s">
        <v>17</v>
      </c>
      <c r="AP5" t="s">
        <v>59</v>
      </c>
    </row>
    <row r="6" spans="2:43" x14ac:dyDescent="0.25">
      <c r="B6" s="103" t="s">
        <v>14</v>
      </c>
      <c r="C6" s="104" t="s">
        <v>18</v>
      </c>
      <c r="F6" s="7">
        <f t="shared" si="3"/>
        <v>0.99999999999999989</v>
      </c>
      <c r="H6" s="3" t="s">
        <v>62</v>
      </c>
      <c r="I6" s="78">
        <v>4013875000</v>
      </c>
      <c r="J6" s="77">
        <f>'Jan26'!J6+'Abr26'!J41</f>
        <v>0.18</v>
      </c>
      <c r="K6" s="78"/>
      <c r="L6" s="77">
        <f>'Jan26'!L6+'Abr26'!L41</f>
        <v>0.31433333333333335</v>
      </c>
      <c r="M6" s="78"/>
      <c r="N6" s="77">
        <f>'Jan26'!N6+'Abr26'!N41</f>
        <v>0.41133333333333333</v>
      </c>
      <c r="O6" s="78"/>
      <c r="P6" s="77">
        <f>'Jan26'!P6+'Abr26'!P41</f>
        <v>6.6666666666666666E-2</v>
      </c>
      <c r="Q6" s="78"/>
      <c r="R6" s="77">
        <f>'Jan26'!R6+'Abr26'!R41</f>
        <v>0</v>
      </c>
      <c r="S6" s="78"/>
      <c r="T6" s="77">
        <f>'Jan26'!T6+'Abr26'!T41</f>
        <v>2.7666666666666666E-2</v>
      </c>
      <c r="U6" s="57">
        <f t="shared" si="2"/>
        <v>111050541.66666666</v>
      </c>
      <c r="Y6" s="12">
        <f>K6-'Jan26'!K6</f>
        <v>-570260895.5999999</v>
      </c>
      <c r="Z6" s="12">
        <f>M6-'Jan26'!M6</f>
        <v>-1361397490.2</v>
      </c>
      <c r="AA6" s="12">
        <f>O6-'Jan26'!O6</f>
        <v>-1706766765</v>
      </c>
      <c r="AB6" s="12">
        <f>Q6-'Jan26'!Q6</f>
        <v>-257018995.20000002</v>
      </c>
      <c r="AC6" s="12">
        <f>+S6-'Jan26'!S6</f>
        <v>0</v>
      </c>
      <c r="AE6" s="28">
        <f>J6-'Jan26'!J6</f>
        <v>3.8000000000000006E-2</v>
      </c>
      <c r="AF6" s="28">
        <f>L6-'Jan26'!L6</f>
        <v>-2.466666666666667E-2</v>
      </c>
      <c r="AG6" s="28">
        <f>N6-'Jan26'!N6</f>
        <v>-1.366666666666666E-2</v>
      </c>
      <c r="AH6" s="28">
        <f>P6-'Jan26'!P6</f>
        <v>2.6666666666666644E-3</v>
      </c>
      <c r="AI6" s="28">
        <f>R6-'Jan26'!R6</f>
        <v>0</v>
      </c>
      <c r="AK6" s="10">
        <f>I6-'Nov25'!I6</f>
        <v>-135299710</v>
      </c>
      <c r="AL6" s="76">
        <f>I6/'Nov25'!I6-1</f>
        <v>-3.2608824514887669E-2</v>
      </c>
      <c r="AN6" t="s">
        <v>14</v>
      </c>
      <c r="AO6" s="2" t="s">
        <v>18</v>
      </c>
    </row>
    <row r="7" spans="2:43" x14ac:dyDescent="0.25">
      <c r="B7" s="103" t="s">
        <v>15</v>
      </c>
      <c r="C7" s="104" t="s">
        <v>19</v>
      </c>
      <c r="F7" s="7">
        <f t="shared" si="3"/>
        <v>1</v>
      </c>
      <c r="H7" s="3" t="s">
        <v>22</v>
      </c>
      <c r="I7" s="78">
        <v>3866981000</v>
      </c>
      <c r="J7" s="77">
        <f>AVERAGE('Mar26'!J7,'Jan26'!J7)</f>
        <v>0.23100000000000001</v>
      </c>
      <c r="K7" s="78">
        <f t="shared" si="0"/>
        <v>893272611</v>
      </c>
      <c r="L7" s="77">
        <f>AVERAGE('Mar26'!L7,'Jan26'!L7)</f>
        <v>0.32300000000000001</v>
      </c>
      <c r="M7" s="78">
        <f t="shared" si="0"/>
        <v>1249034863</v>
      </c>
      <c r="N7" s="77">
        <f>AVERAGE('Mar26'!N7,'Jan26'!N7)</f>
        <v>0.313</v>
      </c>
      <c r="O7" s="78">
        <f t="shared" si="0"/>
        <v>1210365053</v>
      </c>
      <c r="P7" s="77">
        <f>AVERAGE('Mar26'!P7,'Jan26'!P7)</f>
        <v>0.13300000000000001</v>
      </c>
      <c r="Q7" s="78">
        <f t="shared" si="0"/>
        <v>514308473</v>
      </c>
      <c r="R7" s="77">
        <f>AVERAGE('Mar26'!R7,'Jan26'!R7)</f>
        <v>0</v>
      </c>
      <c r="S7" s="78">
        <f t="shared" si="1"/>
        <v>0</v>
      </c>
      <c r="T7" s="77">
        <f>AVERAGE('Mar26'!T7,'Jan26'!T7)</f>
        <v>0</v>
      </c>
      <c r="U7" s="57">
        <f t="shared" si="2"/>
        <v>0</v>
      </c>
      <c r="Y7" s="12">
        <f>K7-'Jan26'!K7</f>
        <v>60999211</v>
      </c>
      <c r="Z7" s="12">
        <f>M7-'Jan26'!M7</f>
        <v>91089263</v>
      </c>
      <c r="AA7" s="12">
        <f>O7-'Jan26'!O7</f>
        <v>52419453</v>
      </c>
      <c r="AB7" s="12">
        <f>Q7-'Jan26'!Q7</f>
        <v>43893073</v>
      </c>
      <c r="AC7" s="12">
        <f>+S7-'Jan26'!S7</f>
        <v>0</v>
      </c>
      <c r="AE7" s="28">
        <f>J7-'Jan26'!J7</f>
        <v>1.0000000000000009E-3</v>
      </c>
      <c r="AF7" s="28">
        <f>L7-'Jan26'!L7</f>
        <v>3.0000000000000027E-3</v>
      </c>
      <c r="AG7" s="28">
        <f>N7-'Jan26'!N7</f>
        <v>-7.0000000000000062E-3</v>
      </c>
      <c r="AH7" s="28">
        <f>P7-'Jan26'!P7</f>
        <v>3.0000000000000027E-3</v>
      </c>
      <c r="AI7" s="28">
        <f>R7-'Jan26'!R7</f>
        <v>0</v>
      </c>
      <c r="AK7" s="10">
        <f>I7-'Nov25'!I7</f>
        <v>558521000</v>
      </c>
      <c r="AL7" s="76">
        <f>I7/'Nov25'!I7-1</f>
        <v>0.16881600502953042</v>
      </c>
      <c r="AN7" t="s">
        <v>15</v>
      </c>
      <c r="AO7" s="2" t="s">
        <v>19</v>
      </c>
    </row>
    <row r="8" spans="2:43" x14ac:dyDescent="0.25">
      <c r="B8" s="103" t="s">
        <v>57</v>
      </c>
      <c r="F8" s="7">
        <f t="shared" si="3"/>
        <v>1</v>
      </c>
      <c r="H8" s="3" t="s">
        <v>23</v>
      </c>
      <c r="I8" s="78">
        <v>224159000</v>
      </c>
      <c r="J8" s="77">
        <f>AVERAGE('Mar26'!J8,'Jan26'!J8)</f>
        <v>0.155</v>
      </c>
      <c r="K8" s="78">
        <f t="shared" si="0"/>
        <v>34744645</v>
      </c>
      <c r="L8" s="77">
        <f>AVERAGE('Mar26'!L8,'Jan26'!L8)</f>
        <v>0.41000000000000003</v>
      </c>
      <c r="M8" s="78">
        <f t="shared" si="0"/>
        <v>91905190</v>
      </c>
      <c r="N8" s="77">
        <f>AVERAGE('Mar26'!N8,'Jan26'!N8)</f>
        <v>0.22500000000000001</v>
      </c>
      <c r="O8" s="78">
        <f t="shared" si="0"/>
        <v>50435775</v>
      </c>
      <c r="P8" s="77">
        <f>AVERAGE('Mar26'!P8,'Jan26'!P8)</f>
        <v>0.09</v>
      </c>
      <c r="Q8" s="78">
        <f t="shared" si="0"/>
        <v>20174310</v>
      </c>
      <c r="R8" s="77">
        <f>AVERAGE('Mar26'!R8,'Jan26'!R8)</f>
        <v>0</v>
      </c>
      <c r="S8" s="78">
        <f t="shared" si="1"/>
        <v>0</v>
      </c>
      <c r="T8" s="77">
        <f>AVERAGE('Mar26'!T8,'Jan26'!T8)</f>
        <v>0.12</v>
      </c>
      <c r="U8" s="57">
        <f t="shared" si="2"/>
        <v>26899080</v>
      </c>
      <c r="Y8" s="12">
        <f>K8-'Jan26'!K8</f>
        <v>-3614975</v>
      </c>
      <c r="Z8" s="12">
        <f>M8-'Jan26'!M8</f>
        <v>13054860</v>
      </c>
      <c r="AA8" s="12">
        <f>O8-'Jan26'!O8</f>
        <v>1420705</v>
      </c>
      <c r="AB8" s="12">
        <f>Q8-'Jan26'!Q8</f>
        <v>-1136590</v>
      </c>
      <c r="AC8" s="12">
        <f>+S8-'Jan26'!S8</f>
        <v>0</v>
      </c>
      <c r="AE8" s="28">
        <f>J8-'Jan26'!J8</f>
        <v>-2.4999999999999994E-2</v>
      </c>
      <c r="AF8" s="28">
        <f>L8-'Jan26'!L8</f>
        <v>4.0000000000000036E-2</v>
      </c>
      <c r="AG8" s="28">
        <f>N8-'Jan26'!N8</f>
        <v>-5.0000000000000044E-3</v>
      </c>
      <c r="AH8" s="28">
        <f>P8-'Jan26'!P8</f>
        <v>-1.0000000000000009E-2</v>
      </c>
      <c r="AI8" s="28">
        <f>R8-'Jan26'!R8</f>
        <v>0</v>
      </c>
      <c r="AK8" s="10">
        <f>I8-'Nov25'!I8</f>
        <v>30007090.039999992</v>
      </c>
      <c r="AL8" s="76">
        <f>I8/'Nov25'!I8-1</f>
        <v>0.15455469918468578</v>
      </c>
      <c r="AN8" t="s">
        <v>57</v>
      </c>
    </row>
    <row r="9" spans="2:43" x14ac:dyDescent="0.25">
      <c r="F9" s="7">
        <f t="shared" si="3"/>
        <v>1</v>
      </c>
      <c r="H9" s="3" t="s">
        <v>24</v>
      </c>
      <c r="I9" s="78">
        <v>1495016000</v>
      </c>
      <c r="J9" s="77">
        <f>AVERAGE('Mar26'!J9,'Jan26'!J9)</f>
        <v>0.59250000000000003</v>
      </c>
      <c r="K9" s="78">
        <f t="shared" si="0"/>
        <v>885796980</v>
      </c>
      <c r="L9" s="77">
        <f>AVERAGE('Mar26'!L9,'Jan26'!L9)</f>
        <v>0.16415000000000002</v>
      </c>
      <c r="M9" s="78">
        <f t="shared" si="0"/>
        <v>245406876.40000004</v>
      </c>
      <c r="N9" s="77">
        <f>AVERAGE('Mar26'!N9,'Jan26'!N9)</f>
        <v>0.18240000000000001</v>
      </c>
      <c r="O9" s="78">
        <f t="shared" si="0"/>
        <v>272690918.40000004</v>
      </c>
      <c r="P9" s="77">
        <f>AVERAGE('Mar26'!P9,'Jan26'!P9)</f>
        <v>4.9500000000000002E-2</v>
      </c>
      <c r="Q9" s="78">
        <f t="shared" si="0"/>
        <v>74003292</v>
      </c>
      <c r="R9" s="77">
        <f>AVERAGE('Mar26'!R9,'Jan26'!R9)</f>
        <v>0</v>
      </c>
      <c r="S9" s="78">
        <f t="shared" si="1"/>
        <v>0</v>
      </c>
      <c r="T9" s="77">
        <f>AVERAGE('Mar26'!T9,'Jan26'!T9)</f>
        <v>1.145E-2</v>
      </c>
      <c r="U9" s="57">
        <f t="shared" si="2"/>
        <v>17117933.199999999</v>
      </c>
      <c r="Y9" s="12">
        <f>K9-'Jan26'!K9</f>
        <v>-13810431.20599997</v>
      </c>
      <c r="Z9" s="12">
        <f>M9-'Jan26'!M9</f>
        <v>5491191.7400000393</v>
      </c>
      <c r="AA9" s="12">
        <f>O9-'Jan26'!O9</f>
        <v>-23918217.85799998</v>
      </c>
      <c r="AB9" s="12">
        <f>Q9-'Jan26'!Q9</f>
        <v>-1180476.6959999949</v>
      </c>
      <c r="AC9" s="12">
        <f>+S9-'Jan26'!S9</f>
        <v>0</v>
      </c>
      <c r="AE9" s="28">
        <f>J9-'Jan26'!J9</f>
        <v>3.8000000000000256E-3</v>
      </c>
      <c r="AF9" s="28">
        <f>L9-'Jan26'!L9</f>
        <v>7.1500000000000175E-3</v>
      </c>
      <c r="AG9" s="28">
        <f>N9-'Jan26'!N9</f>
        <v>-1.1699999999999988E-2</v>
      </c>
      <c r="AH9" s="28">
        <f>P9-'Jan26'!P9</f>
        <v>3.0000000000000165E-4</v>
      </c>
      <c r="AI9" s="28">
        <f>R9-'Jan26'!R9</f>
        <v>0</v>
      </c>
      <c r="AK9" s="10">
        <f>I9-'Nov25'!I9</f>
        <v>-121585762</v>
      </c>
      <c r="AL9" s="76">
        <f>I9/'Nov25'!I9-1</f>
        <v>-7.5210707335601645E-2</v>
      </c>
    </row>
    <row r="10" spans="2:43" x14ac:dyDescent="0.25">
      <c r="F10" s="7">
        <f t="shared" si="3"/>
        <v>0.99999999999999989</v>
      </c>
      <c r="H10" s="3" t="s">
        <v>73</v>
      </c>
      <c r="I10" s="78">
        <v>7913397000</v>
      </c>
      <c r="J10" s="77">
        <f>AVERAGE('Mar26'!J10,'Jan26'!J10)</f>
        <v>0.35849999999999999</v>
      </c>
      <c r="K10" s="78">
        <f t="shared" si="0"/>
        <v>2836952824.5</v>
      </c>
      <c r="L10" s="77">
        <f>AVERAGE('Mar26'!L10,'Jan26'!L10)</f>
        <v>0.36599999999999999</v>
      </c>
      <c r="M10" s="78">
        <f t="shared" si="0"/>
        <v>2896303302</v>
      </c>
      <c r="N10" s="77">
        <f>AVERAGE('Mar26'!N10,'Jan26'!N10)</f>
        <v>0.22399999999999998</v>
      </c>
      <c r="O10" s="78">
        <f t="shared" si="0"/>
        <v>1772600927.9999998</v>
      </c>
      <c r="P10" s="77">
        <f>AVERAGE('Mar26'!P10,'Jan26'!P10)</f>
        <v>5.1500000000000004E-2</v>
      </c>
      <c r="Q10" s="78">
        <f t="shared" si="0"/>
        <v>407539945.50000006</v>
      </c>
      <c r="R10" s="77">
        <f>AVERAGE('Mar26'!R10,'Jan26'!R10)</f>
        <v>0</v>
      </c>
      <c r="S10" s="78">
        <f t="shared" si="1"/>
        <v>0</v>
      </c>
      <c r="T10" s="77">
        <f>AVERAGE('Mar26'!T10,'Jan26'!T10)</f>
        <v>0</v>
      </c>
      <c r="U10" s="57">
        <f t="shared" si="2"/>
        <v>0</v>
      </c>
      <c r="Y10" s="12">
        <f>K10-'Jan26'!K10</f>
        <v>49563874.618999958</v>
      </c>
      <c r="Z10" s="12">
        <f>M10-'Jan26'!M10</f>
        <v>-72700225.352000237</v>
      </c>
      <c r="AA10" s="12">
        <f>O10-'Jan26'!O10</f>
        <v>11729155.128999949</v>
      </c>
      <c r="AB10" s="12">
        <f>Q10-'Jan26'!Q10</f>
        <v>28518218.604000032</v>
      </c>
      <c r="AC10" s="12">
        <f>+S10-'Jan26'!S10</f>
        <v>0</v>
      </c>
      <c r="AE10" s="28">
        <f>J10-'Jan26'!J10</f>
        <v>5.5000000000000049E-3</v>
      </c>
      <c r="AF10" s="28">
        <f>L10-'Jan26'!L10</f>
        <v>-1.0000000000000009E-2</v>
      </c>
      <c r="AG10" s="28">
        <f>N10-'Jan26'!N10</f>
        <v>1.0000000000000009E-3</v>
      </c>
      <c r="AH10" s="28">
        <f>P10-'Jan26'!P10</f>
        <v>3.5000000000000031E-3</v>
      </c>
      <c r="AI10" s="28">
        <f>R10-'Jan26'!R10</f>
        <v>0</v>
      </c>
      <c r="AK10" s="10">
        <f>I10-'Nov25'!I10</f>
        <v>146328456.89999962</v>
      </c>
      <c r="AL10" s="76">
        <f>I10/'Nov25'!I10-1</f>
        <v>1.8839599018344311E-2</v>
      </c>
    </row>
    <row r="11" spans="2:43" x14ac:dyDescent="0.25">
      <c r="F11" s="7">
        <f t="shared" si="3"/>
        <v>0.99999999999999989</v>
      </c>
      <c r="H11" s="3" t="s">
        <v>47</v>
      </c>
      <c r="I11" s="78">
        <v>2899174514</v>
      </c>
      <c r="J11" s="77">
        <v>0.59</v>
      </c>
      <c r="K11" s="78">
        <f t="shared" si="0"/>
        <v>1710512963.26</v>
      </c>
      <c r="L11" s="77">
        <v>0.3</v>
      </c>
      <c r="M11" s="78">
        <f t="shared" si="0"/>
        <v>869752354.19999993</v>
      </c>
      <c r="N11" s="77">
        <v>0.11</v>
      </c>
      <c r="O11" s="78">
        <f t="shared" si="0"/>
        <v>318909196.54000002</v>
      </c>
      <c r="P11" s="77">
        <v>0</v>
      </c>
      <c r="Q11" s="78">
        <f t="shared" si="0"/>
        <v>0</v>
      </c>
      <c r="R11" s="77">
        <v>0</v>
      </c>
      <c r="S11" s="78">
        <f t="shared" si="1"/>
        <v>0</v>
      </c>
      <c r="T11" s="77">
        <v>0</v>
      </c>
      <c r="U11" s="57">
        <f t="shared" si="2"/>
        <v>0</v>
      </c>
      <c r="Y11" s="12">
        <f>K11-'Jan26'!K11</f>
        <v>-79127839.149999857</v>
      </c>
      <c r="Z11" s="12">
        <f>M11-'Jan26'!M11</f>
        <v>48277887.519999862</v>
      </c>
      <c r="AA11" s="12">
        <f>O11-'Jan26'!O11</f>
        <v>-3812915.3700000048</v>
      </c>
      <c r="AB11" s="12">
        <f>Q11-'Jan26'!Q11</f>
        <v>0</v>
      </c>
      <c r="AC11" s="12">
        <f>+S11-'Jan26'!S11</f>
        <v>0</v>
      </c>
      <c r="AE11" s="28">
        <f>J11-'Jan26'!J11</f>
        <v>-2.0000000000000018E-2</v>
      </c>
      <c r="AF11" s="28">
        <f>L11-'Jan26'!L11</f>
        <v>1.9999999999999962E-2</v>
      </c>
      <c r="AG11" s="28">
        <f>N11-'Jan26'!N11</f>
        <v>0</v>
      </c>
      <c r="AH11" s="28">
        <f>P11-'Jan26'!P11</f>
        <v>0</v>
      </c>
      <c r="AI11" s="28">
        <f>R11-'Jan26'!R11</f>
        <v>0</v>
      </c>
      <c r="AK11" s="10">
        <f>I11-'Nov25'!I11</f>
        <v>-96457175.230000019</v>
      </c>
      <c r="AL11" s="76">
        <f>I11/'Nov25'!I11-1</f>
        <v>-3.2199277226498291E-2</v>
      </c>
    </row>
    <row r="12" spans="2:43" x14ac:dyDescent="0.25">
      <c r="B12" t="s">
        <v>70</v>
      </c>
      <c r="F12" s="7">
        <f t="shared" si="3"/>
        <v>0.99999999999999989</v>
      </c>
      <c r="H12" s="3" t="s">
        <v>30</v>
      </c>
      <c r="I12" s="78">
        <v>1442933000</v>
      </c>
      <c r="J12" s="77">
        <f>AVERAGE('Mar26'!J12,'Jan26'!J12)</f>
        <v>0.245</v>
      </c>
      <c r="K12" s="78">
        <f t="shared" si="0"/>
        <v>353518585</v>
      </c>
      <c r="L12" s="77">
        <f>AVERAGE('Mar26'!L12,'Jan26'!L12)</f>
        <v>0.48749999999999999</v>
      </c>
      <c r="M12" s="78">
        <f t="shared" si="0"/>
        <v>703429837.5</v>
      </c>
      <c r="N12" s="77">
        <f>AVERAGE('Mar26'!N12,'Jan26'!N12)</f>
        <v>0.24249999999999999</v>
      </c>
      <c r="O12" s="78">
        <f t="shared" si="0"/>
        <v>349911252.5</v>
      </c>
      <c r="P12" s="77">
        <f>AVERAGE('Mar26'!P12,'Jan26'!P12)</f>
        <v>2.5000000000000001E-2</v>
      </c>
      <c r="Q12" s="78">
        <f t="shared" si="0"/>
        <v>36073325</v>
      </c>
      <c r="R12" s="77">
        <f>AVERAGE('Mar26'!R12,'Jan26'!R12)</f>
        <v>0</v>
      </c>
      <c r="S12" s="78">
        <f t="shared" si="1"/>
        <v>0</v>
      </c>
      <c r="T12" s="77">
        <f>AVERAGE('Mar26'!T12,'Jan26'!T12)</f>
        <v>0</v>
      </c>
      <c r="U12" s="57">
        <f t="shared" si="2"/>
        <v>0</v>
      </c>
      <c r="Y12" s="12">
        <f>K12-'Jan26'!K12</f>
        <v>140355</v>
      </c>
      <c r="Z12" s="12">
        <f>M12-'Jan26'!M12</f>
        <v>-29940882.5</v>
      </c>
      <c r="AA12" s="12">
        <f>O12-'Jan26'!O12</f>
        <v>-4945547.5</v>
      </c>
      <c r="AB12" s="12">
        <f>Q12-'Jan26'!Q12</f>
        <v>-890925</v>
      </c>
      <c r="AC12" s="12">
        <f>+S12-'Jan26'!S12</f>
        <v>0</v>
      </c>
      <c r="AE12" s="28">
        <f>J12-'Jan26'!J12</f>
        <v>6.0000000000000053E-3</v>
      </c>
      <c r="AF12" s="28">
        <f>L12-'Jan26'!L12</f>
        <v>-8.5000000000000075E-3</v>
      </c>
      <c r="AG12" s="28">
        <f>N12-'Jan26'!N12</f>
        <v>2.5000000000000022E-3</v>
      </c>
      <c r="AH12" s="28">
        <f>P12-'Jan26'!P12</f>
        <v>0</v>
      </c>
      <c r="AI12" s="28">
        <f>R12-'Jan26'!R12</f>
        <v>0</v>
      </c>
      <c r="AK12" s="10">
        <f>I12-'Nov25'!I12</f>
        <v>-47707000</v>
      </c>
      <c r="AL12" s="76">
        <f>I12/'Nov25'!I12-1</f>
        <v>-3.200437396017819E-2</v>
      </c>
    </row>
    <row r="13" spans="2:43" x14ac:dyDescent="0.25">
      <c r="B13" t="s">
        <v>74</v>
      </c>
      <c r="F13" s="7">
        <f t="shared" si="3"/>
        <v>0.99999999999999989</v>
      </c>
      <c r="H13" s="3" t="s">
        <v>64</v>
      </c>
      <c r="I13" s="102">
        <v>859614000</v>
      </c>
      <c r="J13" s="77">
        <f>AVERAGE('Mar26'!J13,'Jan26'!J13)</f>
        <v>0.28000000000000003</v>
      </c>
      <c r="K13" s="78">
        <f t="shared" si="0"/>
        <v>240691920.00000003</v>
      </c>
      <c r="L13" s="77">
        <f>AVERAGE('Mar26'!L13,'Jan26'!L13)</f>
        <v>0.45999999999999996</v>
      </c>
      <c r="M13" s="78">
        <f t="shared" si="0"/>
        <v>395422439.99999994</v>
      </c>
      <c r="N13" s="77">
        <f>AVERAGE('Mar26'!N13,'Jan26'!N13)</f>
        <v>0.18</v>
      </c>
      <c r="O13" s="78">
        <f t="shared" si="0"/>
        <v>154730520</v>
      </c>
      <c r="P13" s="77">
        <f>AVERAGE('Mar26'!P13,'Jan26'!P13)</f>
        <v>0.08</v>
      </c>
      <c r="Q13" s="78">
        <f t="shared" si="0"/>
        <v>68769120</v>
      </c>
      <c r="R13" s="77">
        <f>AVERAGE('Mar26'!R13,'Jan26'!R13)</f>
        <v>0</v>
      </c>
      <c r="S13" s="78">
        <f t="shared" si="1"/>
        <v>0</v>
      </c>
      <c r="T13" s="77">
        <f>AVERAGE('Mar26'!T13,'Jan26'!T13)</f>
        <v>0</v>
      </c>
      <c r="U13" s="57">
        <f t="shared" si="2"/>
        <v>0</v>
      </c>
      <c r="Y13" s="12">
        <f>K13-'Jan26'!K13</f>
        <v>-215658079.99999997</v>
      </c>
      <c r="Z13" s="12">
        <f>M13-'Jan26'!M13</f>
        <v>94231439.99999994</v>
      </c>
      <c r="AA13" s="12">
        <f>O13-'Jan26'!O13</f>
        <v>8698520</v>
      </c>
      <c r="AB13" s="12">
        <f>Q13-'Jan26'!Q13</f>
        <v>59642120</v>
      </c>
      <c r="AC13" s="12">
        <f>+S13-'Jan26'!S13</f>
        <v>0</v>
      </c>
      <c r="AE13" s="28">
        <f>J13-'Jan26'!J13</f>
        <v>-0.21999999999999997</v>
      </c>
      <c r="AF13" s="28">
        <f>L13-'Jan26'!L13</f>
        <v>0.12999999999999995</v>
      </c>
      <c r="AG13" s="28">
        <f>N13-'Jan26'!N13</f>
        <v>1.999999999999999E-2</v>
      </c>
      <c r="AH13" s="28">
        <f>P13-'Jan26'!P13</f>
        <v>7.0000000000000007E-2</v>
      </c>
      <c r="AI13" s="28">
        <f>R13-'Jan26'!R13</f>
        <v>0</v>
      </c>
      <c r="AK13" s="10">
        <f>I13-'Nov25'!I13</f>
        <v>-225586000</v>
      </c>
      <c r="AL13" s="76">
        <f>I13/'Nov25'!I13-1</f>
        <v>-0.20787504607445628</v>
      </c>
    </row>
    <row r="14" spans="2:43" s="8" customFormat="1" x14ac:dyDescent="0.25">
      <c r="B14" t="s">
        <v>42</v>
      </c>
      <c r="E14"/>
      <c r="F14" s="7">
        <f>J14+L14+N14+P14+R14+T14</f>
        <v>0.84541638240719852</v>
      </c>
      <c r="G14"/>
      <c r="H14" s="21" t="s">
        <v>45</v>
      </c>
      <c r="I14" s="20">
        <f>SUM(I3:I13)</f>
        <v>25247335514</v>
      </c>
      <c r="J14" s="15">
        <f>K14/$I$14</f>
        <v>0.31829198664431657</v>
      </c>
      <c r="K14" s="17">
        <f>SUM(K3:K13)</f>
        <v>8036024578.2266674</v>
      </c>
      <c r="L14" s="15">
        <f>M14/$I$14</f>
        <v>0.27705276076180774</v>
      </c>
      <c r="M14" s="20">
        <f>SUM(M3:M13)</f>
        <v>6994844006.0333338</v>
      </c>
      <c r="N14" s="15">
        <f>O14/$I$14</f>
        <v>0.18762889502326013</v>
      </c>
      <c r="O14" s="17">
        <f>SUM(O3:O13)</f>
        <v>4737129664.7733335</v>
      </c>
      <c r="P14" s="15">
        <f>Q14/$I$14</f>
        <v>5.5227805745817315E-2</v>
      </c>
      <c r="Q14" s="17">
        <f>SUM(Q3:Q13)</f>
        <v>1394354941.3666668</v>
      </c>
      <c r="R14" s="15">
        <f>S14/$I$14</f>
        <v>1.0568861805319454E-3</v>
      </c>
      <c r="S14" s="17">
        <f>SUM(S3:S13)</f>
        <v>26683560.000000004</v>
      </c>
      <c r="T14" s="15">
        <f>U14/$I$14</f>
        <v>6.158048051464836E-3</v>
      </c>
      <c r="U14" s="63">
        <f>SUM(U3:U13)</f>
        <v>155474305.26666665</v>
      </c>
      <c r="Y14" s="12">
        <f>K14-'Jan26'!K14</f>
        <v>-769120388.95654678</v>
      </c>
      <c r="Z14" s="12">
        <f>M14-'Jan26'!M14</f>
        <v>-1250445286.9234619</v>
      </c>
      <c r="AA14" s="12">
        <f>O14-'Jan26'!O14</f>
        <v>-1686776724.4740362</v>
      </c>
      <c r="AB14" s="12">
        <f>Q14-'Jan26'!Q14</f>
        <v>-130417252.12337828</v>
      </c>
      <c r="AC14" s="12">
        <f>+S14-'Jan26'!S14</f>
        <v>-5404911.2973999977</v>
      </c>
      <c r="AE14" s="28">
        <f>J14-'Jan26'!J14</f>
        <v>-3.1205201133973459E-2</v>
      </c>
      <c r="AF14" s="28">
        <f>L14-'Jan26'!L14</f>
        <v>-5.0222421083234603E-2</v>
      </c>
      <c r="AG14" s="28">
        <f>N14-'Jan26'!N14</f>
        <v>-6.7351258734636432E-2</v>
      </c>
      <c r="AH14" s="28">
        <f>P14-'Jan26'!P14</f>
        <v>-5.2940363832376658E-3</v>
      </c>
      <c r="AI14" s="28">
        <f>R14-'Jan26'!R14</f>
        <v>-2.1678171708284285E-4</v>
      </c>
      <c r="AK14" s="92">
        <f>I14-'Nov25'!I14</f>
        <v>12510889.509998322</v>
      </c>
      <c r="AL14" s="76">
        <f>I14/'Nov25'!I14-1</f>
        <v>4.957787381592027E-4</v>
      </c>
    </row>
    <row r="15" spans="2:43" x14ac:dyDescent="0.25">
      <c r="B15" t="s">
        <v>66</v>
      </c>
      <c r="F15" s="7"/>
      <c r="I15" s="10"/>
      <c r="J15" s="10"/>
      <c r="K15" s="10"/>
      <c r="L15" s="5"/>
      <c r="M15" s="10"/>
      <c r="N15" s="10"/>
      <c r="O15" s="10"/>
      <c r="P15" s="5"/>
      <c r="Q15" s="10"/>
    </row>
    <row r="16" spans="2:43" x14ac:dyDescent="0.25">
      <c r="F16" s="7"/>
      <c r="H16" s="4" t="s">
        <v>2</v>
      </c>
      <c r="I16" s="9" t="s">
        <v>4</v>
      </c>
      <c r="J16" s="112" t="s">
        <v>7</v>
      </c>
      <c r="K16" s="112"/>
      <c r="L16" s="112" t="s">
        <v>8</v>
      </c>
      <c r="M16" s="112"/>
      <c r="N16" s="112" t="s">
        <v>10</v>
      </c>
      <c r="O16" s="112"/>
      <c r="P16" s="112" t="s">
        <v>9</v>
      </c>
      <c r="Q16" s="112"/>
      <c r="R16" s="112" t="s">
        <v>21</v>
      </c>
      <c r="S16" s="112"/>
      <c r="T16" s="112" t="s">
        <v>55</v>
      </c>
      <c r="U16" s="112"/>
      <c r="Y16" s="27" t="s">
        <v>49</v>
      </c>
      <c r="Z16" s="27" t="s">
        <v>50</v>
      </c>
      <c r="AA16" s="27" t="s">
        <v>51</v>
      </c>
      <c r="AB16" s="27" t="s">
        <v>52</v>
      </c>
      <c r="AC16" s="27" t="s">
        <v>53</v>
      </c>
      <c r="AE16" s="27" t="s">
        <v>49</v>
      </c>
      <c r="AF16" s="27" t="s">
        <v>50</v>
      </c>
      <c r="AG16" s="27" t="s">
        <v>51</v>
      </c>
      <c r="AH16" s="27" t="s">
        <v>52</v>
      </c>
      <c r="AI16" s="27" t="s">
        <v>53</v>
      </c>
    </row>
    <row r="17" spans="2:39" x14ac:dyDescent="0.25">
      <c r="F17" s="7">
        <f t="shared" si="3"/>
        <v>1</v>
      </c>
      <c r="H17" s="21" t="s">
        <v>6</v>
      </c>
      <c r="I17" s="80">
        <v>381489000</v>
      </c>
      <c r="J17" s="81">
        <v>0.42420000000000002</v>
      </c>
      <c r="K17" s="80">
        <f t="shared" ref="K17:K26" si="4">+J17*$I17</f>
        <v>161827633.80000001</v>
      </c>
      <c r="L17" s="81">
        <v>0.21840000000000001</v>
      </c>
      <c r="M17" s="80">
        <f t="shared" ref="M17:M26" si="5">+L17*$I17</f>
        <v>83317197.600000009</v>
      </c>
      <c r="N17" s="81">
        <v>0.2382</v>
      </c>
      <c r="O17" s="80">
        <f t="shared" ref="O17:O26" si="6">+N17*$I17</f>
        <v>90870679.799999997</v>
      </c>
      <c r="P17" s="81">
        <v>6.3399999999999998E-2</v>
      </c>
      <c r="Q17" s="80">
        <f t="shared" ref="Q17:Q26" si="7">+P17*$I17</f>
        <v>24186402.599999998</v>
      </c>
      <c r="R17" s="81">
        <v>0</v>
      </c>
      <c r="S17" s="80">
        <f t="shared" ref="S17:S26" si="8">+R17*$I17</f>
        <v>0</v>
      </c>
      <c r="T17" s="81">
        <v>5.5800000000000002E-2</v>
      </c>
      <c r="U17" s="80">
        <f t="shared" ref="U17:U26" si="9">+T17*$I17</f>
        <v>21287086.199999999</v>
      </c>
      <c r="Y17" s="12">
        <f>K17-'Jan26'!K17</f>
        <v>5046389.6925540268</v>
      </c>
      <c r="Z17" s="12">
        <f>M17-'Jan26'!M17</f>
        <v>-208512.33783198893</v>
      </c>
      <c r="AA17" s="12">
        <f>O17-'Jan26'!O17</f>
        <v>-1674594.0966359973</v>
      </c>
      <c r="AB17" s="12">
        <f>Q17-'Jan26'!Q17</f>
        <v>-1318498.8465339988</v>
      </c>
      <c r="AC17" s="12">
        <f>+S17-'Jan26'!S17</f>
        <v>0</v>
      </c>
      <c r="AD17" s="98"/>
      <c r="AE17" s="28">
        <f>J17-'Jan26'!J17</f>
        <v>1.0500000000000009E-2</v>
      </c>
      <c r="AF17" s="28">
        <f>L17-'Jan26'!L17</f>
        <v>-1.999999999999974E-3</v>
      </c>
      <c r="AG17" s="28">
        <f>N17-'Jan26'!N17</f>
        <v>-6.0000000000000053E-3</v>
      </c>
      <c r="AH17" s="28">
        <f>P17-'Jan26'!P17</f>
        <v>-3.9000000000000007E-3</v>
      </c>
      <c r="AI17" s="28">
        <f>R17-'Jan26'!R17</f>
        <v>0</v>
      </c>
      <c r="AJ17" s="8"/>
      <c r="AK17" s="10">
        <f>I17-'Nov25'!I17</f>
        <v>18344069.75</v>
      </c>
      <c r="AL17" s="76">
        <f>I17/'Nov25'!I17-1</f>
        <v>5.0514459164751058E-2</v>
      </c>
      <c r="AM17" s="8"/>
    </row>
    <row r="18" spans="2:39" x14ac:dyDescent="0.25">
      <c r="F18" s="7">
        <f t="shared" si="3"/>
        <v>1</v>
      </c>
      <c r="H18" s="3" t="s">
        <v>26</v>
      </c>
      <c r="I18" s="78">
        <v>839374000</v>
      </c>
      <c r="J18" s="77">
        <f>AVERAGE('Mar26'!J18,'Jan26'!J18)</f>
        <v>7.0000000000000007E-2</v>
      </c>
      <c r="K18" s="78">
        <f t="shared" si="4"/>
        <v>58756180.000000007</v>
      </c>
      <c r="L18" s="77">
        <f>AVERAGE('Mar26'!L18,'Jan26'!L18)</f>
        <v>0.25</v>
      </c>
      <c r="M18" s="78">
        <f t="shared" si="5"/>
        <v>209843500</v>
      </c>
      <c r="N18" s="77">
        <f>AVERAGE('Mar26'!N18,'Jan26'!N18)</f>
        <v>0.38500000000000001</v>
      </c>
      <c r="O18" s="78">
        <f t="shared" si="6"/>
        <v>323158990</v>
      </c>
      <c r="P18" s="77">
        <f>AVERAGE('Mar26'!P18,'Jan26'!P18)</f>
        <v>0.17499999999999999</v>
      </c>
      <c r="Q18" s="78">
        <f t="shared" si="7"/>
        <v>146890450</v>
      </c>
      <c r="R18" s="77">
        <f>AVERAGE('Mar26'!R18,'Jan26'!R18)</f>
        <v>0</v>
      </c>
      <c r="S18" s="78">
        <f t="shared" si="8"/>
        <v>0</v>
      </c>
      <c r="T18" s="77">
        <f>AVERAGE('Mar26'!T18,'Jan26'!T18)</f>
        <v>0.12</v>
      </c>
      <c r="U18" s="78">
        <f t="shared" si="9"/>
        <v>100724880</v>
      </c>
      <c r="Y18" s="12">
        <f>K18-'Jan26'!K18</f>
        <v>8614315.4800000116</v>
      </c>
      <c r="Z18" s="12">
        <f>M18-'Jan26'!M18</f>
        <v>919064.5</v>
      </c>
      <c r="AA18" s="12">
        <f>O18-'Jan26'!O18</f>
        <v>-2763129.3799999952</v>
      </c>
      <c r="AB18" s="12">
        <f>Q18-'Jan26'!Q18</f>
        <v>-3535143.5600000024</v>
      </c>
      <c r="AC18" s="12">
        <f>+S18-'Jan26'!S18</f>
        <v>0</v>
      </c>
      <c r="AE18" s="28">
        <f>J18-'Jan26'!J18</f>
        <v>1.0000000000000009E-2</v>
      </c>
      <c r="AF18" s="28">
        <f>L18-'Jan26'!L18</f>
        <v>0</v>
      </c>
      <c r="AG18" s="28">
        <f>N18-'Jan26'!N18</f>
        <v>-5.0000000000000044E-3</v>
      </c>
      <c r="AH18" s="28">
        <f>P18-'Jan26'!P18</f>
        <v>-5.0000000000000044E-3</v>
      </c>
      <c r="AI18" s="28">
        <f>R18-'Jan26'!R18</f>
        <v>0</v>
      </c>
      <c r="AK18" s="10">
        <f>I18-'Nov25'!I18</f>
        <v>-9701146.7300000191</v>
      </c>
      <c r="AL18" s="76">
        <f>I18/'Nov25'!I18-1</f>
        <v>-1.1425545509560098E-2</v>
      </c>
    </row>
    <row r="19" spans="2:39" x14ac:dyDescent="0.25">
      <c r="F19" s="7">
        <f t="shared" si="3"/>
        <v>1</v>
      </c>
      <c r="H19" s="3" t="s">
        <v>27</v>
      </c>
      <c r="I19" s="78">
        <v>555664000</v>
      </c>
      <c r="J19" s="77">
        <f>AVERAGE('Mar26'!J19,'Jan26'!J19)</f>
        <v>0.11349999999999999</v>
      </c>
      <c r="K19" s="78">
        <f t="shared" si="4"/>
        <v>63067863.999999993</v>
      </c>
      <c r="L19" s="77">
        <f>AVERAGE('Mar26'!L19,'Jan26'!L19)</f>
        <v>0.22750000000000001</v>
      </c>
      <c r="M19" s="78">
        <f t="shared" si="5"/>
        <v>126413560</v>
      </c>
      <c r="N19" s="77">
        <f>AVERAGE('Mar26'!N19,'Jan26'!N19)</f>
        <v>0.53550000000000009</v>
      </c>
      <c r="O19" s="78">
        <f t="shared" si="6"/>
        <v>297558072.00000006</v>
      </c>
      <c r="P19" s="77">
        <f>AVERAGE('Mar26'!P19,'Jan26'!P19)</f>
        <v>8.6499999999999994E-2</v>
      </c>
      <c r="Q19" s="78">
        <f t="shared" si="7"/>
        <v>48064936</v>
      </c>
      <c r="R19" s="77">
        <f>AVERAGE('Mar26'!R19,'Jan26'!R19)</f>
        <v>0</v>
      </c>
      <c r="S19" s="78">
        <f t="shared" si="8"/>
        <v>0</v>
      </c>
      <c r="T19" s="77">
        <f>AVERAGE('Mar26'!T19,'Jan26'!T19)</f>
        <v>3.6999999999999998E-2</v>
      </c>
      <c r="U19" s="78">
        <f t="shared" si="9"/>
        <v>20559568</v>
      </c>
      <c r="Y19" s="12">
        <f>K19-'Jan26'!K19</f>
        <v>22112919.399999999</v>
      </c>
      <c r="Z19" s="12">
        <f>M19-'Jan26'!M19</f>
        <v>-26029844.900000006</v>
      </c>
      <c r="AA19" s="12">
        <f>O19-'Jan26'!O19</f>
        <v>-6191100.4499999285</v>
      </c>
      <c r="AB19" s="12">
        <f>Q19-'Jan26'!Q19</f>
        <v>1421804.6499999985</v>
      </c>
      <c r="AC19" s="12">
        <f>+S19-'Jan26'!S19</f>
        <v>0</v>
      </c>
      <c r="AE19" s="28">
        <f>J19-'Jan26'!J19</f>
        <v>4.1499999999999995E-2</v>
      </c>
      <c r="AF19" s="28">
        <f>L19-'Jan26'!L19</f>
        <v>-4.0500000000000008E-2</v>
      </c>
      <c r="AG19" s="28">
        <f>N19-'Jan26'!N19</f>
        <v>1.5000000000000568E-3</v>
      </c>
      <c r="AH19" s="28">
        <f>P19-'Jan26'!P19</f>
        <v>4.4999999999999901E-3</v>
      </c>
      <c r="AI19" s="28">
        <f>R19-'Jan26'!R19</f>
        <v>0</v>
      </c>
      <c r="AK19" s="10">
        <f>I19-'Nov25'!I19</f>
        <v>-48842192</v>
      </c>
      <c r="AL19" s="76">
        <f>I19/'Nov25'!I19-1</f>
        <v>-8.0796843186016543E-2</v>
      </c>
    </row>
    <row r="20" spans="2:39" x14ac:dyDescent="0.25">
      <c r="B20" s="1"/>
      <c r="C20" s="1" t="s">
        <v>20</v>
      </c>
      <c r="D20" s="1"/>
      <c r="F20" s="7">
        <f t="shared" si="3"/>
        <v>1</v>
      </c>
      <c r="H20" s="3" t="s">
        <v>67</v>
      </c>
      <c r="I20" s="78">
        <v>1293754000</v>
      </c>
      <c r="J20" s="77">
        <f>AVERAGE('Mar26'!J20,'Jan26'!J20)</f>
        <v>0.21</v>
      </c>
      <c r="K20" s="78">
        <f t="shared" si="4"/>
        <v>271688340</v>
      </c>
      <c r="L20" s="77">
        <f>AVERAGE('Mar26'!L20,'Jan26'!L20)</f>
        <v>0.31999999999999995</v>
      </c>
      <c r="M20" s="78">
        <f t="shared" si="5"/>
        <v>414001279.99999994</v>
      </c>
      <c r="N20" s="77">
        <f>AVERAGE('Mar26'!N20,'Jan26'!N20)</f>
        <v>0.29000000000000004</v>
      </c>
      <c r="O20" s="78">
        <f t="shared" si="6"/>
        <v>375188660.00000006</v>
      </c>
      <c r="P20" s="77">
        <f>AVERAGE('Mar26'!P20,'Jan26'!P20)</f>
        <v>0.18</v>
      </c>
      <c r="Q20" s="78">
        <f t="shared" si="7"/>
        <v>232875720</v>
      </c>
      <c r="R20" s="77">
        <f>AVERAGE('Mar26'!R20,'Jan26'!R20)</f>
        <v>0</v>
      </c>
      <c r="S20" s="78">
        <f t="shared" si="8"/>
        <v>0</v>
      </c>
      <c r="T20" s="77">
        <f>AVERAGE('Mar26'!T20,'Jan26'!T20)</f>
        <v>0</v>
      </c>
      <c r="U20" s="78">
        <f t="shared" si="9"/>
        <v>0</v>
      </c>
      <c r="Y20" s="12">
        <f>K20-'Jan26'!K20</f>
        <v>1901744.0400000215</v>
      </c>
      <c r="Z20" s="12">
        <f>M20-'Jan26'!M20</f>
        <v>2897895.6800000072</v>
      </c>
      <c r="AA20" s="12">
        <f>O20-'Jan26'!O20</f>
        <v>2626217.9600000381</v>
      </c>
      <c r="AB20" s="12">
        <f>Q20-'Jan26'!Q20</f>
        <v>1630066.3200000226</v>
      </c>
      <c r="AC20" s="12">
        <f>+S20-'Jan26'!S20</f>
        <v>0</v>
      </c>
      <c r="AE20" s="28">
        <f>J20-'Jan26'!J20</f>
        <v>0</v>
      </c>
      <c r="AF20" s="28">
        <f>L20-'Jan26'!L20</f>
        <v>0</v>
      </c>
      <c r="AG20" s="28">
        <f>N20-'Jan26'!N20</f>
        <v>0</v>
      </c>
      <c r="AH20" s="28">
        <f>P20-'Jan26'!P20</f>
        <v>0</v>
      </c>
      <c r="AI20" s="28">
        <f>R20-'Jan26'!R20</f>
        <v>0</v>
      </c>
      <c r="AK20" s="10">
        <f>I20-'Nov25'!I20</f>
        <v>4711038</v>
      </c>
      <c r="AL20" s="76">
        <f>I20/'Nov25'!I20-1</f>
        <v>3.654678811240375E-3</v>
      </c>
    </row>
    <row r="21" spans="2:39" x14ac:dyDescent="0.25">
      <c r="B21" t="s">
        <v>11</v>
      </c>
      <c r="C21" s="2" t="s">
        <v>10</v>
      </c>
      <c r="D21" t="s">
        <v>7</v>
      </c>
      <c r="F21" s="7">
        <f t="shared" si="3"/>
        <v>1.0049999999999999</v>
      </c>
      <c r="H21" s="3" t="s">
        <v>32</v>
      </c>
      <c r="I21" s="78">
        <v>152728000</v>
      </c>
      <c r="J21" s="77">
        <f>AVERAGE('Mar26'!J21,'Jan26'!J21)</f>
        <v>0.22</v>
      </c>
      <c r="K21" s="78">
        <f t="shared" si="4"/>
        <v>33600160</v>
      </c>
      <c r="L21" s="77">
        <f>AVERAGE('Mar26'!L21,'Jan26'!L21)</f>
        <v>0.17</v>
      </c>
      <c r="M21" s="78">
        <f t="shared" si="5"/>
        <v>25963760.000000004</v>
      </c>
      <c r="N21" s="77">
        <f>AVERAGE('Mar26'!N21,'Jan26'!N21)</f>
        <v>0.495</v>
      </c>
      <c r="O21" s="78">
        <f t="shared" si="6"/>
        <v>75600360</v>
      </c>
      <c r="P21" s="77">
        <f>AVERAGE('Mar26'!P21,'Jan26'!P21)</f>
        <v>0.12</v>
      </c>
      <c r="Q21" s="78">
        <f t="shared" si="7"/>
        <v>18327360</v>
      </c>
      <c r="R21" s="77">
        <f>AVERAGE('Mar26'!R21,'Jan26'!R21)</f>
        <v>0</v>
      </c>
      <c r="S21" s="78">
        <f t="shared" si="8"/>
        <v>0</v>
      </c>
      <c r="T21" s="77">
        <f>AVERAGE('Mar26'!T21,'Jan26'!T21)</f>
        <v>0</v>
      </c>
      <c r="U21" s="78">
        <f t="shared" si="9"/>
        <v>0</v>
      </c>
      <c r="Y21" s="12">
        <f>K21-'Jan26'!K21</f>
        <v>-3599840</v>
      </c>
      <c r="Z21" s="12">
        <f>M21-'Jan26'!M21</f>
        <v>-386240</v>
      </c>
      <c r="AA21" s="12">
        <f>O21-'Jan26'!O21</f>
        <v>2750360</v>
      </c>
      <c r="AB21" s="12">
        <f>Q21-'Jan26'!Q21</f>
        <v>-272640</v>
      </c>
      <c r="AC21" s="12">
        <f>+S21-'Jan26'!S21</f>
        <v>0</v>
      </c>
      <c r="AE21" s="28">
        <f>J21-'Jan26'!J21</f>
        <v>-1.999999999999999E-2</v>
      </c>
      <c r="AF21" s="28">
        <f>L21-'Jan26'!L21</f>
        <v>0</v>
      </c>
      <c r="AG21" s="28">
        <f>N21-'Jan26'!N21</f>
        <v>2.5000000000000022E-2</v>
      </c>
      <c r="AH21" s="28">
        <f>P21-'Jan26'!P21</f>
        <v>0</v>
      </c>
      <c r="AI21" s="28">
        <f>R21-'Jan26'!R21</f>
        <v>0</v>
      </c>
      <c r="AK21" s="10">
        <f>I21-'Nov25'!I21</f>
        <v>-9672000</v>
      </c>
      <c r="AL21" s="76">
        <f>I21/'Nov25'!I21-1</f>
        <v>-5.9556650246305409E-2</v>
      </c>
    </row>
    <row r="22" spans="2:39" x14ac:dyDescent="0.25">
      <c r="B22" t="s">
        <v>12</v>
      </c>
      <c r="C22" s="2" t="s">
        <v>16</v>
      </c>
      <c r="D22" t="s">
        <v>58</v>
      </c>
      <c r="F22" s="7">
        <f t="shared" si="3"/>
        <v>1</v>
      </c>
      <c r="H22" s="3" t="s">
        <v>33</v>
      </c>
      <c r="I22" s="78">
        <v>1272849000</v>
      </c>
      <c r="J22" s="77">
        <f>AVERAGE('Mar26'!J22,'Jan26'!J22)</f>
        <v>0.17499999999999999</v>
      </c>
      <c r="K22" s="78">
        <f t="shared" si="4"/>
        <v>222748575</v>
      </c>
      <c r="L22" s="77">
        <f>AVERAGE('Mar26'!L22,'Jan26'!L22)</f>
        <v>0.30000000000000004</v>
      </c>
      <c r="M22" s="78">
        <f t="shared" si="5"/>
        <v>381854700.00000006</v>
      </c>
      <c r="N22" s="77">
        <f>AVERAGE('Mar26'!N22,'Jan26'!N22)</f>
        <v>0.49</v>
      </c>
      <c r="O22" s="78">
        <f t="shared" si="6"/>
        <v>623696010</v>
      </c>
      <c r="P22" s="77">
        <f>AVERAGE('Mar26'!P22,'Jan26'!P22)</f>
        <v>3.5000000000000003E-2</v>
      </c>
      <c r="Q22" s="78">
        <f t="shared" si="7"/>
        <v>44549715.000000007</v>
      </c>
      <c r="R22" s="77">
        <f>AVERAGE('Mar26'!R22,'Jan26'!R22)</f>
        <v>0</v>
      </c>
      <c r="S22" s="78">
        <f t="shared" si="8"/>
        <v>0</v>
      </c>
      <c r="T22" s="77">
        <f>AVERAGE('Mar26'!T22,'Jan26'!T22)</f>
        <v>0</v>
      </c>
      <c r="U22" s="78">
        <f t="shared" si="9"/>
        <v>0</v>
      </c>
      <c r="Y22" s="12">
        <f>K22-'Jan26'!K22</f>
        <v>-21705425</v>
      </c>
      <c r="Z22" s="12">
        <f>M22-'Jan26'!M22</f>
        <v>21606700</v>
      </c>
      <c r="AA22" s="12">
        <f>O22-'Jan26'!O22</f>
        <v>-19603990</v>
      </c>
      <c r="AB22" s="12">
        <f>Q22-'Jan26'!Q22</f>
        <v>5951715.0000000075</v>
      </c>
      <c r="AC22" s="12">
        <f>+S22-'Jan26'!S22</f>
        <v>0</v>
      </c>
      <c r="AE22" s="28">
        <f>J22-'Jan26'!J22</f>
        <v>-1.5000000000000013E-2</v>
      </c>
      <c r="AF22" s="28">
        <f>L22-'Jan26'!L22</f>
        <v>2.0000000000000018E-2</v>
      </c>
      <c r="AG22" s="28">
        <f>N22-'Jan26'!N22</f>
        <v>-1.0000000000000009E-2</v>
      </c>
      <c r="AH22" s="28">
        <f>P22-'Jan26'!P22</f>
        <v>5.0000000000000044E-3</v>
      </c>
      <c r="AI22" s="28">
        <f>R22-'Jan26'!R22</f>
        <v>0</v>
      </c>
      <c r="AK22" s="10">
        <f>I22-'Nov25'!I22</f>
        <v>6349000</v>
      </c>
      <c r="AL22" s="76">
        <f>I22/'Nov25'!I22-1</f>
        <v>5.0130280300040297E-3</v>
      </c>
    </row>
    <row r="23" spans="2:39" x14ac:dyDescent="0.25">
      <c r="B23" t="s">
        <v>13</v>
      </c>
      <c r="C23" s="2" t="s">
        <v>17</v>
      </c>
      <c r="D23" t="s">
        <v>59</v>
      </c>
      <c r="F23" s="7">
        <f t="shared" si="3"/>
        <v>1.0000000000000002</v>
      </c>
      <c r="H23" s="3" t="s">
        <v>68</v>
      </c>
      <c r="I23" s="78">
        <v>209927000</v>
      </c>
      <c r="J23" s="77">
        <f>AVERAGE('Mar26'!J23,'Jan26'!J23)</f>
        <v>0.49765000000000004</v>
      </c>
      <c r="K23" s="78">
        <f t="shared" si="4"/>
        <v>104470171.55000001</v>
      </c>
      <c r="L23" s="77">
        <f>AVERAGE('Mar26'!L23,'Jan26'!L23)</f>
        <v>0.12265</v>
      </c>
      <c r="M23" s="78">
        <f t="shared" si="5"/>
        <v>25747546.550000001</v>
      </c>
      <c r="N23" s="77">
        <f>AVERAGE('Mar26'!N23,'Jan26'!N23)</f>
        <v>0.26775000000000004</v>
      </c>
      <c r="O23" s="78">
        <f t="shared" si="6"/>
        <v>56207954.250000007</v>
      </c>
      <c r="P23" s="77">
        <f>AVERAGE('Mar26'!P23,'Jan26'!P23)</f>
        <v>9.9649999999999989E-2</v>
      </c>
      <c r="Q23" s="78">
        <f t="shared" si="7"/>
        <v>20919225.549999997</v>
      </c>
      <c r="R23" s="77">
        <f>AVERAGE('Mar26'!R23,'Jan26'!R23)</f>
        <v>0</v>
      </c>
      <c r="S23" s="78">
        <f t="shared" si="8"/>
        <v>0</v>
      </c>
      <c r="T23" s="77">
        <f>AVERAGE('Mar26'!T23,'Jan26'!T23)</f>
        <v>1.2299999999999998E-2</v>
      </c>
      <c r="U23" s="78">
        <f t="shared" si="9"/>
        <v>2582102.0999999996</v>
      </c>
      <c r="Y23" s="12">
        <f>K23-'Jan26'!K23</f>
        <v>-9945459.3625999838</v>
      </c>
      <c r="Z23" s="12">
        <f>M23-'Jan26'!M23</f>
        <v>-507302.93760000169</v>
      </c>
      <c r="AA23" s="12">
        <f>O23-'Jan26'!O23</f>
        <v>-6039245.228399992</v>
      </c>
      <c r="AB23" s="12">
        <f>Q23-'Jan26'!Q23</f>
        <v>-967399.41280000284</v>
      </c>
      <c r="AC23" s="12">
        <f>+S23-'Jan26'!S23</f>
        <v>0</v>
      </c>
      <c r="AE23" s="28">
        <f>J23-'Jan26'!J23</f>
        <v>-5.2499999999999769E-3</v>
      </c>
      <c r="AF23" s="28">
        <f>L23-'Jan26'!L23</f>
        <v>7.2499999999999926E-3</v>
      </c>
      <c r="AG23" s="28">
        <f>N23-'Jan26'!N23</f>
        <v>-5.8499999999999663E-3</v>
      </c>
      <c r="AH23" s="28">
        <f>P23-'Jan26'!P23</f>
        <v>3.4499999999999947E-3</v>
      </c>
      <c r="AI23" s="28">
        <f>R23-'Jan26'!R23</f>
        <v>0</v>
      </c>
      <c r="AK23" s="10">
        <f>I23-'Nov25'!I23</f>
        <v>-18897483</v>
      </c>
      <c r="AL23" s="76">
        <f>I23/'Nov25'!I23-1</f>
        <v>-8.2585057124328731E-2</v>
      </c>
    </row>
    <row r="24" spans="2:39" x14ac:dyDescent="0.25">
      <c r="B24" t="s">
        <v>14</v>
      </c>
      <c r="C24" s="2" t="s">
        <v>18</v>
      </c>
      <c r="F24" s="7">
        <f t="shared" si="3"/>
        <v>1</v>
      </c>
      <c r="H24" s="3" t="s">
        <v>35</v>
      </c>
      <c r="I24" s="78">
        <v>552074000</v>
      </c>
      <c r="J24" s="77">
        <f>AVERAGE('Mar26'!J24,'Jan26'!J24)</f>
        <v>0.1105</v>
      </c>
      <c r="K24" s="78">
        <f t="shared" si="4"/>
        <v>61004177</v>
      </c>
      <c r="L24" s="77">
        <f>AVERAGE('Mar26'!L24,'Jan26'!L24)</f>
        <v>0.41949999999999998</v>
      </c>
      <c r="M24" s="78">
        <f t="shared" si="5"/>
        <v>231595043</v>
      </c>
      <c r="N24" s="77">
        <f>AVERAGE('Mar26'!N24,'Jan26'!N24)</f>
        <v>0.36250000000000004</v>
      </c>
      <c r="O24" s="78">
        <f t="shared" si="6"/>
        <v>200126825.00000003</v>
      </c>
      <c r="P24" s="77">
        <f>AVERAGE('Mar26'!P24,'Jan26'!P24)</f>
        <v>0.1075</v>
      </c>
      <c r="Q24" s="78">
        <f t="shared" si="7"/>
        <v>59347955</v>
      </c>
      <c r="R24" s="77">
        <f>AVERAGE('Mar26'!R24,'Jan26'!R24)</f>
        <v>0</v>
      </c>
      <c r="S24" s="78">
        <f t="shared" si="8"/>
        <v>0</v>
      </c>
      <c r="T24" s="77">
        <f>AVERAGE('Mar26'!T24,'Jan26'!T24)</f>
        <v>0</v>
      </c>
      <c r="U24" s="78">
        <f t="shared" si="9"/>
        <v>0</v>
      </c>
      <c r="Y24" s="12">
        <f>K24-'Jan26'!K24</f>
        <v>11137754.766190007</v>
      </c>
      <c r="Z24" s="12">
        <f>M24-'Jan26'!M24</f>
        <v>-7325397.5927599967</v>
      </c>
      <c r="AA24" s="12">
        <f>O24-'Jan26'!O24</f>
        <v>-3174742.5686099827</v>
      </c>
      <c r="AB24" s="12">
        <f>Q24-'Jan26'!Q24</f>
        <v>3453723.4851800054</v>
      </c>
      <c r="AC24" s="12">
        <f>+S24-'Jan26'!S24</f>
        <v>0</v>
      </c>
      <c r="AE24" s="28">
        <f>J24-'Jan26'!J24</f>
        <v>1.9500000000000003E-2</v>
      </c>
      <c r="AF24" s="28">
        <f>L24-'Jan26'!L24</f>
        <v>-1.6500000000000015E-2</v>
      </c>
      <c r="AG24" s="28">
        <f>N24-'Jan26'!N24</f>
        <v>-8.5000000000000075E-3</v>
      </c>
      <c r="AH24" s="28">
        <f>P24-'Jan26'!P24</f>
        <v>5.5000000000000049E-3</v>
      </c>
      <c r="AI24" s="28">
        <f>R24-'Jan26'!R24</f>
        <v>0</v>
      </c>
      <c r="AK24" s="10">
        <f>I24-'Nov25'!I24</f>
        <v>29806641.680000007</v>
      </c>
      <c r="AL24" s="76">
        <f>I24/'Nov25'!I24-1</f>
        <v>5.7071615151060406E-2</v>
      </c>
    </row>
    <row r="25" spans="2:39" x14ac:dyDescent="0.25">
      <c r="B25" t="s">
        <v>15</v>
      </c>
      <c r="C25" s="2" t="s">
        <v>19</v>
      </c>
      <c r="F25" s="7">
        <f t="shared" si="3"/>
        <v>0.99999999999999989</v>
      </c>
      <c r="H25" s="3" t="s">
        <v>36</v>
      </c>
      <c r="I25" s="78">
        <v>610048000</v>
      </c>
      <c r="J25" s="77">
        <f>AVERAGE('Mar26'!J25,'Jan26'!J25)</f>
        <v>0.2</v>
      </c>
      <c r="K25" s="78">
        <f t="shared" si="4"/>
        <v>122009600</v>
      </c>
      <c r="L25" s="77">
        <f>AVERAGE('Mar26'!L25,'Jan26'!L25)</f>
        <v>0.255</v>
      </c>
      <c r="M25" s="78">
        <f t="shared" si="5"/>
        <v>155562240</v>
      </c>
      <c r="N25" s="77">
        <f>AVERAGE('Mar26'!N25,'Jan26'!N25)</f>
        <v>0.45499999999999996</v>
      </c>
      <c r="O25" s="78">
        <f t="shared" si="6"/>
        <v>277571840</v>
      </c>
      <c r="P25" s="77">
        <f>AVERAGE('Mar26'!P25,'Jan26'!P25)</f>
        <v>0.09</v>
      </c>
      <c r="Q25" s="78">
        <f t="shared" si="7"/>
        <v>54904320</v>
      </c>
      <c r="R25" s="77">
        <f>AVERAGE('Mar26'!R25,'Jan26'!R25)</f>
        <v>0</v>
      </c>
      <c r="S25" s="78">
        <f t="shared" si="8"/>
        <v>0</v>
      </c>
      <c r="T25" s="77">
        <f>AVERAGE('Mar26'!T25,'Jan26'!T25)</f>
        <v>0</v>
      </c>
      <c r="U25" s="78">
        <f t="shared" si="9"/>
        <v>0</v>
      </c>
      <c r="Y25" s="12">
        <f>K25-'Jan26'!K25</f>
        <v>-8421400</v>
      </c>
      <c r="Z25" s="12">
        <f>M25-'Jan26'!M25</f>
        <v>-5923760</v>
      </c>
      <c r="AA25" s="12">
        <f>O25-'Jan26'!O25</f>
        <v>4287840</v>
      </c>
      <c r="AB25" s="12">
        <f>Q25-'Jan26'!Q25</f>
        <v>-994680</v>
      </c>
      <c r="AC25" s="12">
        <f>+S25-'Jan26'!S25</f>
        <v>0</v>
      </c>
      <c r="AE25" s="28">
        <f>J25-'Jan26'!J25</f>
        <v>-9.9999999999999811E-3</v>
      </c>
      <c r="AF25" s="28">
        <f>L25-'Jan26'!L25</f>
        <v>-5.0000000000000044E-3</v>
      </c>
      <c r="AG25" s="28">
        <f>N25-'Jan26'!N25</f>
        <v>1.4999999999999958E-2</v>
      </c>
      <c r="AH25" s="28">
        <f>P25-'Jan26'!P25</f>
        <v>0</v>
      </c>
      <c r="AI25" s="28">
        <f>R25-'Jan26'!R25</f>
        <v>0</v>
      </c>
      <c r="AK25" s="10">
        <f>I25-'Nov25'!I25</f>
        <v>-64952000</v>
      </c>
      <c r="AL25" s="76">
        <f>I25/'Nov25'!I25-1</f>
        <v>-9.6225185185185191E-2</v>
      </c>
    </row>
    <row r="26" spans="2:39" x14ac:dyDescent="0.25">
      <c r="B26" t="s">
        <v>57</v>
      </c>
      <c r="F26" s="7">
        <f>J26+L26+N26+P26+R26+T26</f>
        <v>1</v>
      </c>
      <c r="H26" s="3" t="s">
        <v>65</v>
      </c>
      <c r="I26" s="78">
        <v>1982315000</v>
      </c>
      <c r="J26" s="77">
        <f>AVERAGE('Mar26'!J26,'Jan26'!J26)</f>
        <v>0.28999999999999998</v>
      </c>
      <c r="K26" s="78">
        <f t="shared" si="4"/>
        <v>574871350</v>
      </c>
      <c r="L26" s="77">
        <f>AVERAGE('Mar26'!L26,'Jan26'!L26)</f>
        <v>0.215</v>
      </c>
      <c r="M26" s="78">
        <f t="shared" si="5"/>
        <v>426197725</v>
      </c>
      <c r="N26" s="77">
        <f>AVERAGE('Mar26'!N26,'Jan26'!N26)</f>
        <v>0.43</v>
      </c>
      <c r="O26" s="78">
        <f t="shared" si="6"/>
        <v>852395450</v>
      </c>
      <c r="P26" s="77">
        <f>AVERAGE('Mar26'!P26,'Jan26'!P26)</f>
        <v>6.5000000000000002E-2</v>
      </c>
      <c r="Q26" s="78">
        <f t="shared" si="7"/>
        <v>128850475</v>
      </c>
      <c r="R26" s="77">
        <f>AVERAGE('Mar26'!R26,'Jan26'!R26)</f>
        <v>0</v>
      </c>
      <c r="S26" s="78">
        <f t="shared" si="8"/>
        <v>0</v>
      </c>
      <c r="T26" s="77">
        <f>AVERAGE('Mar26'!T26,'Jan26'!T26)</f>
        <v>0</v>
      </c>
      <c r="U26" s="78">
        <f t="shared" si="9"/>
        <v>0</v>
      </c>
      <c r="Y26" s="12">
        <f>K26-'Jan26'!K26</f>
        <v>-189437650</v>
      </c>
      <c r="Z26" s="12">
        <f>M26-'Jan26'!M26</f>
        <v>33714725</v>
      </c>
      <c r="AA26" s="12">
        <f>O26-'Jan26'!O26</f>
        <v>-15198550</v>
      </c>
      <c r="AB26" s="12">
        <f>Q26-'Jan26'!Q26</f>
        <v>87536475</v>
      </c>
      <c r="AC26" s="12">
        <f>+S26-'Jan26'!S26</f>
        <v>0</v>
      </c>
      <c r="AE26" s="28">
        <f>J26-'Jan26'!J26</f>
        <v>-8.0000000000000016E-2</v>
      </c>
      <c r="AF26" s="28">
        <f>L26-'Jan26'!L26</f>
        <v>2.4999999999999994E-2</v>
      </c>
      <c r="AG26" s="28">
        <f>N26-'Jan26'!N26</f>
        <v>1.0000000000000009E-2</v>
      </c>
      <c r="AH26" s="28">
        <f>P26-'Jan26'!P26</f>
        <v>4.4999999999999998E-2</v>
      </c>
      <c r="AI26" s="28">
        <f>R26-'Jan26'!R26</f>
        <v>0</v>
      </c>
      <c r="AK26" s="10">
        <f>I26-'Nov25'!I26</f>
        <v>-158385000</v>
      </c>
      <c r="AL26" s="76">
        <f>I26/'Nov25'!I26-1</f>
        <v>-7.3987480730602129E-2</v>
      </c>
    </row>
    <row r="27" spans="2:39" s="8" customFormat="1" x14ac:dyDescent="0.25">
      <c r="B27"/>
      <c r="C27"/>
      <c r="E27"/>
      <c r="F27" s="7">
        <f t="shared" si="3"/>
        <v>1.0000972762298952</v>
      </c>
      <c r="G27"/>
      <c r="H27" s="21" t="s">
        <v>45</v>
      </c>
      <c r="I27" s="20">
        <f>SUM(I17:I26)</f>
        <v>7850222000</v>
      </c>
      <c r="J27" s="15">
        <f>K27/$I$27</f>
        <v>0.21324798857280722</v>
      </c>
      <c r="K27" s="63">
        <f>SUM(K17:K26)</f>
        <v>1674044051.3499999</v>
      </c>
      <c r="L27" s="15">
        <f>M27/$I$27</f>
        <v>0.26502391297341654</v>
      </c>
      <c r="M27" s="62">
        <f>SUM(M17:M26)</f>
        <v>2080496552.1499999</v>
      </c>
      <c r="N27" s="15">
        <f>O27/$I$27</f>
        <v>0.4041127551615738</v>
      </c>
      <c r="O27" s="63">
        <f>SUM(O17:O26)</f>
        <v>3172374841.0500002</v>
      </c>
      <c r="P27" s="15">
        <f>Q27/$I$27</f>
        <v>9.9222233352126862E-2</v>
      </c>
      <c r="Q27" s="63">
        <f>SUM(Q17:Q26)</f>
        <v>778916559.1500001</v>
      </c>
      <c r="R27" s="15">
        <f>S27/$I$27</f>
        <v>0</v>
      </c>
      <c r="S27" s="63">
        <f>SUM(S17:S26)</f>
        <v>0</v>
      </c>
      <c r="T27" s="15">
        <f>U27/$I$27</f>
        <v>1.8490386169970733E-2</v>
      </c>
      <c r="U27" s="17">
        <f>SUM(U17:U26)</f>
        <v>145153636.29999998</v>
      </c>
      <c r="Y27" s="12">
        <f>K27-'Jan26'!K27</f>
        <v>-184296650.9838562</v>
      </c>
      <c r="Z27" s="12">
        <f>M27-'Jan26'!M27</f>
        <v>18757327.411807775</v>
      </c>
      <c r="AA27" s="12">
        <f>O27-'Jan26'!O27</f>
        <v>-44980933.763645649</v>
      </c>
      <c r="AB27" s="12">
        <f>Q27-'Jan26'!Q27</f>
        <v>92905422.635846138</v>
      </c>
      <c r="AC27" s="12">
        <f>+S27-'Jan26'!S27</f>
        <v>0</v>
      </c>
      <c r="AE27" s="28">
        <f>J27-'Jan26'!J27</f>
        <v>-1.9858077485530118E-2</v>
      </c>
      <c r="AF27" s="28">
        <f>L27-'Jan26'!L27</f>
        <v>6.4039950470080598E-3</v>
      </c>
      <c r="AG27" s="28">
        <f>N27-'Jan26'!N27</f>
        <v>5.3490378319620557E-4</v>
      </c>
      <c r="AH27" s="28">
        <f>P27-'Jan26'!P27</f>
        <v>1.3170543743116422E-2</v>
      </c>
      <c r="AI27" s="28">
        <f>R27-'Jan26'!R27</f>
        <v>0</v>
      </c>
      <c r="AK27" s="92">
        <f>I27-'Nov25'!I27</f>
        <v>-251239072.29999924</v>
      </c>
      <c r="AL27" s="76">
        <f>I27/'Nov25'!I27-1</f>
        <v>-3.1011575573574035E-2</v>
      </c>
    </row>
    <row r="28" spans="2:39" x14ac:dyDescent="0.25">
      <c r="F28" s="7"/>
      <c r="I28" s="10"/>
      <c r="J28" s="10"/>
      <c r="K28" s="10"/>
      <c r="L28" s="5"/>
      <c r="M28" s="10"/>
      <c r="N28" s="10"/>
      <c r="O28" s="10"/>
      <c r="P28" s="5"/>
      <c r="Q28" s="10"/>
    </row>
    <row r="29" spans="2:39" x14ac:dyDescent="0.25">
      <c r="F29" s="7"/>
      <c r="H29" s="4" t="s">
        <v>38</v>
      </c>
      <c r="I29" s="9" t="s">
        <v>4</v>
      </c>
      <c r="J29" s="113" t="s">
        <v>7</v>
      </c>
      <c r="K29" s="113"/>
      <c r="L29" s="112" t="s">
        <v>8</v>
      </c>
      <c r="M29" s="112"/>
      <c r="N29" s="112" t="s">
        <v>10</v>
      </c>
      <c r="O29" s="112"/>
      <c r="P29" s="112" t="s">
        <v>9</v>
      </c>
      <c r="Q29" s="112"/>
      <c r="R29" s="112" t="s">
        <v>40</v>
      </c>
      <c r="S29" s="112"/>
      <c r="T29" s="112" t="s">
        <v>55</v>
      </c>
      <c r="U29" s="112"/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  <c r="AE29" s="27" t="s">
        <v>49</v>
      </c>
      <c r="AF29" s="27" t="s">
        <v>50</v>
      </c>
      <c r="AG29" s="27" t="s">
        <v>51</v>
      </c>
      <c r="AH29" s="27" t="s">
        <v>52</v>
      </c>
      <c r="AI29" s="27" t="s">
        <v>54</v>
      </c>
    </row>
    <row r="30" spans="2:39" x14ac:dyDescent="0.25">
      <c r="F30" s="7">
        <f>J30+L30+N30+P30+R30+T30</f>
        <v>0.99999999999999989</v>
      </c>
      <c r="H30" s="21" t="s">
        <v>39</v>
      </c>
      <c r="I30" s="94">
        <v>229499000</v>
      </c>
      <c r="J30" s="81">
        <v>0.1343</v>
      </c>
      <c r="K30" s="80">
        <f t="shared" ref="K30:K35" si="10">+J30*$I30</f>
        <v>30821715.699999999</v>
      </c>
      <c r="L30" s="81">
        <v>0.20540000000000003</v>
      </c>
      <c r="M30" s="80">
        <f t="shared" ref="M30:M35" si="11">+L30*$I30</f>
        <v>47139094.600000009</v>
      </c>
      <c r="N30" s="81">
        <v>0.41670000000000001</v>
      </c>
      <c r="O30" s="80">
        <f t="shared" ref="O30:O35" si="12">+N30*$I30</f>
        <v>95632233.299999997</v>
      </c>
      <c r="P30" s="81">
        <v>0.15820000000000001</v>
      </c>
      <c r="Q30" s="80">
        <f t="shared" ref="Q30:Q35" si="13">+P30*$I30</f>
        <v>36306741.800000004</v>
      </c>
      <c r="R30" s="88">
        <v>5.9799999999999999E-2</v>
      </c>
      <c r="S30" s="80">
        <f t="shared" ref="S30:S35" si="14">+R30*$I30</f>
        <v>13724040.199999999</v>
      </c>
      <c r="T30" s="81">
        <v>2.5599999999999998E-2</v>
      </c>
      <c r="U30" s="80">
        <f t="shared" ref="U30:U35" si="15">+T30*$I30</f>
        <v>5875174.3999999994</v>
      </c>
      <c r="V30" s="8"/>
      <c r="Y30" s="12">
        <f>K30-'Jan26'!K30</f>
        <v>-1206719.4542020001</v>
      </c>
      <c r="Z30" s="12">
        <f>M30-'Jan26'!M30</f>
        <v>220047.49600600451</v>
      </c>
      <c r="AA30" s="12">
        <f>O30-'Jan26'!O30</f>
        <v>2724802.3388739973</v>
      </c>
      <c r="AB30" s="12">
        <f>Q30-'Jan26'!Q30</f>
        <v>510255.4511860013</v>
      </c>
      <c r="AC30" s="12">
        <f>+S30-'Jan26'!S30</f>
        <v>785551.15825999901</v>
      </c>
      <c r="AD30" s="98"/>
      <c r="AE30" s="28">
        <f>J30-'Jan26'!J30</f>
        <v>-6.8000000000000005E-3</v>
      </c>
      <c r="AF30" s="28">
        <f>L30-'Jan26'!L30</f>
        <v>-1.2999999999999956E-3</v>
      </c>
      <c r="AG30" s="28">
        <f>N30-'Jan26'!N30</f>
        <v>7.4000000000000177E-3</v>
      </c>
      <c r="AH30" s="28">
        <f>P30-'Jan26'!P30</f>
        <v>5.0000000000000044E-4</v>
      </c>
      <c r="AI30" s="28">
        <f>R30-'Jan26'!R30</f>
        <v>2.7999999999999969E-3</v>
      </c>
      <c r="AJ30" s="8"/>
      <c r="AK30" s="10">
        <f>I30-'Nov25'!I30</f>
        <v>5868049.0600000024</v>
      </c>
      <c r="AL30" s="76">
        <f>I30/'Nov25'!I30-1</f>
        <v>2.6239878851002096E-2</v>
      </c>
      <c r="AM30" s="8"/>
    </row>
    <row r="31" spans="2:39" hidden="1" outlineLevel="1" x14ac:dyDescent="0.25">
      <c r="F31" s="7">
        <f t="shared" si="3"/>
        <v>0</v>
      </c>
      <c r="H31" s="3" t="s">
        <v>56</v>
      </c>
      <c r="I31" s="78"/>
      <c r="J31" s="77">
        <v>0</v>
      </c>
      <c r="K31" s="78">
        <f t="shared" si="10"/>
        <v>0</v>
      </c>
      <c r="L31" s="77">
        <v>0</v>
      </c>
      <c r="M31" s="78">
        <f t="shared" si="11"/>
        <v>0</v>
      </c>
      <c r="N31" s="77">
        <v>0</v>
      </c>
      <c r="O31" s="78">
        <f t="shared" si="12"/>
        <v>0</v>
      </c>
      <c r="P31" s="77">
        <v>0</v>
      </c>
      <c r="Q31" s="78">
        <f t="shared" si="13"/>
        <v>0</v>
      </c>
      <c r="R31" s="77">
        <v>0</v>
      </c>
      <c r="S31" s="78">
        <f t="shared" si="14"/>
        <v>0</v>
      </c>
      <c r="T31" s="77">
        <v>0</v>
      </c>
      <c r="U31" s="78">
        <f t="shared" si="15"/>
        <v>0</v>
      </c>
      <c r="Y31" s="12">
        <f>K31-'Jan26'!K31</f>
        <v>0</v>
      </c>
      <c r="Z31" s="12">
        <f>M31-'Jan26'!M31</f>
        <v>0</v>
      </c>
      <c r="AA31" s="12">
        <f>O31-'Jan26'!O31</f>
        <v>0</v>
      </c>
      <c r="AB31" s="12">
        <f>Q31-'Jan26'!Q31</f>
        <v>0</v>
      </c>
      <c r="AC31" s="12">
        <f>+S31-'Jan26'!S31</f>
        <v>0</v>
      </c>
      <c r="AE31" s="28">
        <f>J31-'Jan26'!J31</f>
        <v>0</v>
      </c>
      <c r="AF31" s="28">
        <f>L31-'Jan26'!L31</f>
        <v>0</v>
      </c>
      <c r="AG31" s="28">
        <f>N31-'Jan26'!N31</f>
        <v>0</v>
      </c>
      <c r="AH31" s="28">
        <f>P31-'Jan26'!P31</f>
        <v>0</v>
      </c>
      <c r="AI31" s="28">
        <f>R31-'Jan26'!R31</f>
        <v>0</v>
      </c>
      <c r="AK31" s="10">
        <f>I31-'Nov25'!I31</f>
        <v>0</v>
      </c>
      <c r="AL31" s="76" t="e">
        <f>I31/'Nov25'!I31-1</f>
        <v>#DIV/0!</v>
      </c>
    </row>
    <row r="32" spans="2:39" collapsed="1" x14ac:dyDescent="0.25">
      <c r="F32" s="7">
        <f t="shared" si="3"/>
        <v>0.99999999999999989</v>
      </c>
      <c r="H32" s="3" t="s">
        <v>42</v>
      </c>
      <c r="I32" s="84">
        <v>317129000</v>
      </c>
      <c r="J32" s="77">
        <f>AVERAGE('Mar26'!J32,'Jan26'!J32)</f>
        <v>7.5000000000000011E-2</v>
      </c>
      <c r="K32" s="78">
        <f t="shared" si="10"/>
        <v>23784675.000000004</v>
      </c>
      <c r="L32" s="77">
        <f>AVERAGE('Mar26'!L32,'Jan26'!L32)</f>
        <v>0.11499999999999999</v>
      </c>
      <c r="M32" s="78">
        <f t="shared" si="11"/>
        <v>36469835</v>
      </c>
      <c r="N32" s="77">
        <f>AVERAGE('Mar26'!N32,'Jan26'!N32)</f>
        <v>0.5</v>
      </c>
      <c r="O32" s="78">
        <f t="shared" si="12"/>
        <v>158564500</v>
      </c>
      <c r="P32" s="77">
        <f>AVERAGE('Mar26'!P32,'Jan26'!P32)</f>
        <v>8.4999999999999992E-2</v>
      </c>
      <c r="Q32" s="78">
        <f t="shared" si="13"/>
        <v>26955964.999999996</v>
      </c>
      <c r="R32" s="77">
        <f>AVERAGE('Mar26'!R32,'Jan26'!R32)</f>
        <v>0.18</v>
      </c>
      <c r="S32" s="78">
        <f t="shared" si="14"/>
        <v>57083220</v>
      </c>
      <c r="T32" s="77">
        <f>AVERAGE('Mar26'!T32,'Jan26'!T32)</f>
        <v>4.4999999999999998E-2</v>
      </c>
      <c r="U32" s="78">
        <f t="shared" si="15"/>
        <v>14270805</v>
      </c>
      <c r="Y32" s="12">
        <f>K32-'Jan26'!K32</f>
        <v>958938.20000000298</v>
      </c>
      <c r="Z32" s="12">
        <f>M32-'Jan26'!M32</f>
        <v>2231229.8000000045</v>
      </c>
      <c r="AA32" s="12">
        <f>O32-'Jan26'!O32</f>
        <v>15903645</v>
      </c>
      <c r="AB32" s="12">
        <f>Q32-'Jan26'!Q32</f>
        <v>1277011.0999999978</v>
      </c>
      <c r="AC32" s="12">
        <f>+S32-'Jan26'!S32</f>
        <v>5725312.200000003</v>
      </c>
      <c r="AE32" s="28">
        <f>J32-'Jan26'!J32</f>
        <v>-4.9999999999999906E-3</v>
      </c>
      <c r="AF32" s="28">
        <f>L32-'Jan26'!L32</f>
        <v>-5.0000000000000044E-3</v>
      </c>
      <c r="AG32" s="28">
        <f>N32-'Jan26'!N32</f>
        <v>0</v>
      </c>
      <c r="AH32" s="28">
        <f>P32-'Jan26'!P32</f>
        <v>-5.0000000000000044E-3</v>
      </c>
      <c r="AI32" s="28">
        <f>R32-'Jan26'!R32</f>
        <v>0</v>
      </c>
      <c r="AK32" s="10">
        <f>I32-'Nov25'!I32</f>
        <v>73416437</v>
      </c>
      <c r="AL32" s="76">
        <f>I32/'Nov25'!I32-1</f>
        <v>0.3012419060235314</v>
      </c>
    </row>
    <row r="33" spans="5:38" x14ac:dyDescent="0.25">
      <c r="F33" s="7">
        <f t="shared" si="3"/>
        <v>1</v>
      </c>
      <c r="H33" s="3" t="s">
        <v>69</v>
      </c>
      <c r="I33" s="84">
        <v>456194000</v>
      </c>
      <c r="J33" s="77">
        <f>AVERAGE('Mar26'!J33,'Jan26'!J33)</f>
        <v>0.19</v>
      </c>
      <c r="K33" s="78">
        <f t="shared" si="10"/>
        <v>86676860</v>
      </c>
      <c r="L33" s="77">
        <f>AVERAGE('Mar26'!L33,'Jan26'!L33)</f>
        <v>0.2</v>
      </c>
      <c r="M33" s="78">
        <f t="shared" si="11"/>
        <v>91238800</v>
      </c>
      <c r="N33" s="77">
        <f>AVERAGE('Mar26'!N33,'Jan26'!N33)</f>
        <v>0.42500000000000004</v>
      </c>
      <c r="O33" s="78">
        <f t="shared" si="12"/>
        <v>193882450.00000003</v>
      </c>
      <c r="P33" s="77">
        <f>AVERAGE('Mar26'!P33,'Jan26'!P33)</f>
        <v>0.18</v>
      </c>
      <c r="Q33" s="78">
        <f t="shared" si="13"/>
        <v>82114920</v>
      </c>
      <c r="R33" s="77">
        <f>AVERAGE('Mar26'!R33,'Jan26'!R33)</f>
        <v>0</v>
      </c>
      <c r="S33" s="78">
        <f t="shared" si="14"/>
        <v>0</v>
      </c>
      <c r="T33" s="77">
        <f>AVERAGE('Mar26'!T33,'Jan26'!T33)</f>
        <v>5.0000000000000001E-3</v>
      </c>
      <c r="U33" s="78">
        <f t="shared" si="15"/>
        <v>2280970</v>
      </c>
      <c r="Y33" s="12">
        <f>K33-'Jan26'!K33</f>
        <v>8035796.6999999881</v>
      </c>
      <c r="Z33" s="12">
        <f>M33-'Jan26'!M33</f>
        <v>3345846.900000006</v>
      </c>
      <c r="AA33" s="12">
        <f>O33-'Jan26'!O33</f>
        <v>-14285070.49999997</v>
      </c>
      <c r="AB33" s="12">
        <f>Q33-'Jan26'!Q33</f>
        <v>-1152088.200000003</v>
      </c>
      <c r="AC33" s="12">
        <f>+S33-'Jan26'!S33</f>
        <v>0</v>
      </c>
      <c r="AE33" s="28">
        <f>J33-'Jan26'!J33</f>
        <v>1.999999999999999E-2</v>
      </c>
      <c r="AF33" s="28">
        <f>L33-'Jan26'!L33</f>
        <v>1.0000000000000009E-2</v>
      </c>
      <c r="AG33" s="28">
        <f>N33-'Jan26'!N33</f>
        <v>-2.4999999999999967E-2</v>
      </c>
      <c r="AH33" s="28">
        <f>P33-'Jan26'!P33</f>
        <v>0</v>
      </c>
      <c r="AI33" s="28">
        <f>R33-'Jan26'!R33</f>
        <v>0</v>
      </c>
      <c r="AK33" s="10">
        <f>I33-'Nov25'!I33</f>
        <v>-13344720</v>
      </c>
      <c r="AL33" s="76">
        <f>I33/'Nov25'!I33-1</f>
        <v>-2.8420914892812288E-2</v>
      </c>
    </row>
    <row r="34" spans="5:38" x14ac:dyDescent="0.25">
      <c r="F34" s="7">
        <f t="shared" si="3"/>
        <v>1</v>
      </c>
      <c r="H34" s="3" t="s">
        <v>44</v>
      </c>
      <c r="I34" s="84">
        <v>76509000</v>
      </c>
      <c r="J34" s="77">
        <f>AVERAGE('Mar26'!J34,'Jan26'!J34)</f>
        <v>0.04</v>
      </c>
      <c r="K34" s="78">
        <f t="shared" si="10"/>
        <v>3060360</v>
      </c>
      <c r="L34" s="77">
        <f>AVERAGE('Mar26'!L34,'Jan26'!L34)</f>
        <v>0.255</v>
      </c>
      <c r="M34" s="78">
        <f t="shared" si="11"/>
        <v>19509795</v>
      </c>
      <c r="N34" s="77">
        <f>AVERAGE('Mar26'!N34,'Jan26'!N34)</f>
        <v>0.51</v>
      </c>
      <c r="O34" s="78">
        <f t="shared" si="12"/>
        <v>39019590</v>
      </c>
      <c r="P34" s="77">
        <f>AVERAGE('Mar26'!P34,'Jan26'!P34)</f>
        <v>0.03</v>
      </c>
      <c r="Q34" s="78">
        <f t="shared" si="13"/>
        <v>2295270</v>
      </c>
      <c r="R34" s="77">
        <f>AVERAGE('Mar26'!R34,'Jan26'!R34)</f>
        <v>0.16499999999999998</v>
      </c>
      <c r="S34" s="78">
        <f t="shared" si="14"/>
        <v>12623984.999999998</v>
      </c>
      <c r="T34" s="77">
        <f>AVERAGE('Mar26'!T34,'Jan26'!T34)</f>
        <v>0</v>
      </c>
      <c r="U34" s="78">
        <f t="shared" si="15"/>
        <v>0</v>
      </c>
      <c r="Y34" s="12">
        <f>K34-'Jan26'!K34</f>
        <v>40360</v>
      </c>
      <c r="Z34" s="12">
        <f>M34-'Jan26'!M34</f>
        <v>634795</v>
      </c>
      <c r="AA34" s="12">
        <f>O34-'Jan26'!O34</f>
        <v>-1750410</v>
      </c>
      <c r="AB34" s="12">
        <f>Q34-'Jan26'!Q34</f>
        <v>785270</v>
      </c>
      <c r="AC34" s="12">
        <f>+S34-'Jan26'!S34</f>
        <v>1298984.9999999981</v>
      </c>
      <c r="AE34" s="28">
        <f>J34-'Jan26'!J34</f>
        <v>0</v>
      </c>
      <c r="AF34" s="28">
        <f>L34-'Jan26'!L34</f>
        <v>5.0000000000000044E-3</v>
      </c>
      <c r="AG34" s="28">
        <f>N34-'Jan26'!N34</f>
        <v>-3.0000000000000027E-2</v>
      </c>
      <c r="AH34" s="28">
        <f>P34-'Jan26'!P34</f>
        <v>9.9999999999999985E-3</v>
      </c>
      <c r="AI34" s="28">
        <f>R34-'Jan26'!R34</f>
        <v>1.4999999999999986E-2</v>
      </c>
      <c r="AK34" s="10">
        <f>I34-'Nov25'!I34</f>
        <v>2809000</v>
      </c>
      <c r="AL34" s="76">
        <f>I34/'Nov25'!I34-1</f>
        <v>3.8113975576662185E-2</v>
      </c>
    </row>
    <row r="35" spans="5:38" x14ac:dyDescent="0.25">
      <c r="F35" s="7">
        <f t="shared" si="3"/>
        <v>1</v>
      </c>
      <c r="H35" s="3" t="s">
        <v>66</v>
      </c>
      <c r="I35" s="84">
        <v>274561000</v>
      </c>
      <c r="J35" s="77">
        <v>9.3333333333333338E-2</v>
      </c>
      <c r="K35" s="78">
        <v>25625693.333333336</v>
      </c>
      <c r="L35" s="77">
        <v>1.9999999999999997E-2</v>
      </c>
      <c r="M35" s="78">
        <v>5491219.9999999991</v>
      </c>
      <c r="N35" s="77">
        <v>0.47333333333333333</v>
      </c>
      <c r="O35" s="78">
        <v>129958873.33333333</v>
      </c>
      <c r="P35" s="77">
        <v>0.29000000000000004</v>
      </c>
      <c r="Q35" s="78">
        <v>79622690.000000015</v>
      </c>
      <c r="R35" s="77">
        <v>0.12333333333333334</v>
      </c>
      <c r="S35" s="78">
        <v>33862523.333333336</v>
      </c>
      <c r="T35" s="77">
        <v>0</v>
      </c>
      <c r="U35" s="78">
        <f t="shared" si="15"/>
        <v>0</v>
      </c>
      <c r="Y35" s="12">
        <f>K35-'Jan26'!K35</f>
        <v>-17716306.666666664</v>
      </c>
      <c r="Z35" s="12">
        <f>M35-'Jan26'!M35</f>
        <v>-4510780.0000000009</v>
      </c>
      <c r="AA35" s="12">
        <f>O35-'Jan26'!O35</f>
        <v>-43409126.666666672</v>
      </c>
      <c r="AB35" s="12">
        <f>Q35-'Jan26'!Q35</f>
        <v>26278690.000000015</v>
      </c>
      <c r="AC35" s="12">
        <f>+S35-'Jan26'!S35</f>
        <v>-19481476.666666664</v>
      </c>
      <c r="AE35" s="28">
        <f>J35-'Jan26'!J35</f>
        <v>-3.6666666666666667E-2</v>
      </c>
      <c r="AF35" s="28">
        <f>L35-'Jan26'!L35</f>
        <v>-1.0000000000000002E-2</v>
      </c>
      <c r="AG35" s="28">
        <f>N35-'Jan26'!N35</f>
        <v>-4.666666666666669E-2</v>
      </c>
      <c r="AH35" s="28">
        <f>P35-'Jan26'!P35</f>
        <v>0.13000000000000003</v>
      </c>
      <c r="AI35" s="28">
        <f>R35-'Jan26'!R35</f>
        <v>-3.6666666666666667E-2</v>
      </c>
      <c r="AK35" s="10">
        <f>I35-'Nov25'!I35</f>
        <v>-66039000</v>
      </c>
      <c r="AL35" s="76">
        <f>I35/'Nov25'!I35-1</f>
        <v>-0.19389019377568995</v>
      </c>
    </row>
    <row r="36" spans="5:38" s="8" customFormat="1" x14ac:dyDescent="0.25">
      <c r="E36"/>
      <c r="F36" s="7">
        <f t="shared" si="3"/>
        <v>1.0000000000000002</v>
      </c>
      <c r="G36"/>
      <c r="H36" s="3" t="s">
        <v>45</v>
      </c>
      <c r="I36" s="17">
        <f>SUM(I30:I35)</f>
        <v>1353892000</v>
      </c>
      <c r="J36" s="15">
        <f>+K36/$I$36</f>
        <v>0.12554125737749638</v>
      </c>
      <c r="K36" s="17">
        <f>SUM(K30:K35)</f>
        <v>169969304.03333333</v>
      </c>
      <c r="L36" s="15">
        <f>+M36/$I$36</f>
        <v>0.14761055135860174</v>
      </c>
      <c r="M36" s="17">
        <f>SUM(M30:M35)</f>
        <v>199848744.60000002</v>
      </c>
      <c r="N36" s="15">
        <f>+O36/$I$36</f>
        <v>0.45576578237653625</v>
      </c>
      <c r="O36" s="17">
        <f>SUM(O30:O35)</f>
        <v>617057646.63333344</v>
      </c>
      <c r="P36" s="15">
        <f>+Q36/$I$36</f>
        <v>0.16788310057227609</v>
      </c>
      <c r="Q36" s="17">
        <f>SUM(Q30:Q35)</f>
        <v>227295586.80000001</v>
      </c>
      <c r="R36" s="15">
        <f>+S36/$I$36</f>
        <v>8.6634508907160485E-2</v>
      </c>
      <c r="S36" s="17">
        <f>SUM(S30:S35)</f>
        <v>117293768.53333333</v>
      </c>
      <c r="T36" s="15">
        <f>+U36/$I$36</f>
        <v>1.656479940792914E-2</v>
      </c>
      <c r="U36" s="63">
        <f>SUM(U30:U35)</f>
        <v>22426949.399999999</v>
      </c>
      <c r="Y36" s="12">
        <f>K36-'Jan26'!K36</f>
        <v>-9887931.2208686769</v>
      </c>
      <c r="Z36" s="12">
        <f>M36-'Jan26'!M36</f>
        <v>1921139.1960060298</v>
      </c>
      <c r="AA36" s="12">
        <f>O36-'Jan26'!O36</f>
        <v>-40816159.827792525</v>
      </c>
      <c r="AB36" s="12">
        <f>Q36-'Jan26'!Q36</f>
        <v>27699138.351186007</v>
      </c>
      <c r="AC36" s="12">
        <f>+S36-'Jan26'!S36</f>
        <v>-11671628.308406666</v>
      </c>
      <c r="AE36" s="28">
        <f>J36-'Jan26'!J36</f>
        <v>-4.4314950395874519E-3</v>
      </c>
      <c r="AF36" s="28">
        <f>L36-'Jan26'!L36</f>
        <v>4.579354324349777E-3</v>
      </c>
      <c r="AG36" s="28">
        <f>N36-'Jan26'!N36</f>
        <v>-1.9642778463435762E-2</v>
      </c>
      <c r="AH36" s="28">
        <f>P36-'Jan26'!P36</f>
        <v>2.3645924120066303E-2</v>
      </c>
      <c r="AI36" s="28">
        <f>R36-'Jan26'!R36</f>
        <v>-6.5615616895648016E-3</v>
      </c>
      <c r="AK36" s="92">
        <f>I36-'Nov25'!I36</f>
        <v>2709766.0599999428</v>
      </c>
      <c r="AL36" s="76">
        <f>I36/'Nov25'!I36-1</f>
        <v>2.0054778637064175E-3</v>
      </c>
    </row>
    <row r="37" spans="5:38" x14ac:dyDescent="0.25">
      <c r="F37" s="7"/>
    </row>
    <row r="38" spans="5:38" x14ac:dyDescent="0.25">
      <c r="F38" s="7"/>
      <c r="K38"/>
    </row>
    <row r="39" spans="5:38" x14ac:dyDescent="0.25">
      <c r="F39" s="7"/>
      <c r="J39" s="38"/>
    </row>
    <row r="40" spans="5:38" x14ac:dyDescent="0.25">
      <c r="F40" s="7"/>
      <c r="I40" s="30"/>
      <c r="J40" s="35"/>
    </row>
    <row r="41" spans="5:38" x14ac:dyDescent="0.25">
      <c r="F41" s="7"/>
      <c r="I41" s="37"/>
      <c r="J41" s="35"/>
    </row>
    <row r="42" spans="5:38" x14ac:dyDescent="0.25">
      <c r="F42" s="7"/>
      <c r="I42" s="37"/>
      <c r="J42" s="35"/>
    </row>
    <row r="43" spans="5:38" x14ac:dyDescent="0.25">
      <c r="F43" s="7"/>
      <c r="I43" s="37"/>
      <c r="J43" s="35"/>
    </row>
    <row r="44" spans="5:38" x14ac:dyDescent="0.25">
      <c r="F44" s="7"/>
      <c r="I44" s="37"/>
      <c r="J44" s="35"/>
    </row>
    <row r="45" spans="5:38" x14ac:dyDescent="0.25">
      <c r="F45" s="7"/>
      <c r="I45" s="37"/>
      <c r="J45" s="35"/>
      <c r="K45" s="37"/>
    </row>
    <row r="46" spans="5:38" x14ac:dyDescent="0.25">
      <c r="F46" s="7"/>
      <c r="I46" s="37"/>
      <c r="J46" s="35"/>
    </row>
    <row r="47" spans="5:38" x14ac:dyDescent="0.25">
      <c r="F47" s="7"/>
      <c r="I47" s="37"/>
      <c r="J47" s="35"/>
    </row>
    <row r="48" spans="5:38" x14ac:dyDescent="0.25">
      <c r="F48" s="7"/>
      <c r="I48" s="37"/>
      <c r="J48" s="35"/>
    </row>
    <row r="49" spans="9:10" x14ac:dyDescent="0.25">
      <c r="I49" s="37"/>
      <c r="J49" s="35"/>
    </row>
    <row r="50" spans="9:10" x14ac:dyDescent="0.25">
      <c r="I50" s="37"/>
      <c r="J50" s="35"/>
    </row>
    <row r="51" spans="9:10" x14ac:dyDescent="0.25">
      <c r="I51" s="37"/>
      <c r="J51" s="35"/>
    </row>
    <row r="52" spans="9:10" x14ac:dyDescent="0.25">
      <c r="I52" s="37"/>
      <c r="J52" s="35"/>
    </row>
    <row r="53" spans="9:10" x14ac:dyDescent="0.25">
      <c r="I53" s="37"/>
      <c r="J53" s="35"/>
    </row>
    <row r="54" spans="9:10" x14ac:dyDescent="0.25">
      <c r="I54" s="37"/>
      <c r="J54" s="35"/>
    </row>
    <row r="55" spans="9:10" x14ac:dyDescent="0.25">
      <c r="I55" s="37"/>
      <c r="J55" s="35"/>
    </row>
    <row r="56" spans="9:10" x14ac:dyDescent="0.25">
      <c r="I56" s="37"/>
      <c r="J56" s="35"/>
    </row>
    <row r="57" spans="9:10" x14ac:dyDescent="0.25">
      <c r="I57" s="37"/>
      <c r="J57" s="35"/>
    </row>
    <row r="58" spans="9:10" x14ac:dyDescent="0.25">
      <c r="I58" s="37"/>
      <c r="J58" s="35"/>
    </row>
    <row r="59" spans="9:10" x14ac:dyDescent="0.25">
      <c r="I59" s="37"/>
      <c r="J59" s="35"/>
    </row>
    <row r="60" spans="9:10" x14ac:dyDescent="0.25">
      <c r="I60" s="37"/>
      <c r="J60" s="35"/>
    </row>
    <row r="61" spans="9:10" x14ac:dyDescent="0.25">
      <c r="I61" s="37"/>
      <c r="J61" s="35"/>
    </row>
    <row r="62" spans="9:10" x14ac:dyDescent="0.25">
      <c r="I62" s="37"/>
      <c r="J62" s="35"/>
    </row>
    <row r="63" spans="9:10" x14ac:dyDescent="0.25">
      <c r="I63" s="37"/>
      <c r="J63" s="35"/>
    </row>
    <row r="64" spans="9:10" x14ac:dyDescent="0.25">
      <c r="I64" s="37"/>
      <c r="J64" s="35"/>
    </row>
    <row r="65" spans="9:10" x14ac:dyDescent="0.25">
      <c r="I65" s="37"/>
      <c r="J65" s="35"/>
    </row>
    <row r="66" spans="9:10" x14ac:dyDescent="0.25">
      <c r="I66" s="37"/>
      <c r="J66" s="35"/>
    </row>
    <row r="67" spans="9:10" x14ac:dyDescent="0.25">
      <c r="I67" s="37"/>
      <c r="J67" s="35"/>
    </row>
    <row r="68" spans="9:10" x14ac:dyDescent="0.25">
      <c r="I68" s="37"/>
      <c r="J68" s="35"/>
    </row>
    <row r="69" spans="9:10" x14ac:dyDescent="0.25">
      <c r="I69" s="37"/>
      <c r="J69" s="35"/>
    </row>
    <row r="70" spans="9:10" x14ac:dyDescent="0.25">
      <c r="I70" s="37"/>
      <c r="J70" s="35"/>
    </row>
    <row r="71" spans="9:10" x14ac:dyDescent="0.25">
      <c r="I71" s="37"/>
      <c r="J71" s="35"/>
    </row>
    <row r="72" spans="9:10" x14ac:dyDescent="0.25">
      <c r="I72" s="37"/>
      <c r="J72" s="35"/>
    </row>
    <row r="73" spans="9:10" x14ac:dyDescent="0.25">
      <c r="I73" s="37"/>
      <c r="J73" s="35"/>
    </row>
    <row r="74" spans="9:10" x14ac:dyDescent="0.25">
      <c r="I74" s="37"/>
      <c r="J74" s="35"/>
    </row>
    <row r="75" spans="9:10" x14ac:dyDescent="0.25">
      <c r="I75" s="37"/>
      <c r="J75" s="35"/>
    </row>
    <row r="76" spans="9:10" x14ac:dyDescent="0.25">
      <c r="I76" s="37"/>
      <c r="J76" s="35"/>
    </row>
    <row r="77" spans="9:10" x14ac:dyDescent="0.25">
      <c r="I77" s="37"/>
      <c r="J77" s="35"/>
    </row>
    <row r="78" spans="9:10" x14ac:dyDescent="0.25">
      <c r="I78" s="37"/>
      <c r="J78" s="35"/>
    </row>
    <row r="79" spans="9:10" x14ac:dyDescent="0.25">
      <c r="I79" s="37"/>
      <c r="J79" s="35"/>
    </row>
    <row r="80" spans="9:10" x14ac:dyDescent="0.25">
      <c r="I80" s="37"/>
      <c r="J80" s="35"/>
    </row>
    <row r="81" spans="9:10" x14ac:dyDescent="0.25">
      <c r="I81" s="37"/>
      <c r="J81" s="35"/>
    </row>
    <row r="82" spans="9:10" x14ac:dyDescent="0.25">
      <c r="I82" s="37"/>
      <c r="J82" s="35"/>
    </row>
    <row r="83" spans="9:10" x14ac:dyDescent="0.25">
      <c r="I83" s="37"/>
      <c r="J83" s="35"/>
    </row>
    <row r="84" spans="9:10" x14ac:dyDescent="0.25">
      <c r="I84" s="37"/>
      <c r="J84" s="35"/>
    </row>
    <row r="85" spans="9:10" x14ac:dyDescent="0.25">
      <c r="I85" s="37"/>
      <c r="J85" s="35"/>
    </row>
    <row r="86" spans="9:10" x14ac:dyDescent="0.25">
      <c r="I86" s="37"/>
      <c r="J86" s="35"/>
    </row>
    <row r="87" spans="9:10" x14ac:dyDescent="0.25">
      <c r="I87" s="37"/>
      <c r="J87" s="35"/>
    </row>
    <row r="88" spans="9:10" x14ac:dyDescent="0.25">
      <c r="I88" s="37"/>
      <c r="J88" s="35"/>
    </row>
    <row r="89" spans="9:10" x14ac:dyDescent="0.25">
      <c r="I89" s="37"/>
      <c r="J89" s="35"/>
    </row>
    <row r="90" spans="9:10" x14ac:dyDescent="0.25">
      <c r="I90" s="37"/>
      <c r="J90" s="35"/>
    </row>
    <row r="91" spans="9:10" x14ac:dyDescent="0.25">
      <c r="I91" s="37"/>
      <c r="J91" s="35"/>
    </row>
    <row r="92" spans="9:10" x14ac:dyDescent="0.25">
      <c r="I92" s="37"/>
      <c r="J92" s="35"/>
    </row>
    <row r="93" spans="9:10" x14ac:dyDescent="0.25">
      <c r="I93" s="37"/>
      <c r="J93" s="35"/>
    </row>
    <row r="94" spans="9:10" x14ac:dyDescent="0.25">
      <c r="I94" s="37"/>
      <c r="J94" s="35"/>
    </row>
    <row r="95" spans="9:10" x14ac:dyDescent="0.25">
      <c r="I95" s="37"/>
      <c r="J95" s="35"/>
    </row>
    <row r="96" spans="9:10" x14ac:dyDescent="0.25">
      <c r="I96" s="37"/>
      <c r="J96" s="35"/>
    </row>
    <row r="97" spans="9:10" x14ac:dyDescent="0.25">
      <c r="I97" s="37"/>
      <c r="J97" s="35"/>
    </row>
    <row r="98" spans="9:10" x14ac:dyDescent="0.25">
      <c r="I98" s="37"/>
      <c r="J98" s="35"/>
    </row>
    <row r="99" spans="9:10" x14ac:dyDescent="0.25">
      <c r="I99" s="37"/>
      <c r="J99" s="35"/>
    </row>
    <row r="100" spans="9:10" x14ac:dyDescent="0.25">
      <c r="I100" s="37"/>
      <c r="J100" s="35"/>
    </row>
    <row r="101" spans="9:10" x14ac:dyDescent="0.25">
      <c r="I101" s="37"/>
      <c r="J101" s="35"/>
    </row>
    <row r="102" spans="9:10" x14ac:dyDescent="0.25">
      <c r="I102" s="37"/>
      <c r="J102" s="35"/>
    </row>
    <row r="103" spans="9:10" x14ac:dyDescent="0.25">
      <c r="I103" s="37"/>
      <c r="J103" s="35"/>
    </row>
    <row r="104" spans="9:10" x14ac:dyDescent="0.25">
      <c r="I104" s="37"/>
      <c r="J104" s="35"/>
    </row>
    <row r="105" spans="9:10" x14ac:dyDescent="0.25">
      <c r="I105" s="37"/>
      <c r="J105" s="35"/>
    </row>
    <row r="106" spans="9:10" x14ac:dyDescent="0.25">
      <c r="I106" s="37"/>
      <c r="J106" s="35"/>
    </row>
    <row r="107" spans="9:10" x14ac:dyDescent="0.25">
      <c r="I107" s="37"/>
      <c r="J107" s="35"/>
    </row>
    <row r="108" spans="9:10" x14ac:dyDescent="0.25">
      <c r="I108" s="37"/>
      <c r="J108" s="35"/>
    </row>
    <row r="109" spans="9:10" x14ac:dyDescent="0.25">
      <c r="I109" s="37"/>
      <c r="J109" s="35"/>
    </row>
    <row r="110" spans="9:10" x14ac:dyDescent="0.25">
      <c r="I110" s="37"/>
      <c r="J110" s="35"/>
    </row>
    <row r="111" spans="9:10" x14ac:dyDescent="0.25">
      <c r="I111" s="37"/>
      <c r="J111" s="35"/>
    </row>
    <row r="112" spans="9:10" x14ac:dyDescent="0.25">
      <c r="I112" s="37"/>
      <c r="J112" s="35"/>
    </row>
    <row r="113" spans="9:10" x14ac:dyDescent="0.25">
      <c r="I113" s="37"/>
      <c r="J113" s="35"/>
    </row>
    <row r="114" spans="9:10" x14ac:dyDescent="0.25">
      <c r="I114" s="37"/>
      <c r="J114" s="35"/>
    </row>
    <row r="115" spans="9:10" x14ac:dyDescent="0.25">
      <c r="I115" s="37"/>
      <c r="J115" s="35"/>
    </row>
    <row r="116" spans="9:10" x14ac:dyDescent="0.25">
      <c r="I116" s="37"/>
      <c r="J116" s="35"/>
    </row>
    <row r="117" spans="9:10" x14ac:dyDescent="0.25">
      <c r="I117" s="37"/>
      <c r="J117" s="35"/>
    </row>
    <row r="118" spans="9:10" x14ac:dyDescent="0.25">
      <c r="I118" s="37"/>
      <c r="J118" s="35"/>
    </row>
    <row r="119" spans="9:10" x14ac:dyDescent="0.25">
      <c r="I119" s="37"/>
      <c r="J119" s="35"/>
    </row>
    <row r="120" spans="9:10" x14ac:dyDescent="0.25">
      <c r="I120" s="37"/>
      <c r="J120" s="35"/>
    </row>
    <row r="121" spans="9:10" x14ac:dyDescent="0.25">
      <c r="I121" s="37"/>
      <c r="J121" s="35"/>
    </row>
    <row r="122" spans="9:10" x14ac:dyDescent="0.25">
      <c r="I122" s="37"/>
      <c r="J122" s="35"/>
    </row>
    <row r="123" spans="9:10" x14ac:dyDescent="0.25">
      <c r="I123" s="37"/>
      <c r="J123" s="35"/>
    </row>
    <row r="124" spans="9:10" x14ac:dyDescent="0.25">
      <c r="I124" s="37"/>
      <c r="J124" s="35"/>
    </row>
    <row r="125" spans="9:10" x14ac:dyDescent="0.25">
      <c r="I125" s="37"/>
      <c r="J125" s="35"/>
    </row>
    <row r="126" spans="9:10" x14ac:dyDescent="0.25">
      <c r="I126" s="37"/>
      <c r="J126" s="35"/>
    </row>
    <row r="127" spans="9:10" x14ac:dyDescent="0.25">
      <c r="I127" s="37"/>
      <c r="J127" s="35"/>
    </row>
    <row r="128" spans="9:10" x14ac:dyDescent="0.25">
      <c r="I128" s="37"/>
      <c r="J128" s="35"/>
    </row>
    <row r="129" spans="9:10" x14ac:dyDescent="0.25">
      <c r="I129" s="37"/>
      <c r="J129" s="35"/>
    </row>
    <row r="130" spans="9:10" x14ac:dyDescent="0.25">
      <c r="I130" s="37"/>
      <c r="J130" s="35"/>
    </row>
    <row r="131" spans="9:10" x14ac:dyDescent="0.25">
      <c r="I131" s="37"/>
      <c r="J131" s="35"/>
    </row>
    <row r="132" spans="9:10" x14ac:dyDescent="0.25">
      <c r="I132" s="37"/>
      <c r="J132" s="35"/>
    </row>
    <row r="133" spans="9:10" x14ac:dyDescent="0.25">
      <c r="I133" s="37"/>
      <c r="J133" s="35"/>
    </row>
    <row r="134" spans="9:10" x14ac:dyDescent="0.25">
      <c r="I134" s="37"/>
      <c r="J134" s="35"/>
    </row>
    <row r="135" spans="9:10" x14ac:dyDescent="0.25">
      <c r="I135" s="37"/>
      <c r="J135" s="35"/>
    </row>
    <row r="136" spans="9:10" x14ac:dyDescent="0.25">
      <c r="I136" s="37"/>
      <c r="J136" s="35"/>
    </row>
    <row r="137" spans="9:10" x14ac:dyDescent="0.25">
      <c r="I137" s="37"/>
      <c r="J137" s="35"/>
    </row>
    <row r="138" spans="9:10" x14ac:dyDescent="0.25">
      <c r="I138" s="37"/>
      <c r="J138" s="35"/>
    </row>
    <row r="139" spans="9:10" x14ac:dyDescent="0.25">
      <c r="I139" s="37"/>
      <c r="J139" s="35"/>
    </row>
    <row r="140" spans="9:10" x14ac:dyDescent="0.25">
      <c r="I140" s="37"/>
      <c r="J140" s="35"/>
    </row>
    <row r="141" spans="9:10" x14ac:dyDescent="0.25">
      <c r="I141" s="37"/>
      <c r="J141" s="35"/>
    </row>
    <row r="142" spans="9:10" x14ac:dyDescent="0.25">
      <c r="I142" s="37"/>
      <c r="J142" s="35"/>
    </row>
    <row r="143" spans="9:10" x14ac:dyDescent="0.25">
      <c r="I143" s="37"/>
      <c r="J143" s="35"/>
    </row>
    <row r="144" spans="9:10" x14ac:dyDescent="0.25">
      <c r="I144" s="37"/>
      <c r="J144" s="35"/>
    </row>
    <row r="145" spans="9:10" x14ac:dyDescent="0.25">
      <c r="I145" s="37"/>
      <c r="J145" s="35"/>
    </row>
    <row r="146" spans="9:10" x14ac:dyDescent="0.25">
      <c r="I146" s="37"/>
      <c r="J146" s="35"/>
    </row>
    <row r="147" spans="9:10" x14ac:dyDescent="0.25">
      <c r="I147" s="37"/>
      <c r="J147" s="35"/>
    </row>
    <row r="148" spans="9:10" x14ac:dyDescent="0.25">
      <c r="I148" s="37"/>
      <c r="J148" s="35"/>
    </row>
    <row r="149" spans="9:10" x14ac:dyDescent="0.25">
      <c r="I149" s="37"/>
      <c r="J149" s="35"/>
    </row>
    <row r="150" spans="9:10" x14ac:dyDescent="0.25">
      <c r="I150" s="37"/>
      <c r="J150" s="35"/>
    </row>
    <row r="151" spans="9:10" x14ac:dyDescent="0.25">
      <c r="I151" s="37"/>
      <c r="J151" s="35"/>
    </row>
    <row r="152" spans="9:10" x14ac:dyDescent="0.25">
      <c r="I152" s="37"/>
      <c r="J152" s="35"/>
    </row>
    <row r="153" spans="9:10" x14ac:dyDescent="0.25">
      <c r="I153" s="37"/>
      <c r="J153" s="35"/>
    </row>
    <row r="154" spans="9:10" x14ac:dyDescent="0.25">
      <c r="I154" s="37"/>
      <c r="J154" s="35"/>
    </row>
    <row r="155" spans="9:10" x14ac:dyDescent="0.25">
      <c r="I155" s="37"/>
      <c r="J155" s="35"/>
    </row>
    <row r="156" spans="9:10" x14ac:dyDescent="0.25">
      <c r="I156" s="37"/>
      <c r="J156" s="35"/>
    </row>
    <row r="157" spans="9:10" x14ac:dyDescent="0.25">
      <c r="I157" s="37"/>
      <c r="J157" s="35"/>
    </row>
    <row r="158" spans="9:10" x14ac:dyDescent="0.25">
      <c r="I158" s="37"/>
      <c r="J158" s="35"/>
    </row>
    <row r="159" spans="9:10" x14ac:dyDescent="0.25">
      <c r="I159" s="37"/>
      <c r="J159" s="35"/>
    </row>
    <row r="160" spans="9:10" x14ac:dyDescent="0.25">
      <c r="I160" s="37"/>
      <c r="J160" s="35"/>
    </row>
    <row r="161" spans="9:10" x14ac:dyDescent="0.25">
      <c r="I161" s="37"/>
      <c r="J161" s="35"/>
    </row>
    <row r="162" spans="9:10" x14ac:dyDescent="0.25">
      <c r="I162" s="37"/>
      <c r="J162" s="35"/>
    </row>
    <row r="163" spans="9:10" x14ac:dyDescent="0.25">
      <c r="I163" s="37"/>
      <c r="J163" s="35"/>
    </row>
    <row r="164" spans="9:10" x14ac:dyDescent="0.25">
      <c r="I164" s="37"/>
      <c r="J164" s="35"/>
    </row>
    <row r="165" spans="9:10" x14ac:dyDescent="0.25">
      <c r="I165" s="37"/>
      <c r="J165" s="35"/>
    </row>
    <row r="166" spans="9:10" x14ac:dyDescent="0.25">
      <c r="I166" s="37"/>
      <c r="J166" s="35"/>
    </row>
    <row r="167" spans="9:10" x14ac:dyDescent="0.25">
      <c r="I167" s="37"/>
      <c r="J167" s="35"/>
    </row>
    <row r="168" spans="9:10" x14ac:dyDescent="0.25">
      <c r="I168" s="37"/>
      <c r="J168" s="35"/>
    </row>
    <row r="169" spans="9:10" x14ac:dyDescent="0.25">
      <c r="I169" s="37"/>
      <c r="J169" s="35"/>
    </row>
    <row r="170" spans="9:10" x14ac:dyDescent="0.25">
      <c r="I170" s="37"/>
      <c r="J170" s="35"/>
    </row>
    <row r="171" spans="9:10" x14ac:dyDescent="0.25">
      <c r="I171" s="37"/>
      <c r="J171" s="35"/>
    </row>
    <row r="172" spans="9:10" x14ac:dyDescent="0.25">
      <c r="I172" s="37"/>
      <c r="J172" s="35"/>
    </row>
    <row r="173" spans="9:10" x14ac:dyDescent="0.25">
      <c r="I173" s="37"/>
      <c r="J173" s="35"/>
    </row>
    <row r="174" spans="9:10" x14ac:dyDescent="0.25">
      <c r="I174" s="37"/>
      <c r="J174" s="35"/>
    </row>
    <row r="175" spans="9:10" x14ac:dyDescent="0.25">
      <c r="I175" s="37"/>
      <c r="J175" s="35"/>
    </row>
    <row r="176" spans="9:10" x14ac:dyDescent="0.25">
      <c r="I176" s="37"/>
      <c r="J176" s="35"/>
    </row>
    <row r="177" spans="9:10" x14ac:dyDescent="0.25">
      <c r="I177" s="37"/>
      <c r="J177" s="35"/>
    </row>
    <row r="178" spans="9:10" x14ac:dyDescent="0.25">
      <c r="I178" s="37"/>
      <c r="J178" s="35"/>
    </row>
    <row r="179" spans="9:10" x14ac:dyDescent="0.25">
      <c r="I179" s="37"/>
      <c r="J179" s="35"/>
    </row>
    <row r="180" spans="9:10" x14ac:dyDescent="0.25">
      <c r="I180" s="37"/>
      <c r="J180" s="35"/>
    </row>
    <row r="181" spans="9:10" x14ac:dyDescent="0.25">
      <c r="I181" s="37"/>
      <c r="J181" s="35"/>
    </row>
    <row r="182" spans="9:10" x14ac:dyDescent="0.25">
      <c r="I182" s="37"/>
      <c r="J182" s="35"/>
    </row>
    <row r="183" spans="9:10" x14ac:dyDescent="0.25">
      <c r="I183" s="37"/>
      <c r="J183" s="35"/>
    </row>
    <row r="184" spans="9:10" x14ac:dyDescent="0.25">
      <c r="I184" s="37"/>
      <c r="J184" s="35"/>
    </row>
    <row r="185" spans="9:10" x14ac:dyDescent="0.25">
      <c r="I185" s="37"/>
      <c r="J185" s="35"/>
    </row>
    <row r="186" spans="9:10" x14ac:dyDescent="0.25">
      <c r="I186" s="37"/>
      <c r="J186" s="35"/>
    </row>
    <row r="187" spans="9:10" x14ac:dyDescent="0.25">
      <c r="I187" s="37"/>
      <c r="J187" s="35"/>
    </row>
    <row r="188" spans="9:10" x14ac:dyDescent="0.25">
      <c r="I188" s="37"/>
      <c r="J188" s="35"/>
    </row>
    <row r="189" spans="9:10" x14ac:dyDescent="0.25">
      <c r="I189" s="37"/>
      <c r="J189" s="35"/>
    </row>
    <row r="190" spans="9:10" x14ac:dyDescent="0.25">
      <c r="I190" s="37"/>
      <c r="J190" s="35"/>
    </row>
    <row r="191" spans="9:10" x14ac:dyDescent="0.25">
      <c r="I191" s="37"/>
      <c r="J191" s="35"/>
    </row>
    <row r="192" spans="9:10" x14ac:dyDescent="0.25">
      <c r="I192" s="37"/>
      <c r="J192" s="35"/>
    </row>
    <row r="193" spans="9:10" x14ac:dyDescent="0.25">
      <c r="I193" s="37"/>
      <c r="J193" s="35"/>
    </row>
    <row r="194" spans="9:10" x14ac:dyDescent="0.25">
      <c r="I194" s="37"/>
      <c r="J194" s="35"/>
    </row>
    <row r="195" spans="9:10" x14ac:dyDescent="0.25">
      <c r="I195" s="37"/>
      <c r="J195" s="35"/>
    </row>
    <row r="196" spans="9:10" x14ac:dyDescent="0.25">
      <c r="I196" s="37"/>
      <c r="J196" s="35"/>
    </row>
    <row r="197" spans="9:10" x14ac:dyDescent="0.25">
      <c r="I197" s="37"/>
      <c r="J197" s="35"/>
    </row>
    <row r="198" spans="9:10" x14ac:dyDescent="0.25">
      <c r="I198" s="37"/>
      <c r="J198" s="35"/>
    </row>
    <row r="199" spans="9:10" x14ac:dyDescent="0.25">
      <c r="I199" s="37"/>
      <c r="J199" s="35"/>
    </row>
    <row r="200" spans="9:10" x14ac:dyDescent="0.25">
      <c r="I200" s="37"/>
      <c r="J200" s="35"/>
    </row>
    <row r="201" spans="9:10" x14ac:dyDescent="0.25">
      <c r="I201" s="37"/>
      <c r="J201" s="35"/>
    </row>
    <row r="202" spans="9:10" x14ac:dyDescent="0.25">
      <c r="I202" s="37"/>
      <c r="J202" s="35"/>
    </row>
    <row r="203" spans="9:10" x14ac:dyDescent="0.25">
      <c r="I203" s="37"/>
      <c r="J203" s="35"/>
    </row>
    <row r="204" spans="9:10" x14ac:dyDescent="0.25">
      <c r="I204" s="37"/>
      <c r="J204" s="35"/>
    </row>
    <row r="205" spans="9:10" x14ac:dyDescent="0.25">
      <c r="I205" s="37"/>
      <c r="J205" s="35"/>
    </row>
    <row r="206" spans="9:10" x14ac:dyDescent="0.25">
      <c r="I206" s="37"/>
      <c r="J206" s="35"/>
    </row>
    <row r="207" spans="9:10" x14ac:dyDescent="0.25">
      <c r="I207" s="37"/>
      <c r="J207" s="35"/>
    </row>
    <row r="208" spans="9:10" x14ac:dyDescent="0.25">
      <c r="I208" s="37"/>
      <c r="J208" s="35"/>
    </row>
    <row r="209" spans="9:10" x14ac:dyDescent="0.25">
      <c r="I209" s="37"/>
      <c r="J209" s="35"/>
    </row>
    <row r="210" spans="9:10" x14ac:dyDescent="0.25">
      <c r="I210" s="37"/>
      <c r="J210" s="35"/>
    </row>
    <row r="211" spans="9:10" x14ac:dyDescent="0.25">
      <c r="I211" s="37"/>
      <c r="J211" s="35"/>
    </row>
    <row r="212" spans="9:10" x14ac:dyDescent="0.25">
      <c r="I212" s="37"/>
      <c r="J212" s="35"/>
    </row>
    <row r="213" spans="9:10" x14ac:dyDescent="0.25">
      <c r="I213" s="37"/>
      <c r="J213" s="35"/>
    </row>
    <row r="214" spans="9:10" x14ac:dyDescent="0.25">
      <c r="I214" s="37"/>
      <c r="J214" s="35"/>
    </row>
    <row r="215" spans="9:10" x14ac:dyDescent="0.25">
      <c r="I215" s="37"/>
      <c r="J215" s="35"/>
    </row>
    <row r="216" spans="9:10" x14ac:dyDescent="0.25">
      <c r="I216" s="37"/>
      <c r="J216" s="35"/>
    </row>
    <row r="217" spans="9:10" x14ac:dyDescent="0.25">
      <c r="I217" s="37"/>
      <c r="J217" s="35"/>
    </row>
    <row r="218" spans="9:10" x14ac:dyDescent="0.25">
      <c r="I218" s="37"/>
      <c r="J218" s="35"/>
    </row>
    <row r="219" spans="9:10" x14ac:dyDescent="0.25">
      <c r="I219" s="37"/>
      <c r="J219" s="35"/>
    </row>
    <row r="220" spans="9:10" x14ac:dyDescent="0.25">
      <c r="I220" s="37"/>
      <c r="J220" s="35"/>
    </row>
    <row r="221" spans="9:10" x14ac:dyDescent="0.25">
      <c r="I221" s="37"/>
      <c r="J221" s="35"/>
    </row>
    <row r="222" spans="9:10" x14ac:dyDescent="0.25">
      <c r="I222" s="37"/>
      <c r="J222" s="35"/>
    </row>
    <row r="223" spans="9:10" x14ac:dyDescent="0.25">
      <c r="I223" s="37"/>
      <c r="J223" s="35"/>
    </row>
    <row r="224" spans="9:10" x14ac:dyDescent="0.25">
      <c r="I224" s="37"/>
      <c r="J224" s="35"/>
    </row>
    <row r="225" spans="9:10" x14ac:dyDescent="0.25">
      <c r="I225" s="37"/>
      <c r="J225" s="35"/>
    </row>
    <row r="226" spans="9:10" x14ac:dyDescent="0.25">
      <c r="I226" s="37"/>
      <c r="J226" s="35"/>
    </row>
    <row r="227" spans="9:10" x14ac:dyDescent="0.25">
      <c r="I227" s="37"/>
      <c r="J227" s="35"/>
    </row>
    <row r="228" spans="9:10" x14ac:dyDescent="0.25">
      <c r="I228" s="37"/>
      <c r="J228" s="35"/>
    </row>
    <row r="229" spans="9:10" x14ac:dyDescent="0.25">
      <c r="I229" s="37"/>
      <c r="J229" s="35"/>
    </row>
    <row r="230" spans="9:10" x14ac:dyDescent="0.25">
      <c r="I230" s="37"/>
      <c r="J230" s="35"/>
    </row>
    <row r="231" spans="9:10" x14ac:dyDescent="0.25">
      <c r="I231" s="37"/>
      <c r="J231" s="35"/>
    </row>
    <row r="232" spans="9:10" x14ac:dyDescent="0.25">
      <c r="I232" s="37"/>
      <c r="J232" s="35"/>
    </row>
    <row r="233" spans="9:10" x14ac:dyDescent="0.25">
      <c r="I233" s="37"/>
      <c r="J233" s="35"/>
    </row>
    <row r="234" spans="9:10" x14ac:dyDescent="0.25">
      <c r="I234" s="37"/>
      <c r="J234" s="35"/>
    </row>
    <row r="235" spans="9:10" x14ac:dyDescent="0.25">
      <c r="I235" s="37"/>
      <c r="J235" s="35"/>
    </row>
    <row r="236" spans="9:10" x14ac:dyDescent="0.25">
      <c r="I236" s="37"/>
      <c r="J236" s="35"/>
    </row>
    <row r="237" spans="9:10" x14ac:dyDescent="0.25">
      <c r="I237" s="37"/>
      <c r="J237" s="35"/>
    </row>
    <row r="238" spans="9:10" x14ac:dyDescent="0.25">
      <c r="I238" s="37"/>
      <c r="J238" s="35"/>
    </row>
    <row r="239" spans="9:10" x14ac:dyDescent="0.25">
      <c r="I239" s="37"/>
      <c r="J239" s="35"/>
    </row>
    <row r="240" spans="9:10" x14ac:dyDescent="0.25">
      <c r="I240" s="37"/>
      <c r="J240" s="35"/>
    </row>
    <row r="241" spans="9:10" x14ac:dyDescent="0.25">
      <c r="I241" s="37"/>
      <c r="J241" s="35"/>
    </row>
    <row r="242" spans="9:10" x14ac:dyDescent="0.25">
      <c r="I242" s="37"/>
      <c r="J242" s="35"/>
    </row>
    <row r="243" spans="9:10" x14ac:dyDescent="0.25">
      <c r="I243" s="37"/>
      <c r="J243" s="35"/>
    </row>
    <row r="244" spans="9:10" x14ac:dyDescent="0.25">
      <c r="I244" s="37"/>
      <c r="J244" s="35"/>
    </row>
    <row r="245" spans="9:10" x14ac:dyDescent="0.25">
      <c r="I245" s="37"/>
      <c r="J245" s="35"/>
    </row>
    <row r="246" spans="9:10" x14ac:dyDescent="0.25">
      <c r="I246" s="37"/>
      <c r="J246" s="35"/>
    </row>
    <row r="247" spans="9:10" x14ac:dyDescent="0.25">
      <c r="I247" s="37"/>
      <c r="J247" s="35"/>
    </row>
    <row r="248" spans="9:10" x14ac:dyDescent="0.25">
      <c r="I248" s="37"/>
      <c r="J248" s="35"/>
    </row>
    <row r="249" spans="9:10" x14ac:dyDescent="0.25">
      <c r="I249" s="37"/>
      <c r="J249" s="35"/>
    </row>
    <row r="250" spans="9:10" x14ac:dyDescent="0.25">
      <c r="I250" s="37"/>
      <c r="J250" s="35"/>
    </row>
    <row r="251" spans="9:10" x14ac:dyDescent="0.25">
      <c r="I251" s="37"/>
      <c r="J251" s="35"/>
    </row>
    <row r="252" spans="9:10" x14ac:dyDescent="0.25">
      <c r="I252" s="37"/>
      <c r="J252" s="35"/>
    </row>
    <row r="253" spans="9:10" x14ac:dyDescent="0.25">
      <c r="I253" s="37"/>
      <c r="J253" s="35"/>
    </row>
    <row r="254" spans="9:10" x14ac:dyDescent="0.25">
      <c r="I254" s="37"/>
      <c r="J254" s="35"/>
    </row>
    <row r="255" spans="9:10" x14ac:dyDescent="0.25">
      <c r="I255" s="37"/>
      <c r="J255" s="35"/>
    </row>
    <row r="256" spans="9:10" x14ac:dyDescent="0.25">
      <c r="I256" s="37"/>
      <c r="J256" s="35"/>
    </row>
    <row r="257" spans="9:10" x14ac:dyDescent="0.25">
      <c r="I257" s="37"/>
      <c r="J257" s="35"/>
    </row>
    <row r="258" spans="9:10" x14ac:dyDescent="0.25">
      <c r="I258" s="37"/>
      <c r="J258" s="35"/>
    </row>
    <row r="259" spans="9:10" x14ac:dyDescent="0.25">
      <c r="I259" s="37"/>
      <c r="J259" s="35"/>
    </row>
    <row r="260" spans="9:10" x14ac:dyDescent="0.25">
      <c r="I260" s="37"/>
      <c r="J260" s="35"/>
    </row>
    <row r="261" spans="9:10" x14ac:dyDescent="0.25">
      <c r="I261" s="37"/>
      <c r="J261" s="35"/>
    </row>
    <row r="262" spans="9:10" x14ac:dyDescent="0.25">
      <c r="I262" s="37"/>
      <c r="J262" s="35"/>
    </row>
    <row r="263" spans="9:10" x14ac:dyDescent="0.25">
      <c r="I263" s="37"/>
      <c r="J263" s="35"/>
    </row>
    <row r="264" spans="9:10" x14ac:dyDescent="0.25">
      <c r="I264" s="37"/>
      <c r="J264" s="35"/>
    </row>
    <row r="265" spans="9:10" x14ac:dyDescent="0.25">
      <c r="I265" s="37"/>
      <c r="J265" s="35"/>
    </row>
    <row r="266" spans="9:10" x14ac:dyDescent="0.25">
      <c r="I266" s="37"/>
      <c r="J266" s="35"/>
    </row>
    <row r="267" spans="9:10" x14ac:dyDescent="0.25">
      <c r="I267" s="37"/>
      <c r="J267" s="35"/>
    </row>
    <row r="268" spans="9:10" x14ac:dyDescent="0.25">
      <c r="I268" s="37"/>
      <c r="J268" s="35"/>
    </row>
    <row r="269" spans="9:10" x14ac:dyDescent="0.25">
      <c r="I269" s="37"/>
      <c r="J269" s="35"/>
    </row>
    <row r="270" spans="9:10" x14ac:dyDescent="0.25">
      <c r="I270" s="37"/>
      <c r="J270" s="35"/>
    </row>
    <row r="271" spans="9:10" x14ac:dyDescent="0.25">
      <c r="I271" s="37"/>
      <c r="J271" s="35"/>
    </row>
    <row r="272" spans="9:10" x14ac:dyDescent="0.25">
      <c r="I272" s="37"/>
      <c r="J272" s="35"/>
    </row>
    <row r="273" spans="9:10" x14ac:dyDescent="0.25">
      <c r="I273" s="37"/>
      <c r="J273" s="35"/>
    </row>
    <row r="274" spans="9:10" x14ac:dyDescent="0.25">
      <c r="I274" s="37"/>
      <c r="J274" s="35"/>
    </row>
    <row r="275" spans="9:10" x14ac:dyDescent="0.25">
      <c r="I275" s="37"/>
      <c r="J275" s="35"/>
    </row>
    <row r="276" spans="9:10" x14ac:dyDescent="0.25">
      <c r="I276" s="37"/>
      <c r="J276" s="35"/>
    </row>
    <row r="277" spans="9:10" x14ac:dyDescent="0.25">
      <c r="I277" s="37"/>
      <c r="J277" s="35"/>
    </row>
    <row r="278" spans="9:10" x14ac:dyDescent="0.25">
      <c r="I278" s="37"/>
      <c r="J278" s="35"/>
    </row>
    <row r="279" spans="9:10" x14ac:dyDescent="0.25">
      <c r="I279" s="37"/>
      <c r="J279" s="35"/>
    </row>
    <row r="280" spans="9:10" x14ac:dyDescent="0.25">
      <c r="I280" s="37"/>
      <c r="J280" s="35"/>
    </row>
    <row r="281" spans="9:10" x14ac:dyDescent="0.25">
      <c r="I281" s="37"/>
      <c r="J281" s="35"/>
    </row>
    <row r="282" spans="9:10" x14ac:dyDescent="0.25">
      <c r="I282" s="37"/>
      <c r="J282" s="35"/>
    </row>
    <row r="283" spans="9:10" x14ac:dyDescent="0.25">
      <c r="I283" s="37"/>
      <c r="J283" s="35"/>
    </row>
    <row r="284" spans="9:10" x14ac:dyDescent="0.25">
      <c r="I284" s="37"/>
      <c r="J284" s="35"/>
    </row>
    <row r="285" spans="9:10" x14ac:dyDescent="0.25">
      <c r="I285" s="37"/>
      <c r="J285" s="35"/>
    </row>
    <row r="286" spans="9:10" x14ac:dyDescent="0.25">
      <c r="I286" s="37"/>
      <c r="J286" s="35"/>
    </row>
    <row r="287" spans="9:10" x14ac:dyDescent="0.25">
      <c r="I287" s="37"/>
      <c r="J287" s="35"/>
    </row>
    <row r="288" spans="9:10" x14ac:dyDescent="0.25">
      <c r="I288" s="37"/>
      <c r="J288" s="35"/>
    </row>
    <row r="289" spans="9:10" x14ac:dyDescent="0.25">
      <c r="I289" s="37"/>
      <c r="J289" s="35"/>
    </row>
    <row r="290" spans="9:10" x14ac:dyDescent="0.25">
      <c r="I290" s="37"/>
      <c r="J290" s="35"/>
    </row>
    <row r="291" spans="9:10" x14ac:dyDescent="0.25">
      <c r="I291" s="37"/>
      <c r="J291" s="35"/>
    </row>
    <row r="292" spans="9:10" x14ac:dyDescent="0.25">
      <c r="I292" s="37"/>
      <c r="J292" s="35"/>
    </row>
    <row r="293" spans="9:10" x14ac:dyDescent="0.25">
      <c r="I293" s="37"/>
      <c r="J293" s="35"/>
    </row>
    <row r="294" spans="9:10" x14ac:dyDescent="0.25">
      <c r="I294" s="37"/>
      <c r="J294" s="35"/>
    </row>
    <row r="295" spans="9:10" x14ac:dyDescent="0.25">
      <c r="I295" s="37"/>
      <c r="J295" s="35"/>
    </row>
    <row r="296" spans="9:10" x14ac:dyDescent="0.25">
      <c r="I296" s="37"/>
      <c r="J296" s="35"/>
    </row>
    <row r="297" spans="9:10" x14ac:dyDescent="0.25">
      <c r="I297" s="37"/>
      <c r="J297" s="35"/>
    </row>
    <row r="298" spans="9:10" x14ac:dyDescent="0.25">
      <c r="I298" s="37"/>
      <c r="J298" s="35"/>
    </row>
    <row r="299" spans="9:10" x14ac:dyDescent="0.25">
      <c r="I299" s="37"/>
      <c r="J299" s="35"/>
    </row>
    <row r="300" spans="9:10" x14ac:dyDescent="0.25">
      <c r="I300" s="37"/>
      <c r="J300" s="35"/>
    </row>
    <row r="301" spans="9:10" x14ac:dyDescent="0.25">
      <c r="I301" s="37"/>
      <c r="J301" s="35"/>
    </row>
    <row r="302" spans="9:10" x14ac:dyDescent="0.25">
      <c r="I302" s="37"/>
      <c r="J302" s="35"/>
    </row>
    <row r="303" spans="9:10" x14ac:dyDescent="0.25">
      <c r="I303" s="37"/>
      <c r="J303" s="35"/>
    </row>
    <row r="304" spans="9:10" x14ac:dyDescent="0.25">
      <c r="I304" s="37"/>
      <c r="J304" s="35"/>
    </row>
    <row r="305" spans="9:12" x14ac:dyDescent="0.25">
      <c r="I305" s="37"/>
      <c r="J305" s="35"/>
    </row>
    <row r="306" spans="9:12" x14ac:dyDescent="0.25">
      <c r="I306" s="37"/>
      <c r="J306" s="35"/>
    </row>
    <row r="307" spans="9:12" x14ac:dyDescent="0.25">
      <c r="I307" s="37"/>
      <c r="J307" s="35"/>
    </row>
    <row r="308" spans="9:12" x14ac:dyDescent="0.25">
      <c r="I308" s="37"/>
      <c r="J308" s="35"/>
    </row>
    <row r="309" spans="9:12" x14ac:dyDescent="0.25">
      <c r="I309" s="37"/>
      <c r="J309" s="35"/>
    </row>
    <row r="310" spans="9:12" x14ac:dyDescent="0.25">
      <c r="I310" s="37"/>
      <c r="J310" s="35"/>
    </row>
    <row r="311" spans="9:12" x14ac:dyDescent="0.25">
      <c r="I311" s="37"/>
      <c r="J311" s="35"/>
    </row>
    <row r="312" spans="9:12" x14ac:dyDescent="0.25">
      <c r="I312" s="37"/>
      <c r="J312" s="35"/>
      <c r="L312" s="36"/>
    </row>
    <row r="313" spans="9:12" x14ac:dyDescent="0.25">
      <c r="I313" s="37"/>
      <c r="J313" s="35"/>
    </row>
    <row r="314" spans="9:12" x14ac:dyDescent="0.25">
      <c r="I314" s="37"/>
      <c r="J314" s="35"/>
    </row>
    <row r="315" spans="9:12" x14ac:dyDescent="0.25">
      <c r="I315" s="37"/>
      <c r="J315" s="35"/>
    </row>
    <row r="316" spans="9:12" x14ac:dyDescent="0.25">
      <c r="I316" s="37"/>
      <c r="J316" s="35"/>
    </row>
    <row r="317" spans="9:12" x14ac:dyDescent="0.25">
      <c r="I317" s="37"/>
      <c r="J317" s="35"/>
    </row>
    <row r="318" spans="9:12" x14ac:dyDescent="0.25">
      <c r="I318" s="37"/>
      <c r="J318" s="35"/>
    </row>
    <row r="319" spans="9:12" x14ac:dyDescent="0.25">
      <c r="I319" s="37"/>
      <c r="J319" s="35"/>
    </row>
    <row r="320" spans="9:12" x14ac:dyDescent="0.25">
      <c r="I320" s="37"/>
      <c r="J320" s="35"/>
    </row>
    <row r="321" spans="9:10" x14ac:dyDescent="0.25">
      <c r="I321" s="37"/>
      <c r="J321" s="35"/>
    </row>
    <row r="322" spans="9:10" x14ac:dyDescent="0.25">
      <c r="I322" s="37"/>
      <c r="J322" s="35"/>
    </row>
    <row r="323" spans="9:10" x14ac:dyDescent="0.25">
      <c r="I323" s="37"/>
      <c r="J323" s="35"/>
    </row>
    <row r="324" spans="9:10" x14ac:dyDescent="0.25">
      <c r="I324" s="37"/>
      <c r="J324" s="35"/>
    </row>
    <row r="325" spans="9:10" x14ac:dyDescent="0.25">
      <c r="I325" s="37"/>
      <c r="J325" s="35"/>
    </row>
    <row r="326" spans="9:10" x14ac:dyDescent="0.25">
      <c r="I326" s="37"/>
      <c r="J326" s="35"/>
    </row>
    <row r="327" spans="9:10" x14ac:dyDescent="0.25">
      <c r="I327" s="37"/>
      <c r="J327" s="35"/>
    </row>
    <row r="328" spans="9:10" x14ac:dyDescent="0.25">
      <c r="I328" s="37"/>
      <c r="J328" s="35"/>
    </row>
    <row r="329" spans="9:10" x14ac:dyDescent="0.25">
      <c r="I329" s="37"/>
      <c r="J329" s="35"/>
    </row>
    <row r="330" spans="9:10" x14ac:dyDescent="0.25">
      <c r="I330" s="37"/>
      <c r="J330" s="35"/>
    </row>
    <row r="331" spans="9:10" x14ac:dyDescent="0.25">
      <c r="I331" s="37"/>
      <c r="J331" s="35"/>
    </row>
    <row r="332" spans="9:10" x14ac:dyDescent="0.25">
      <c r="I332" s="37"/>
      <c r="J332" s="35"/>
    </row>
    <row r="333" spans="9:10" x14ac:dyDescent="0.25">
      <c r="I333" s="37"/>
      <c r="J333" s="35"/>
    </row>
    <row r="334" spans="9:10" x14ac:dyDescent="0.25">
      <c r="I334" s="37"/>
      <c r="J334" s="35"/>
    </row>
    <row r="335" spans="9:10" x14ac:dyDescent="0.25">
      <c r="I335" s="37"/>
      <c r="J335" s="35"/>
    </row>
    <row r="336" spans="9:10" x14ac:dyDescent="0.25">
      <c r="I336" s="37"/>
      <c r="J336" s="35"/>
    </row>
    <row r="337" spans="9:10" x14ac:dyDescent="0.25">
      <c r="I337" s="37"/>
      <c r="J337" s="35"/>
    </row>
    <row r="338" spans="9:10" x14ac:dyDescent="0.25">
      <c r="I338" s="37"/>
      <c r="J338" s="35"/>
    </row>
    <row r="339" spans="9:10" x14ac:dyDescent="0.25">
      <c r="I339" s="37"/>
      <c r="J339" s="35"/>
    </row>
    <row r="340" spans="9:10" x14ac:dyDescent="0.25">
      <c r="I340" s="37"/>
      <c r="J340" s="35"/>
    </row>
    <row r="341" spans="9:10" x14ac:dyDescent="0.25">
      <c r="I341" s="37"/>
      <c r="J341" s="35"/>
    </row>
    <row r="342" spans="9:10" x14ac:dyDescent="0.25">
      <c r="I342" s="37"/>
      <c r="J342" s="35"/>
    </row>
    <row r="343" spans="9:10" x14ac:dyDescent="0.25">
      <c r="I343" s="37"/>
      <c r="J343" s="35"/>
    </row>
    <row r="344" spans="9:10" x14ac:dyDescent="0.25">
      <c r="I344" s="37"/>
      <c r="J344" s="35"/>
    </row>
    <row r="345" spans="9:10" x14ac:dyDescent="0.25">
      <c r="I345" s="37"/>
      <c r="J345" s="35"/>
    </row>
    <row r="346" spans="9:10" x14ac:dyDescent="0.25">
      <c r="I346" s="37"/>
      <c r="J346" s="35"/>
    </row>
    <row r="347" spans="9:10" x14ac:dyDescent="0.25">
      <c r="I347" s="37"/>
      <c r="J347" s="35"/>
    </row>
    <row r="348" spans="9:10" x14ac:dyDescent="0.25">
      <c r="I348" s="37"/>
      <c r="J348" s="35"/>
    </row>
    <row r="349" spans="9:10" x14ac:dyDescent="0.25">
      <c r="I349" s="37"/>
      <c r="J349" s="35"/>
    </row>
    <row r="350" spans="9:10" x14ac:dyDescent="0.25">
      <c r="I350" s="37"/>
      <c r="J350" s="35"/>
    </row>
    <row r="351" spans="9:10" x14ac:dyDescent="0.25">
      <c r="I351" s="37"/>
      <c r="J351" s="35"/>
    </row>
    <row r="352" spans="9:10" x14ac:dyDescent="0.25">
      <c r="I352" s="37"/>
      <c r="J352" s="35"/>
    </row>
    <row r="353" spans="9:10" x14ac:dyDescent="0.25">
      <c r="I353" s="37"/>
      <c r="J353" s="35"/>
    </row>
    <row r="354" spans="9:10" x14ac:dyDescent="0.25">
      <c r="I354" s="37"/>
      <c r="J354" s="35"/>
    </row>
    <row r="355" spans="9:10" x14ac:dyDescent="0.25">
      <c r="I355" s="37"/>
      <c r="J355" s="35"/>
    </row>
    <row r="356" spans="9:10" x14ac:dyDescent="0.25">
      <c r="I356" s="37"/>
      <c r="J356" s="35"/>
    </row>
    <row r="357" spans="9:10" x14ac:dyDescent="0.25">
      <c r="I357" s="37"/>
      <c r="J357" s="35"/>
    </row>
    <row r="358" spans="9:10" x14ac:dyDescent="0.25">
      <c r="I358" s="37"/>
      <c r="J358" s="35"/>
    </row>
    <row r="359" spans="9:10" x14ac:dyDescent="0.25">
      <c r="I359" s="37"/>
      <c r="J359" s="35"/>
    </row>
    <row r="360" spans="9:10" x14ac:dyDescent="0.25">
      <c r="I360" s="37"/>
      <c r="J360" s="35"/>
    </row>
    <row r="361" spans="9:10" x14ac:dyDescent="0.25">
      <c r="I361" s="37"/>
      <c r="J361" s="35"/>
    </row>
    <row r="362" spans="9:10" x14ac:dyDescent="0.25">
      <c r="I362" s="37"/>
      <c r="J362" s="35"/>
    </row>
    <row r="363" spans="9:10" x14ac:dyDescent="0.25">
      <c r="I363" s="37"/>
      <c r="J363" s="35"/>
    </row>
    <row r="364" spans="9:10" x14ac:dyDescent="0.25">
      <c r="I364" s="37"/>
      <c r="J364" s="35"/>
    </row>
    <row r="365" spans="9:10" x14ac:dyDescent="0.25">
      <c r="I365" s="37"/>
      <c r="J365" s="35"/>
    </row>
    <row r="366" spans="9:10" x14ac:dyDescent="0.25">
      <c r="I366" s="37"/>
      <c r="J366" s="35"/>
    </row>
    <row r="367" spans="9:10" x14ac:dyDescent="0.25">
      <c r="I367" s="37"/>
      <c r="J367" s="35"/>
    </row>
    <row r="368" spans="9:10" x14ac:dyDescent="0.25">
      <c r="I368" s="37"/>
      <c r="J368" s="35"/>
    </row>
    <row r="369" spans="9:10" x14ac:dyDescent="0.25">
      <c r="I369" s="37"/>
      <c r="J369" s="35"/>
    </row>
    <row r="370" spans="9:10" x14ac:dyDescent="0.25">
      <c r="I370" s="37"/>
      <c r="J370" s="35"/>
    </row>
    <row r="371" spans="9:10" x14ac:dyDescent="0.25">
      <c r="I371" s="37"/>
      <c r="J371" s="35"/>
    </row>
    <row r="372" spans="9:10" x14ac:dyDescent="0.25">
      <c r="I372" s="37"/>
      <c r="J372" s="35"/>
    </row>
    <row r="373" spans="9:10" x14ac:dyDescent="0.25">
      <c r="I373" s="37"/>
      <c r="J373" s="35"/>
    </row>
    <row r="374" spans="9:10" x14ac:dyDescent="0.25">
      <c r="I374" s="37"/>
      <c r="J374" s="35"/>
    </row>
    <row r="375" spans="9:10" x14ac:dyDescent="0.25">
      <c r="I375" s="37"/>
      <c r="J375" s="35"/>
    </row>
    <row r="376" spans="9:10" x14ac:dyDescent="0.25">
      <c r="I376" s="37"/>
      <c r="J376" s="35"/>
    </row>
    <row r="377" spans="9:10" x14ac:dyDescent="0.25">
      <c r="I377" s="37"/>
      <c r="J377" s="35"/>
    </row>
    <row r="378" spans="9:10" x14ac:dyDescent="0.25">
      <c r="I378" s="37"/>
      <c r="J378" s="35"/>
    </row>
    <row r="379" spans="9:10" x14ac:dyDescent="0.25">
      <c r="I379" s="37"/>
      <c r="J379" s="35"/>
    </row>
    <row r="380" spans="9:10" x14ac:dyDescent="0.25">
      <c r="I380" s="37"/>
      <c r="J380" s="35"/>
    </row>
    <row r="381" spans="9:10" x14ac:dyDescent="0.25">
      <c r="I381" s="37"/>
      <c r="J381" s="35"/>
    </row>
    <row r="382" spans="9:10" x14ac:dyDescent="0.25">
      <c r="I382" s="37"/>
      <c r="J382" s="35"/>
    </row>
    <row r="383" spans="9:10" x14ac:dyDescent="0.25">
      <c r="I383" s="37"/>
      <c r="J383" s="35"/>
    </row>
    <row r="384" spans="9:10" x14ac:dyDescent="0.25">
      <c r="I384" s="37"/>
      <c r="J384" s="35"/>
    </row>
    <row r="385" spans="9:10" x14ac:dyDescent="0.25">
      <c r="I385" s="37"/>
      <c r="J385" s="35"/>
    </row>
    <row r="386" spans="9:10" x14ac:dyDescent="0.25">
      <c r="I386" s="37"/>
      <c r="J386" s="35"/>
    </row>
    <row r="387" spans="9:10" x14ac:dyDescent="0.25">
      <c r="I387" s="37"/>
      <c r="J387" s="35"/>
    </row>
    <row r="388" spans="9:10" x14ac:dyDescent="0.25">
      <c r="I388" s="37"/>
      <c r="J388" s="35"/>
    </row>
    <row r="389" spans="9:10" x14ac:dyDescent="0.25">
      <c r="I389" s="37"/>
      <c r="J389" s="35"/>
    </row>
    <row r="390" spans="9:10" x14ac:dyDescent="0.25">
      <c r="I390" s="37"/>
      <c r="J390" s="35"/>
    </row>
    <row r="391" spans="9:10" x14ac:dyDescent="0.25">
      <c r="I391" s="37"/>
      <c r="J391" s="35"/>
    </row>
    <row r="392" spans="9:10" x14ac:dyDescent="0.25">
      <c r="I392" s="37"/>
      <c r="J392" s="35"/>
    </row>
    <row r="393" spans="9:10" x14ac:dyDescent="0.25">
      <c r="I393" s="37"/>
      <c r="J393" s="35"/>
    </row>
    <row r="394" spans="9:10" x14ac:dyDescent="0.25">
      <c r="I394" s="37"/>
      <c r="J394" s="35"/>
    </row>
    <row r="395" spans="9:10" x14ac:dyDescent="0.25">
      <c r="I395" s="37"/>
      <c r="J395" s="35"/>
    </row>
    <row r="396" spans="9:10" x14ac:dyDescent="0.25">
      <c r="I396" s="37"/>
      <c r="J396" s="35"/>
    </row>
    <row r="397" spans="9:10" x14ac:dyDescent="0.25">
      <c r="I397" s="37"/>
      <c r="J397" s="35"/>
    </row>
    <row r="398" spans="9:10" x14ac:dyDescent="0.25">
      <c r="I398" s="37"/>
      <c r="J398" s="35"/>
    </row>
    <row r="399" spans="9:10" x14ac:dyDescent="0.25">
      <c r="I399" s="37"/>
      <c r="J399" s="35"/>
    </row>
    <row r="400" spans="9:10" x14ac:dyDescent="0.25">
      <c r="I400" s="37"/>
      <c r="J400" s="35"/>
    </row>
    <row r="401" spans="9:10" x14ac:dyDescent="0.25">
      <c r="I401" s="37"/>
      <c r="J401" s="35"/>
    </row>
    <row r="402" spans="9:10" x14ac:dyDescent="0.25">
      <c r="I402" s="37"/>
      <c r="J402" s="35"/>
    </row>
    <row r="403" spans="9:10" x14ac:dyDescent="0.25">
      <c r="I403" s="37"/>
      <c r="J403" s="35"/>
    </row>
    <row r="404" spans="9:10" x14ac:dyDescent="0.25">
      <c r="I404" s="37"/>
      <c r="J404" s="35"/>
    </row>
    <row r="405" spans="9:10" x14ac:dyDescent="0.25">
      <c r="I405" s="37"/>
      <c r="J405" s="35"/>
    </row>
    <row r="406" spans="9:10" x14ac:dyDescent="0.25">
      <c r="I406" s="37"/>
      <c r="J406" s="35"/>
    </row>
    <row r="407" spans="9:10" x14ac:dyDescent="0.25">
      <c r="I407" s="37"/>
      <c r="J407" s="35"/>
    </row>
    <row r="408" spans="9:10" x14ac:dyDescent="0.25">
      <c r="I408" s="37"/>
      <c r="J408" s="35"/>
    </row>
    <row r="409" spans="9:10" x14ac:dyDescent="0.25">
      <c r="I409" s="37"/>
      <c r="J409" s="35"/>
    </row>
    <row r="410" spans="9:10" x14ac:dyDescent="0.25">
      <c r="I410" s="37"/>
      <c r="J410" s="35"/>
    </row>
    <row r="411" spans="9:10" x14ac:dyDescent="0.25">
      <c r="I411" s="37"/>
      <c r="J411" s="35"/>
    </row>
    <row r="412" spans="9:10" x14ac:dyDescent="0.25">
      <c r="I412" s="37"/>
      <c r="J412" s="35"/>
    </row>
    <row r="413" spans="9:10" x14ac:dyDescent="0.25">
      <c r="I413" s="37"/>
      <c r="J413" s="35"/>
    </row>
    <row r="414" spans="9:10" x14ac:dyDescent="0.25">
      <c r="I414" s="37"/>
      <c r="J414" s="35"/>
    </row>
    <row r="415" spans="9:10" x14ac:dyDescent="0.25">
      <c r="I415" s="37"/>
      <c r="J415" s="35"/>
    </row>
    <row r="416" spans="9:10" x14ac:dyDescent="0.25">
      <c r="I416" s="37"/>
      <c r="J416" s="35"/>
    </row>
    <row r="417" spans="9:10" x14ac:dyDescent="0.25">
      <c r="I417" s="37"/>
      <c r="J417" s="35"/>
    </row>
    <row r="418" spans="9:10" x14ac:dyDescent="0.25">
      <c r="I418" s="37"/>
      <c r="J418" s="35"/>
    </row>
    <row r="419" spans="9:10" x14ac:dyDescent="0.25">
      <c r="I419" s="37"/>
      <c r="J419" s="35"/>
    </row>
    <row r="420" spans="9:10" x14ac:dyDescent="0.25">
      <c r="I420" s="37"/>
      <c r="J420" s="35"/>
    </row>
    <row r="421" spans="9:10" x14ac:dyDescent="0.25">
      <c r="I421" s="37"/>
      <c r="J421" s="35"/>
    </row>
    <row r="422" spans="9:10" x14ac:dyDescent="0.25">
      <c r="I422" s="37"/>
      <c r="J422" s="35"/>
    </row>
    <row r="423" spans="9:10" x14ac:dyDescent="0.25">
      <c r="I423" s="37"/>
      <c r="J423" s="35"/>
    </row>
    <row r="424" spans="9:10" x14ac:dyDescent="0.25">
      <c r="I424" s="37"/>
      <c r="J424" s="35"/>
    </row>
    <row r="425" spans="9:10" x14ac:dyDescent="0.25">
      <c r="I425" s="37"/>
      <c r="J425" s="35"/>
    </row>
    <row r="426" spans="9:10" x14ac:dyDescent="0.25">
      <c r="I426" s="37"/>
      <c r="J426" s="35"/>
    </row>
    <row r="427" spans="9:10" x14ac:dyDescent="0.25">
      <c r="I427" s="37"/>
      <c r="J427" s="35"/>
    </row>
    <row r="428" spans="9:10" x14ac:dyDescent="0.25">
      <c r="I428" s="37"/>
      <c r="J428" s="35"/>
    </row>
    <row r="429" spans="9:10" x14ac:dyDescent="0.25">
      <c r="I429" s="37"/>
      <c r="J429" s="35"/>
    </row>
    <row r="430" spans="9:10" x14ac:dyDescent="0.25">
      <c r="I430" s="37"/>
      <c r="J430" s="35"/>
    </row>
    <row r="431" spans="9:10" x14ac:dyDescent="0.25">
      <c r="I431" s="37"/>
      <c r="J431" s="35"/>
    </row>
    <row r="432" spans="9:10" x14ac:dyDescent="0.25">
      <c r="I432" s="37"/>
      <c r="J432" s="35"/>
    </row>
    <row r="433" spans="9:10" x14ac:dyDescent="0.25">
      <c r="I433" s="37"/>
      <c r="J433" s="35"/>
    </row>
    <row r="434" spans="9:10" x14ac:dyDescent="0.25">
      <c r="I434" s="37"/>
      <c r="J434" s="35"/>
    </row>
    <row r="435" spans="9:10" x14ac:dyDescent="0.25">
      <c r="I435" s="37"/>
      <c r="J435" s="35"/>
    </row>
    <row r="436" spans="9:10" x14ac:dyDescent="0.25">
      <c r="I436" s="37"/>
      <c r="J436" s="35"/>
    </row>
    <row r="437" spans="9:10" x14ac:dyDescent="0.25">
      <c r="I437" s="37"/>
      <c r="J437" s="35"/>
    </row>
    <row r="438" spans="9:10" x14ac:dyDescent="0.25">
      <c r="I438" s="37"/>
      <c r="J438" s="35"/>
    </row>
    <row r="439" spans="9:10" x14ac:dyDescent="0.25">
      <c r="I439" s="37"/>
      <c r="J439" s="35"/>
    </row>
    <row r="440" spans="9:10" x14ac:dyDescent="0.25">
      <c r="I440" s="37"/>
      <c r="J440" s="35"/>
    </row>
    <row r="441" spans="9:10" x14ac:dyDescent="0.25">
      <c r="I441" s="37"/>
      <c r="J441" s="35"/>
    </row>
    <row r="442" spans="9:10" x14ac:dyDescent="0.25">
      <c r="I442" s="37"/>
      <c r="J442" s="35"/>
    </row>
    <row r="443" spans="9:10" x14ac:dyDescent="0.25">
      <c r="I443" s="37"/>
      <c r="J443" s="35"/>
    </row>
    <row r="444" spans="9:10" x14ac:dyDescent="0.25">
      <c r="I444" s="37"/>
      <c r="J444" s="35"/>
    </row>
    <row r="445" spans="9:10" x14ac:dyDescent="0.25">
      <c r="I445" s="37"/>
      <c r="J445" s="35"/>
    </row>
    <row r="446" spans="9:10" x14ac:dyDescent="0.25">
      <c r="I446" s="37"/>
      <c r="J446" s="35"/>
    </row>
    <row r="447" spans="9:10" x14ac:dyDescent="0.25">
      <c r="I447" s="37"/>
      <c r="J447" s="35"/>
    </row>
    <row r="448" spans="9:10" x14ac:dyDescent="0.25">
      <c r="I448" s="37"/>
      <c r="J448" s="35"/>
    </row>
    <row r="449" spans="9:10" x14ac:dyDescent="0.25">
      <c r="I449" s="37"/>
      <c r="J449" s="35"/>
    </row>
    <row r="450" spans="9:10" x14ac:dyDescent="0.25">
      <c r="I450" s="37"/>
      <c r="J450" s="35"/>
    </row>
    <row r="451" spans="9:10" x14ac:dyDescent="0.25">
      <c r="I451" s="37"/>
      <c r="J451" s="35"/>
    </row>
    <row r="452" spans="9:10" x14ac:dyDescent="0.25">
      <c r="I452" s="37"/>
      <c r="J452" s="35"/>
    </row>
    <row r="453" spans="9:10" x14ac:dyDescent="0.25">
      <c r="I453" s="37"/>
      <c r="J453" s="35"/>
    </row>
    <row r="454" spans="9:10" x14ac:dyDescent="0.25">
      <c r="I454" s="37"/>
      <c r="J454" s="35"/>
    </row>
    <row r="455" spans="9:10" x14ac:dyDescent="0.25">
      <c r="I455" s="37"/>
      <c r="J455" s="35"/>
    </row>
    <row r="456" spans="9:10" x14ac:dyDescent="0.25">
      <c r="I456" s="37"/>
      <c r="J456" s="35"/>
    </row>
    <row r="457" spans="9:10" x14ac:dyDescent="0.25">
      <c r="I457" s="37"/>
      <c r="J457" s="35"/>
    </row>
    <row r="458" spans="9:10" x14ac:dyDescent="0.25">
      <c r="I458" s="37"/>
      <c r="J458" s="35"/>
    </row>
    <row r="459" spans="9:10" x14ac:dyDescent="0.25">
      <c r="I459" s="37"/>
      <c r="J459" s="35"/>
    </row>
    <row r="460" spans="9:10" x14ac:dyDescent="0.25">
      <c r="I460" s="37"/>
      <c r="J460" s="35"/>
    </row>
    <row r="461" spans="9:10" x14ac:dyDescent="0.25">
      <c r="I461" s="37"/>
      <c r="J461" s="35"/>
    </row>
    <row r="462" spans="9:10" x14ac:dyDescent="0.25">
      <c r="I462" s="37"/>
      <c r="J462" s="35"/>
    </row>
    <row r="463" spans="9:10" x14ac:dyDescent="0.25">
      <c r="I463" s="37"/>
      <c r="J463" s="35"/>
    </row>
    <row r="464" spans="9:10" x14ac:dyDescent="0.25">
      <c r="I464" s="37"/>
      <c r="J464" s="35"/>
    </row>
    <row r="465" spans="9:10" x14ac:dyDescent="0.25">
      <c r="I465" s="37"/>
      <c r="J465" s="35"/>
    </row>
    <row r="466" spans="9:10" x14ac:dyDescent="0.25">
      <c r="I466" s="37"/>
      <c r="J466" s="35"/>
    </row>
    <row r="467" spans="9:10" x14ac:dyDescent="0.25">
      <c r="I467" s="37"/>
      <c r="J467" s="35"/>
    </row>
    <row r="468" spans="9:10" x14ac:dyDescent="0.25">
      <c r="I468" s="37"/>
      <c r="J468" s="35"/>
    </row>
    <row r="469" spans="9:10" x14ac:dyDescent="0.25">
      <c r="I469" s="37"/>
      <c r="J469" s="35"/>
    </row>
    <row r="470" spans="9:10" x14ac:dyDescent="0.25">
      <c r="I470" s="37"/>
      <c r="J470" s="35"/>
    </row>
    <row r="471" spans="9:10" x14ac:dyDescent="0.25">
      <c r="I471" s="37"/>
      <c r="J471" s="35"/>
    </row>
    <row r="472" spans="9:10" x14ac:dyDescent="0.25">
      <c r="I472" s="37"/>
      <c r="J472" s="35"/>
    </row>
    <row r="473" spans="9:10" x14ac:dyDescent="0.25">
      <c r="I473" s="37"/>
      <c r="J473" s="35"/>
    </row>
    <row r="474" spans="9:10" x14ac:dyDescent="0.25">
      <c r="I474" s="37"/>
      <c r="J474" s="35"/>
    </row>
    <row r="475" spans="9:10" x14ac:dyDescent="0.25">
      <c r="I475" s="37"/>
      <c r="J475" s="35"/>
    </row>
    <row r="476" spans="9:10" x14ac:dyDescent="0.25">
      <c r="I476" s="37"/>
      <c r="J476" s="35"/>
    </row>
    <row r="477" spans="9:10" x14ac:dyDescent="0.25">
      <c r="I477" s="37"/>
      <c r="J477" s="35"/>
    </row>
    <row r="478" spans="9:10" x14ac:dyDescent="0.25">
      <c r="I478" s="37"/>
      <c r="J478" s="35"/>
    </row>
    <row r="479" spans="9:10" x14ac:dyDescent="0.25">
      <c r="I479" s="37"/>
      <c r="J479" s="35"/>
    </row>
    <row r="480" spans="9:10" x14ac:dyDescent="0.25">
      <c r="I480" s="37"/>
      <c r="J480" s="35"/>
    </row>
    <row r="481" spans="9:10" x14ac:dyDescent="0.25">
      <c r="I481" s="37"/>
      <c r="J481" s="35"/>
    </row>
    <row r="482" spans="9:10" x14ac:dyDescent="0.25">
      <c r="I482" s="37"/>
      <c r="J482" s="35"/>
    </row>
    <row r="483" spans="9:10" x14ac:dyDescent="0.25">
      <c r="I483" s="37"/>
      <c r="J483" s="35"/>
    </row>
    <row r="484" spans="9:10" x14ac:dyDescent="0.25">
      <c r="I484" s="37"/>
      <c r="J484" s="35"/>
    </row>
    <row r="485" spans="9:10" x14ac:dyDescent="0.25">
      <c r="I485" s="37"/>
      <c r="J485" s="35"/>
    </row>
    <row r="486" spans="9:10" x14ac:dyDescent="0.25">
      <c r="I486" s="37"/>
      <c r="J486" s="35"/>
    </row>
    <row r="487" spans="9:10" x14ac:dyDescent="0.25">
      <c r="I487" s="37"/>
      <c r="J487" s="35"/>
    </row>
    <row r="488" spans="9:10" x14ac:dyDescent="0.25">
      <c r="I488" s="37"/>
      <c r="J488" s="35"/>
    </row>
    <row r="489" spans="9:10" x14ac:dyDescent="0.25">
      <c r="I489" s="37"/>
      <c r="J489" s="35"/>
    </row>
    <row r="490" spans="9:10" x14ac:dyDescent="0.25">
      <c r="I490" s="37"/>
      <c r="J490" s="35"/>
    </row>
    <row r="491" spans="9:10" x14ac:dyDescent="0.25">
      <c r="I491" s="37"/>
      <c r="J491" s="35"/>
    </row>
    <row r="492" spans="9:10" x14ac:dyDescent="0.25">
      <c r="I492" s="37"/>
      <c r="J492" s="35"/>
    </row>
    <row r="493" spans="9:10" x14ac:dyDescent="0.25">
      <c r="I493" s="37"/>
      <c r="J493" s="35"/>
    </row>
    <row r="494" spans="9:10" x14ac:dyDescent="0.25">
      <c r="I494" s="37"/>
      <c r="J494" s="35"/>
    </row>
    <row r="495" spans="9:10" x14ac:dyDescent="0.25">
      <c r="I495" s="37"/>
      <c r="J495" s="35"/>
    </row>
    <row r="496" spans="9:10" x14ac:dyDescent="0.25">
      <c r="I496" s="37"/>
      <c r="J496" s="35"/>
    </row>
    <row r="497" spans="9:10" x14ac:dyDescent="0.25">
      <c r="I497" s="37"/>
      <c r="J497" s="35"/>
    </row>
    <row r="498" spans="9:10" x14ac:dyDescent="0.25">
      <c r="I498" s="37"/>
      <c r="J498" s="35"/>
    </row>
    <row r="499" spans="9:10" x14ac:dyDescent="0.25">
      <c r="I499" s="37"/>
      <c r="J499" s="35"/>
    </row>
    <row r="500" spans="9:10" x14ac:dyDescent="0.25">
      <c r="I500" s="37"/>
      <c r="J500" s="35"/>
    </row>
    <row r="501" spans="9:10" x14ac:dyDescent="0.25">
      <c r="I501" s="37"/>
      <c r="J501" s="35"/>
    </row>
    <row r="502" spans="9:10" x14ac:dyDescent="0.25">
      <c r="I502" s="37"/>
      <c r="J502" s="35"/>
    </row>
    <row r="503" spans="9:10" x14ac:dyDescent="0.25">
      <c r="I503" s="37"/>
      <c r="J503" s="35"/>
    </row>
    <row r="504" spans="9:10" x14ac:dyDescent="0.25">
      <c r="I504" s="37"/>
      <c r="J504" s="35"/>
    </row>
    <row r="505" spans="9:10" x14ac:dyDescent="0.25">
      <c r="I505" s="37"/>
      <c r="J505" s="35"/>
    </row>
    <row r="506" spans="9:10" x14ac:dyDescent="0.25">
      <c r="I506" s="37"/>
      <c r="J506" s="35"/>
    </row>
    <row r="507" spans="9:10" x14ac:dyDescent="0.25">
      <c r="I507" s="37"/>
      <c r="J507" s="35"/>
    </row>
    <row r="508" spans="9:10" x14ac:dyDescent="0.25">
      <c r="I508" s="37"/>
      <c r="J508" s="35"/>
    </row>
    <row r="509" spans="9:10" x14ac:dyDescent="0.25">
      <c r="I509" s="37"/>
      <c r="J509" s="35"/>
    </row>
    <row r="510" spans="9:10" x14ac:dyDescent="0.25">
      <c r="I510" s="37"/>
      <c r="J510" s="35"/>
    </row>
    <row r="511" spans="9:10" x14ac:dyDescent="0.25">
      <c r="I511" s="37"/>
      <c r="J511" s="35"/>
    </row>
    <row r="512" spans="9:10" x14ac:dyDescent="0.25">
      <c r="I512" s="37"/>
      <c r="J512" s="35"/>
    </row>
    <row r="513" spans="9:10" x14ac:dyDescent="0.25">
      <c r="I513" s="37"/>
      <c r="J513" s="35"/>
    </row>
    <row r="514" spans="9:10" x14ac:dyDescent="0.25">
      <c r="I514" s="37"/>
      <c r="J514" s="35"/>
    </row>
    <row r="515" spans="9:10" x14ac:dyDescent="0.25">
      <c r="I515" s="37"/>
      <c r="J515" s="35"/>
    </row>
    <row r="516" spans="9:10" x14ac:dyDescent="0.25">
      <c r="I516" s="37"/>
      <c r="J516" s="35"/>
    </row>
    <row r="517" spans="9:10" x14ac:dyDescent="0.25">
      <c r="I517" s="37"/>
      <c r="J517" s="35"/>
    </row>
    <row r="518" spans="9:10" x14ac:dyDescent="0.25">
      <c r="I518" s="37"/>
      <c r="J518" s="35"/>
    </row>
    <row r="519" spans="9:10" x14ac:dyDescent="0.25">
      <c r="I519" s="37"/>
      <c r="J519" s="35"/>
    </row>
    <row r="520" spans="9:10" x14ac:dyDescent="0.25">
      <c r="I520" s="37"/>
      <c r="J520" s="35"/>
    </row>
    <row r="521" spans="9:10" x14ac:dyDescent="0.25">
      <c r="I521" s="37"/>
      <c r="J521" s="35"/>
    </row>
    <row r="522" spans="9:10" x14ac:dyDescent="0.25">
      <c r="I522" s="37"/>
      <c r="J522" s="35"/>
    </row>
    <row r="523" spans="9:10" x14ac:dyDescent="0.25">
      <c r="I523" s="37"/>
      <c r="J523" s="35"/>
    </row>
    <row r="524" spans="9:10" x14ac:dyDescent="0.25">
      <c r="I524" s="37"/>
      <c r="J524" s="35"/>
    </row>
    <row r="525" spans="9:10" x14ac:dyDescent="0.25">
      <c r="I525" s="37"/>
      <c r="J525" s="35"/>
    </row>
    <row r="526" spans="9:10" x14ac:dyDescent="0.25">
      <c r="I526" s="37"/>
      <c r="J526" s="35"/>
    </row>
    <row r="527" spans="9:10" x14ac:dyDescent="0.25">
      <c r="I527" s="37"/>
      <c r="J527" s="35"/>
    </row>
    <row r="528" spans="9:10" x14ac:dyDescent="0.25">
      <c r="I528" s="37"/>
      <c r="J528" s="35"/>
    </row>
    <row r="529" spans="9:10" x14ac:dyDescent="0.25">
      <c r="I529" s="37"/>
      <c r="J529" s="35"/>
    </row>
    <row r="530" spans="9:10" x14ac:dyDescent="0.25">
      <c r="I530" s="37"/>
      <c r="J530" s="35"/>
    </row>
    <row r="531" spans="9:10" x14ac:dyDescent="0.25">
      <c r="I531" s="37"/>
      <c r="J531" s="35"/>
    </row>
    <row r="532" spans="9:10" x14ac:dyDescent="0.25">
      <c r="I532" s="37"/>
      <c r="J532" s="35"/>
    </row>
    <row r="533" spans="9:10" x14ac:dyDescent="0.25">
      <c r="I533" s="37"/>
      <c r="J533" s="35"/>
    </row>
    <row r="534" spans="9:10" x14ac:dyDescent="0.25">
      <c r="I534" s="37"/>
      <c r="J534" s="35"/>
    </row>
    <row r="535" spans="9:10" x14ac:dyDescent="0.25">
      <c r="I535" s="37"/>
      <c r="J535" s="35"/>
    </row>
    <row r="536" spans="9:10" x14ac:dyDescent="0.25">
      <c r="I536" s="37"/>
      <c r="J536" s="35"/>
    </row>
    <row r="537" spans="9:10" x14ac:dyDescent="0.25">
      <c r="I537" s="37"/>
      <c r="J537" s="35"/>
    </row>
    <row r="538" spans="9:10" x14ac:dyDescent="0.25">
      <c r="I538" s="37"/>
      <c r="J538" s="35"/>
    </row>
    <row r="539" spans="9:10" x14ac:dyDescent="0.25">
      <c r="I539" s="37"/>
      <c r="J539" s="35"/>
    </row>
    <row r="540" spans="9:10" x14ac:dyDescent="0.25">
      <c r="I540" s="37"/>
      <c r="J540" s="35"/>
    </row>
    <row r="541" spans="9:10" x14ac:dyDescent="0.25">
      <c r="I541" s="37"/>
      <c r="J541" s="35"/>
    </row>
    <row r="542" spans="9:10" x14ac:dyDescent="0.25">
      <c r="I542" s="37"/>
      <c r="J542" s="35"/>
    </row>
    <row r="543" spans="9:10" x14ac:dyDescent="0.25">
      <c r="I543" s="37"/>
      <c r="J543" s="35"/>
    </row>
    <row r="544" spans="9:10" x14ac:dyDescent="0.25">
      <c r="I544" s="37"/>
      <c r="J544" s="35"/>
    </row>
    <row r="545" spans="9:10" x14ac:dyDescent="0.25">
      <c r="I545" s="37"/>
      <c r="J545" s="35"/>
    </row>
    <row r="546" spans="9:10" x14ac:dyDescent="0.25">
      <c r="I546" s="37"/>
      <c r="J546" s="35"/>
    </row>
    <row r="547" spans="9:10" x14ac:dyDescent="0.25">
      <c r="I547" s="37"/>
      <c r="J547" s="35"/>
    </row>
    <row r="548" spans="9:10" x14ac:dyDescent="0.25">
      <c r="I548" s="37"/>
      <c r="J548" s="35"/>
    </row>
    <row r="549" spans="9:10" x14ac:dyDescent="0.25">
      <c r="I549" s="37"/>
      <c r="J549" s="35"/>
    </row>
    <row r="550" spans="9:10" x14ac:dyDescent="0.25">
      <c r="I550" s="37"/>
      <c r="J550" s="35"/>
    </row>
    <row r="551" spans="9:10" x14ac:dyDescent="0.25">
      <c r="I551" s="37"/>
      <c r="J551" s="35"/>
    </row>
    <row r="552" spans="9:10" x14ac:dyDescent="0.25">
      <c r="I552" s="37"/>
      <c r="J552" s="35"/>
    </row>
    <row r="553" spans="9:10" x14ac:dyDescent="0.25">
      <c r="I553" s="37"/>
      <c r="J553" s="35"/>
    </row>
    <row r="554" spans="9:10" x14ac:dyDescent="0.25">
      <c r="I554" s="37"/>
      <c r="J554" s="35"/>
    </row>
    <row r="555" spans="9:10" x14ac:dyDescent="0.25">
      <c r="I555" s="37"/>
      <c r="J555" s="35"/>
    </row>
    <row r="556" spans="9:10" x14ac:dyDescent="0.25">
      <c r="I556" s="37"/>
      <c r="J556" s="35"/>
    </row>
    <row r="557" spans="9:10" x14ac:dyDescent="0.25">
      <c r="I557" s="37"/>
      <c r="J557" s="35"/>
    </row>
    <row r="558" spans="9:10" x14ac:dyDescent="0.25">
      <c r="I558" s="37"/>
      <c r="J558" s="35"/>
    </row>
    <row r="559" spans="9:10" x14ac:dyDescent="0.25">
      <c r="I559" s="37"/>
      <c r="J559" s="35"/>
    </row>
    <row r="560" spans="9:10" x14ac:dyDescent="0.25">
      <c r="I560" s="37"/>
      <c r="J560" s="35"/>
    </row>
    <row r="561" spans="9:10" x14ac:dyDescent="0.25">
      <c r="I561" s="37"/>
      <c r="J561" s="35"/>
    </row>
    <row r="562" spans="9:10" x14ac:dyDescent="0.25">
      <c r="I562" s="37"/>
      <c r="J562" s="35"/>
    </row>
    <row r="563" spans="9:10" x14ac:dyDescent="0.25">
      <c r="I563" s="37"/>
      <c r="J563" s="35"/>
    </row>
    <row r="564" spans="9:10" x14ac:dyDescent="0.25">
      <c r="I564" s="37"/>
      <c r="J564" s="35"/>
    </row>
    <row r="565" spans="9:10" x14ac:dyDescent="0.25">
      <c r="I565" s="37"/>
      <c r="J565" s="35"/>
    </row>
    <row r="566" spans="9:10" x14ac:dyDescent="0.25">
      <c r="I566" s="37"/>
      <c r="J566" s="35"/>
    </row>
    <row r="567" spans="9:10" x14ac:dyDescent="0.25">
      <c r="I567" s="37"/>
      <c r="J567" s="35"/>
    </row>
    <row r="568" spans="9:10" x14ac:dyDescent="0.25">
      <c r="I568" s="37"/>
      <c r="J568" s="35"/>
    </row>
    <row r="569" spans="9:10" x14ac:dyDescent="0.25">
      <c r="I569" s="37"/>
      <c r="J569" s="35"/>
    </row>
    <row r="570" spans="9:10" x14ac:dyDescent="0.25">
      <c r="I570" s="37"/>
      <c r="J570" s="35"/>
    </row>
    <row r="571" spans="9:10" x14ac:dyDescent="0.25">
      <c r="I571" s="37"/>
      <c r="J571" s="35"/>
    </row>
    <row r="572" spans="9:10" x14ac:dyDescent="0.25">
      <c r="I572" s="37"/>
      <c r="J572" s="35"/>
    </row>
    <row r="573" spans="9:10" x14ac:dyDescent="0.25">
      <c r="I573" s="37"/>
      <c r="J573" s="35"/>
    </row>
    <row r="574" spans="9:10" x14ac:dyDescent="0.25">
      <c r="I574" s="37"/>
      <c r="J574" s="35"/>
    </row>
    <row r="575" spans="9:10" x14ac:dyDescent="0.25">
      <c r="I575" s="37"/>
      <c r="J575" s="35"/>
    </row>
    <row r="576" spans="9:10" x14ac:dyDescent="0.25">
      <c r="I576" s="37"/>
      <c r="J576" s="35"/>
    </row>
    <row r="577" spans="9:10" x14ac:dyDescent="0.25">
      <c r="I577" s="37"/>
      <c r="J577" s="35"/>
    </row>
    <row r="578" spans="9:10" x14ac:dyDescent="0.25">
      <c r="I578" s="37"/>
      <c r="J578" s="35"/>
    </row>
    <row r="579" spans="9:10" x14ac:dyDescent="0.25">
      <c r="I579" s="37"/>
      <c r="J579" s="35"/>
    </row>
    <row r="580" spans="9:10" x14ac:dyDescent="0.25">
      <c r="I580" s="37"/>
      <c r="J580" s="35"/>
    </row>
    <row r="581" spans="9:10" x14ac:dyDescent="0.25">
      <c r="I581" s="37"/>
      <c r="J581" s="35"/>
    </row>
    <row r="582" spans="9:10" x14ac:dyDescent="0.25">
      <c r="I582" s="37"/>
      <c r="J582" s="35"/>
    </row>
    <row r="583" spans="9:10" x14ac:dyDescent="0.25">
      <c r="I583" s="37"/>
      <c r="J583" s="35"/>
    </row>
    <row r="584" spans="9:10" x14ac:dyDescent="0.25">
      <c r="I584" s="37"/>
      <c r="J584" s="35"/>
    </row>
    <row r="585" spans="9:10" x14ac:dyDescent="0.25">
      <c r="I585" s="37"/>
      <c r="J585" s="35"/>
    </row>
    <row r="586" spans="9:10" x14ac:dyDescent="0.25">
      <c r="I586" s="37"/>
      <c r="J586" s="35"/>
    </row>
    <row r="587" spans="9:10" x14ac:dyDescent="0.25">
      <c r="I587" s="37"/>
      <c r="J587" s="35"/>
    </row>
    <row r="588" spans="9:10" x14ac:dyDescent="0.25">
      <c r="I588" s="37"/>
      <c r="J588" s="35"/>
    </row>
    <row r="589" spans="9:10" x14ac:dyDescent="0.25">
      <c r="I589" s="37"/>
      <c r="J589" s="35"/>
    </row>
    <row r="590" spans="9:10" x14ac:dyDescent="0.25">
      <c r="I590" s="37"/>
      <c r="J590" s="35"/>
    </row>
    <row r="591" spans="9:10" x14ac:dyDescent="0.25">
      <c r="I591" s="37"/>
      <c r="J591" s="35"/>
    </row>
    <row r="592" spans="9:10" x14ac:dyDescent="0.25">
      <c r="I592" s="37"/>
      <c r="J592" s="35"/>
    </row>
    <row r="593" spans="9:10" x14ac:dyDescent="0.25">
      <c r="I593" s="37"/>
      <c r="J593" s="35"/>
    </row>
    <row r="594" spans="9:10" x14ac:dyDescent="0.25">
      <c r="I594" s="37"/>
      <c r="J594" s="35"/>
    </row>
    <row r="595" spans="9:10" x14ac:dyDescent="0.25">
      <c r="I595" s="37"/>
      <c r="J595" s="35"/>
    </row>
    <row r="596" spans="9:10" x14ac:dyDescent="0.25">
      <c r="I596" s="37"/>
      <c r="J596" s="35"/>
    </row>
    <row r="597" spans="9:10" x14ac:dyDescent="0.25">
      <c r="I597" s="37"/>
      <c r="J597" s="35"/>
    </row>
    <row r="598" spans="9:10" x14ac:dyDescent="0.25">
      <c r="I598" s="37"/>
      <c r="J598" s="35"/>
    </row>
    <row r="599" spans="9:10" x14ac:dyDescent="0.25">
      <c r="I599" s="37"/>
      <c r="J599" s="35"/>
    </row>
    <row r="600" spans="9:10" x14ac:dyDescent="0.25">
      <c r="I600" s="37"/>
      <c r="J600" s="35"/>
    </row>
    <row r="601" spans="9:10" x14ac:dyDescent="0.25">
      <c r="I601" s="37"/>
      <c r="J601" s="35"/>
    </row>
    <row r="602" spans="9:10" x14ac:dyDescent="0.25">
      <c r="I602" s="37"/>
      <c r="J602" s="35"/>
    </row>
    <row r="603" spans="9:10" x14ac:dyDescent="0.25">
      <c r="I603" s="37"/>
      <c r="J603" s="35"/>
    </row>
    <row r="604" spans="9:10" x14ac:dyDescent="0.25">
      <c r="I604" s="37"/>
      <c r="J604" s="35"/>
    </row>
    <row r="605" spans="9:10" x14ac:dyDescent="0.25">
      <c r="I605" s="37"/>
      <c r="J605" s="35"/>
    </row>
    <row r="606" spans="9:10" x14ac:dyDescent="0.25">
      <c r="I606" s="37"/>
      <c r="J606" s="35"/>
    </row>
    <row r="607" spans="9:10" x14ac:dyDescent="0.25">
      <c r="I607" s="37"/>
      <c r="J607" s="35"/>
    </row>
    <row r="608" spans="9:10" x14ac:dyDescent="0.25">
      <c r="I608" s="37"/>
      <c r="J608" s="35"/>
    </row>
    <row r="609" spans="9:10" x14ac:dyDescent="0.25">
      <c r="I609" s="37"/>
      <c r="J609" s="35"/>
    </row>
    <row r="610" spans="9:10" x14ac:dyDescent="0.25">
      <c r="I610" s="37"/>
      <c r="J610" s="35"/>
    </row>
    <row r="611" spans="9:10" x14ac:dyDescent="0.25">
      <c r="I611" s="37"/>
      <c r="J611" s="35"/>
    </row>
    <row r="612" spans="9:10" x14ac:dyDescent="0.25">
      <c r="I612" s="37"/>
      <c r="J612" s="35"/>
    </row>
    <row r="613" spans="9:10" x14ac:dyDescent="0.25">
      <c r="I613" s="37"/>
      <c r="J613" s="35"/>
    </row>
    <row r="614" spans="9:10" x14ac:dyDescent="0.25">
      <c r="I614" s="37"/>
      <c r="J614" s="35"/>
    </row>
    <row r="615" spans="9:10" x14ac:dyDescent="0.25">
      <c r="I615" s="37"/>
      <c r="J615" s="35"/>
    </row>
    <row r="616" spans="9:10" x14ac:dyDescent="0.25">
      <c r="I616" s="37"/>
      <c r="J616" s="35"/>
    </row>
    <row r="617" spans="9:10" x14ac:dyDescent="0.25">
      <c r="I617" s="37"/>
      <c r="J617" s="35"/>
    </row>
    <row r="618" spans="9:10" x14ac:dyDescent="0.25">
      <c r="I618" s="37"/>
      <c r="J618" s="35"/>
    </row>
    <row r="619" spans="9:10" x14ac:dyDescent="0.25">
      <c r="I619" s="37"/>
      <c r="J619" s="35"/>
    </row>
    <row r="620" spans="9:10" x14ac:dyDescent="0.25">
      <c r="I620" s="37"/>
      <c r="J620" s="35"/>
    </row>
    <row r="621" spans="9:10" x14ac:dyDescent="0.25">
      <c r="I621" s="37"/>
      <c r="J621" s="35"/>
    </row>
    <row r="622" spans="9:10" x14ac:dyDescent="0.25">
      <c r="I622" s="37"/>
      <c r="J622" s="35"/>
    </row>
    <row r="623" spans="9:10" x14ac:dyDescent="0.25">
      <c r="I623" s="37"/>
      <c r="J623" s="35"/>
    </row>
    <row r="624" spans="9:10" x14ac:dyDescent="0.25">
      <c r="I624" s="37"/>
      <c r="J624" s="35"/>
    </row>
    <row r="625" spans="9:10" x14ac:dyDescent="0.25">
      <c r="I625" s="37"/>
      <c r="J625" s="35"/>
    </row>
    <row r="626" spans="9:10" x14ac:dyDescent="0.25">
      <c r="I626" s="37"/>
      <c r="J626" s="35"/>
    </row>
    <row r="627" spans="9:10" x14ac:dyDescent="0.25">
      <c r="I627" s="37"/>
      <c r="J627" s="35"/>
    </row>
    <row r="628" spans="9:10" x14ac:dyDescent="0.25">
      <c r="I628" s="37"/>
      <c r="J628" s="35"/>
    </row>
    <row r="629" spans="9:10" x14ac:dyDescent="0.25">
      <c r="I629" s="37"/>
      <c r="J629" s="35"/>
    </row>
    <row r="630" spans="9:10" x14ac:dyDescent="0.25">
      <c r="I630" s="37"/>
      <c r="J630" s="35"/>
    </row>
    <row r="631" spans="9:10" x14ac:dyDescent="0.25">
      <c r="I631" s="37"/>
      <c r="J631" s="35"/>
    </row>
    <row r="632" spans="9:10" x14ac:dyDescent="0.25">
      <c r="I632" s="37"/>
      <c r="J632" s="35"/>
    </row>
    <row r="633" spans="9:10" x14ac:dyDescent="0.25">
      <c r="I633" s="37"/>
      <c r="J633" s="35"/>
    </row>
    <row r="634" spans="9:10" x14ac:dyDescent="0.25">
      <c r="I634" s="37"/>
      <c r="J634" s="35"/>
    </row>
    <row r="635" spans="9:10" x14ac:dyDescent="0.25">
      <c r="I635" s="37"/>
      <c r="J635" s="35"/>
    </row>
    <row r="636" spans="9:10" x14ac:dyDescent="0.25">
      <c r="I636" s="37"/>
      <c r="J636" s="35"/>
    </row>
    <row r="637" spans="9:10" x14ac:dyDescent="0.25">
      <c r="I637" s="37"/>
      <c r="J637" s="35"/>
    </row>
    <row r="638" spans="9:10" x14ac:dyDescent="0.25">
      <c r="I638" s="37"/>
      <c r="J638" s="35"/>
    </row>
    <row r="639" spans="9:10" x14ac:dyDescent="0.25">
      <c r="I639" s="37"/>
      <c r="J639" s="35"/>
    </row>
    <row r="640" spans="9:10" x14ac:dyDescent="0.25">
      <c r="I640" s="37"/>
      <c r="J640" s="35"/>
    </row>
    <row r="641" spans="9:10" x14ac:dyDescent="0.25">
      <c r="I641" s="37"/>
      <c r="J641" s="35"/>
    </row>
    <row r="642" spans="9:10" x14ac:dyDescent="0.25">
      <c r="I642" s="37"/>
      <c r="J642" s="35"/>
    </row>
    <row r="643" spans="9:10" x14ac:dyDescent="0.25">
      <c r="I643" s="37"/>
      <c r="J643" s="35"/>
    </row>
    <row r="644" spans="9:10" x14ac:dyDescent="0.25">
      <c r="I644" s="37"/>
      <c r="J644" s="35"/>
    </row>
    <row r="645" spans="9:10" x14ac:dyDescent="0.25">
      <c r="I645" s="37"/>
      <c r="J645" s="35"/>
    </row>
    <row r="646" spans="9:10" x14ac:dyDescent="0.25">
      <c r="I646" s="37"/>
      <c r="J646" s="35"/>
    </row>
    <row r="647" spans="9:10" x14ac:dyDescent="0.25">
      <c r="I647" s="37"/>
      <c r="J647" s="35"/>
    </row>
    <row r="648" spans="9:10" x14ac:dyDescent="0.25">
      <c r="I648" s="37"/>
      <c r="J648" s="35"/>
    </row>
    <row r="649" spans="9:10" x14ac:dyDescent="0.25">
      <c r="I649" s="37"/>
      <c r="J649" s="35"/>
    </row>
    <row r="650" spans="9:10" x14ac:dyDescent="0.25">
      <c r="I650" s="37"/>
      <c r="J650" s="35"/>
    </row>
    <row r="651" spans="9:10" x14ac:dyDescent="0.25">
      <c r="I651" s="37"/>
      <c r="J651" s="35"/>
    </row>
    <row r="652" spans="9:10" x14ac:dyDescent="0.25">
      <c r="I652" s="37"/>
      <c r="J652" s="35"/>
    </row>
    <row r="653" spans="9:10" x14ac:dyDescent="0.25">
      <c r="I653" s="37"/>
      <c r="J653" s="35"/>
    </row>
    <row r="654" spans="9:10" x14ac:dyDescent="0.25">
      <c r="I654" s="37"/>
      <c r="J654" s="35"/>
    </row>
    <row r="655" spans="9:10" x14ac:dyDescent="0.25">
      <c r="I655" s="37"/>
      <c r="J655" s="35"/>
    </row>
    <row r="656" spans="9:10" x14ac:dyDescent="0.25">
      <c r="I656" s="37"/>
      <c r="J656" s="35"/>
    </row>
    <row r="657" spans="9:10" x14ac:dyDescent="0.25">
      <c r="I657" s="37"/>
      <c r="J657" s="35"/>
    </row>
    <row r="658" spans="9:10" x14ac:dyDescent="0.25">
      <c r="I658" s="37"/>
      <c r="J658" s="35"/>
    </row>
    <row r="659" spans="9:10" x14ac:dyDescent="0.25">
      <c r="I659" s="37"/>
      <c r="J659" s="35"/>
    </row>
    <row r="660" spans="9:10" x14ac:dyDescent="0.25">
      <c r="I660" s="37"/>
      <c r="J660" s="35"/>
    </row>
    <row r="661" spans="9:10" x14ac:dyDescent="0.25">
      <c r="I661" s="37"/>
      <c r="J661" s="35"/>
    </row>
    <row r="662" spans="9:10" x14ac:dyDescent="0.25">
      <c r="I662" s="37"/>
      <c r="J662" s="35"/>
    </row>
    <row r="663" spans="9:10" x14ac:dyDescent="0.25">
      <c r="I663" s="37"/>
      <c r="J663" s="35"/>
    </row>
    <row r="664" spans="9:10" x14ac:dyDescent="0.25">
      <c r="I664" s="37"/>
      <c r="J664" s="35"/>
    </row>
    <row r="665" spans="9:10" x14ac:dyDescent="0.25">
      <c r="I665" s="37"/>
      <c r="J665" s="35"/>
    </row>
    <row r="666" spans="9:10" x14ac:dyDescent="0.25">
      <c r="I666" s="37"/>
      <c r="J666" s="35"/>
    </row>
    <row r="667" spans="9:10" x14ac:dyDescent="0.25">
      <c r="I667" s="37"/>
      <c r="J667" s="35"/>
    </row>
    <row r="668" spans="9:10" x14ac:dyDescent="0.25">
      <c r="I668" s="37"/>
      <c r="J668" s="35"/>
    </row>
    <row r="669" spans="9:10" x14ac:dyDescent="0.25">
      <c r="I669" s="37"/>
      <c r="J669" s="35"/>
    </row>
    <row r="670" spans="9:10" x14ac:dyDescent="0.25">
      <c r="I670" s="37"/>
      <c r="J670" s="35"/>
    </row>
    <row r="671" spans="9:10" x14ac:dyDescent="0.25">
      <c r="I671" s="37"/>
      <c r="J671" s="35"/>
    </row>
    <row r="672" spans="9:10" x14ac:dyDescent="0.25">
      <c r="I672" s="37"/>
      <c r="J672" s="35"/>
    </row>
    <row r="673" spans="9:10" x14ac:dyDescent="0.25">
      <c r="I673" s="37"/>
      <c r="J673" s="35"/>
    </row>
    <row r="674" spans="9:10" x14ac:dyDescent="0.25">
      <c r="I674" s="37"/>
      <c r="J674" s="35"/>
    </row>
    <row r="675" spans="9:10" x14ac:dyDescent="0.25">
      <c r="I675" s="37"/>
      <c r="J675" s="35"/>
    </row>
    <row r="676" spans="9:10" x14ac:dyDescent="0.25">
      <c r="I676" s="37"/>
      <c r="J676" s="35"/>
    </row>
    <row r="677" spans="9:10" x14ac:dyDescent="0.25">
      <c r="I677" s="37"/>
      <c r="J677" s="35"/>
    </row>
    <row r="678" spans="9:10" x14ac:dyDescent="0.25">
      <c r="I678" s="37"/>
      <c r="J678" s="35"/>
    </row>
    <row r="679" spans="9:10" x14ac:dyDescent="0.25">
      <c r="I679" s="37"/>
      <c r="J679" s="35"/>
    </row>
    <row r="680" spans="9:10" x14ac:dyDescent="0.25">
      <c r="I680" s="37"/>
      <c r="J680" s="35"/>
    </row>
    <row r="681" spans="9:10" x14ac:dyDescent="0.25">
      <c r="I681" s="37"/>
      <c r="J681" s="35"/>
    </row>
    <row r="682" spans="9:10" x14ac:dyDescent="0.25">
      <c r="I682" s="37"/>
      <c r="J682" s="35"/>
    </row>
    <row r="683" spans="9:10" x14ac:dyDescent="0.25">
      <c r="I683" s="37"/>
      <c r="J683" s="35"/>
    </row>
    <row r="684" spans="9:10" x14ac:dyDescent="0.25">
      <c r="I684" s="37"/>
      <c r="J684" s="35"/>
    </row>
    <row r="685" spans="9:10" x14ac:dyDescent="0.25">
      <c r="I685" s="37"/>
      <c r="J685" s="35"/>
    </row>
    <row r="686" spans="9:10" x14ac:dyDescent="0.25">
      <c r="I686" s="37"/>
      <c r="J686" s="35"/>
    </row>
    <row r="687" spans="9:10" x14ac:dyDescent="0.25">
      <c r="I687" s="37"/>
      <c r="J687" s="35"/>
    </row>
    <row r="688" spans="9:10" x14ac:dyDescent="0.25">
      <c r="I688" s="37"/>
      <c r="J688" s="35"/>
    </row>
    <row r="689" spans="9:10" x14ac:dyDescent="0.25">
      <c r="I689" s="37"/>
      <c r="J689" s="35"/>
    </row>
    <row r="690" spans="9:10" x14ac:dyDescent="0.25">
      <c r="I690" s="37"/>
      <c r="J690" s="35"/>
    </row>
    <row r="691" spans="9:10" x14ac:dyDescent="0.25">
      <c r="I691" s="37"/>
      <c r="J691" s="35"/>
    </row>
    <row r="692" spans="9:10" x14ac:dyDescent="0.25">
      <c r="I692" s="37"/>
      <c r="J692" s="35"/>
    </row>
    <row r="693" spans="9:10" x14ac:dyDescent="0.25">
      <c r="I693" s="37"/>
      <c r="J693" s="35"/>
    </row>
    <row r="694" spans="9:10" x14ac:dyDescent="0.25">
      <c r="I694" s="37"/>
      <c r="J694" s="35"/>
    </row>
    <row r="695" spans="9:10" x14ac:dyDescent="0.25">
      <c r="I695" s="37"/>
      <c r="J695" s="35"/>
    </row>
    <row r="696" spans="9:10" x14ac:dyDescent="0.25">
      <c r="I696" s="37"/>
      <c r="J696" s="35"/>
    </row>
    <row r="697" spans="9:10" x14ac:dyDescent="0.25">
      <c r="I697" s="37"/>
      <c r="J697" s="35"/>
    </row>
    <row r="698" spans="9:10" x14ac:dyDescent="0.25">
      <c r="I698" s="37"/>
      <c r="J698" s="35"/>
    </row>
    <row r="699" spans="9:10" x14ac:dyDescent="0.25">
      <c r="I699" s="37"/>
      <c r="J699" s="35"/>
    </row>
    <row r="700" spans="9:10" x14ac:dyDescent="0.25">
      <c r="I700" s="37"/>
      <c r="J700" s="35"/>
    </row>
    <row r="701" spans="9:10" x14ac:dyDescent="0.25">
      <c r="I701" s="37"/>
      <c r="J701" s="35"/>
    </row>
    <row r="702" spans="9:10" x14ac:dyDescent="0.25">
      <c r="I702" s="37"/>
      <c r="J702" s="35"/>
    </row>
    <row r="703" spans="9:10" x14ac:dyDescent="0.25">
      <c r="I703" s="37"/>
      <c r="J703" s="35"/>
    </row>
    <row r="704" spans="9:10" x14ac:dyDescent="0.25">
      <c r="I704" s="37"/>
      <c r="J704" s="35"/>
    </row>
    <row r="705" spans="9:10" x14ac:dyDescent="0.25">
      <c r="I705" s="37"/>
      <c r="J705" s="35"/>
    </row>
    <row r="706" spans="9:10" x14ac:dyDescent="0.25">
      <c r="I706" s="37"/>
      <c r="J706" s="35"/>
    </row>
    <row r="707" spans="9:10" x14ac:dyDescent="0.25">
      <c r="I707" s="37"/>
      <c r="J707" s="35"/>
    </row>
    <row r="708" spans="9:10" x14ac:dyDescent="0.25">
      <c r="I708" s="37"/>
      <c r="J708" s="35"/>
    </row>
    <row r="709" spans="9:10" x14ac:dyDescent="0.25">
      <c r="I709" s="37"/>
      <c r="J709" s="35"/>
    </row>
    <row r="710" spans="9:10" x14ac:dyDescent="0.25">
      <c r="I710" s="37"/>
      <c r="J710" s="35"/>
    </row>
    <row r="711" spans="9:10" x14ac:dyDescent="0.25">
      <c r="I711" s="37"/>
      <c r="J711" s="35"/>
    </row>
    <row r="712" spans="9:10" x14ac:dyDescent="0.25">
      <c r="I712" s="37"/>
      <c r="J712" s="35"/>
    </row>
    <row r="713" spans="9:10" x14ac:dyDescent="0.25">
      <c r="I713" s="37"/>
      <c r="J713" s="35"/>
    </row>
    <row r="714" spans="9:10" x14ac:dyDescent="0.25">
      <c r="I714" s="37"/>
      <c r="J714" s="35"/>
    </row>
    <row r="715" spans="9:10" x14ac:dyDescent="0.25">
      <c r="I715" s="37"/>
      <c r="J715" s="35"/>
    </row>
    <row r="716" spans="9:10" x14ac:dyDescent="0.25">
      <c r="I716" s="37"/>
      <c r="J716" s="35"/>
    </row>
    <row r="717" spans="9:10" x14ac:dyDescent="0.25">
      <c r="I717" s="37"/>
      <c r="J717" s="35"/>
    </row>
    <row r="718" spans="9:10" x14ac:dyDescent="0.25">
      <c r="I718" s="37"/>
      <c r="J718" s="35"/>
    </row>
    <row r="719" spans="9:10" x14ac:dyDescent="0.25">
      <c r="I719" s="37"/>
      <c r="J719" s="35"/>
    </row>
    <row r="720" spans="9:10" x14ac:dyDescent="0.25">
      <c r="I720" s="37"/>
      <c r="J720" s="35"/>
    </row>
    <row r="721" spans="9:10" x14ac:dyDescent="0.25">
      <c r="I721" s="37"/>
      <c r="J721" s="35"/>
    </row>
    <row r="722" spans="9:10" x14ac:dyDescent="0.25">
      <c r="I722" s="37"/>
      <c r="J722" s="35"/>
    </row>
    <row r="723" spans="9:10" x14ac:dyDescent="0.25">
      <c r="I723" s="37"/>
      <c r="J723" s="35"/>
    </row>
    <row r="724" spans="9:10" x14ac:dyDescent="0.25">
      <c r="I724" s="37"/>
      <c r="J724" s="35"/>
    </row>
    <row r="725" spans="9:10" x14ac:dyDescent="0.25">
      <c r="I725" s="37"/>
      <c r="J725" s="35"/>
    </row>
    <row r="726" spans="9:10" x14ac:dyDescent="0.25">
      <c r="I726" s="37"/>
      <c r="J726" s="35"/>
    </row>
    <row r="727" spans="9:10" x14ac:dyDescent="0.25">
      <c r="I727" s="37"/>
      <c r="J727" s="35"/>
    </row>
    <row r="728" spans="9:10" x14ac:dyDescent="0.25">
      <c r="I728" s="37"/>
      <c r="J728" s="35"/>
    </row>
    <row r="729" spans="9:10" x14ac:dyDescent="0.25">
      <c r="I729" s="37"/>
      <c r="J729" s="35"/>
    </row>
    <row r="730" spans="9:10" x14ac:dyDescent="0.25">
      <c r="I730" s="37"/>
      <c r="J730" s="35"/>
    </row>
    <row r="731" spans="9:10" x14ac:dyDescent="0.25">
      <c r="I731" s="37"/>
      <c r="J731" s="35"/>
    </row>
    <row r="732" spans="9:10" x14ac:dyDescent="0.25">
      <c r="I732" s="37"/>
      <c r="J732" s="35"/>
    </row>
    <row r="733" spans="9:10" x14ac:dyDescent="0.25">
      <c r="I733" s="37"/>
      <c r="J733" s="35"/>
    </row>
    <row r="734" spans="9:10" x14ac:dyDescent="0.25">
      <c r="I734" s="37"/>
      <c r="J734" s="35"/>
    </row>
    <row r="735" spans="9:10" x14ac:dyDescent="0.25">
      <c r="I735" s="37"/>
      <c r="J735" s="35"/>
    </row>
    <row r="736" spans="9:10" x14ac:dyDescent="0.25">
      <c r="I736" s="37"/>
      <c r="J736" s="35"/>
    </row>
    <row r="737" spans="9:10" x14ac:dyDescent="0.25">
      <c r="I737" s="37"/>
      <c r="J737" s="35"/>
    </row>
    <row r="738" spans="9:10" x14ac:dyDescent="0.25">
      <c r="I738" s="37"/>
      <c r="J738" s="35"/>
    </row>
    <row r="739" spans="9:10" x14ac:dyDescent="0.25">
      <c r="I739" s="37"/>
      <c r="J739" s="35"/>
    </row>
    <row r="740" spans="9:10" x14ac:dyDescent="0.25">
      <c r="I740" s="37"/>
      <c r="J740" s="35"/>
    </row>
    <row r="741" spans="9:10" x14ac:dyDescent="0.25">
      <c r="I741" s="37"/>
      <c r="J741" s="35"/>
    </row>
    <row r="742" spans="9:10" x14ac:dyDescent="0.25">
      <c r="I742" s="37"/>
      <c r="J742" s="35"/>
    </row>
    <row r="743" spans="9:10" x14ac:dyDescent="0.25">
      <c r="I743" s="37"/>
      <c r="J743" s="35"/>
    </row>
    <row r="744" spans="9:10" x14ac:dyDescent="0.25">
      <c r="I744" s="37"/>
      <c r="J744" s="35"/>
    </row>
    <row r="745" spans="9:10" x14ac:dyDescent="0.25">
      <c r="I745" s="37"/>
      <c r="J745" s="35"/>
    </row>
    <row r="746" spans="9:10" x14ac:dyDescent="0.25">
      <c r="I746" s="37"/>
      <c r="J746" s="35"/>
    </row>
    <row r="747" spans="9:10" x14ac:dyDescent="0.25">
      <c r="I747" s="37"/>
      <c r="J747" s="35"/>
    </row>
    <row r="748" spans="9:10" x14ac:dyDescent="0.25">
      <c r="I748" s="37"/>
      <c r="J748" s="35"/>
    </row>
    <row r="749" spans="9:10" x14ac:dyDescent="0.25">
      <c r="I749" s="37"/>
      <c r="J749" s="35"/>
    </row>
    <row r="750" spans="9:10" x14ac:dyDescent="0.25">
      <c r="I750" s="37"/>
      <c r="J750" s="35"/>
    </row>
    <row r="751" spans="9:10" x14ac:dyDescent="0.25">
      <c r="I751" s="37"/>
      <c r="J751" s="35"/>
    </row>
    <row r="752" spans="9:10" x14ac:dyDescent="0.25">
      <c r="I752" s="37"/>
      <c r="J752" s="35"/>
    </row>
    <row r="753" spans="9:10" x14ac:dyDescent="0.25">
      <c r="I753" s="37"/>
      <c r="J753" s="35"/>
    </row>
    <row r="754" spans="9:10" x14ac:dyDescent="0.25">
      <c r="I754" s="37"/>
      <c r="J754" s="35"/>
    </row>
    <row r="755" spans="9:10" x14ac:dyDescent="0.25">
      <c r="I755" s="37"/>
      <c r="J755" s="35"/>
    </row>
    <row r="756" spans="9:10" x14ac:dyDescent="0.25">
      <c r="I756" s="37"/>
      <c r="J756" s="35"/>
    </row>
    <row r="757" spans="9:10" x14ac:dyDescent="0.25">
      <c r="I757" s="37"/>
      <c r="J757" s="35"/>
    </row>
    <row r="758" spans="9:10" x14ac:dyDescent="0.25">
      <c r="I758" s="37"/>
      <c r="J758" s="35"/>
    </row>
    <row r="759" spans="9:10" x14ac:dyDescent="0.25">
      <c r="I759" s="37"/>
      <c r="J759" s="35"/>
    </row>
    <row r="760" spans="9:10" x14ac:dyDescent="0.25">
      <c r="I760" s="37"/>
      <c r="J760" s="35"/>
    </row>
    <row r="761" spans="9:10" x14ac:dyDescent="0.25">
      <c r="I761" s="37"/>
      <c r="J761" s="35"/>
    </row>
    <row r="762" spans="9:10" x14ac:dyDescent="0.25">
      <c r="I762" s="37"/>
      <c r="J762" s="35"/>
    </row>
    <row r="763" spans="9:10" x14ac:dyDescent="0.25">
      <c r="I763" s="37"/>
      <c r="J763" s="35"/>
    </row>
    <row r="764" spans="9:10" x14ac:dyDescent="0.25">
      <c r="I764" s="37"/>
      <c r="J764" s="35"/>
    </row>
    <row r="765" spans="9:10" x14ac:dyDescent="0.25">
      <c r="I765" s="37"/>
      <c r="J765" s="35"/>
    </row>
    <row r="766" spans="9:10" x14ac:dyDescent="0.25">
      <c r="I766" s="37"/>
      <c r="J766" s="35"/>
    </row>
    <row r="767" spans="9:10" x14ac:dyDescent="0.25">
      <c r="I767" s="37"/>
      <c r="J767" s="35"/>
    </row>
    <row r="768" spans="9:10" x14ac:dyDescent="0.25">
      <c r="I768" s="37"/>
      <c r="J768" s="35"/>
    </row>
    <row r="769" spans="9:10" x14ac:dyDescent="0.25">
      <c r="I769" s="37"/>
      <c r="J769" s="35"/>
    </row>
    <row r="770" spans="9:10" x14ac:dyDescent="0.25">
      <c r="I770" s="37"/>
      <c r="J770" s="35"/>
    </row>
    <row r="771" spans="9:10" x14ac:dyDescent="0.25">
      <c r="I771" s="37"/>
      <c r="J771" s="35"/>
    </row>
    <row r="772" spans="9:10" x14ac:dyDescent="0.25">
      <c r="I772" s="37"/>
      <c r="J772" s="35"/>
    </row>
    <row r="773" spans="9:10" x14ac:dyDescent="0.25">
      <c r="I773" s="37"/>
      <c r="J773" s="35"/>
    </row>
    <row r="774" spans="9:10" x14ac:dyDescent="0.25">
      <c r="I774" s="37"/>
      <c r="J774" s="35"/>
    </row>
    <row r="775" spans="9:10" x14ac:dyDescent="0.25">
      <c r="I775" s="37"/>
      <c r="J775" s="35"/>
    </row>
    <row r="776" spans="9:10" x14ac:dyDescent="0.25">
      <c r="I776" s="37"/>
      <c r="J776" s="35"/>
    </row>
    <row r="777" spans="9:10" x14ac:dyDescent="0.25">
      <c r="I777" s="37"/>
      <c r="J777" s="35"/>
    </row>
    <row r="778" spans="9:10" x14ac:dyDescent="0.25">
      <c r="I778" s="37"/>
      <c r="J778" s="35"/>
    </row>
    <row r="779" spans="9:10" x14ac:dyDescent="0.25">
      <c r="I779" s="37"/>
      <c r="J779" s="35"/>
    </row>
    <row r="780" spans="9:10" x14ac:dyDescent="0.25">
      <c r="I780" s="37"/>
      <c r="J780" s="35"/>
    </row>
    <row r="781" spans="9:10" x14ac:dyDescent="0.25">
      <c r="I781" s="37"/>
      <c r="J781" s="35"/>
    </row>
    <row r="782" spans="9:10" x14ac:dyDescent="0.25">
      <c r="I782" s="37"/>
      <c r="J782" s="35"/>
    </row>
    <row r="783" spans="9:10" x14ac:dyDescent="0.25">
      <c r="I783" s="37"/>
      <c r="J783" s="35"/>
    </row>
    <row r="784" spans="9:10" x14ac:dyDescent="0.25">
      <c r="I784" s="37"/>
      <c r="J784" s="35"/>
    </row>
    <row r="785" spans="9:10" x14ac:dyDescent="0.25">
      <c r="I785" s="37"/>
      <c r="J785" s="35"/>
    </row>
    <row r="786" spans="9:10" x14ac:dyDescent="0.25">
      <c r="I786" s="37"/>
      <c r="J786" s="35"/>
    </row>
    <row r="787" spans="9:10" x14ac:dyDescent="0.25">
      <c r="I787" s="37"/>
      <c r="J787" s="35"/>
    </row>
    <row r="788" spans="9:10" x14ac:dyDescent="0.25">
      <c r="I788" s="37"/>
      <c r="J788" s="35"/>
    </row>
    <row r="789" spans="9:10" x14ac:dyDescent="0.25">
      <c r="I789" s="37"/>
      <c r="J789" s="35"/>
    </row>
    <row r="790" spans="9:10" x14ac:dyDescent="0.25">
      <c r="I790" s="37"/>
      <c r="J790" s="35"/>
    </row>
    <row r="791" spans="9:10" x14ac:dyDescent="0.25">
      <c r="I791" s="37"/>
      <c r="J791" s="35"/>
    </row>
    <row r="792" spans="9:10" x14ac:dyDescent="0.25">
      <c r="I792" s="37"/>
      <c r="J792" s="35"/>
    </row>
    <row r="793" spans="9:10" x14ac:dyDescent="0.25">
      <c r="I793" s="37"/>
      <c r="J793" s="35"/>
    </row>
    <row r="794" spans="9:10" x14ac:dyDescent="0.25">
      <c r="I794" s="37"/>
      <c r="J794" s="35"/>
    </row>
    <row r="795" spans="9:10" x14ac:dyDescent="0.25">
      <c r="I795" s="37"/>
      <c r="J795" s="35"/>
    </row>
    <row r="796" spans="9:10" x14ac:dyDescent="0.25">
      <c r="I796" s="37"/>
      <c r="J796" s="35"/>
    </row>
    <row r="797" spans="9:10" x14ac:dyDescent="0.25">
      <c r="I797" s="37"/>
      <c r="J797" s="35"/>
    </row>
    <row r="798" spans="9:10" x14ac:dyDescent="0.25">
      <c r="I798" s="37"/>
      <c r="J798" s="35"/>
    </row>
    <row r="799" spans="9:10" x14ac:dyDescent="0.25">
      <c r="I799" s="37"/>
      <c r="J799" s="35"/>
    </row>
    <row r="800" spans="9:10" x14ac:dyDescent="0.25">
      <c r="I800" s="37"/>
      <c r="J800" s="35"/>
    </row>
    <row r="801" spans="9:10" x14ac:dyDescent="0.25">
      <c r="I801" s="37"/>
      <c r="J801" s="35"/>
    </row>
    <row r="802" spans="9:10" x14ac:dyDescent="0.25">
      <c r="I802" s="37"/>
      <c r="J802" s="35"/>
    </row>
    <row r="803" spans="9:10" x14ac:dyDescent="0.25">
      <c r="I803" s="37"/>
      <c r="J803" s="35"/>
    </row>
    <row r="804" spans="9:10" x14ac:dyDescent="0.25">
      <c r="I804" s="37"/>
      <c r="J804" s="35"/>
    </row>
    <row r="805" spans="9:10" x14ac:dyDescent="0.25">
      <c r="I805" s="37"/>
      <c r="J805" s="35"/>
    </row>
    <row r="806" spans="9:10" x14ac:dyDescent="0.25">
      <c r="I806" s="37"/>
      <c r="J806" s="35"/>
    </row>
    <row r="807" spans="9:10" x14ac:dyDescent="0.25">
      <c r="I807" s="37"/>
      <c r="J807" s="35"/>
    </row>
    <row r="808" spans="9:10" x14ac:dyDescent="0.25">
      <c r="I808" s="37"/>
      <c r="J808" s="35"/>
    </row>
    <row r="809" spans="9:10" x14ac:dyDescent="0.25">
      <c r="I809" s="37"/>
      <c r="J809" s="35"/>
    </row>
    <row r="810" spans="9:10" x14ac:dyDescent="0.25">
      <c r="I810" s="37"/>
      <c r="J810" s="35"/>
    </row>
    <row r="811" spans="9:10" x14ac:dyDescent="0.25">
      <c r="I811" s="37"/>
      <c r="J811" s="35"/>
    </row>
    <row r="812" spans="9:10" x14ac:dyDescent="0.25">
      <c r="I812" s="37"/>
      <c r="J812" s="35"/>
    </row>
    <row r="813" spans="9:10" x14ac:dyDescent="0.25">
      <c r="I813" s="37"/>
      <c r="J813" s="35"/>
    </row>
    <row r="814" spans="9:10" x14ac:dyDescent="0.25">
      <c r="I814" s="37"/>
      <c r="J814" s="35"/>
    </row>
    <row r="815" spans="9:10" x14ac:dyDescent="0.25">
      <c r="I815" s="37"/>
      <c r="J815" s="35"/>
    </row>
    <row r="816" spans="9:10" x14ac:dyDescent="0.25">
      <c r="I816" s="37"/>
      <c r="J816" s="35"/>
    </row>
    <row r="817" spans="9:10" x14ac:dyDescent="0.25">
      <c r="I817" s="37"/>
      <c r="J817" s="35"/>
    </row>
    <row r="818" spans="9:10" x14ac:dyDescent="0.25">
      <c r="I818" s="37"/>
      <c r="J818" s="35"/>
    </row>
    <row r="819" spans="9:10" x14ac:dyDescent="0.25">
      <c r="I819" s="37"/>
      <c r="J819" s="35"/>
    </row>
    <row r="820" spans="9:10" x14ac:dyDescent="0.25">
      <c r="I820" s="37"/>
      <c r="J820" s="35"/>
    </row>
    <row r="821" spans="9:10" x14ac:dyDescent="0.25">
      <c r="I821" s="37"/>
      <c r="J821" s="35"/>
    </row>
    <row r="822" spans="9:10" x14ac:dyDescent="0.25">
      <c r="I822" s="37"/>
      <c r="J822" s="35"/>
    </row>
    <row r="823" spans="9:10" x14ac:dyDescent="0.25">
      <c r="I823" s="37"/>
      <c r="J823" s="35"/>
    </row>
    <row r="824" spans="9:10" x14ac:dyDescent="0.25">
      <c r="I824" s="37"/>
      <c r="J824" s="35"/>
    </row>
    <row r="825" spans="9:10" x14ac:dyDescent="0.25">
      <c r="I825" s="37"/>
      <c r="J825" s="35"/>
    </row>
    <row r="826" spans="9:10" x14ac:dyDescent="0.25">
      <c r="I826" s="37"/>
      <c r="J826" s="35"/>
    </row>
    <row r="827" spans="9:10" x14ac:dyDescent="0.25">
      <c r="I827" s="37"/>
      <c r="J827" s="35"/>
    </row>
    <row r="828" spans="9:10" x14ac:dyDescent="0.25">
      <c r="I828" s="37"/>
      <c r="J828" s="35"/>
    </row>
    <row r="829" spans="9:10" x14ac:dyDescent="0.25">
      <c r="I829" s="37"/>
      <c r="J829" s="35"/>
    </row>
    <row r="830" spans="9:10" x14ac:dyDescent="0.25">
      <c r="I830" s="37"/>
      <c r="J830" s="35"/>
    </row>
    <row r="831" spans="9:10" x14ac:dyDescent="0.25">
      <c r="I831" s="37"/>
      <c r="J831" s="35"/>
    </row>
    <row r="832" spans="9:10" x14ac:dyDescent="0.25">
      <c r="I832" s="37"/>
      <c r="J832" s="35"/>
    </row>
    <row r="833" spans="9:10" x14ac:dyDescent="0.25">
      <c r="I833" s="37"/>
      <c r="J833" s="35"/>
    </row>
    <row r="834" spans="9:10" x14ac:dyDescent="0.25">
      <c r="I834" s="37"/>
      <c r="J834" s="35"/>
    </row>
    <row r="835" spans="9:10" x14ac:dyDescent="0.25">
      <c r="I835" s="37"/>
      <c r="J835" s="35"/>
    </row>
    <row r="836" spans="9:10" x14ac:dyDescent="0.25">
      <c r="I836" s="37"/>
      <c r="J836" s="35"/>
    </row>
    <row r="837" spans="9:10" x14ac:dyDescent="0.25">
      <c r="I837" s="37"/>
      <c r="J837" s="35"/>
    </row>
    <row r="838" spans="9:10" x14ac:dyDescent="0.25">
      <c r="I838" s="37"/>
      <c r="J838" s="35"/>
    </row>
    <row r="839" spans="9:10" x14ac:dyDescent="0.25">
      <c r="I839" s="37"/>
      <c r="J839" s="35"/>
    </row>
    <row r="840" spans="9:10" x14ac:dyDescent="0.25">
      <c r="I840" s="37"/>
      <c r="J840" s="35"/>
    </row>
    <row r="841" spans="9:10" x14ac:dyDescent="0.25">
      <c r="I841" s="37"/>
      <c r="J841" s="35"/>
    </row>
    <row r="842" spans="9:10" x14ac:dyDescent="0.25">
      <c r="I842" s="37"/>
      <c r="J842" s="35"/>
    </row>
    <row r="843" spans="9:10" x14ac:dyDescent="0.25">
      <c r="I843" s="37"/>
      <c r="J843" s="35"/>
    </row>
    <row r="844" spans="9:10" x14ac:dyDescent="0.25">
      <c r="I844" s="37"/>
      <c r="J844" s="35"/>
    </row>
    <row r="845" spans="9:10" x14ac:dyDescent="0.25">
      <c r="I845" s="37"/>
      <c r="J845" s="35"/>
    </row>
    <row r="846" spans="9:10" x14ac:dyDescent="0.25">
      <c r="I846" s="37"/>
      <c r="J846" s="35"/>
    </row>
    <row r="847" spans="9:10" x14ac:dyDescent="0.25">
      <c r="I847" s="37"/>
      <c r="J847" s="35"/>
    </row>
    <row r="848" spans="9:10" x14ac:dyDescent="0.25">
      <c r="I848" s="37"/>
      <c r="J848" s="35"/>
    </row>
    <row r="849" spans="9:10" x14ac:dyDescent="0.25">
      <c r="I849" s="37"/>
      <c r="J849" s="35"/>
    </row>
    <row r="850" spans="9:10" x14ac:dyDescent="0.25">
      <c r="I850" s="37"/>
      <c r="J850" s="35"/>
    </row>
    <row r="851" spans="9:10" x14ac:dyDescent="0.25">
      <c r="I851" s="37"/>
      <c r="J851" s="35"/>
    </row>
    <row r="852" spans="9:10" x14ac:dyDescent="0.25">
      <c r="I852" s="37"/>
      <c r="J852" s="35"/>
    </row>
    <row r="853" spans="9:10" x14ac:dyDescent="0.25">
      <c r="I853" s="37"/>
      <c r="J853" s="35"/>
    </row>
    <row r="854" spans="9:10" x14ac:dyDescent="0.25">
      <c r="I854" s="37"/>
      <c r="J854" s="35"/>
    </row>
    <row r="855" spans="9:10" x14ac:dyDescent="0.25">
      <c r="I855" s="37"/>
      <c r="J855" s="35"/>
    </row>
    <row r="856" spans="9:10" x14ac:dyDescent="0.25">
      <c r="I856" s="37"/>
      <c r="J856" s="35"/>
    </row>
    <row r="857" spans="9:10" x14ac:dyDescent="0.25">
      <c r="I857" s="37"/>
      <c r="J857" s="35"/>
    </row>
    <row r="858" spans="9:10" x14ac:dyDescent="0.25">
      <c r="I858" s="37"/>
      <c r="J858" s="35"/>
    </row>
    <row r="859" spans="9:10" x14ac:dyDescent="0.25">
      <c r="I859" s="37"/>
      <c r="J859" s="35"/>
    </row>
    <row r="860" spans="9:10" x14ac:dyDescent="0.25">
      <c r="I860" s="37"/>
      <c r="J860" s="35"/>
    </row>
    <row r="861" spans="9:10" x14ac:dyDescent="0.25">
      <c r="I861" s="37"/>
      <c r="J861" s="35"/>
    </row>
    <row r="862" spans="9:10" x14ac:dyDescent="0.25">
      <c r="I862" s="37"/>
      <c r="J862" s="35"/>
    </row>
    <row r="863" spans="9:10" x14ac:dyDescent="0.25">
      <c r="I863" s="37"/>
      <c r="J863" s="35"/>
    </row>
    <row r="864" spans="9:10" x14ac:dyDescent="0.25">
      <c r="I864" s="37"/>
      <c r="J864" s="35"/>
    </row>
    <row r="865" spans="9:10" x14ac:dyDescent="0.25">
      <c r="I865" s="37"/>
      <c r="J865" s="35"/>
    </row>
    <row r="866" spans="9:10" x14ac:dyDescent="0.25">
      <c r="I866" s="37"/>
      <c r="J866" s="35"/>
    </row>
    <row r="867" spans="9:10" x14ac:dyDescent="0.25">
      <c r="I867" s="37"/>
      <c r="J867" s="35"/>
    </row>
    <row r="868" spans="9:10" x14ac:dyDescent="0.25">
      <c r="I868" s="37"/>
      <c r="J868" s="35"/>
    </row>
    <row r="869" spans="9:10" x14ac:dyDescent="0.25">
      <c r="I869" s="37"/>
      <c r="J869" s="35"/>
    </row>
    <row r="870" spans="9:10" x14ac:dyDescent="0.25">
      <c r="I870" s="37"/>
      <c r="J870" s="35"/>
    </row>
    <row r="871" spans="9:10" x14ac:dyDescent="0.25">
      <c r="I871" s="37"/>
      <c r="J871" s="35"/>
    </row>
    <row r="872" spans="9:10" x14ac:dyDescent="0.25">
      <c r="I872" s="37"/>
      <c r="J872" s="35"/>
    </row>
    <row r="873" spans="9:10" x14ac:dyDescent="0.25">
      <c r="I873" s="37"/>
      <c r="J873" s="35"/>
    </row>
    <row r="874" spans="9:10" x14ac:dyDescent="0.25">
      <c r="I874" s="37"/>
      <c r="J874" s="35"/>
    </row>
    <row r="875" spans="9:10" x14ac:dyDescent="0.25">
      <c r="I875" s="37"/>
      <c r="J875" s="35"/>
    </row>
    <row r="876" spans="9:10" x14ac:dyDescent="0.25">
      <c r="I876" s="37"/>
      <c r="J876" s="35"/>
    </row>
    <row r="877" spans="9:10" x14ac:dyDescent="0.25">
      <c r="I877" s="37"/>
      <c r="J877" s="35"/>
    </row>
    <row r="878" spans="9:10" x14ac:dyDescent="0.25">
      <c r="I878" s="37"/>
      <c r="J878" s="35"/>
    </row>
    <row r="879" spans="9:10" x14ac:dyDescent="0.25">
      <c r="I879" s="37"/>
      <c r="J879" s="35"/>
    </row>
    <row r="880" spans="9:10" x14ac:dyDescent="0.25">
      <c r="I880" s="37"/>
      <c r="J880" s="35"/>
    </row>
    <row r="881" spans="9:10" x14ac:dyDescent="0.25">
      <c r="I881" s="37"/>
      <c r="J881" s="35"/>
    </row>
    <row r="882" spans="9:10" x14ac:dyDescent="0.25">
      <c r="I882" s="37"/>
      <c r="J882" s="35"/>
    </row>
    <row r="883" spans="9:10" x14ac:dyDescent="0.25">
      <c r="I883" s="37"/>
      <c r="J883" s="35"/>
    </row>
    <row r="884" spans="9:10" x14ac:dyDescent="0.25">
      <c r="I884" s="37"/>
      <c r="J884" s="35"/>
    </row>
    <row r="885" spans="9:10" x14ac:dyDescent="0.25">
      <c r="I885" s="37"/>
      <c r="J885" s="35"/>
    </row>
    <row r="886" spans="9:10" x14ac:dyDescent="0.25">
      <c r="I886" s="37"/>
      <c r="J886" s="35"/>
    </row>
    <row r="887" spans="9:10" x14ac:dyDescent="0.25">
      <c r="I887" s="37"/>
      <c r="J887" s="35"/>
    </row>
    <row r="888" spans="9:10" x14ac:dyDescent="0.25">
      <c r="I888" s="37"/>
      <c r="J888" s="35"/>
    </row>
    <row r="889" spans="9:10" x14ac:dyDescent="0.25">
      <c r="I889" s="37"/>
      <c r="J889" s="35"/>
    </row>
    <row r="890" spans="9:10" x14ac:dyDescent="0.25">
      <c r="I890" s="37"/>
      <c r="J890" s="35"/>
    </row>
    <row r="891" spans="9:10" x14ac:dyDescent="0.25">
      <c r="I891" s="37"/>
      <c r="J891" s="35"/>
    </row>
    <row r="892" spans="9:10" x14ac:dyDescent="0.25">
      <c r="I892" s="37"/>
      <c r="J892" s="35"/>
    </row>
    <row r="893" spans="9:10" x14ac:dyDescent="0.25">
      <c r="I893" s="37"/>
      <c r="J893" s="35"/>
    </row>
    <row r="894" spans="9:10" x14ac:dyDescent="0.25">
      <c r="I894" s="37"/>
      <c r="J894" s="35"/>
    </row>
    <row r="895" spans="9:10" x14ac:dyDescent="0.25">
      <c r="I895" s="37"/>
      <c r="J895" s="35"/>
    </row>
    <row r="896" spans="9:10" x14ac:dyDescent="0.25">
      <c r="I896" s="37"/>
      <c r="J896" s="35"/>
    </row>
    <row r="897" spans="9:10" x14ac:dyDescent="0.25">
      <c r="I897" s="37"/>
      <c r="J897" s="35"/>
    </row>
    <row r="898" spans="9:10" x14ac:dyDescent="0.25">
      <c r="I898" s="37"/>
      <c r="J898" s="35"/>
    </row>
    <row r="899" spans="9:10" x14ac:dyDescent="0.25">
      <c r="I899" s="37"/>
      <c r="J899" s="35"/>
    </row>
    <row r="900" spans="9:10" x14ac:dyDescent="0.25">
      <c r="I900" s="37"/>
      <c r="J900" s="35"/>
    </row>
    <row r="901" spans="9:10" x14ac:dyDescent="0.25">
      <c r="I901" s="37"/>
      <c r="J901" s="35"/>
    </row>
    <row r="902" spans="9:10" x14ac:dyDescent="0.25">
      <c r="I902" s="37"/>
      <c r="J902" s="35"/>
    </row>
    <row r="903" spans="9:10" x14ac:dyDescent="0.25">
      <c r="I903" s="37"/>
      <c r="J903" s="35"/>
    </row>
    <row r="904" spans="9:10" x14ac:dyDescent="0.25">
      <c r="I904" s="37"/>
      <c r="J904" s="35"/>
    </row>
    <row r="905" spans="9:10" x14ac:dyDescent="0.25">
      <c r="I905" s="37"/>
      <c r="J905" s="35"/>
    </row>
    <row r="906" spans="9:10" x14ac:dyDescent="0.25">
      <c r="I906" s="37"/>
      <c r="J906" s="35"/>
    </row>
    <row r="907" spans="9:10" x14ac:dyDescent="0.25">
      <c r="I907" s="37"/>
      <c r="J907" s="35"/>
    </row>
    <row r="908" spans="9:10" x14ac:dyDescent="0.25">
      <c r="I908" s="37"/>
      <c r="J908" s="35"/>
    </row>
    <row r="909" spans="9:10" x14ac:dyDescent="0.25">
      <c r="I909" s="37"/>
      <c r="J909" s="35"/>
    </row>
    <row r="910" spans="9:10" x14ac:dyDescent="0.25">
      <c r="I910" s="37"/>
      <c r="J910" s="35"/>
    </row>
    <row r="911" spans="9:10" x14ac:dyDescent="0.25">
      <c r="I911" s="37"/>
      <c r="J911" s="35"/>
    </row>
    <row r="912" spans="9:10" x14ac:dyDescent="0.25">
      <c r="I912" s="37"/>
      <c r="J912" s="35"/>
    </row>
    <row r="913" spans="9:10" x14ac:dyDescent="0.25">
      <c r="I913" s="37"/>
      <c r="J913" s="35"/>
    </row>
    <row r="914" spans="9:10" x14ac:dyDescent="0.25">
      <c r="I914" s="37"/>
      <c r="J914" s="35"/>
    </row>
    <row r="915" spans="9:10" x14ac:dyDescent="0.25">
      <c r="I915" s="37"/>
      <c r="J915" s="35"/>
    </row>
    <row r="916" spans="9:10" x14ac:dyDescent="0.25">
      <c r="I916" s="37"/>
      <c r="J916" s="35"/>
    </row>
    <row r="917" spans="9:10" x14ac:dyDescent="0.25">
      <c r="I917" s="37"/>
      <c r="J917" s="35"/>
    </row>
    <row r="918" spans="9:10" x14ac:dyDescent="0.25">
      <c r="I918" s="37"/>
      <c r="J918" s="35"/>
    </row>
    <row r="919" spans="9:10" x14ac:dyDescent="0.25">
      <c r="I919" s="37"/>
      <c r="J919" s="35"/>
    </row>
    <row r="920" spans="9:10" x14ac:dyDescent="0.25">
      <c r="I920" s="37"/>
      <c r="J920" s="35"/>
    </row>
    <row r="921" spans="9:10" x14ac:dyDescent="0.25">
      <c r="I921" s="37"/>
      <c r="J921" s="35"/>
    </row>
    <row r="922" spans="9:10" x14ac:dyDescent="0.25">
      <c r="I922" s="37"/>
      <c r="J922" s="35"/>
    </row>
    <row r="923" spans="9:10" x14ac:dyDescent="0.25">
      <c r="I923" s="37"/>
      <c r="J923" s="35"/>
    </row>
    <row r="924" spans="9:10" x14ac:dyDescent="0.25">
      <c r="I924" s="37"/>
      <c r="J924" s="35"/>
    </row>
    <row r="925" spans="9:10" x14ac:dyDescent="0.25">
      <c r="I925" s="37"/>
      <c r="J925" s="35"/>
    </row>
    <row r="926" spans="9:10" x14ac:dyDescent="0.25">
      <c r="I926" s="37"/>
      <c r="J926" s="35"/>
    </row>
    <row r="927" spans="9:10" x14ac:dyDescent="0.25">
      <c r="I927" s="37"/>
      <c r="J927" s="35"/>
    </row>
    <row r="928" spans="9:10" x14ac:dyDescent="0.25">
      <c r="I928" s="37"/>
      <c r="J928" s="35"/>
    </row>
    <row r="929" spans="9:10" x14ac:dyDescent="0.25">
      <c r="I929" s="37"/>
      <c r="J929" s="35"/>
    </row>
    <row r="930" spans="9:10" x14ac:dyDescent="0.25">
      <c r="I930" s="37"/>
      <c r="J930" s="35"/>
    </row>
    <row r="931" spans="9:10" x14ac:dyDescent="0.25">
      <c r="I931" s="37"/>
      <c r="J931" s="35"/>
    </row>
    <row r="932" spans="9:10" x14ac:dyDescent="0.25">
      <c r="I932" s="37"/>
      <c r="J932" s="35"/>
    </row>
    <row r="933" spans="9:10" x14ac:dyDescent="0.25">
      <c r="I933" s="37"/>
      <c r="J933" s="35"/>
    </row>
    <row r="934" spans="9:10" x14ac:dyDescent="0.25">
      <c r="I934" s="37"/>
      <c r="J934" s="35"/>
    </row>
    <row r="935" spans="9:10" x14ac:dyDescent="0.25">
      <c r="I935" s="37"/>
      <c r="J935" s="35"/>
    </row>
    <row r="936" spans="9:10" x14ac:dyDescent="0.25">
      <c r="I936" s="37"/>
      <c r="J936" s="35"/>
    </row>
    <row r="937" spans="9:10" x14ac:dyDescent="0.25">
      <c r="I937" s="37"/>
      <c r="J937" s="35"/>
    </row>
    <row r="938" spans="9:10" x14ac:dyDescent="0.25">
      <c r="I938" s="37"/>
      <c r="J938" s="35"/>
    </row>
    <row r="939" spans="9:10" x14ac:dyDescent="0.25">
      <c r="I939" s="37"/>
      <c r="J939" s="35"/>
    </row>
    <row r="940" spans="9:10" x14ac:dyDescent="0.25">
      <c r="I940" s="37"/>
      <c r="J940" s="35"/>
    </row>
    <row r="941" spans="9:10" x14ac:dyDescent="0.25">
      <c r="I941" s="37"/>
      <c r="J941" s="35"/>
    </row>
    <row r="942" spans="9:10" x14ac:dyDescent="0.25">
      <c r="I942" s="37"/>
      <c r="J942" s="35"/>
    </row>
    <row r="943" spans="9:10" x14ac:dyDescent="0.25">
      <c r="I943" s="37"/>
      <c r="J943" s="35"/>
    </row>
    <row r="944" spans="9:10" x14ac:dyDescent="0.25">
      <c r="I944" s="37"/>
      <c r="J944" s="35"/>
    </row>
    <row r="945" spans="9:10" x14ac:dyDescent="0.25">
      <c r="I945" s="37"/>
      <c r="J945" s="35"/>
    </row>
    <row r="946" spans="9:10" x14ac:dyDescent="0.25">
      <c r="I946" s="37"/>
      <c r="J946" s="35"/>
    </row>
    <row r="947" spans="9:10" x14ac:dyDescent="0.25">
      <c r="I947" s="37"/>
      <c r="J947" s="35"/>
    </row>
    <row r="948" spans="9:10" x14ac:dyDescent="0.25">
      <c r="I948" s="37"/>
      <c r="J948" s="35"/>
    </row>
    <row r="949" spans="9:10" x14ac:dyDescent="0.25">
      <c r="I949" s="37"/>
      <c r="J949" s="35"/>
    </row>
    <row r="950" spans="9:10" x14ac:dyDescent="0.25">
      <c r="I950" s="37"/>
      <c r="J950" s="35"/>
    </row>
    <row r="951" spans="9:10" x14ac:dyDescent="0.25">
      <c r="I951" s="37"/>
      <c r="J951" s="35"/>
    </row>
    <row r="952" spans="9:10" x14ac:dyDescent="0.25">
      <c r="I952" s="37"/>
      <c r="J952" s="35"/>
    </row>
    <row r="953" spans="9:10" x14ac:dyDescent="0.25">
      <c r="I953" s="37"/>
      <c r="J953" s="35"/>
    </row>
    <row r="954" spans="9:10" x14ac:dyDescent="0.25">
      <c r="I954" s="37"/>
      <c r="J954" s="35"/>
    </row>
    <row r="955" spans="9:10" x14ac:dyDescent="0.25">
      <c r="I955" s="37"/>
      <c r="J955" s="35"/>
    </row>
    <row r="956" spans="9:10" x14ac:dyDescent="0.25">
      <c r="I956" s="37"/>
      <c r="J956" s="35"/>
    </row>
    <row r="957" spans="9:10" x14ac:dyDescent="0.25">
      <c r="I957" s="37"/>
      <c r="J957" s="35"/>
    </row>
    <row r="958" spans="9:10" x14ac:dyDescent="0.25">
      <c r="I958" s="37"/>
      <c r="J958" s="35"/>
    </row>
    <row r="959" spans="9:10" x14ac:dyDescent="0.25">
      <c r="I959" s="37"/>
      <c r="J959" s="35"/>
    </row>
    <row r="960" spans="9:10" x14ac:dyDescent="0.25">
      <c r="I960" s="37"/>
      <c r="J960" s="35"/>
    </row>
    <row r="961" spans="9:10" x14ac:dyDescent="0.25">
      <c r="I961" s="37"/>
      <c r="J961" s="35"/>
    </row>
    <row r="962" spans="9:10" x14ac:dyDescent="0.25">
      <c r="I962" s="37"/>
      <c r="J962" s="35"/>
    </row>
    <row r="963" spans="9:10" x14ac:dyDescent="0.25">
      <c r="I963" s="37"/>
      <c r="J963" s="35"/>
    </row>
    <row r="964" spans="9:10" x14ac:dyDescent="0.25">
      <c r="I964" s="37"/>
      <c r="J964" s="35"/>
    </row>
    <row r="965" spans="9:10" x14ac:dyDescent="0.25">
      <c r="I965" s="37"/>
      <c r="J965" s="35"/>
    </row>
    <row r="966" spans="9:10" x14ac:dyDescent="0.25">
      <c r="I966" s="37"/>
      <c r="J966" s="35"/>
    </row>
    <row r="967" spans="9:10" x14ac:dyDescent="0.25">
      <c r="I967" s="37"/>
      <c r="J967" s="35"/>
    </row>
    <row r="968" spans="9:10" x14ac:dyDescent="0.25">
      <c r="I968" s="37"/>
      <c r="J968" s="35"/>
    </row>
    <row r="969" spans="9:10" x14ac:dyDescent="0.25">
      <c r="I969" s="37"/>
      <c r="J969" s="35"/>
    </row>
    <row r="970" spans="9:10" x14ac:dyDescent="0.25">
      <c r="I970" s="37"/>
      <c r="J970" s="35"/>
    </row>
    <row r="971" spans="9:10" x14ac:dyDescent="0.25">
      <c r="I971" s="37"/>
      <c r="J971" s="35"/>
    </row>
    <row r="972" spans="9:10" x14ac:dyDescent="0.25">
      <c r="I972" s="37"/>
      <c r="J972" s="35"/>
    </row>
    <row r="973" spans="9:10" x14ac:dyDescent="0.25">
      <c r="I973" s="37"/>
      <c r="J973" s="35"/>
    </row>
    <row r="974" spans="9:10" x14ac:dyDescent="0.25">
      <c r="I974" s="37"/>
      <c r="J974" s="35"/>
    </row>
    <row r="975" spans="9:10" x14ac:dyDescent="0.25">
      <c r="I975" s="37"/>
      <c r="J975" s="35"/>
    </row>
    <row r="976" spans="9:10" x14ac:dyDescent="0.25">
      <c r="I976" s="37"/>
      <c r="J976" s="35"/>
    </row>
    <row r="977" spans="9:10" x14ac:dyDescent="0.25">
      <c r="I977" s="37"/>
      <c r="J977" s="35"/>
    </row>
    <row r="978" spans="9:10" x14ac:dyDescent="0.25">
      <c r="I978" s="37"/>
      <c r="J978" s="35"/>
    </row>
    <row r="979" spans="9:10" x14ac:dyDescent="0.25">
      <c r="I979" s="37"/>
      <c r="J979" s="35"/>
    </row>
    <row r="980" spans="9:10" x14ac:dyDescent="0.25">
      <c r="I980" s="37"/>
      <c r="J980" s="35"/>
    </row>
    <row r="981" spans="9:10" x14ac:dyDescent="0.25">
      <c r="I981" s="37"/>
      <c r="J981" s="35"/>
    </row>
    <row r="982" spans="9:10" x14ac:dyDescent="0.25">
      <c r="I982" s="37"/>
      <c r="J982" s="35"/>
    </row>
    <row r="983" spans="9:10" x14ac:dyDescent="0.25">
      <c r="I983" s="37"/>
      <c r="J983" s="35"/>
    </row>
    <row r="984" spans="9:10" x14ac:dyDescent="0.25">
      <c r="I984" s="37"/>
      <c r="J984" s="35"/>
    </row>
    <row r="985" spans="9:10" x14ac:dyDescent="0.25">
      <c r="I985" s="37"/>
      <c r="J985" s="35"/>
    </row>
    <row r="986" spans="9:10" x14ac:dyDescent="0.25">
      <c r="I986" s="37"/>
      <c r="J986" s="35"/>
    </row>
    <row r="987" spans="9:10" x14ac:dyDescent="0.25">
      <c r="I987" s="37"/>
      <c r="J987" s="35"/>
    </row>
    <row r="988" spans="9:10" x14ac:dyDescent="0.25">
      <c r="I988" s="37"/>
      <c r="J988" s="35"/>
    </row>
    <row r="989" spans="9:10" x14ac:dyDescent="0.25">
      <c r="I989" s="37"/>
      <c r="J989" s="35"/>
    </row>
    <row r="990" spans="9:10" x14ac:dyDescent="0.25">
      <c r="I990" s="37"/>
      <c r="J990" s="35"/>
    </row>
    <row r="991" spans="9:10" x14ac:dyDescent="0.25">
      <c r="I991" s="37"/>
      <c r="J991" s="35"/>
    </row>
    <row r="992" spans="9:10" x14ac:dyDescent="0.25">
      <c r="I992" s="37"/>
      <c r="J992" s="35"/>
    </row>
    <row r="993" spans="9:10" x14ac:dyDescent="0.25">
      <c r="I993" s="37"/>
      <c r="J993" s="35"/>
    </row>
    <row r="994" spans="9:10" x14ac:dyDescent="0.25">
      <c r="I994" s="37"/>
      <c r="J994" s="35"/>
    </row>
    <row r="995" spans="9:10" x14ac:dyDescent="0.25">
      <c r="I995" s="37"/>
      <c r="J995" s="35"/>
    </row>
    <row r="996" spans="9:10" x14ac:dyDescent="0.25">
      <c r="I996" s="37"/>
      <c r="J996" s="35"/>
    </row>
    <row r="997" spans="9:10" x14ac:dyDescent="0.25">
      <c r="I997" s="37"/>
      <c r="J997" s="35"/>
    </row>
    <row r="998" spans="9:10" x14ac:dyDescent="0.25">
      <c r="I998" s="37"/>
      <c r="J998" s="35"/>
    </row>
    <row r="999" spans="9:10" x14ac:dyDescent="0.25">
      <c r="I999" s="37"/>
      <c r="J999" s="35"/>
    </row>
    <row r="1000" spans="9:10" x14ac:dyDescent="0.25">
      <c r="I1000" s="37"/>
      <c r="J1000" s="35"/>
    </row>
    <row r="1001" spans="9:10" x14ac:dyDescent="0.25">
      <c r="I1001" s="37"/>
      <c r="J1001" s="35"/>
    </row>
    <row r="1002" spans="9:10" x14ac:dyDescent="0.25">
      <c r="I1002" s="37"/>
      <c r="J1002" s="35"/>
    </row>
    <row r="1003" spans="9:10" x14ac:dyDescent="0.25">
      <c r="I1003" s="37"/>
      <c r="J1003" s="35"/>
    </row>
    <row r="1004" spans="9:10" x14ac:dyDescent="0.25">
      <c r="I1004" s="37"/>
      <c r="J1004" s="35"/>
    </row>
    <row r="1005" spans="9:10" x14ac:dyDescent="0.25">
      <c r="I1005" s="37"/>
      <c r="J1005" s="35"/>
    </row>
    <row r="1006" spans="9:10" x14ac:dyDescent="0.25">
      <c r="I1006" s="37"/>
      <c r="J1006" s="35"/>
    </row>
    <row r="1007" spans="9:10" x14ac:dyDescent="0.25">
      <c r="I1007" s="37"/>
      <c r="J1007" s="35"/>
    </row>
    <row r="1008" spans="9:10" x14ac:dyDescent="0.25">
      <c r="I1008" s="37"/>
      <c r="J1008" s="35"/>
    </row>
    <row r="1009" spans="9:10" x14ac:dyDescent="0.25">
      <c r="I1009" s="37"/>
      <c r="J1009" s="35"/>
    </row>
    <row r="1010" spans="9:10" x14ac:dyDescent="0.25">
      <c r="I1010" s="37"/>
      <c r="J1010" s="35"/>
    </row>
    <row r="1011" spans="9:10" x14ac:dyDescent="0.25">
      <c r="I1011" s="37"/>
      <c r="J1011" s="35"/>
    </row>
    <row r="1012" spans="9:10" x14ac:dyDescent="0.25">
      <c r="I1012" s="37"/>
      <c r="J1012" s="35"/>
    </row>
    <row r="1013" spans="9:10" x14ac:dyDescent="0.25">
      <c r="I1013" s="37"/>
      <c r="J1013" s="35"/>
    </row>
    <row r="1014" spans="9:10" x14ac:dyDescent="0.25">
      <c r="I1014" s="37"/>
      <c r="J1014" s="35"/>
    </row>
    <row r="1015" spans="9:10" x14ac:dyDescent="0.25">
      <c r="I1015" s="37"/>
      <c r="J1015" s="35"/>
    </row>
    <row r="1016" spans="9:10" x14ac:dyDescent="0.25">
      <c r="I1016" s="37"/>
      <c r="J1016" s="35"/>
    </row>
    <row r="1017" spans="9:10" x14ac:dyDescent="0.25">
      <c r="I1017" s="37"/>
      <c r="J1017" s="35"/>
    </row>
    <row r="1018" spans="9:10" x14ac:dyDescent="0.25">
      <c r="I1018" s="37"/>
      <c r="J1018" s="35"/>
    </row>
    <row r="1019" spans="9:10" x14ac:dyDescent="0.25">
      <c r="I1019" s="37"/>
      <c r="J1019" s="35"/>
    </row>
    <row r="1020" spans="9:10" x14ac:dyDescent="0.25">
      <c r="I1020" s="37"/>
      <c r="J1020" s="35"/>
    </row>
    <row r="1021" spans="9:10" x14ac:dyDescent="0.25">
      <c r="I1021" s="37"/>
      <c r="J1021" s="35"/>
    </row>
    <row r="1022" spans="9:10" x14ac:dyDescent="0.25">
      <c r="I1022" s="37"/>
      <c r="J1022" s="35"/>
    </row>
    <row r="1023" spans="9:10" x14ac:dyDescent="0.25">
      <c r="I1023" s="37"/>
      <c r="J1023" s="35"/>
    </row>
    <row r="1024" spans="9:10" x14ac:dyDescent="0.25">
      <c r="I1024" s="37"/>
      <c r="J1024" s="35"/>
    </row>
    <row r="1025" spans="9:10" x14ac:dyDescent="0.25">
      <c r="I1025" s="37"/>
      <c r="J1025" s="35"/>
    </row>
    <row r="1026" spans="9:10" x14ac:dyDescent="0.25">
      <c r="I1026" s="37"/>
      <c r="J1026" s="35"/>
    </row>
    <row r="1027" spans="9:10" x14ac:dyDescent="0.25">
      <c r="I1027" s="37"/>
      <c r="J1027" s="35"/>
    </row>
    <row r="1028" spans="9:10" x14ac:dyDescent="0.25">
      <c r="I1028" s="37"/>
      <c r="J1028" s="35"/>
    </row>
    <row r="1029" spans="9:10" x14ac:dyDescent="0.25">
      <c r="I1029" s="37"/>
      <c r="J1029" s="35"/>
    </row>
    <row r="1030" spans="9:10" x14ac:dyDescent="0.25">
      <c r="I1030" s="37"/>
      <c r="J1030" s="35"/>
    </row>
    <row r="1031" spans="9:10" x14ac:dyDescent="0.25">
      <c r="I1031" s="37"/>
      <c r="J1031" s="35"/>
    </row>
    <row r="1032" spans="9:10" x14ac:dyDescent="0.25">
      <c r="I1032" s="37"/>
      <c r="J1032" s="35"/>
    </row>
    <row r="1033" spans="9:10" x14ac:dyDescent="0.25">
      <c r="I1033" s="37"/>
      <c r="J1033" s="35"/>
    </row>
    <row r="1034" spans="9:10" x14ac:dyDescent="0.25">
      <c r="I1034" s="37"/>
      <c r="J1034" s="35"/>
    </row>
    <row r="1035" spans="9:10" x14ac:dyDescent="0.25">
      <c r="I1035" s="37"/>
      <c r="J1035" s="35"/>
    </row>
    <row r="1036" spans="9:10" x14ac:dyDescent="0.25">
      <c r="I1036" s="37"/>
      <c r="J1036" s="35"/>
    </row>
    <row r="1037" spans="9:10" x14ac:dyDescent="0.25">
      <c r="I1037" s="37"/>
      <c r="J1037" s="35"/>
    </row>
    <row r="1038" spans="9:10" x14ac:dyDescent="0.25">
      <c r="I1038" s="37"/>
      <c r="J1038" s="35"/>
    </row>
    <row r="1039" spans="9:10" x14ac:dyDescent="0.25">
      <c r="I1039" s="37"/>
      <c r="J1039" s="35"/>
    </row>
    <row r="1040" spans="9:10" x14ac:dyDescent="0.25">
      <c r="I1040" s="37"/>
      <c r="J1040" s="35"/>
    </row>
    <row r="1041" spans="9:10" x14ac:dyDescent="0.25">
      <c r="I1041" s="37"/>
      <c r="J1041" s="35"/>
    </row>
    <row r="1042" spans="9:10" x14ac:dyDescent="0.25">
      <c r="I1042" s="37"/>
      <c r="J1042" s="35"/>
    </row>
    <row r="1043" spans="9:10" x14ac:dyDescent="0.25">
      <c r="I1043" s="37"/>
      <c r="J1043" s="35"/>
    </row>
    <row r="1044" spans="9:10" x14ac:dyDescent="0.25">
      <c r="I1044" s="37"/>
      <c r="J1044" s="35"/>
    </row>
    <row r="1045" spans="9:10" x14ac:dyDescent="0.25">
      <c r="I1045" s="37"/>
      <c r="J1045" s="35"/>
    </row>
    <row r="1046" spans="9:10" x14ac:dyDescent="0.25">
      <c r="I1046" s="37"/>
      <c r="J1046" s="35"/>
    </row>
    <row r="1047" spans="9:10" x14ac:dyDescent="0.25">
      <c r="I1047" s="37"/>
      <c r="J1047" s="35"/>
    </row>
    <row r="1048" spans="9:10" x14ac:dyDescent="0.25">
      <c r="I1048" s="37"/>
      <c r="J1048" s="35"/>
    </row>
    <row r="1049" spans="9:10" x14ac:dyDescent="0.25">
      <c r="I1049" s="37"/>
      <c r="J1049" s="35"/>
    </row>
    <row r="1050" spans="9:10" x14ac:dyDescent="0.25">
      <c r="I1050" s="37"/>
      <c r="J1050" s="35"/>
    </row>
    <row r="1051" spans="9:10" x14ac:dyDescent="0.25">
      <c r="I1051" s="37"/>
      <c r="J1051" s="35"/>
    </row>
    <row r="1052" spans="9:10" x14ac:dyDescent="0.25">
      <c r="I1052" s="37"/>
      <c r="J1052" s="35"/>
    </row>
    <row r="1053" spans="9:10" x14ac:dyDescent="0.25">
      <c r="I1053" s="37"/>
      <c r="J1053" s="35"/>
    </row>
    <row r="1054" spans="9:10" x14ac:dyDescent="0.25">
      <c r="I1054" s="37"/>
      <c r="J1054" s="35"/>
    </row>
    <row r="1055" spans="9:10" x14ac:dyDescent="0.25">
      <c r="I1055" s="37"/>
      <c r="J1055" s="35"/>
    </row>
    <row r="1056" spans="9:10" x14ac:dyDescent="0.25">
      <c r="I1056" s="37"/>
      <c r="J1056" s="35"/>
    </row>
    <row r="1057" spans="9:10" x14ac:dyDescent="0.25">
      <c r="I1057" s="37"/>
      <c r="J1057" s="35"/>
    </row>
    <row r="1058" spans="9:10" x14ac:dyDescent="0.25">
      <c r="I1058" s="37"/>
      <c r="J1058" s="35"/>
    </row>
    <row r="1059" spans="9:10" x14ac:dyDescent="0.25">
      <c r="I1059" s="37"/>
      <c r="J1059" s="35"/>
    </row>
    <row r="1060" spans="9:10" x14ac:dyDescent="0.25">
      <c r="I1060" s="37"/>
      <c r="J1060" s="35"/>
    </row>
    <row r="1061" spans="9:10" x14ac:dyDescent="0.25">
      <c r="I1061" s="37"/>
      <c r="J1061" s="35"/>
    </row>
    <row r="1062" spans="9:10" x14ac:dyDescent="0.25">
      <c r="I1062" s="37"/>
      <c r="J1062" s="35"/>
    </row>
    <row r="1063" spans="9:10" x14ac:dyDescent="0.25">
      <c r="I1063" s="37"/>
      <c r="J1063" s="35"/>
    </row>
    <row r="1064" spans="9:10" x14ac:dyDescent="0.25">
      <c r="I1064" s="37"/>
      <c r="J1064" s="35"/>
    </row>
    <row r="1065" spans="9:10" x14ac:dyDescent="0.25">
      <c r="I1065" s="37"/>
      <c r="J1065" s="35"/>
    </row>
    <row r="1066" spans="9:10" x14ac:dyDescent="0.25">
      <c r="I1066" s="37"/>
      <c r="J1066" s="35"/>
    </row>
    <row r="1067" spans="9:10" x14ac:dyDescent="0.25">
      <c r="I1067" s="37"/>
      <c r="J1067" s="35"/>
    </row>
    <row r="1068" spans="9:10" x14ac:dyDescent="0.25">
      <c r="I1068" s="37"/>
      <c r="J1068" s="35"/>
    </row>
    <row r="1069" spans="9:10" x14ac:dyDescent="0.25">
      <c r="I1069" s="37"/>
      <c r="J1069" s="35"/>
    </row>
    <row r="1070" spans="9:10" x14ac:dyDescent="0.25">
      <c r="I1070" s="37"/>
      <c r="J1070" s="35"/>
    </row>
    <row r="1071" spans="9:10" x14ac:dyDescent="0.25">
      <c r="I1071" s="37"/>
      <c r="J1071" s="35"/>
    </row>
    <row r="1072" spans="9:10" x14ac:dyDescent="0.25">
      <c r="I1072" s="37"/>
      <c r="J1072" s="35"/>
    </row>
    <row r="1073" spans="9:10" x14ac:dyDescent="0.25">
      <c r="I1073" s="37"/>
      <c r="J1073" s="35"/>
    </row>
    <row r="1074" spans="9:10" x14ac:dyDescent="0.25">
      <c r="I1074" s="37"/>
      <c r="J1074" s="35"/>
    </row>
    <row r="1075" spans="9:10" x14ac:dyDescent="0.25">
      <c r="I1075" s="37"/>
      <c r="J1075" s="35"/>
    </row>
    <row r="1076" spans="9:10" x14ac:dyDescent="0.25">
      <c r="I1076" s="37"/>
      <c r="J1076" s="35"/>
    </row>
    <row r="1077" spans="9:10" x14ac:dyDescent="0.25">
      <c r="I1077" s="37"/>
      <c r="J1077" s="35"/>
    </row>
    <row r="1078" spans="9:10" x14ac:dyDescent="0.25">
      <c r="I1078" s="37"/>
      <c r="J1078" s="35"/>
    </row>
    <row r="1079" spans="9:10" x14ac:dyDescent="0.25">
      <c r="I1079" s="37"/>
      <c r="J1079" s="35"/>
    </row>
    <row r="1080" spans="9:10" x14ac:dyDescent="0.25">
      <c r="I1080" s="37"/>
      <c r="J1080" s="35"/>
    </row>
    <row r="1081" spans="9:10" x14ac:dyDescent="0.25">
      <c r="I1081" s="37"/>
      <c r="J1081" s="35"/>
    </row>
    <row r="1082" spans="9:10" x14ac:dyDescent="0.25">
      <c r="I1082" s="37"/>
      <c r="J1082" s="35"/>
    </row>
    <row r="1083" spans="9:10" x14ac:dyDescent="0.25">
      <c r="I1083" s="37"/>
      <c r="J1083" s="35"/>
    </row>
    <row r="1084" spans="9:10" x14ac:dyDescent="0.25">
      <c r="I1084" s="37"/>
      <c r="J1084" s="35"/>
    </row>
    <row r="1085" spans="9:10" x14ac:dyDescent="0.25">
      <c r="I1085" s="37"/>
      <c r="J1085" s="35"/>
    </row>
    <row r="1086" spans="9:10" x14ac:dyDescent="0.25">
      <c r="I1086" s="37"/>
      <c r="J1086" s="35"/>
    </row>
    <row r="1087" spans="9:10" x14ac:dyDescent="0.25">
      <c r="I1087" s="37"/>
      <c r="J1087" s="35"/>
    </row>
    <row r="1088" spans="9:10" x14ac:dyDescent="0.25">
      <c r="I1088" s="37"/>
      <c r="J1088" s="35"/>
    </row>
    <row r="1089" spans="9:10" x14ac:dyDescent="0.25">
      <c r="I1089" s="37"/>
      <c r="J1089" s="35"/>
    </row>
    <row r="1090" spans="9:10" x14ac:dyDescent="0.25">
      <c r="I1090" s="37"/>
      <c r="J1090" s="35"/>
    </row>
    <row r="1091" spans="9:10" x14ac:dyDescent="0.25">
      <c r="I1091" s="37"/>
      <c r="J1091" s="35"/>
    </row>
    <row r="1092" spans="9:10" x14ac:dyDescent="0.25">
      <c r="I1092" s="37"/>
      <c r="J1092" s="35"/>
    </row>
    <row r="1093" spans="9:10" x14ac:dyDescent="0.25">
      <c r="I1093" s="37"/>
      <c r="J1093" s="35"/>
    </row>
    <row r="1094" spans="9:10" x14ac:dyDescent="0.25">
      <c r="I1094" s="37"/>
      <c r="J1094" s="35"/>
    </row>
    <row r="1095" spans="9:10" x14ac:dyDescent="0.25">
      <c r="I1095" s="37"/>
      <c r="J1095" s="35"/>
    </row>
    <row r="1096" spans="9:10" x14ac:dyDescent="0.25">
      <c r="I1096" s="37"/>
      <c r="J1096" s="35"/>
    </row>
    <row r="1097" spans="9:10" x14ac:dyDescent="0.25">
      <c r="I1097" s="37"/>
      <c r="J1097" s="35"/>
    </row>
    <row r="1098" spans="9:10" x14ac:dyDescent="0.25">
      <c r="I1098" s="37"/>
      <c r="J1098" s="35"/>
    </row>
    <row r="1099" spans="9:10" x14ac:dyDescent="0.25">
      <c r="I1099" s="37"/>
      <c r="J1099" s="35"/>
    </row>
    <row r="1100" spans="9:10" x14ac:dyDescent="0.25">
      <c r="I1100" s="37"/>
      <c r="J1100" s="35"/>
    </row>
    <row r="1101" spans="9:10" x14ac:dyDescent="0.25">
      <c r="I1101" s="37"/>
      <c r="J1101" s="35"/>
    </row>
    <row r="1102" spans="9:10" x14ac:dyDescent="0.25">
      <c r="I1102" s="37"/>
      <c r="J1102" s="35"/>
    </row>
    <row r="1103" spans="9:10" x14ac:dyDescent="0.25">
      <c r="I1103" s="37"/>
      <c r="J1103" s="35"/>
    </row>
    <row r="1104" spans="9:10" x14ac:dyDescent="0.25">
      <c r="I1104" s="37"/>
      <c r="J1104" s="35"/>
    </row>
    <row r="1105" spans="9:10" x14ac:dyDescent="0.25">
      <c r="I1105" s="37"/>
      <c r="J1105" s="35"/>
    </row>
    <row r="1106" spans="9:10" x14ac:dyDescent="0.25">
      <c r="I1106" s="37"/>
      <c r="J1106" s="35"/>
    </row>
    <row r="1107" spans="9:10" x14ac:dyDescent="0.25">
      <c r="I1107" s="37"/>
      <c r="J1107" s="35"/>
    </row>
    <row r="1108" spans="9:10" x14ac:dyDescent="0.25">
      <c r="I1108" s="37"/>
      <c r="J1108" s="35"/>
    </row>
    <row r="1109" spans="9:10" x14ac:dyDescent="0.25">
      <c r="I1109" s="37"/>
      <c r="J1109" s="35"/>
    </row>
    <row r="1110" spans="9:10" x14ac:dyDescent="0.25">
      <c r="I1110" s="37"/>
      <c r="J1110" s="35"/>
    </row>
    <row r="1111" spans="9:10" x14ac:dyDescent="0.25">
      <c r="I1111" s="37"/>
      <c r="J1111" s="35"/>
    </row>
    <row r="1112" spans="9:10" x14ac:dyDescent="0.25">
      <c r="I1112" s="37"/>
      <c r="J1112" s="35"/>
    </row>
    <row r="1113" spans="9:10" x14ac:dyDescent="0.25">
      <c r="I1113" s="37"/>
      <c r="J1113" s="35"/>
    </row>
    <row r="1114" spans="9:10" x14ac:dyDescent="0.25">
      <c r="I1114" s="37"/>
      <c r="J1114" s="35"/>
    </row>
    <row r="1115" spans="9:10" x14ac:dyDescent="0.25">
      <c r="I1115" s="37"/>
      <c r="J1115" s="35"/>
    </row>
    <row r="1116" spans="9:10" x14ac:dyDescent="0.25">
      <c r="I1116" s="37"/>
      <c r="J1116" s="35"/>
    </row>
    <row r="1117" spans="9:10" x14ac:dyDescent="0.25">
      <c r="I1117" s="37"/>
      <c r="J1117" s="35"/>
    </row>
    <row r="1118" spans="9:10" x14ac:dyDescent="0.25">
      <c r="I1118" s="37"/>
      <c r="J1118" s="35"/>
    </row>
    <row r="1119" spans="9:10" x14ac:dyDescent="0.25">
      <c r="I1119" s="37"/>
      <c r="J1119" s="35"/>
    </row>
    <row r="1120" spans="9:10" x14ac:dyDescent="0.25">
      <c r="I1120" s="37"/>
      <c r="J1120" s="35"/>
    </row>
    <row r="1121" spans="9:10" x14ac:dyDescent="0.25">
      <c r="I1121" s="37"/>
      <c r="J1121" s="35"/>
    </row>
    <row r="1122" spans="9:10" x14ac:dyDescent="0.25">
      <c r="I1122" s="37"/>
      <c r="J1122" s="35"/>
    </row>
    <row r="1123" spans="9:10" x14ac:dyDescent="0.25">
      <c r="I1123" s="37"/>
      <c r="J1123" s="35"/>
    </row>
    <row r="1124" spans="9:10" x14ac:dyDescent="0.25">
      <c r="I1124" s="37"/>
      <c r="J1124" s="35"/>
    </row>
    <row r="1125" spans="9:10" x14ac:dyDescent="0.25">
      <c r="I1125" s="37"/>
      <c r="J1125" s="35"/>
    </row>
    <row r="1126" spans="9:10" x14ac:dyDescent="0.25">
      <c r="I1126" s="37"/>
      <c r="J1126" s="35"/>
    </row>
    <row r="1127" spans="9:10" x14ac:dyDescent="0.25">
      <c r="I1127" s="37"/>
      <c r="J1127" s="35"/>
    </row>
    <row r="1128" spans="9:10" x14ac:dyDescent="0.25">
      <c r="I1128" s="37"/>
      <c r="J1128" s="35"/>
    </row>
    <row r="1129" spans="9:10" x14ac:dyDescent="0.25">
      <c r="I1129" s="37"/>
      <c r="J1129" s="35"/>
    </row>
    <row r="1130" spans="9:10" x14ac:dyDescent="0.25">
      <c r="I1130" s="37"/>
      <c r="J1130" s="35"/>
    </row>
    <row r="1131" spans="9:10" x14ac:dyDescent="0.25">
      <c r="I1131" s="37"/>
      <c r="J1131" s="35"/>
    </row>
    <row r="1132" spans="9:10" x14ac:dyDescent="0.25">
      <c r="I1132" s="37"/>
      <c r="J1132" s="35"/>
    </row>
    <row r="1133" spans="9:10" x14ac:dyDescent="0.25">
      <c r="I1133" s="37"/>
      <c r="J1133" s="35"/>
    </row>
    <row r="1134" spans="9:10" x14ac:dyDescent="0.25">
      <c r="I1134" s="37"/>
      <c r="J1134" s="35"/>
    </row>
    <row r="1135" spans="9:10" x14ac:dyDescent="0.25">
      <c r="I1135" s="37"/>
      <c r="J1135" s="35"/>
    </row>
    <row r="1136" spans="9:10" x14ac:dyDescent="0.25">
      <c r="I1136" s="37"/>
      <c r="J1136" s="35"/>
    </row>
    <row r="1137" spans="9:10" x14ac:dyDescent="0.25">
      <c r="I1137" s="37"/>
      <c r="J1137" s="35"/>
    </row>
    <row r="1138" spans="9:10" x14ac:dyDescent="0.25">
      <c r="I1138" s="37"/>
      <c r="J1138" s="35"/>
    </row>
    <row r="1139" spans="9:10" x14ac:dyDescent="0.25">
      <c r="I1139" s="37"/>
      <c r="J1139" s="35"/>
    </row>
    <row r="1140" spans="9:10" x14ac:dyDescent="0.25">
      <c r="I1140" s="37"/>
      <c r="J1140" s="35"/>
    </row>
    <row r="1141" spans="9:10" x14ac:dyDescent="0.25">
      <c r="I1141" s="37"/>
      <c r="J1141" s="35"/>
    </row>
    <row r="1142" spans="9:10" x14ac:dyDescent="0.25">
      <c r="I1142" s="37"/>
      <c r="J1142" s="35"/>
    </row>
    <row r="1143" spans="9:10" x14ac:dyDescent="0.25">
      <c r="I1143" s="37"/>
      <c r="J1143" s="35"/>
    </row>
    <row r="1144" spans="9:10" x14ac:dyDescent="0.25">
      <c r="I1144" s="37"/>
      <c r="J1144" s="35"/>
    </row>
    <row r="1145" spans="9:10" x14ac:dyDescent="0.25">
      <c r="I1145" s="37"/>
      <c r="J1145" s="35"/>
    </row>
    <row r="1146" spans="9:10" x14ac:dyDescent="0.25">
      <c r="I1146" s="37"/>
      <c r="J1146" s="35"/>
    </row>
    <row r="1147" spans="9:10" x14ac:dyDescent="0.25">
      <c r="I1147" s="37"/>
      <c r="J1147" s="35"/>
    </row>
    <row r="1148" spans="9:10" x14ac:dyDescent="0.25">
      <c r="I1148" s="37"/>
      <c r="J1148" s="35"/>
    </row>
    <row r="1149" spans="9:10" x14ac:dyDescent="0.25">
      <c r="I1149" s="37"/>
      <c r="J1149" s="35"/>
    </row>
    <row r="1150" spans="9:10" x14ac:dyDescent="0.25">
      <c r="I1150" s="37"/>
      <c r="J1150" s="35"/>
    </row>
    <row r="1151" spans="9:10" x14ac:dyDescent="0.25">
      <c r="I1151" s="37"/>
      <c r="J1151" s="35"/>
    </row>
    <row r="1152" spans="9:10" x14ac:dyDescent="0.25">
      <c r="I1152" s="37"/>
      <c r="J1152" s="35"/>
    </row>
    <row r="1153" spans="9:10" x14ac:dyDescent="0.25">
      <c r="I1153" s="37"/>
      <c r="J1153" s="35"/>
    </row>
    <row r="1154" spans="9:10" x14ac:dyDescent="0.25">
      <c r="I1154" s="37"/>
      <c r="J1154" s="35"/>
    </row>
    <row r="1155" spans="9:10" x14ac:dyDescent="0.25">
      <c r="I1155" s="37"/>
      <c r="J1155" s="35"/>
    </row>
    <row r="1156" spans="9:10" x14ac:dyDescent="0.25">
      <c r="I1156" s="37"/>
      <c r="J1156" s="35"/>
    </row>
    <row r="1157" spans="9:10" x14ac:dyDescent="0.25">
      <c r="I1157" s="37"/>
      <c r="J1157" s="35"/>
    </row>
    <row r="1158" spans="9:10" x14ac:dyDescent="0.25">
      <c r="I1158" s="37"/>
      <c r="J1158" s="35"/>
    </row>
    <row r="1159" spans="9:10" x14ac:dyDescent="0.25">
      <c r="I1159" s="37"/>
      <c r="J1159" s="35"/>
    </row>
    <row r="1160" spans="9:10" x14ac:dyDescent="0.25">
      <c r="I1160" s="37"/>
      <c r="J1160" s="35"/>
    </row>
    <row r="1161" spans="9:10" x14ac:dyDescent="0.25">
      <c r="I1161" s="37"/>
      <c r="J1161" s="35"/>
    </row>
    <row r="1162" spans="9:10" x14ac:dyDescent="0.25">
      <c r="I1162" s="37"/>
      <c r="J1162" s="35"/>
    </row>
    <row r="1163" spans="9:10" x14ac:dyDescent="0.25">
      <c r="I1163" s="37"/>
      <c r="J1163" s="35"/>
    </row>
    <row r="1164" spans="9:10" x14ac:dyDescent="0.25">
      <c r="I1164" s="37"/>
      <c r="J1164" s="35"/>
    </row>
    <row r="1165" spans="9:10" x14ac:dyDescent="0.25">
      <c r="I1165" s="37"/>
      <c r="J1165" s="35"/>
    </row>
    <row r="1166" spans="9:10" x14ac:dyDescent="0.25">
      <c r="I1166" s="37"/>
      <c r="J1166" s="35"/>
    </row>
    <row r="1167" spans="9:10" x14ac:dyDescent="0.25">
      <c r="I1167" s="37"/>
      <c r="J1167" s="35"/>
    </row>
    <row r="1168" spans="9:10" x14ac:dyDescent="0.25">
      <c r="I1168" s="37"/>
      <c r="J1168" s="35"/>
    </row>
    <row r="1169" spans="9:10" x14ac:dyDescent="0.25">
      <c r="I1169" s="37"/>
      <c r="J1169" s="35"/>
    </row>
    <row r="1170" spans="9:10" x14ac:dyDescent="0.25">
      <c r="I1170" s="37"/>
      <c r="J1170" s="35"/>
    </row>
    <row r="1171" spans="9:10" x14ac:dyDescent="0.25">
      <c r="I1171" s="37"/>
      <c r="J1171" s="35"/>
    </row>
    <row r="1172" spans="9:10" x14ac:dyDescent="0.25">
      <c r="I1172" s="37"/>
      <c r="J1172" s="35"/>
    </row>
    <row r="1173" spans="9:10" x14ac:dyDescent="0.25">
      <c r="I1173" s="37"/>
      <c r="J1173" s="35"/>
    </row>
    <row r="1174" spans="9:10" x14ac:dyDescent="0.25">
      <c r="I1174" s="37"/>
      <c r="J1174" s="35"/>
    </row>
    <row r="1175" spans="9:10" x14ac:dyDescent="0.25">
      <c r="I1175" s="37"/>
      <c r="J1175" s="35"/>
    </row>
    <row r="1176" spans="9:10" x14ac:dyDescent="0.25">
      <c r="I1176" s="37"/>
      <c r="J1176" s="35"/>
    </row>
    <row r="1177" spans="9:10" x14ac:dyDescent="0.25">
      <c r="I1177" s="37"/>
      <c r="J1177" s="35"/>
    </row>
    <row r="1178" spans="9:10" x14ac:dyDescent="0.25">
      <c r="I1178" s="37"/>
      <c r="J1178" s="35"/>
    </row>
    <row r="1179" spans="9:10" x14ac:dyDescent="0.25">
      <c r="I1179" s="37"/>
      <c r="J1179" s="35"/>
    </row>
    <row r="1180" spans="9:10" x14ac:dyDescent="0.25">
      <c r="I1180" s="37"/>
      <c r="J1180" s="35"/>
    </row>
    <row r="1181" spans="9:10" x14ac:dyDescent="0.25">
      <c r="I1181" s="37"/>
      <c r="J1181" s="35"/>
    </row>
    <row r="1182" spans="9:10" x14ac:dyDescent="0.25">
      <c r="I1182" s="37"/>
      <c r="J1182" s="35"/>
    </row>
    <row r="1183" spans="9:10" x14ac:dyDescent="0.25">
      <c r="I1183" s="37"/>
      <c r="J1183" s="35"/>
    </row>
    <row r="1184" spans="9:10" x14ac:dyDescent="0.25">
      <c r="I1184" s="37"/>
      <c r="J1184" s="35"/>
    </row>
    <row r="1185" spans="9:10" x14ac:dyDescent="0.25">
      <c r="I1185" s="37"/>
      <c r="J1185" s="35"/>
    </row>
    <row r="1186" spans="9:10" x14ac:dyDescent="0.25">
      <c r="I1186" s="37"/>
      <c r="J1186" s="35"/>
    </row>
    <row r="1187" spans="9:10" x14ac:dyDescent="0.25">
      <c r="I1187" s="37"/>
      <c r="J1187" s="35"/>
    </row>
    <row r="1188" spans="9:10" x14ac:dyDescent="0.25">
      <c r="I1188" s="37"/>
      <c r="J1188" s="35"/>
    </row>
    <row r="1189" spans="9:10" x14ac:dyDescent="0.25">
      <c r="I1189" s="37"/>
      <c r="J1189" s="35"/>
    </row>
    <row r="1190" spans="9:10" x14ac:dyDescent="0.25">
      <c r="I1190" s="37"/>
      <c r="J1190" s="35"/>
    </row>
    <row r="1191" spans="9:10" x14ac:dyDescent="0.25">
      <c r="I1191" s="37"/>
      <c r="J1191" s="35"/>
    </row>
    <row r="1192" spans="9:10" x14ac:dyDescent="0.25">
      <c r="I1192" s="37"/>
      <c r="J1192" s="35"/>
    </row>
    <row r="1193" spans="9:10" x14ac:dyDescent="0.25">
      <c r="I1193" s="37"/>
      <c r="J1193" s="35"/>
    </row>
    <row r="1194" spans="9:10" x14ac:dyDescent="0.25">
      <c r="I1194" s="37"/>
      <c r="J1194" s="35"/>
    </row>
    <row r="1195" spans="9:10" x14ac:dyDescent="0.25">
      <c r="I1195" s="37"/>
      <c r="J1195" s="35"/>
    </row>
    <row r="1196" spans="9:10" x14ac:dyDescent="0.25">
      <c r="I1196" s="37"/>
      <c r="J1196" s="35"/>
    </row>
    <row r="1197" spans="9:10" x14ac:dyDescent="0.25">
      <c r="I1197" s="37"/>
      <c r="J1197" s="35"/>
    </row>
    <row r="1198" spans="9:10" x14ac:dyDescent="0.25">
      <c r="I1198" s="37"/>
      <c r="J1198" s="35"/>
    </row>
    <row r="1199" spans="9:10" x14ac:dyDescent="0.25">
      <c r="I1199" s="37"/>
      <c r="J1199" s="35"/>
    </row>
    <row r="1200" spans="9:10" x14ac:dyDescent="0.25">
      <c r="I1200" s="37"/>
      <c r="J1200" s="35"/>
    </row>
    <row r="1201" spans="9:10" x14ac:dyDescent="0.25">
      <c r="I1201" s="37"/>
      <c r="J1201" s="35"/>
    </row>
    <row r="1202" spans="9:10" x14ac:dyDescent="0.25">
      <c r="I1202" s="37"/>
      <c r="J1202" s="35"/>
    </row>
    <row r="1203" spans="9:10" x14ac:dyDescent="0.25">
      <c r="I1203" s="37"/>
      <c r="J1203" s="35"/>
    </row>
    <row r="1204" spans="9:10" x14ac:dyDescent="0.25">
      <c r="I1204" s="37"/>
      <c r="J1204" s="35"/>
    </row>
    <row r="1205" spans="9:10" x14ac:dyDescent="0.25">
      <c r="I1205" s="37"/>
      <c r="J1205" s="35"/>
    </row>
    <row r="1206" spans="9:10" x14ac:dyDescent="0.25">
      <c r="I1206" s="37"/>
      <c r="J1206" s="35"/>
    </row>
    <row r="1207" spans="9:10" x14ac:dyDescent="0.25">
      <c r="I1207" s="37"/>
      <c r="J1207" s="35"/>
    </row>
    <row r="1208" spans="9:10" x14ac:dyDescent="0.25">
      <c r="I1208" s="37"/>
      <c r="J1208" s="35"/>
    </row>
    <row r="1209" spans="9:10" x14ac:dyDescent="0.25">
      <c r="I1209" s="37"/>
      <c r="J1209" s="35"/>
    </row>
    <row r="1210" spans="9:10" x14ac:dyDescent="0.25">
      <c r="I1210" s="37"/>
      <c r="J1210" s="35"/>
    </row>
    <row r="1211" spans="9:10" x14ac:dyDescent="0.25">
      <c r="I1211" s="37"/>
      <c r="J1211" s="35"/>
    </row>
    <row r="1212" spans="9:10" x14ac:dyDescent="0.25">
      <c r="I1212" s="37"/>
      <c r="J1212" s="35"/>
    </row>
    <row r="1213" spans="9:10" x14ac:dyDescent="0.25">
      <c r="I1213" s="37"/>
      <c r="J1213" s="35"/>
    </row>
    <row r="1214" spans="9:10" x14ac:dyDescent="0.25">
      <c r="I1214" s="37"/>
      <c r="J1214" s="35"/>
    </row>
    <row r="1215" spans="9:10" x14ac:dyDescent="0.25">
      <c r="I1215" s="37"/>
      <c r="J1215" s="35"/>
    </row>
    <row r="1216" spans="9:10" x14ac:dyDescent="0.25">
      <c r="I1216" s="37"/>
      <c r="J1216" s="35"/>
    </row>
    <row r="1217" spans="9:10" x14ac:dyDescent="0.25">
      <c r="I1217" s="37"/>
      <c r="J1217" s="35"/>
    </row>
    <row r="1218" spans="9:10" x14ac:dyDescent="0.25">
      <c r="I1218" s="37"/>
      <c r="J1218" s="35"/>
    </row>
    <row r="1219" spans="9:10" x14ac:dyDescent="0.25">
      <c r="I1219" s="37"/>
      <c r="J1219" s="35"/>
    </row>
    <row r="1220" spans="9:10" x14ac:dyDescent="0.25">
      <c r="I1220" s="37"/>
      <c r="J1220" s="35"/>
    </row>
    <row r="1221" spans="9:10" x14ac:dyDescent="0.25">
      <c r="I1221" s="37"/>
      <c r="J1221" s="35"/>
    </row>
    <row r="1222" spans="9:10" x14ac:dyDescent="0.25">
      <c r="I1222" s="37"/>
      <c r="J1222" s="35"/>
    </row>
    <row r="1223" spans="9:10" x14ac:dyDescent="0.25">
      <c r="I1223" s="37"/>
      <c r="J1223" s="35"/>
    </row>
    <row r="1224" spans="9:10" x14ac:dyDescent="0.25">
      <c r="I1224" s="37"/>
      <c r="J1224" s="35"/>
    </row>
    <row r="1225" spans="9:10" x14ac:dyDescent="0.25">
      <c r="I1225" s="37"/>
      <c r="J1225" s="35"/>
    </row>
    <row r="1226" spans="9:10" x14ac:dyDescent="0.25">
      <c r="I1226" s="37"/>
      <c r="J1226" s="35"/>
    </row>
    <row r="1227" spans="9:10" x14ac:dyDescent="0.25">
      <c r="I1227" s="37"/>
      <c r="J1227" s="35"/>
    </row>
    <row r="1228" spans="9:10" x14ac:dyDescent="0.25">
      <c r="I1228" s="37"/>
      <c r="J1228" s="35"/>
    </row>
    <row r="1229" spans="9:10" x14ac:dyDescent="0.25">
      <c r="I1229" s="37"/>
      <c r="J1229" s="35"/>
    </row>
    <row r="1230" spans="9:10" x14ac:dyDescent="0.25">
      <c r="I1230" s="37"/>
      <c r="J1230" s="35"/>
    </row>
    <row r="1231" spans="9:10" x14ac:dyDescent="0.25">
      <c r="I1231" s="37"/>
      <c r="J1231" s="35"/>
    </row>
    <row r="1232" spans="9:10" x14ac:dyDescent="0.25">
      <c r="I1232" s="37"/>
      <c r="J1232" s="35"/>
    </row>
    <row r="1233" spans="9:10" x14ac:dyDescent="0.25">
      <c r="I1233" s="37"/>
      <c r="J1233" s="35"/>
    </row>
    <row r="1234" spans="9:10" x14ac:dyDescent="0.25">
      <c r="I1234" s="37"/>
      <c r="J1234" s="35"/>
    </row>
    <row r="1235" spans="9:10" x14ac:dyDescent="0.25">
      <c r="I1235" s="37"/>
      <c r="J1235" s="35"/>
    </row>
    <row r="1236" spans="9:10" x14ac:dyDescent="0.25">
      <c r="I1236" s="37"/>
      <c r="J1236" s="35"/>
    </row>
    <row r="1237" spans="9:10" x14ac:dyDescent="0.25">
      <c r="I1237" s="37"/>
      <c r="J1237" s="35"/>
    </row>
    <row r="1238" spans="9:10" x14ac:dyDescent="0.25">
      <c r="I1238" s="37"/>
      <c r="J1238" s="35"/>
    </row>
    <row r="1239" spans="9:10" x14ac:dyDescent="0.25">
      <c r="I1239" s="37"/>
      <c r="J1239" s="35"/>
    </row>
    <row r="1240" spans="9:10" x14ac:dyDescent="0.25">
      <c r="I1240" s="37"/>
      <c r="J1240" s="35"/>
    </row>
    <row r="1241" spans="9:10" x14ac:dyDescent="0.25">
      <c r="I1241" s="37"/>
      <c r="J1241" s="35"/>
    </row>
    <row r="1242" spans="9:10" x14ac:dyDescent="0.25">
      <c r="I1242" s="37"/>
      <c r="J1242" s="35"/>
    </row>
    <row r="1243" spans="9:10" x14ac:dyDescent="0.25">
      <c r="I1243" s="37"/>
      <c r="J1243" s="35"/>
    </row>
    <row r="1244" spans="9:10" x14ac:dyDescent="0.25">
      <c r="I1244" s="37"/>
      <c r="J1244" s="35"/>
    </row>
    <row r="1245" spans="9:10" x14ac:dyDescent="0.25">
      <c r="I1245" s="37"/>
      <c r="J1245" s="35"/>
    </row>
    <row r="1246" spans="9:10" x14ac:dyDescent="0.25">
      <c r="I1246" s="37"/>
      <c r="J1246" s="35"/>
    </row>
    <row r="1247" spans="9:10" x14ac:dyDescent="0.25">
      <c r="I1247" s="37"/>
      <c r="J1247" s="35"/>
    </row>
    <row r="1248" spans="9:10" x14ac:dyDescent="0.25">
      <c r="I1248" s="37"/>
      <c r="J1248" s="35"/>
    </row>
    <row r="1249" spans="9:10" x14ac:dyDescent="0.25">
      <c r="I1249" s="37"/>
      <c r="J1249" s="35"/>
    </row>
    <row r="1250" spans="9:10" x14ac:dyDescent="0.25">
      <c r="I1250" s="37"/>
      <c r="J1250" s="35"/>
    </row>
    <row r="1251" spans="9:10" x14ac:dyDescent="0.25">
      <c r="I1251" s="37"/>
      <c r="J1251" s="35"/>
    </row>
    <row r="1252" spans="9:10" x14ac:dyDescent="0.25">
      <c r="I1252" s="37"/>
      <c r="J1252" s="35"/>
    </row>
    <row r="1253" spans="9:10" x14ac:dyDescent="0.25">
      <c r="I1253" s="37"/>
      <c r="J1253" s="35"/>
    </row>
    <row r="1254" spans="9:10" x14ac:dyDescent="0.25">
      <c r="I1254" s="37"/>
      <c r="J1254" s="35"/>
    </row>
    <row r="1255" spans="9:10" x14ac:dyDescent="0.25">
      <c r="I1255" s="37"/>
      <c r="J1255" s="35"/>
    </row>
    <row r="1256" spans="9:10" x14ac:dyDescent="0.25">
      <c r="I1256" s="37"/>
      <c r="J1256" s="35"/>
    </row>
    <row r="1257" spans="9:10" x14ac:dyDescent="0.25">
      <c r="I1257" s="37"/>
      <c r="J1257" s="35"/>
    </row>
    <row r="1258" spans="9:10" x14ac:dyDescent="0.25">
      <c r="I1258" s="37"/>
      <c r="J1258" s="35"/>
    </row>
    <row r="1259" spans="9:10" x14ac:dyDescent="0.25">
      <c r="I1259" s="37"/>
      <c r="J1259" s="35"/>
    </row>
    <row r="1260" spans="9:10" x14ac:dyDescent="0.25">
      <c r="I1260" s="37"/>
      <c r="J1260" s="35"/>
    </row>
    <row r="1261" spans="9:10" x14ac:dyDescent="0.25">
      <c r="I1261" s="37"/>
      <c r="J1261" s="35"/>
    </row>
    <row r="1262" spans="9:10" x14ac:dyDescent="0.25">
      <c r="I1262" s="37"/>
      <c r="J1262" s="35"/>
    </row>
    <row r="1263" spans="9:10" x14ac:dyDescent="0.25">
      <c r="I1263" s="37"/>
      <c r="J1263" s="35"/>
    </row>
    <row r="1264" spans="9:10" x14ac:dyDescent="0.25">
      <c r="I1264" s="37"/>
      <c r="J1264" s="35"/>
    </row>
    <row r="1265" spans="9:10" x14ac:dyDescent="0.25">
      <c r="I1265" s="37"/>
      <c r="J1265" s="35"/>
    </row>
    <row r="1266" spans="9:10" x14ac:dyDescent="0.25">
      <c r="I1266" s="37"/>
      <c r="J1266" s="35"/>
    </row>
    <row r="1267" spans="9:10" x14ac:dyDescent="0.25">
      <c r="I1267" s="37"/>
      <c r="J1267" s="35"/>
    </row>
    <row r="1268" spans="9:10" x14ac:dyDescent="0.25">
      <c r="I1268" s="37"/>
      <c r="J1268" s="35"/>
    </row>
    <row r="1269" spans="9:10" x14ac:dyDescent="0.25">
      <c r="I1269" s="37"/>
      <c r="J1269" s="35"/>
    </row>
    <row r="1270" spans="9:10" x14ac:dyDescent="0.25">
      <c r="I1270" s="37"/>
      <c r="J1270" s="35"/>
    </row>
    <row r="1271" spans="9:10" x14ac:dyDescent="0.25">
      <c r="I1271" s="37"/>
      <c r="J1271" s="35"/>
    </row>
    <row r="1272" spans="9:10" x14ac:dyDescent="0.25">
      <c r="I1272" s="37"/>
      <c r="J1272" s="35"/>
    </row>
    <row r="1273" spans="9:10" x14ac:dyDescent="0.25">
      <c r="I1273" s="37"/>
      <c r="J1273" s="35"/>
    </row>
    <row r="1274" spans="9:10" x14ac:dyDescent="0.25">
      <c r="I1274" s="37"/>
      <c r="J1274" s="35"/>
    </row>
    <row r="1275" spans="9:10" x14ac:dyDescent="0.25">
      <c r="I1275" s="37"/>
      <c r="J1275" s="35"/>
    </row>
    <row r="1276" spans="9:10" x14ac:dyDescent="0.25">
      <c r="I1276" s="37"/>
      <c r="J1276" s="35"/>
    </row>
    <row r="1277" spans="9:10" x14ac:dyDescent="0.25">
      <c r="I1277" s="37"/>
      <c r="J1277" s="35"/>
    </row>
    <row r="1278" spans="9:10" x14ac:dyDescent="0.25">
      <c r="I1278" s="37"/>
      <c r="J1278" s="35"/>
    </row>
    <row r="1279" spans="9:10" x14ac:dyDescent="0.25">
      <c r="I1279" s="37"/>
      <c r="J1279" s="35"/>
    </row>
    <row r="1280" spans="9:10" x14ac:dyDescent="0.25">
      <c r="I1280" s="37"/>
      <c r="J1280" s="35"/>
    </row>
    <row r="1281" spans="9:10" x14ac:dyDescent="0.25">
      <c r="I1281" s="37"/>
      <c r="J1281" s="35"/>
    </row>
    <row r="1282" spans="9:10" x14ac:dyDescent="0.25">
      <c r="I1282" s="37"/>
      <c r="J1282" s="35"/>
    </row>
    <row r="1283" spans="9:10" x14ac:dyDescent="0.25">
      <c r="I1283" s="37"/>
      <c r="J1283" s="35"/>
    </row>
    <row r="1284" spans="9:10" x14ac:dyDescent="0.25">
      <c r="I1284" s="37"/>
      <c r="J1284" s="35"/>
    </row>
    <row r="1285" spans="9:10" x14ac:dyDescent="0.25">
      <c r="I1285" s="37"/>
      <c r="J1285" s="35"/>
    </row>
    <row r="1286" spans="9:10" x14ac:dyDescent="0.25">
      <c r="I1286" s="37"/>
      <c r="J1286" s="35"/>
    </row>
    <row r="1287" spans="9:10" x14ac:dyDescent="0.25">
      <c r="I1287" s="37"/>
      <c r="J1287" s="35"/>
    </row>
    <row r="1288" spans="9:10" x14ac:dyDescent="0.25">
      <c r="I1288" s="37"/>
      <c r="J1288" s="35"/>
    </row>
    <row r="1289" spans="9:10" x14ac:dyDescent="0.25">
      <c r="I1289" s="37"/>
      <c r="J1289" s="35"/>
    </row>
    <row r="1290" spans="9:10" x14ac:dyDescent="0.25">
      <c r="I1290" s="37"/>
      <c r="J1290" s="35"/>
    </row>
    <row r="1291" spans="9:10" x14ac:dyDescent="0.25">
      <c r="I1291" s="37"/>
      <c r="J1291" s="35"/>
    </row>
    <row r="1292" spans="9:10" x14ac:dyDescent="0.25">
      <c r="I1292" s="37"/>
      <c r="J1292" s="35"/>
    </row>
    <row r="1293" spans="9:10" x14ac:dyDescent="0.25">
      <c r="I1293" s="37"/>
      <c r="J1293" s="35"/>
    </row>
    <row r="1294" spans="9:10" x14ac:dyDescent="0.25">
      <c r="I1294" s="37"/>
      <c r="J1294" s="35"/>
    </row>
    <row r="1295" spans="9:10" x14ac:dyDescent="0.25">
      <c r="I1295" s="37"/>
      <c r="J1295" s="35"/>
    </row>
    <row r="1296" spans="9:10" x14ac:dyDescent="0.25">
      <c r="I1296" s="37"/>
      <c r="J1296" s="35"/>
    </row>
    <row r="1297" spans="9:10" x14ac:dyDescent="0.25">
      <c r="I1297" s="37"/>
      <c r="J1297" s="35"/>
    </row>
    <row r="1298" spans="9:10" x14ac:dyDescent="0.25">
      <c r="I1298" s="37"/>
      <c r="J1298" s="35"/>
    </row>
    <row r="1299" spans="9:10" x14ac:dyDescent="0.25">
      <c r="I1299" s="37"/>
      <c r="J1299" s="35"/>
    </row>
    <row r="1300" spans="9:10" x14ac:dyDescent="0.25">
      <c r="I1300" s="37"/>
      <c r="J1300" s="35"/>
    </row>
    <row r="1301" spans="9:10" x14ac:dyDescent="0.25">
      <c r="I1301" s="37"/>
      <c r="J1301" s="35"/>
    </row>
    <row r="1302" spans="9:10" x14ac:dyDescent="0.25">
      <c r="I1302" s="37"/>
      <c r="J1302" s="35"/>
    </row>
    <row r="1303" spans="9:10" x14ac:dyDescent="0.25">
      <c r="I1303" s="37"/>
      <c r="J1303" s="35"/>
    </row>
    <row r="1304" spans="9:10" x14ac:dyDescent="0.25">
      <c r="I1304" s="37"/>
      <c r="J1304" s="35"/>
    </row>
    <row r="1305" spans="9:10" x14ac:dyDescent="0.25">
      <c r="I1305" s="37"/>
      <c r="J1305" s="35"/>
    </row>
    <row r="1306" spans="9:10" x14ac:dyDescent="0.25">
      <c r="I1306" s="37"/>
      <c r="J1306" s="35"/>
    </row>
    <row r="1307" spans="9:10" x14ac:dyDescent="0.25">
      <c r="I1307" s="37"/>
      <c r="J1307" s="35"/>
    </row>
    <row r="1308" spans="9:10" x14ac:dyDescent="0.25">
      <c r="I1308" s="37"/>
      <c r="J1308" s="35"/>
    </row>
    <row r="1309" spans="9:10" x14ac:dyDescent="0.25">
      <c r="I1309" s="37"/>
      <c r="J1309" s="35"/>
    </row>
    <row r="1310" spans="9:10" x14ac:dyDescent="0.25">
      <c r="I1310" s="37"/>
      <c r="J1310" s="35"/>
    </row>
    <row r="1311" spans="9:10" x14ac:dyDescent="0.25">
      <c r="I1311" s="37"/>
      <c r="J1311" s="35"/>
    </row>
    <row r="1312" spans="9:10" x14ac:dyDescent="0.25">
      <c r="I1312" s="37"/>
      <c r="J1312" s="35"/>
    </row>
    <row r="1313" spans="9:10" x14ac:dyDescent="0.25">
      <c r="I1313" s="37"/>
      <c r="J1313" s="35"/>
    </row>
    <row r="1314" spans="9:10" x14ac:dyDescent="0.25">
      <c r="I1314" s="37"/>
      <c r="J1314" s="35"/>
    </row>
    <row r="1315" spans="9:10" x14ac:dyDescent="0.25">
      <c r="I1315" s="37"/>
      <c r="J1315" s="35"/>
    </row>
    <row r="1316" spans="9:10" x14ac:dyDescent="0.25">
      <c r="I1316" s="37"/>
      <c r="J1316" s="35"/>
    </row>
    <row r="1317" spans="9:10" x14ac:dyDescent="0.25">
      <c r="I1317" s="37"/>
      <c r="J1317" s="35"/>
    </row>
    <row r="1318" spans="9:10" x14ac:dyDescent="0.25">
      <c r="I1318" s="37"/>
      <c r="J1318" s="35"/>
    </row>
    <row r="1319" spans="9:10" x14ac:dyDescent="0.25">
      <c r="I1319" s="37"/>
      <c r="J1319" s="35"/>
    </row>
    <row r="1320" spans="9:10" x14ac:dyDescent="0.25">
      <c r="I1320" s="37"/>
      <c r="J1320" s="35"/>
    </row>
    <row r="1321" spans="9:10" x14ac:dyDescent="0.25">
      <c r="I1321" s="37"/>
      <c r="J1321" s="35"/>
    </row>
    <row r="1322" spans="9:10" x14ac:dyDescent="0.25">
      <c r="I1322" s="37"/>
      <c r="J1322" s="35"/>
    </row>
    <row r="1323" spans="9:10" x14ac:dyDescent="0.25">
      <c r="I1323" s="37"/>
      <c r="J1323" s="35"/>
    </row>
    <row r="1324" spans="9:10" x14ac:dyDescent="0.25">
      <c r="I1324" s="37"/>
      <c r="J1324" s="35"/>
    </row>
    <row r="1325" spans="9:10" x14ac:dyDescent="0.25">
      <c r="I1325" s="37"/>
      <c r="J1325" s="35"/>
    </row>
    <row r="1326" spans="9:10" x14ac:dyDescent="0.25">
      <c r="I1326" s="37"/>
      <c r="J1326" s="35"/>
    </row>
    <row r="1327" spans="9:10" x14ac:dyDescent="0.25">
      <c r="I1327" s="37"/>
      <c r="J1327" s="35"/>
    </row>
    <row r="1328" spans="9:10" x14ac:dyDescent="0.25">
      <c r="I1328" s="37"/>
      <c r="J1328" s="35"/>
    </row>
    <row r="1329" spans="9:10" x14ac:dyDescent="0.25">
      <c r="I1329" s="37"/>
      <c r="J1329" s="35"/>
    </row>
    <row r="1330" spans="9:10" x14ac:dyDescent="0.25">
      <c r="I1330" s="37"/>
      <c r="J1330" s="35"/>
    </row>
    <row r="1331" spans="9:10" x14ac:dyDescent="0.25">
      <c r="I1331" s="37"/>
      <c r="J1331" s="35"/>
    </row>
    <row r="1332" spans="9:10" x14ac:dyDescent="0.25">
      <c r="I1332" s="37"/>
      <c r="J1332" s="35"/>
    </row>
    <row r="1333" spans="9:10" x14ac:dyDescent="0.25">
      <c r="I1333" s="37"/>
      <c r="J1333" s="35"/>
    </row>
    <row r="1334" spans="9:10" x14ac:dyDescent="0.25">
      <c r="I1334" s="37"/>
      <c r="J1334" s="35"/>
    </row>
  </sheetData>
  <mergeCells count="18">
    <mergeCell ref="T29:U29"/>
    <mergeCell ref="J16:K16"/>
    <mergeCell ref="L16:M16"/>
    <mergeCell ref="N16:O16"/>
    <mergeCell ref="P16:Q16"/>
    <mergeCell ref="R16:S16"/>
    <mergeCell ref="T16:U16"/>
    <mergeCell ref="J29:K29"/>
    <mergeCell ref="L29:M29"/>
    <mergeCell ref="N29:O29"/>
    <mergeCell ref="P29:Q29"/>
    <mergeCell ref="R29:S29"/>
    <mergeCell ref="T2:U2"/>
    <mergeCell ref="J2:K2"/>
    <mergeCell ref="L2:M2"/>
    <mergeCell ref="N2:O2"/>
    <mergeCell ref="P2:Q2"/>
    <mergeCell ref="R2:S2"/>
  </mergeCells>
  <conditionalFormatting sqref="AE3:AI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:AI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0:AI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D072-5A74-4105-A23F-ADA58EFD5828}">
  <dimension ref="B1:AQ1334"/>
  <sheetViews>
    <sheetView showGridLines="0" zoomScale="85" zoomScaleNormal="85" workbookViewId="0">
      <selection activeCell="J4" sqref="J4"/>
    </sheetView>
  </sheetViews>
  <sheetFormatPr defaultRowHeight="15" outlineLevelRow="1" outlineLevelCol="1" x14ac:dyDescent="0.25"/>
  <cols>
    <col min="1" max="1" width="2.5703125" customWidth="1"/>
    <col min="2" max="2" width="9.140625" customWidth="1"/>
    <col min="3" max="3" width="16.28515625" bestFit="1" customWidth="1"/>
    <col min="4" max="4" width="15.28515625" bestFit="1" customWidth="1"/>
    <col min="5" max="5" width="2.5703125" customWidth="1"/>
    <col min="6" max="6" width="18.140625" bestFit="1" customWidth="1"/>
    <col min="7" max="7" width="2.5703125" customWidth="1"/>
    <col min="8" max="8" width="25.140625" bestFit="1" customWidth="1"/>
    <col min="9" max="9" width="24.28515625" style="11" customWidth="1" outlineLevel="1"/>
    <col min="10" max="10" width="9.42578125" style="6" customWidth="1"/>
    <col min="11" max="11" width="19" style="11" hidden="1" customWidth="1" outlineLevel="1"/>
    <col min="12" max="12" width="12.5703125" style="6" customWidth="1" collapsed="1"/>
    <col min="13" max="13" width="19.5703125" style="11" hidden="1" customWidth="1" outlineLevel="1"/>
    <col min="14" max="14" width="14.140625" style="6" customWidth="1" collapsed="1"/>
    <col min="15" max="15" width="17" style="11" hidden="1" customWidth="1" outlineLevel="1"/>
    <col min="16" max="16" width="8.5703125" style="6" bestFit="1" customWidth="1" collapsed="1"/>
    <col min="17" max="17" width="18" style="11" hidden="1" customWidth="1" outlineLevel="1"/>
    <col min="18" max="18" width="11.42578125" style="5" customWidth="1" collapsed="1"/>
    <col min="19" max="19" width="19.5703125" style="10" hidden="1" customWidth="1" outlineLevel="1"/>
    <col min="20" max="20" width="9.85546875" style="10" bestFit="1" customWidth="1" collapsed="1"/>
    <col min="21" max="21" width="19.5703125" style="10" hidden="1" customWidth="1" outlineLevel="1"/>
    <col min="22" max="22" width="2.5703125" customWidth="1" collapsed="1"/>
    <col min="23" max="24" width="7.140625" hidden="1" customWidth="1" outlineLevel="1"/>
    <col min="25" max="25" width="17.85546875" bestFit="1" customWidth="1" collapsed="1"/>
    <col min="26" max="27" width="17.85546875" bestFit="1" customWidth="1"/>
    <col min="28" max="28" width="17" bestFit="1" customWidth="1"/>
    <col min="29" max="29" width="15.140625" bestFit="1" customWidth="1"/>
    <col min="30" max="30" width="2.5703125" customWidth="1"/>
    <col min="31" max="31" width="7.85546875" bestFit="1" customWidth="1"/>
    <col min="32" max="32" width="11.140625" bestFit="1" customWidth="1"/>
    <col min="33" max="33" width="13.28515625" bestFit="1" customWidth="1"/>
    <col min="34" max="34" width="7.85546875" bestFit="1" customWidth="1"/>
    <col min="35" max="35" width="8.140625" bestFit="1" customWidth="1"/>
    <col min="36" max="36" width="2.5703125" customWidth="1"/>
    <col min="37" max="37" width="17.85546875" bestFit="1" customWidth="1"/>
    <col min="38" max="38" width="8.140625" bestFit="1" customWidth="1"/>
    <col min="39" max="39" width="2.5703125" customWidth="1"/>
    <col min="41" max="41" width="16.28515625" bestFit="1" customWidth="1"/>
  </cols>
  <sheetData>
    <row r="1" spans="2:43" ht="9" customHeight="1" x14ac:dyDescent="0.25"/>
    <row r="2" spans="2:43" x14ac:dyDescent="0.25">
      <c r="B2" s="1"/>
      <c r="C2" s="1" t="s">
        <v>20</v>
      </c>
      <c r="D2" s="1"/>
      <c r="H2" s="4" t="s">
        <v>1</v>
      </c>
      <c r="I2" s="9" t="s">
        <v>4</v>
      </c>
      <c r="J2" s="112" t="s">
        <v>7</v>
      </c>
      <c r="K2" s="112"/>
      <c r="L2" s="112" t="s">
        <v>8</v>
      </c>
      <c r="M2" s="112"/>
      <c r="N2" s="112" t="s">
        <v>10</v>
      </c>
      <c r="O2" s="112"/>
      <c r="P2" s="112" t="s">
        <v>9</v>
      </c>
      <c r="Q2" s="112"/>
      <c r="R2" s="112" t="s">
        <v>21</v>
      </c>
      <c r="S2" s="112"/>
      <c r="T2" s="112" t="s">
        <v>55</v>
      </c>
      <c r="U2" s="112"/>
      <c r="W2" s="1" t="s">
        <v>46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27" t="s">
        <v>49</v>
      </c>
      <c r="AF2" s="27" t="s">
        <v>50</v>
      </c>
      <c r="AG2" s="27" t="s">
        <v>51</v>
      </c>
      <c r="AH2" s="27" t="s">
        <v>52</v>
      </c>
      <c r="AI2" s="27" t="s">
        <v>53</v>
      </c>
      <c r="AK2" s="75" t="s">
        <v>60</v>
      </c>
      <c r="AL2" s="75" t="s">
        <v>61</v>
      </c>
      <c r="AN2" s="1"/>
      <c r="AO2" s="1" t="s">
        <v>20</v>
      </c>
      <c r="AP2" s="1"/>
    </row>
    <row r="3" spans="2:43" x14ac:dyDescent="0.25">
      <c r="B3" s="105" t="s">
        <v>77</v>
      </c>
      <c r="C3" s="106" t="s">
        <v>10</v>
      </c>
      <c r="D3" s="105" t="s">
        <v>7</v>
      </c>
      <c r="F3" s="7">
        <f>J3+L3+N3+P3+R3+T3</f>
        <v>1.0000000000000002</v>
      </c>
      <c r="H3" s="97" t="s">
        <v>5</v>
      </c>
      <c r="I3" s="80">
        <v>621752589.64999998</v>
      </c>
      <c r="J3" s="81">
        <f>46.6%+11.31%</f>
        <v>0.57910000000000006</v>
      </c>
      <c r="K3" s="80">
        <f t="shared" ref="K3:Q13" si="0">+J3*$I3</f>
        <v>360056924.66631502</v>
      </c>
      <c r="L3" s="81">
        <f>7.28%+6.79%+3.96%+2.6%</f>
        <v>0.20629999999999998</v>
      </c>
      <c r="M3" s="80">
        <f t="shared" si="0"/>
        <v>128267559.24479498</v>
      </c>
      <c r="N3" s="81">
        <f>16.51%+0.47%</f>
        <v>0.16980000000000003</v>
      </c>
      <c r="O3" s="80">
        <f t="shared" si="0"/>
        <v>105573589.72257002</v>
      </c>
      <c r="P3" s="81">
        <v>4.53E-2</v>
      </c>
      <c r="Q3" s="80">
        <f t="shared" si="0"/>
        <v>28165392.311145</v>
      </c>
      <c r="R3" s="108">
        <v>0</v>
      </c>
      <c r="S3" s="80">
        <f t="shared" ref="S3:S13" si="1">+R3*$I3</f>
        <v>0</v>
      </c>
      <c r="T3" s="81">
        <v>-5.0000000000000001E-4</v>
      </c>
      <c r="U3" s="65">
        <f t="shared" ref="U3:U13" si="2">+T3*$I3</f>
        <v>-310876.29482499999</v>
      </c>
      <c r="Y3" s="12">
        <f>K3-'Dez25'!K3</f>
        <v>-36480298.024996936</v>
      </c>
      <c r="Z3" s="12">
        <f>M3-'Dez25'!M3</f>
        <v>12440973.310860977</v>
      </c>
      <c r="AA3" s="12">
        <f>O3-'Dez25'!O3</f>
        <v>7458659.9435500205</v>
      </c>
      <c r="AB3" s="12">
        <f>Q3-'Dez25'!Q3</f>
        <v>1980174.0389520004</v>
      </c>
      <c r="AC3" s="12">
        <f>+S3-'Dez25'!S3</f>
        <v>0</v>
      </c>
      <c r="AD3" s="98"/>
      <c r="AE3" s="28">
        <f>J3-'Dez25'!J3</f>
        <v>-4.3299999999999894E-2</v>
      </c>
      <c r="AF3" s="28">
        <f>L3-'Dez25'!L3</f>
        <v>2.4499999999999966E-2</v>
      </c>
      <c r="AG3" s="28">
        <f>N3-'Dez25'!N3</f>
        <v>1.5800000000000036E-2</v>
      </c>
      <c r="AH3" s="28">
        <f>P3-'Dez25'!P3</f>
        <v>4.2000000000000023E-3</v>
      </c>
      <c r="AI3" s="28">
        <f>R3-'Dez25'!R3</f>
        <v>0</v>
      </c>
      <c r="AJ3" s="8"/>
      <c r="AK3" s="10">
        <f>I3-'Dez25'!I3</f>
        <v>-15357343.980000019</v>
      </c>
      <c r="AL3" s="76">
        <f>I3/'Dez25'!I3-1</f>
        <v>-2.4104700255574318E-2</v>
      </c>
      <c r="AM3" s="8"/>
      <c r="AN3" t="s">
        <v>11</v>
      </c>
      <c r="AO3" s="2" t="s">
        <v>10</v>
      </c>
      <c r="AP3" t="s">
        <v>7</v>
      </c>
      <c r="AQ3" s="8"/>
    </row>
    <row r="4" spans="2:43" x14ac:dyDescent="0.25">
      <c r="B4" s="103" t="s">
        <v>12</v>
      </c>
      <c r="C4" s="104" t="s">
        <v>16</v>
      </c>
      <c r="D4" s="103" t="s">
        <v>58</v>
      </c>
      <c r="F4" s="7">
        <f>J4+L4+N4+P4+R4+T4</f>
        <v>1</v>
      </c>
      <c r="H4" s="3" t="s">
        <v>0</v>
      </c>
      <c r="I4" s="78">
        <v>1745665057</v>
      </c>
      <c r="J4" s="77">
        <v>0.36</v>
      </c>
      <c r="K4" s="78">
        <f t="shared" si="0"/>
        <v>628439420.51999998</v>
      </c>
      <c r="L4" s="77">
        <f>15%+5%+3%+3%</f>
        <v>0.26</v>
      </c>
      <c r="M4" s="78">
        <f t="shared" si="0"/>
        <v>453872914.81999999</v>
      </c>
      <c r="N4" s="77">
        <v>0.25</v>
      </c>
      <c r="O4" s="78">
        <f t="shared" si="0"/>
        <v>436416264.25</v>
      </c>
      <c r="P4" s="77">
        <v>0.13</v>
      </c>
      <c r="Q4" s="78">
        <f t="shared" si="0"/>
        <v>226936457.41</v>
      </c>
      <c r="R4" s="77">
        <v>0</v>
      </c>
      <c r="S4" s="78">
        <f t="shared" si="1"/>
        <v>0</v>
      </c>
      <c r="T4" s="77">
        <v>0</v>
      </c>
      <c r="U4" s="57">
        <f t="shared" si="2"/>
        <v>0</v>
      </c>
      <c r="Y4" s="12">
        <f>K4-'Dez25'!K4</f>
        <v>-7614111.8500000238</v>
      </c>
      <c r="Z4" s="12">
        <f>M4-'Dez25'!M4</f>
        <v>24107014.569999993</v>
      </c>
      <c r="AA4" s="12">
        <f>O4-'Dez25'!O4</f>
        <v>6650364</v>
      </c>
      <c r="AB4" s="12">
        <f>Q4-'Dez25'!Q4</f>
        <v>3458189.2800000012</v>
      </c>
      <c r="AC4" s="12">
        <f>+S4-'Dez25'!S4</f>
        <v>0</v>
      </c>
      <c r="AE4" s="28">
        <f>J4-'Dez25'!J4</f>
        <v>-1.0000000000000009E-2</v>
      </c>
      <c r="AF4" s="28">
        <f>L4-'Dez25'!L4</f>
        <v>1.0000000000000009E-2</v>
      </c>
      <c r="AG4" s="28">
        <f>N4-'Dez25'!N4</f>
        <v>0</v>
      </c>
      <c r="AH4" s="28">
        <f>P4-'Dez25'!P4</f>
        <v>0</v>
      </c>
      <c r="AI4" s="28">
        <f>R4-'Dez25'!R4</f>
        <v>0</v>
      </c>
      <c r="AK4" s="10">
        <f>I4-'Dez25'!I4</f>
        <v>26601456</v>
      </c>
      <c r="AL4" s="76">
        <f>I4/'Dez25'!I4-1</f>
        <v>1.5474387326056771E-2</v>
      </c>
      <c r="AN4" t="s">
        <v>12</v>
      </c>
      <c r="AO4" s="2" t="s">
        <v>16</v>
      </c>
      <c r="AP4" t="s">
        <v>58</v>
      </c>
    </row>
    <row r="5" spans="2:43" x14ac:dyDescent="0.25">
      <c r="B5" s="103" t="s">
        <v>13</v>
      </c>
      <c r="C5" s="104" t="s">
        <v>17</v>
      </c>
      <c r="D5" s="103" t="s">
        <v>59</v>
      </c>
      <c r="F5" s="7">
        <f t="shared" ref="F5:F36" si="3">J5+L5+N5+P5+R5+T5</f>
        <v>1</v>
      </c>
      <c r="H5" s="3" t="s">
        <v>3</v>
      </c>
      <c r="I5" s="78">
        <v>229203366.41</v>
      </c>
      <c r="J5" s="77">
        <v>0.39</v>
      </c>
      <c r="K5" s="78">
        <f t="shared" si="0"/>
        <v>89389312.899900004</v>
      </c>
      <c r="L5" s="77">
        <v>0</v>
      </c>
      <c r="M5" s="78">
        <f t="shared" si="0"/>
        <v>0</v>
      </c>
      <c r="N5" s="77">
        <v>0.38</v>
      </c>
      <c r="O5" s="78">
        <f t="shared" si="0"/>
        <v>87097279.235799998</v>
      </c>
      <c r="P5" s="77">
        <v>0.09</v>
      </c>
      <c r="Q5" s="78">
        <f t="shared" si="0"/>
        <v>20628302.9769</v>
      </c>
      <c r="R5" s="77">
        <v>0.14000000000000001</v>
      </c>
      <c r="S5" s="78">
        <f t="shared" si="1"/>
        <v>32088471.297400001</v>
      </c>
      <c r="T5" s="77">
        <v>0</v>
      </c>
      <c r="U5" s="57">
        <f t="shared" si="2"/>
        <v>0</v>
      </c>
      <c r="Y5" s="12">
        <f>K5-'Dez25'!K5</f>
        <v>4042187.2023000121</v>
      </c>
      <c r="Z5" s="12">
        <f>M5-'Dez25'!M5</f>
        <v>0</v>
      </c>
      <c r="AA5" s="12">
        <f>O5-'Dez25'!O5</f>
        <v>-14845120.902999997</v>
      </c>
      <c r="AB5" s="12">
        <f>Q5-'Dez25'!Q5</f>
        <v>-708478.44749999791</v>
      </c>
      <c r="AC5" s="12">
        <f>+S5-'Dez25'!S5</f>
        <v>3639429.3982000016</v>
      </c>
      <c r="AE5" s="28">
        <f>J5-'Dez25'!J5</f>
        <v>3.0000000000000027E-2</v>
      </c>
      <c r="AF5" s="28">
        <f>L5-'Dez25'!L5</f>
        <v>0</v>
      </c>
      <c r="AG5" s="28">
        <f>N5-'Dez25'!N5</f>
        <v>-4.9999999999999989E-2</v>
      </c>
      <c r="AH5" s="28">
        <f>P5-'Dez25'!P5</f>
        <v>0</v>
      </c>
      <c r="AI5" s="28">
        <f>R5-'Dez25'!R5</f>
        <v>2.0000000000000018E-2</v>
      </c>
      <c r="AK5" s="10">
        <f>I5-'Dez25'!I5</f>
        <v>-7871982.75</v>
      </c>
      <c r="AL5" s="76">
        <f>I5/'Dez25'!I5-1</f>
        <v>-3.3204560397746219E-2</v>
      </c>
      <c r="AN5" t="s">
        <v>13</v>
      </c>
      <c r="AO5" s="2" t="s">
        <v>17</v>
      </c>
      <c r="AP5" t="s">
        <v>59</v>
      </c>
    </row>
    <row r="6" spans="2:43" x14ac:dyDescent="0.25">
      <c r="B6" s="103" t="s">
        <v>14</v>
      </c>
      <c r="C6" s="104" t="s">
        <v>18</v>
      </c>
      <c r="F6" s="7">
        <f t="shared" si="3"/>
        <v>1</v>
      </c>
      <c r="H6" s="3" t="s">
        <v>62</v>
      </c>
      <c r="I6" s="78">
        <v>4015921800</v>
      </c>
      <c r="J6" s="77">
        <v>0.14199999999999999</v>
      </c>
      <c r="K6" s="78">
        <f t="shared" si="0"/>
        <v>570260895.5999999</v>
      </c>
      <c r="L6" s="77">
        <v>0.33900000000000002</v>
      </c>
      <c r="M6" s="78">
        <f t="shared" si="0"/>
        <v>1361397490.2</v>
      </c>
      <c r="N6" s="77">
        <v>0.42499999999999999</v>
      </c>
      <c r="O6" s="78">
        <f t="shared" si="0"/>
        <v>1706766765</v>
      </c>
      <c r="P6" s="77">
        <v>6.4000000000000001E-2</v>
      </c>
      <c r="Q6" s="78">
        <f t="shared" si="0"/>
        <v>257018995.20000002</v>
      </c>
      <c r="R6" s="77">
        <v>0</v>
      </c>
      <c r="S6" s="78">
        <f t="shared" si="1"/>
        <v>0</v>
      </c>
      <c r="T6" s="77">
        <v>0.03</v>
      </c>
      <c r="U6" s="57">
        <f t="shared" si="2"/>
        <v>120477654</v>
      </c>
      <c r="Y6" s="12">
        <f>K6-'Dez25'!K6</f>
        <v>-504218927.4000001</v>
      </c>
      <c r="Z6" s="12">
        <f>M6-'Dez25'!M6</f>
        <v>154116790.20000005</v>
      </c>
      <c r="AA6" s="12">
        <f>O6-'Dez25'!O6</f>
        <v>258029925</v>
      </c>
      <c r="AB6" s="12">
        <f>Q6-'Dez25'!Q6</f>
        <v>39708469.200000018</v>
      </c>
      <c r="AC6" s="12">
        <f>+S6-'Dez25'!S6</f>
        <v>0</v>
      </c>
      <c r="AE6" s="28">
        <f>J6-'Dez25'!J6</f>
        <v>-0.12500000000000003</v>
      </c>
      <c r="AF6" s="28">
        <f>L6-'Dez25'!L6</f>
        <v>3.9000000000000035E-2</v>
      </c>
      <c r="AG6" s="28">
        <f>N6-'Dez25'!N6</f>
        <v>6.5000000000000002E-2</v>
      </c>
      <c r="AH6" s="28">
        <f>P6-'Dez25'!P6</f>
        <v>1.0000000000000002E-2</v>
      </c>
      <c r="AI6" s="28">
        <f>R6-'Dez25'!R6</f>
        <v>0</v>
      </c>
      <c r="AK6" s="10">
        <f>I6-'Dez25'!I6</f>
        <v>-8347200</v>
      </c>
      <c r="AL6" s="76">
        <f>I6/'Dez25'!I6-1</f>
        <v>-2.0742152177203321E-3</v>
      </c>
      <c r="AN6" t="s">
        <v>14</v>
      </c>
      <c r="AO6" s="2" t="s">
        <v>18</v>
      </c>
    </row>
    <row r="7" spans="2:43" x14ac:dyDescent="0.25">
      <c r="B7" s="103" t="s">
        <v>15</v>
      </c>
      <c r="C7" s="104" t="s">
        <v>19</v>
      </c>
      <c r="F7" s="7">
        <f t="shared" si="3"/>
        <v>1</v>
      </c>
      <c r="H7" s="3" t="s">
        <v>22</v>
      </c>
      <c r="I7" s="78">
        <v>3618580000</v>
      </c>
      <c r="J7" s="77">
        <v>0.23</v>
      </c>
      <c r="K7" s="78">
        <f t="shared" si="0"/>
        <v>832273400</v>
      </c>
      <c r="L7" s="77">
        <v>0.32</v>
      </c>
      <c r="M7" s="78">
        <f t="shared" si="0"/>
        <v>1157945600</v>
      </c>
      <c r="N7" s="77">
        <v>0.32</v>
      </c>
      <c r="O7" s="78">
        <f t="shared" si="0"/>
        <v>1157945600</v>
      </c>
      <c r="P7" s="77">
        <v>0.13</v>
      </c>
      <c r="Q7" s="78">
        <f t="shared" si="0"/>
        <v>470415400</v>
      </c>
      <c r="R7" s="77">
        <v>0</v>
      </c>
      <c r="S7" s="78">
        <f t="shared" si="1"/>
        <v>0</v>
      </c>
      <c r="T7" s="77">
        <v>0</v>
      </c>
      <c r="U7" s="57">
        <f t="shared" si="2"/>
        <v>0</v>
      </c>
      <c r="Y7" s="12">
        <f>K7-'Dez25'!K7</f>
        <v>-468440</v>
      </c>
      <c r="Z7" s="12">
        <f>M7-'Dez25'!M7</f>
        <v>43146040</v>
      </c>
      <c r="AA7" s="12">
        <f>O7-'Dez25'!O7</f>
        <v>133807450</v>
      </c>
      <c r="AB7" s="12">
        <f>Q7-'Dez25'!Q7</f>
        <v>84264950</v>
      </c>
      <c r="AC7" s="12">
        <f>+S7-'Dez25'!S7</f>
        <v>0</v>
      </c>
      <c r="AE7" s="28">
        <f>J7-'Dez25'!J7</f>
        <v>-1.7999999999999988E-2</v>
      </c>
      <c r="AF7" s="28">
        <f>L7-'Dez25'!L7</f>
        <v>-1.2000000000000011E-2</v>
      </c>
      <c r="AG7" s="28">
        <f>N7-'Dez25'!N7</f>
        <v>1.5000000000000013E-2</v>
      </c>
      <c r="AH7" s="28">
        <f>P7-'Dez25'!P7</f>
        <v>1.4999999999999999E-2</v>
      </c>
      <c r="AI7" s="28">
        <f>R7-'Dez25'!R7</f>
        <v>0</v>
      </c>
      <c r="AK7" s="10">
        <f>I7-'Dez25'!I7</f>
        <v>260750000</v>
      </c>
      <c r="AL7" s="76">
        <f>I7/'Dez25'!I7-1</f>
        <v>7.7654318413975743E-2</v>
      </c>
      <c r="AN7" t="s">
        <v>15</v>
      </c>
      <c r="AO7" s="2" t="s">
        <v>19</v>
      </c>
    </row>
    <row r="8" spans="2:43" x14ac:dyDescent="0.25">
      <c r="B8" s="103" t="s">
        <v>57</v>
      </c>
      <c r="F8" s="7">
        <f t="shared" si="3"/>
        <v>1</v>
      </c>
      <c r="H8" s="3" t="s">
        <v>23</v>
      </c>
      <c r="I8" s="78">
        <v>213109000</v>
      </c>
      <c r="J8" s="77">
        <v>0.18</v>
      </c>
      <c r="K8" s="78">
        <f t="shared" si="0"/>
        <v>38359620</v>
      </c>
      <c r="L8" s="77">
        <v>0.37</v>
      </c>
      <c r="M8" s="78">
        <f t="shared" si="0"/>
        <v>78850330</v>
      </c>
      <c r="N8" s="77">
        <v>0.23</v>
      </c>
      <c r="O8" s="78">
        <f t="shared" si="0"/>
        <v>49015070</v>
      </c>
      <c r="P8" s="77">
        <v>0.1</v>
      </c>
      <c r="Q8" s="78">
        <f t="shared" si="0"/>
        <v>21310900</v>
      </c>
      <c r="R8" s="77">
        <v>0</v>
      </c>
      <c r="S8" s="78">
        <f t="shared" si="1"/>
        <v>0</v>
      </c>
      <c r="T8" s="77">
        <v>0.12</v>
      </c>
      <c r="U8" s="57">
        <f t="shared" si="2"/>
        <v>25573080</v>
      </c>
      <c r="Y8" s="12">
        <f>K8-'Dez25'!K8</f>
        <v>11727110.389999997</v>
      </c>
      <c r="Z8" s="12">
        <f>M8-'Dez25'!M8</f>
        <v>855123.28500001132</v>
      </c>
      <c r="AA8" s="12">
        <f>O8-'Dez25'!O8</f>
        <v>3359339.2400000021</v>
      </c>
      <c r="AB8" s="12">
        <f>Q8-'Dez25'!Q8</f>
        <v>4190000.9649999999</v>
      </c>
      <c r="AC8" s="12">
        <f>+S8-'Dez25'!S8</f>
        <v>0</v>
      </c>
      <c r="AE8" s="28">
        <f>J8-'Dez25'!J8</f>
        <v>3.999999999999998E-2</v>
      </c>
      <c r="AF8" s="28">
        <f>L8-'Dez25'!L8</f>
        <v>-3.999999999999998E-2</v>
      </c>
      <c r="AG8" s="28">
        <f>N8-'Dez25'!N8</f>
        <v>-9.9999999999999811E-3</v>
      </c>
      <c r="AH8" s="28">
        <f>P8-'Dez25'!P8</f>
        <v>1.0000000000000009E-2</v>
      </c>
      <c r="AI8" s="28">
        <f>R8-'Dez25'!R8</f>
        <v>0</v>
      </c>
      <c r="AK8" s="10">
        <f>I8-'Dez25'!I8</f>
        <v>22876788.5</v>
      </c>
      <c r="AL8" s="76">
        <f>I8/'Dez25'!I8-1</f>
        <v>0.12025717579380601</v>
      </c>
      <c r="AN8" t="s">
        <v>57</v>
      </c>
    </row>
    <row r="9" spans="2:43" x14ac:dyDescent="0.25">
      <c r="F9" s="7">
        <f t="shared" si="3"/>
        <v>1</v>
      </c>
      <c r="H9" s="3" t="s">
        <v>24</v>
      </c>
      <c r="I9" s="78">
        <v>1528125380</v>
      </c>
      <c r="J9" s="77">
        <v>0.5887</v>
      </c>
      <c r="K9" s="78">
        <f t="shared" si="0"/>
        <v>899607411.20599997</v>
      </c>
      <c r="L9" s="77">
        <v>0.157</v>
      </c>
      <c r="M9" s="78">
        <f t="shared" si="0"/>
        <v>239915684.66</v>
      </c>
      <c r="N9" s="77">
        <v>0.19409999999999999</v>
      </c>
      <c r="O9" s="78">
        <f t="shared" si="0"/>
        <v>296609136.25800002</v>
      </c>
      <c r="P9" s="77">
        <v>4.9200000000000001E-2</v>
      </c>
      <c r="Q9" s="78">
        <f t="shared" si="0"/>
        <v>75183768.695999995</v>
      </c>
      <c r="R9" s="77">
        <v>0</v>
      </c>
      <c r="S9" s="78">
        <f t="shared" si="1"/>
        <v>0</v>
      </c>
      <c r="T9" s="77">
        <v>1.0999999999999999E-2</v>
      </c>
      <c r="U9" s="57">
        <f t="shared" si="2"/>
        <v>16809379.18</v>
      </c>
      <c r="Y9" s="12">
        <f>K9-'Dez25'!K9</f>
        <v>-26817334.084000111</v>
      </c>
      <c r="Z9" s="12">
        <f>M9-'Dez25'!M9</f>
        <v>21795428.173999965</v>
      </c>
      <c r="AA9" s="12">
        <f>O9-'Dez25'!O9</f>
        <v>-28460407.279199958</v>
      </c>
      <c r="AB9" s="12">
        <f>Q9-'Dez25'!Q9</f>
        <v>-806514.20880000293</v>
      </c>
      <c r="AC9" s="12">
        <f>+S9-'Dez25'!S9</f>
        <v>0</v>
      </c>
      <c r="AE9" s="28">
        <f>J9-'Dez25'!J9</f>
        <v>-3.8000000000000256E-3</v>
      </c>
      <c r="AF9" s="28">
        <f>L9-'Dez25'!L9</f>
        <v>1.7499999999999988E-2</v>
      </c>
      <c r="AG9" s="28">
        <f>N9-'Dez25'!N9</f>
        <v>-1.3800000000000007E-2</v>
      </c>
      <c r="AH9" s="28">
        <f>P9-'Dez25'!P9</f>
        <v>6.0000000000000331E-4</v>
      </c>
      <c r="AI9" s="28">
        <f>R9-'Dez25'!R9</f>
        <v>0</v>
      </c>
      <c r="AK9" s="10">
        <f>I9-'Dez25'!I9</f>
        <v>-35460688</v>
      </c>
      <c r="AL9" s="76">
        <f>I9/'Dez25'!I9-1</f>
        <v>-2.2679076467698511E-2</v>
      </c>
    </row>
    <row r="10" spans="2:43" x14ac:dyDescent="0.25">
      <c r="F10" s="7">
        <f t="shared" si="3"/>
        <v>1</v>
      </c>
      <c r="H10" s="3" t="s">
        <v>73</v>
      </c>
      <c r="I10" s="78">
        <v>7896285977</v>
      </c>
      <c r="J10" s="77">
        <v>0.35299999999999998</v>
      </c>
      <c r="K10" s="78">
        <f t="shared" si="0"/>
        <v>2787388949.881</v>
      </c>
      <c r="L10" s="77">
        <f>29.5%+7.7%+0.4%</f>
        <v>0.376</v>
      </c>
      <c r="M10" s="78">
        <f t="shared" si="0"/>
        <v>2969003527.3520002</v>
      </c>
      <c r="N10" s="77">
        <f>20.9%+1.4%</f>
        <v>0.22299999999999998</v>
      </c>
      <c r="O10" s="78">
        <f t="shared" si="0"/>
        <v>1760871772.8709998</v>
      </c>
      <c r="P10" s="77">
        <v>4.8000000000000001E-2</v>
      </c>
      <c r="Q10" s="78">
        <f t="shared" si="0"/>
        <v>379021726.89600003</v>
      </c>
      <c r="R10" s="77">
        <v>0</v>
      </c>
      <c r="S10" s="78">
        <f t="shared" si="1"/>
        <v>0</v>
      </c>
      <c r="T10" s="77">
        <v>0</v>
      </c>
      <c r="U10" s="57">
        <f t="shared" si="2"/>
        <v>0</v>
      </c>
      <c r="Y10" s="12">
        <f>K10-'Dez25'!K10</f>
        <v>783270496.79620004</v>
      </c>
      <c r="Z10" s="12">
        <f>M10-'Dez25'!M10</f>
        <v>-561328209.23583984</v>
      </c>
      <c r="AA10" s="12">
        <f>O10-'Dez25'!O10</f>
        <v>-35126687.008840084</v>
      </c>
      <c r="AB10" s="12">
        <f>Q10-'Dez25'!Q10</f>
        <v>1322479.9684800506</v>
      </c>
      <c r="AC10" s="12">
        <f>+S10-'Dez25'!S10</f>
        <v>0</v>
      </c>
      <c r="AE10" s="28">
        <f>J10-'Dez25'!J10</f>
        <v>9.2999999999999972E-2</v>
      </c>
      <c r="AF10" s="28">
        <f>L10-'Dez25'!L10</f>
        <v>-8.2000000000000017E-2</v>
      </c>
      <c r="AG10" s="28">
        <f>N10-'Dez25'!N10</f>
        <v>-1.0000000000000037E-2</v>
      </c>
      <c r="AH10" s="28">
        <f>P10-'Dez25'!P10</f>
        <v>-1.0000000000000009E-3</v>
      </c>
      <c r="AI10" s="28">
        <f>R10-'Dez25'!R10</f>
        <v>0</v>
      </c>
      <c r="AK10" s="10">
        <f>I10-'Dez25'!I10</f>
        <v>188138080.52000046</v>
      </c>
      <c r="AL10" s="76">
        <f>I10/'Dez25'!I10-1</f>
        <v>2.4407689505531627E-2</v>
      </c>
    </row>
    <row r="11" spans="2:43" x14ac:dyDescent="0.25">
      <c r="F11" s="7">
        <f t="shared" si="3"/>
        <v>1</v>
      </c>
      <c r="H11" s="3" t="s">
        <v>47</v>
      </c>
      <c r="I11" s="78">
        <v>2933837381</v>
      </c>
      <c r="J11" s="77">
        <v>0.61</v>
      </c>
      <c r="K11" s="78">
        <f t="shared" si="0"/>
        <v>1789640802.4099998</v>
      </c>
      <c r="L11" s="77">
        <v>0.28000000000000003</v>
      </c>
      <c r="M11" s="78">
        <f t="shared" si="0"/>
        <v>821474466.68000007</v>
      </c>
      <c r="N11" s="77">
        <v>0.11</v>
      </c>
      <c r="O11" s="78">
        <f t="shared" si="0"/>
        <v>322722111.91000003</v>
      </c>
      <c r="P11" s="77">
        <v>0</v>
      </c>
      <c r="Q11" s="78">
        <f t="shared" si="0"/>
        <v>0</v>
      </c>
      <c r="R11" s="77">
        <v>0</v>
      </c>
      <c r="S11" s="78">
        <f t="shared" si="1"/>
        <v>0</v>
      </c>
      <c r="T11" s="77">
        <v>0</v>
      </c>
      <c r="U11" s="57">
        <f t="shared" si="2"/>
        <v>0</v>
      </c>
      <c r="Y11" s="12">
        <f>K11-'Dez25'!K11</f>
        <v>-129254401.87800002</v>
      </c>
      <c r="Z11" s="12">
        <f>M11-'Dez25'!M11</f>
        <v>101888765.07200015</v>
      </c>
      <c r="AA11" s="12">
        <f>O11-'Dez25'!O11</f>
        <v>-37070738.893999934</v>
      </c>
      <c r="AB11" s="12">
        <f>Q11-'Dez25'!Q11</f>
        <v>0</v>
      </c>
      <c r="AC11" s="12">
        <f>+S11-'Dez25'!S11</f>
        <v>0</v>
      </c>
      <c r="AE11" s="28">
        <f>J11-'Dez25'!J11</f>
        <v>-3.0000000000000027E-2</v>
      </c>
      <c r="AF11" s="28">
        <f>L11-'Dez25'!L11</f>
        <v>4.0000000000000036E-2</v>
      </c>
      <c r="AG11" s="28">
        <f>N11-'Dez25'!N11</f>
        <v>-9.999999999999995E-3</v>
      </c>
      <c r="AH11" s="28">
        <f>P11-'Dez25'!P11</f>
        <v>0</v>
      </c>
      <c r="AI11" s="28">
        <f>R11-'Dez25'!R11</f>
        <v>0</v>
      </c>
      <c r="AK11" s="10">
        <f>I11-'Dez25'!I11</f>
        <v>-64436375.699999809</v>
      </c>
      <c r="AL11" s="76">
        <f>I11/'Dez25'!I11-1</f>
        <v>-2.1491158222630258E-2</v>
      </c>
    </row>
    <row r="12" spans="2:43" x14ac:dyDescent="0.25">
      <c r="B12" t="s">
        <v>70</v>
      </c>
      <c r="F12" s="7">
        <f t="shared" si="3"/>
        <v>1</v>
      </c>
      <c r="H12" s="3" t="s">
        <v>30</v>
      </c>
      <c r="I12" s="78">
        <v>1478570000</v>
      </c>
      <c r="J12" s="77">
        <v>0.23899999999999999</v>
      </c>
      <c r="K12" s="78">
        <f t="shared" si="0"/>
        <v>353378230</v>
      </c>
      <c r="L12" s="77">
        <f>17.2%+31.3%+1.1%</f>
        <v>0.496</v>
      </c>
      <c r="M12" s="78">
        <f t="shared" si="0"/>
        <v>733370720</v>
      </c>
      <c r="N12" s="77">
        <v>0.24</v>
      </c>
      <c r="O12" s="78">
        <f t="shared" si="0"/>
        <v>354856800</v>
      </c>
      <c r="P12" s="77">
        <v>2.5000000000000001E-2</v>
      </c>
      <c r="Q12" s="78">
        <f t="shared" si="0"/>
        <v>36964250</v>
      </c>
      <c r="R12" s="77">
        <v>0</v>
      </c>
      <c r="S12" s="78">
        <f t="shared" si="1"/>
        <v>0</v>
      </c>
      <c r="T12" s="77">
        <v>0</v>
      </c>
      <c r="U12" s="57">
        <f t="shared" si="2"/>
        <v>0</v>
      </c>
      <c r="Y12" s="12">
        <f>K12-'Dez25'!K12</f>
        <v>-78038000</v>
      </c>
      <c r="Z12" s="12">
        <f>M12-'Dez25'!M12</f>
        <v>58819570</v>
      </c>
      <c r="AA12" s="12">
        <f>O12-'Dez25'!O12</f>
        <v>15357430</v>
      </c>
      <c r="AB12" s="12">
        <f>Q12-'Dez25'!Q12</f>
        <v>-99000</v>
      </c>
      <c r="AC12" s="12">
        <f>+S12-'Dez25'!S12</f>
        <v>0</v>
      </c>
      <c r="AE12" s="28">
        <f>J12-'Dez25'!J12</f>
        <v>-5.1999999999999991E-2</v>
      </c>
      <c r="AF12" s="28">
        <f>L12-'Dez25'!L12</f>
        <v>4.0999999999999981E-2</v>
      </c>
      <c r="AG12" s="28">
        <f>N12-'Dez25'!N12</f>
        <v>1.0999999999999982E-2</v>
      </c>
      <c r="AH12" s="28">
        <f>P12-'Dez25'!P12</f>
        <v>0</v>
      </c>
      <c r="AI12" s="28">
        <f>R12-'Dez25'!R12</f>
        <v>0</v>
      </c>
      <c r="AK12" s="10">
        <f>I12-'Dez25'!I12</f>
        <v>-3960000</v>
      </c>
      <c r="AL12" s="76">
        <f>I12/'Dez25'!I12-1</f>
        <v>-2.6711095222355929E-3</v>
      </c>
    </row>
    <row r="13" spans="2:43" x14ac:dyDescent="0.25">
      <c r="B13" t="s">
        <v>74</v>
      </c>
      <c r="F13" s="7">
        <f t="shared" si="3"/>
        <v>1</v>
      </c>
      <c r="H13" s="3" t="s">
        <v>64</v>
      </c>
      <c r="I13" s="102">
        <v>912700000</v>
      </c>
      <c r="J13" s="77">
        <v>0.5</v>
      </c>
      <c r="K13" s="78">
        <f t="shared" si="0"/>
        <v>456350000</v>
      </c>
      <c r="L13" s="77">
        <v>0.33</v>
      </c>
      <c r="M13" s="78">
        <f t="shared" si="0"/>
        <v>301191000</v>
      </c>
      <c r="N13" s="77">
        <v>0.16</v>
      </c>
      <c r="O13" s="78">
        <f t="shared" si="0"/>
        <v>146032000</v>
      </c>
      <c r="P13" s="77">
        <v>0.01</v>
      </c>
      <c r="Q13" s="78">
        <f t="shared" si="0"/>
        <v>9127000</v>
      </c>
      <c r="R13" s="77">
        <v>0</v>
      </c>
      <c r="S13" s="78">
        <f t="shared" si="1"/>
        <v>0</v>
      </c>
      <c r="T13" s="77">
        <v>0</v>
      </c>
      <c r="U13" s="57">
        <f t="shared" si="2"/>
        <v>0</v>
      </c>
      <c r="Y13" s="12">
        <f>K13-'Dez25'!K13</f>
        <v>6608000</v>
      </c>
      <c r="Z13" s="12">
        <f>M13-'Dez25'!M13</f>
        <v>-11673000</v>
      </c>
      <c r="AA13" s="12">
        <f>O13-'Dez25'!O13</f>
        <v>-623000</v>
      </c>
      <c r="AB13" s="12">
        <f>Q13-'Dez25'!Q13</f>
        <v>-59312000</v>
      </c>
      <c r="AC13" s="12">
        <f>+S13-'Dez25'!S13</f>
        <v>0</v>
      </c>
      <c r="AE13" s="28">
        <f>J13-'Dez25'!J13</f>
        <v>3.999999999999998E-2</v>
      </c>
      <c r="AF13" s="28">
        <f>L13-'Dez25'!L13</f>
        <v>1.0000000000000009E-2</v>
      </c>
      <c r="AG13" s="28">
        <f>N13-'Dez25'!N13</f>
        <v>1.0000000000000009E-2</v>
      </c>
      <c r="AH13" s="28">
        <f>P13-'Dez25'!P13</f>
        <v>-6.0000000000000005E-2</v>
      </c>
      <c r="AI13" s="28">
        <f>R13-'Dez25'!R13</f>
        <v>0</v>
      </c>
      <c r="AK13" s="10">
        <f>I13-'Dez25'!I13</f>
        <v>-65000000</v>
      </c>
      <c r="AL13" s="76">
        <f>I13/'Dez25'!I13-1</f>
        <v>-6.6482561112815808E-2</v>
      </c>
    </row>
    <row r="14" spans="2:43" s="8" customFormat="1" x14ac:dyDescent="0.25">
      <c r="B14" t="s">
        <v>42</v>
      </c>
      <c r="E14"/>
      <c r="F14" s="7">
        <f>J14+L14+N14+P14+R14+T14</f>
        <v>1</v>
      </c>
      <c r="G14"/>
      <c r="H14" s="21" t="s">
        <v>45</v>
      </c>
      <c r="I14" s="20">
        <f>SUM(I3:I13)</f>
        <v>25193750551.059998</v>
      </c>
      <c r="J14" s="15">
        <f>K14/$I$14</f>
        <v>0.34949718777829003</v>
      </c>
      <c r="K14" s="17">
        <f>SUM(K3:K13)</f>
        <v>8805144967.1832142</v>
      </c>
      <c r="L14" s="15">
        <f>M14/$I$14</f>
        <v>0.32727518184504234</v>
      </c>
      <c r="M14" s="20">
        <f>SUM(M3:M13)</f>
        <v>8245289292.9567957</v>
      </c>
      <c r="N14" s="15">
        <f>O14/$I$14</f>
        <v>0.25498015375789657</v>
      </c>
      <c r="O14" s="17">
        <f>SUM(O3:O13)</f>
        <v>6423906389.2473698</v>
      </c>
      <c r="P14" s="15">
        <f>Q14/$I$14</f>
        <v>6.0521842129054981E-2</v>
      </c>
      <c r="Q14" s="17">
        <f>SUM(Q3:Q13)</f>
        <v>1524772193.4900451</v>
      </c>
      <c r="R14" s="15">
        <f>S14/$I$14</f>
        <v>1.2736678976147883E-3</v>
      </c>
      <c r="S14" s="17">
        <f>SUM(S3:S13)</f>
        <v>32088471.297400001</v>
      </c>
      <c r="T14" s="15">
        <f>U14/$I$14</f>
        <v>6.4519665921013861E-3</v>
      </c>
      <c r="U14" s="63">
        <f>SUM(U3:U13)</f>
        <v>162549236.88517499</v>
      </c>
      <c r="Y14" s="12">
        <f>K14-'Dez25'!K14</f>
        <v>22756281.151502609</v>
      </c>
      <c r="Z14" s="12">
        <f>M14-'Dez25'!M14</f>
        <v>-155831504.62397861</v>
      </c>
      <c r="AA14" s="12">
        <f>O14-'Dez25'!O14</f>
        <v>308537214.09850979</v>
      </c>
      <c r="AB14" s="12">
        <f>Q14-'Dez25'!Q14</f>
        <v>73998270.796132088</v>
      </c>
      <c r="AC14" s="12">
        <f>+S14-'Dez25'!S14</f>
        <v>3639429.3982000016</v>
      </c>
      <c r="AE14" s="28">
        <f>J14-'Dez25'!J14</f>
        <v>-3.2684353787713616E-3</v>
      </c>
      <c r="AF14" s="28">
        <f>L14-'Dez25'!L14</f>
        <v>-1.0175905703604271E-2</v>
      </c>
      <c r="AG14" s="28">
        <f>N14-'Dez25'!N14</f>
        <v>9.3417409035417565E-3</v>
      </c>
      <c r="AH14" s="28">
        <f>P14-'Dez25'!P14</f>
        <v>2.2480415498210074E-3</v>
      </c>
      <c r="AI14" s="28">
        <f>R14-'Dez25'!R14</f>
        <v>1.3094416349510268E-4</v>
      </c>
      <c r="AK14" s="92">
        <f>I14-'Dez25'!I14</f>
        <v>297932734.58999634</v>
      </c>
      <c r="AL14" s="76">
        <f>I14/'Dez25'!I14-1</f>
        <v>1.1967180061580374E-2</v>
      </c>
    </row>
    <row r="15" spans="2:43" x14ac:dyDescent="0.25">
      <c r="B15" t="s">
        <v>66</v>
      </c>
      <c r="F15" s="7"/>
      <c r="I15" s="10"/>
      <c r="J15" s="10"/>
      <c r="K15" s="10"/>
      <c r="L15" s="5"/>
      <c r="M15" s="10"/>
      <c r="N15" s="10"/>
      <c r="O15" s="10"/>
      <c r="P15" s="5"/>
      <c r="Q15" s="10"/>
    </row>
    <row r="16" spans="2:43" x14ac:dyDescent="0.25">
      <c r="F16" s="7"/>
      <c r="H16" s="4" t="s">
        <v>2</v>
      </c>
      <c r="I16" s="9" t="s">
        <v>4</v>
      </c>
      <c r="J16" s="112" t="s">
        <v>7</v>
      </c>
      <c r="K16" s="112"/>
      <c r="L16" s="112" t="s">
        <v>8</v>
      </c>
      <c r="M16" s="112"/>
      <c r="N16" s="112" t="s">
        <v>10</v>
      </c>
      <c r="O16" s="112"/>
      <c r="P16" s="112" t="s">
        <v>9</v>
      </c>
      <c r="Q16" s="112"/>
      <c r="R16" s="112" t="s">
        <v>21</v>
      </c>
      <c r="S16" s="112"/>
      <c r="T16" s="112" t="s">
        <v>55</v>
      </c>
      <c r="U16" s="112"/>
      <c r="Y16" s="27" t="s">
        <v>49</v>
      </c>
      <c r="Z16" s="27" t="s">
        <v>50</v>
      </c>
      <c r="AA16" s="27" t="s">
        <v>51</v>
      </c>
      <c r="AB16" s="27" t="s">
        <v>52</v>
      </c>
      <c r="AC16" s="27" t="s">
        <v>53</v>
      </c>
      <c r="AE16" s="27" t="s">
        <v>49</v>
      </c>
      <c r="AF16" s="27" t="s">
        <v>50</v>
      </c>
      <c r="AG16" s="27" t="s">
        <v>51</v>
      </c>
      <c r="AH16" s="27" t="s">
        <v>52</v>
      </c>
      <c r="AI16" s="27" t="s">
        <v>53</v>
      </c>
    </row>
    <row r="17" spans="2:39" x14ac:dyDescent="0.25">
      <c r="F17" s="7">
        <f t="shared" si="3"/>
        <v>1</v>
      </c>
      <c r="H17" s="21" t="s">
        <v>6</v>
      </c>
      <c r="I17" s="80">
        <v>378973275.57999998</v>
      </c>
      <c r="J17" s="81">
        <f>36.54%+4.83%</f>
        <v>0.41370000000000001</v>
      </c>
      <c r="K17" s="80">
        <f t="shared" ref="K17:K26" si="4">+J17*$I17</f>
        <v>156781244.10744599</v>
      </c>
      <c r="L17" s="81">
        <f>8.94%+5.39%+4.04%+3.67%</f>
        <v>0.22039999999999998</v>
      </c>
      <c r="M17" s="80">
        <f t="shared" ref="M17:M26" si="5">+L17*$I17</f>
        <v>83525709.937831998</v>
      </c>
      <c r="N17" s="81">
        <f>23.72%+0.7%</f>
        <v>0.2442</v>
      </c>
      <c r="O17" s="80">
        <f t="shared" ref="O17:O26" si="6">+N17*$I17</f>
        <v>92545273.896635994</v>
      </c>
      <c r="P17" s="81">
        <v>6.7299999999999999E-2</v>
      </c>
      <c r="Q17" s="80">
        <f t="shared" ref="Q17:Q26" si="7">+P17*$I17</f>
        <v>25504901.446533997</v>
      </c>
      <c r="R17" s="81">
        <v>0</v>
      </c>
      <c r="S17" s="80">
        <f t="shared" ref="S17:S26" si="8">+R17*$I17</f>
        <v>0</v>
      </c>
      <c r="T17" s="81">
        <f>0.0523+0.0021</f>
        <v>5.4399999999999997E-2</v>
      </c>
      <c r="U17" s="80">
        <f t="shared" ref="U17:U26" si="9">+T17*$I17</f>
        <v>20616146.191551998</v>
      </c>
      <c r="Y17" s="12">
        <f>K17-'Dez25'!K17</f>
        <v>2493297.0839699805</v>
      </c>
      <c r="Z17" s="12">
        <f>M17-'Dez25'!M17</f>
        <v>4090331.2722800076</v>
      </c>
      <c r="AA17" s="12">
        <f>O17-'Dez25'!O17</f>
        <v>5908336.1762399971</v>
      </c>
      <c r="AB17" s="12">
        <f>Q17-'Dez25'!Q17</f>
        <v>2445363.8668820001</v>
      </c>
      <c r="AC17" s="12">
        <f>+S17-'Dez25'!S17</f>
        <v>0</v>
      </c>
      <c r="AD17" s="98"/>
      <c r="AE17" s="28">
        <f>J17-'Dez25'!J17</f>
        <v>-1.0500000000000009E-2</v>
      </c>
      <c r="AF17" s="28">
        <f>L17-'Dez25'!L17</f>
        <v>1.999999999999974E-3</v>
      </c>
      <c r="AG17" s="28">
        <f>N17-'Dez25'!N17</f>
        <v>6.0000000000000053E-3</v>
      </c>
      <c r="AH17" s="28">
        <f>P17-'Dez25'!P17</f>
        <v>3.9000000000000007E-3</v>
      </c>
      <c r="AI17" s="28">
        <f>R17-'Dez25'!R17</f>
        <v>0</v>
      </c>
      <c r="AJ17" s="8"/>
      <c r="AK17" s="10">
        <f>I17-'Dez25'!I17</f>
        <v>15258171.800000012</v>
      </c>
      <c r="AL17" s="76">
        <f>I17/'Dez25'!I17-1</f>
        <v>4.1950888597766856E-2</v>
      </c>
      <c r="AM17" s="8"/>
    </row>
    <row r="18" spans="2:39" x14ac:dyDescent="0.25">
      <c r="F18" s="7">
        <f t="shared" si="3"/>
        <v>0.99999999999999989</v>
      </c>
      <c r="H18" s="3" t="s">
        <v>26</v>
      </c>
      <c r="I18" s="78">
        <v>835697742</v>
      </c>
      <c r="J18" s="77">
        <v>0.06</v>
      </c>
      <c r="K18" s="78">
        <f t="shared" si="4"/>
        <v>50141864.519999996</v>
      </c>
      <c r="L18" s="77">
        <v>0.25</v>
      </c>
      <c r="M18" s="78">
        <f t="shared" si="5"/>
        <v>208924435.5</v>
      </c>
      <c r="N18" s="77">
        <v>0.39</v>
      </c>
      <c r="O18" s="78">
        <f t="shared" si="6"/>
        <v>325922119.38</v>
      </c>
      <c r="P18" s="77">
        <v>0.18</v>
      </c>
      <c r="Q18" s="78">
        <f t="shared" si="7"/>
        <v>150425593.56</v>
      </c>
      <c r="R18" s="77">
        <v>0</v>
      </c>
      <c r="S18" s="78">
        <f t="shared" si="8"/>
        <v>0</v>
      </c>
      <c r="T18" s="77">
        <v>0.12</v>
      </c>
      <c r="U18" s="78">
        <f t="shared" si="9"/>
        <v>100283729.03999999</v>
      </c>
      <c r="Y18" s="12">
        <f>K18-'Dez25'!K18</f>
        <v>-15791281.400000006</v>
      </c>
      <c r="Z18" s="12">
        <f>M18-'Dez25'!M18</f>
        <v>-5358288.7400000095</v>
      </c>
      <c r="AA18" s="12">
        <f>O18-'Dez25'!O18</f>
        <v>20981319.5</v>
      </c>
      <c r="AB18" s="12">
        <f>Q18-'Dez25'!Q18</f>
        <v>10317658.479999989</v>
      </c>
      <c r="AC18" s="12">
        <f>+S18-'Dez25'!S18</f>
        <v>0</v>
      </c>
      <c r="AE18" s="28">
        <f>J18-'Dez25'!J18</f>
        <v>-2.0000000000000004E-2</v>
      </c>
      <c r="AF18" s="28">
        <f>L18-'Dez25'!L18</f>
        <v>-1.0000000000000009E-2</v>
      </c>
      <c r="AG18" s="28">
        <f>N18-'Dez25'!N18</f>
        <v>2.0000000000000018E-2</v>
      </c>
      <c r="AH18" s="28">
        <f>P18-'Dez25'!P18</f>
        <v>9.9999999999999811E-3</v>
      </c>
      <c r="AI18" s="28">
        <f>R18-'Dez25'!R18</f>
        <v>0</v>
      </c>
      <c r="AK18" s="10">
        <f>I18-'Dez25'!I18</f>
        <v>11533418</v>
      </c>
      <c r="AL18" s="76">
        <f>I18/'Dez25'!I18-1</f>
        <v>1.3994075773656078E-2</v>
      </c>
    </row>
    <row r="19" spans="2:39" x14ac:dyDescent="0.25">
      <c r="F19" s="7">
        <f t="shared" si="3"/>
        <v>1</v>
      </c>
      <c r="H19" s="3" t="s">
        <v>27</v>
      </c>
      <c r="I19" s="78">
        <v>568818675</v>
      </c>
      <c r="J19" s="77">
        <v>7.1999999999999995E-2</v>
      </c>
      <c r="K19" s="78">
        <f t="shared" si="4"/>
        <v>40954944.599999994</v>
      </c>
      <c r="L19" s="77">
        <v>0.26800000000000002</v>
      </c>
      <c r="M19" s="78">
        <f t="shared" si="5"/>
        <v>152443404.90000001</v>
      </c>
      <c r="N19" s="77">
        <v>0.53400000000000003</v>
      </c>
      <c r="O19" s="78">
        <f t="shared" si="6"/>
        <v>303749172.44999999</v>
      </c>
      <c r="P19" s="77">
        <v>8.2000000000000003E-2</v>
      </c>
      <c r="Q19" s="78">
        <f t="shared" si="7"/>
        <v>46643131.350000001</v>
      </c>
      <c r="R19" s="77">
        <v>0</v>
      </c>
      <c r="S19" s="78">
        <f t="shared" si="8"/>
        <v>0</v>
      </c>
      <c r="T19" s="77">
        <v>4.3999999999999997E-2</v>
      </c>
      <c r="U19" s="78">
        <f t="shared" si="9"/>
        <v>25028021.699999999</v>
      </c>
      <c r="Y19" s="12">
        <f>K19-'Dez25'!K19</f>
        <v>-15382938.640000008</v>
      </c>
      <c r="Z19" s="12">
        <f>M19-'Dez25'!M19</f>
        <v>-39802361.620000005</v>
      </c>
      <c r="AA19" s="12">
        <f>O19-'Dez25'!O19</f>
        <v>48195887.649999976</v>
      </c>
      <c r="AB19" s="12">
        <f>Q19-'Dez25'!Q19</f>
        <v>-401905.17000000179</v>
      </c>
      <c r="AC19" s="12">
        <f>+S19-'Dez25'!S19</f>
        <v>0</v>
      </c>
      <c r="AE19" s="28">
        <f>J19-'Dez25'!J19</f>
        <v>-2.5000000000000008E-2</v>
      </c>
      <c r="AF19" s="28">
        <f>L19-'Dez25'!L19</f>
        <v>-6.3E-2</v>
      </c>
      <c r="AG19" s="28">
        <f>N19-'Dez25'!N19</f>
        <v>9.4000000000000028E-2</v>
      </c>
      <c r="AH19" s="28">
        <f>P19-'Dez25'!P19</f>
        <v>1.0000000000000009E-3</v>
      </c>
      <c r="AI19" s="28">
        <f>R19-'Dez25'!R19</f>
        <v>0</v>
      </c>
      <c r="AK19" s="10">
        <f>I19-'Dez25'!I19</f>
        <v>-11984245</v>
      </c>
      <c r="AL19" s="76">
        <f>I19/'Dez25'!I19-1</f>
        <v>-2.0633926909320643E-2</v>
      </c>
    </row>
    <row r="20" spans="2:39" x14ac:dyDescent="0.25">
      <c r="B20" s="1"/>
      <c r="C20" s="1" t="s">
        <v>20</v>
      </c>
      <c r="D20" s="1"/>
      <c r="F20" s="7">
        <f t="shared" si="3"/>
        <v>1</v>
      </c>
      <c r="H20" s="3" t="s">
        <v>67</v>
      </c>
      <c r="I20" s="78">
        <v>1284698076</v>
      </c>
      <c r="J20" s="77">
        <v>0.21</v>
      </c>
      <c r="K20" s="78">
        <f t="shared" si="4"/>
        <v>269786595.95999998</v>
      </c>
      <c r="L20" s="77">
        <f>19%+6%+4%+3%</f>
        <v>0.31999999999999995</v>
      </c>
      <c r="M20" s="78">
        <f t="shared" si="5"/>
        <v>411103384.31999993</v>
      </c>
      <c r="N20" s="77">
        <f>28%+1%</f>
        <v>0.29000000000000004</v>
      </c>
      <c r="O20" s="78">
        <f t="shared" si="6"/>
        <v>372562442.04000002</v>
      </c>
      <c r="P20" s="77">
        <v>0.18</v>
      </c>
      <c r="Q20" s="78">
        <f t="shared" si="7"/>
        <v>231245653.67999998</v>
      </c>
      <c r="R20" s="77">
        <v>0</v>
      </c>
      <c r="S20" s="78">
        <f t="shared" si="8"/>
        <v>0</v>
      </c>
      <c r="T20" s="77">
        <v>0</v>
      </c>
      <c r="U20" s="78">
        <f t="shared" si="9"/>
        <v>0</v>
      </c>
      <c r="Y20" s="12">
        <f>K20-'Dez25'!K20</f>
        <v>-49198150.290000021</v>
      </c>
      <c r="Z20" s="12">
        <f>M20-'Dez25'!M20</f>
        <v>53840468.519999921</v>
      </c>
      <c r="AA20" s="12">
        <f>O20-'Dez25'!O20</f>
        <v>2540136.3900000453</v>
      </c>
      <c r="AB20" s="12">
        <f>Q20-'Dez25'!Q20</f>
        <v>1576636.3799999952</v>
      </c>
      <c r="AC20" s="12">
        <f>+S20-'Dez25'!S20</f>
        <v>0</v>
      </c>
      <c r="AE20" s="28">
        <f>J20-'Dez25'!J20</f>
        <v>-4.0000000000000008E-2</v>
      </c>
      <c r="AF20" s="28">
        <f>L20-'Dez25'!L20</f>
        <v>3.9999999999999925E-2</v>
      </c>
      <c r="AG20" s="28">
        <f>N20-'Dez25'!N20</f>
        <v>0</v>
      </c>
      <c r="AH20" s="28">
        <f>P20-'Dez25'!P20</f>
        <v>0</v>
      </c>
      <c r="AI20" s="28">
        <f>R20-'Dez25'!R20</f>
        <v>0</v>
      </c>
      <c r="AK20" s="10">
        <f>I20-'Dez25'!I20</f>
        <v>8759091</v>
      </c>
      <c r="AL20" s="76">
        <f>I20/'Dez25'!I20-1</f>
        <v>6.8648196371239312E-3</v>
      </c>
    </row>
    <row r="21" spans="2:39" x14ac:dyDescent="0.25">
      <c r="B21" t="s">
        <v>11</v>
      </c>
      <c r="C21" s="2" t="s">
        <v>10</v>
      </c>
      <c r="D21" t="s">
        <v>7</v>
      </c>
      <c r="F21" s="7">
        <f t="shared" si="3"/>
        <v>1</v>
      </c>
      <c r="H21" s="3" t="s">
        <v>32</v>
      </c>
      <c r="I21" s="78">
        <v>155000000</v>
      </c>
      <c r="J21" s="77">
        <v>0.24</v>
      </c>
      <c r="K21" s="78">
        <f t="shared" si="4"/>
        <v>37200000</v>
      </c>
      <c r="L21" s="77">
        <v>0.17</v>
      </c>
      <c r="M21" s="78">
        <f t="shared" si="5"/>
        <v>26350000.000000004</v>
      </c>
      <c r="N21" s="77">
        <v>0.47</v>
      </c>
      <c r="O21" s="78">
        <f t="shared" si="6"/>
        <v>72850000</v>
      </c>
      <c r="P21" s="77">
        <v>0.12</v>
      </c>
      <c r="Q21" s="78">
        <f t="shared" si="7"/>
        <v>18600000</v>
      </c>
      <c r="R21" s="77">
        <v>0</v>
      </c>
      <c r="S21" s="78">
        <f t="shared" si="8"/>
        <v>0</v>
      </c>
      <c r="T21" s="77">
        <v>0</v>
      </c>
      <c r="U21" s="78">
        <f t="shared" si="9"/>
        <v>0</v>
      </c>
      <c r="Y21" s="12">
        <f>K21-'Dez25'!K21</f>
        <v>-2500000</v>
      </c>
      <c r="Z21" s="12">
        <f>M21-'Dez25'!M21</f>
        <v>942000.00000000373</v>
      </c>
      <c r="AA21" s="12">
        <f>O21-'Dez25'!O21</f>
        <v>-198000</v>
      </c>
      <c r="AB21" s="12">
        <f>Q21-'Dez25'!Q21</f>
        <v>-2044000</v>
      </c>
      <c r="AC21" s="12">
        <f>+S21-'Dez25'!S21</f>
        <v>0</v>
      </c>
      <c r="AE21" s="28">
        <f>J21-'Dez25'!J21</f>
        <v>-1.0000000000000009E-2</v>
      </c>
      <c r="AF21" s="28">
        <f>L21-'Dez25'!L21</f>
        <v>1.0000000000000009E-2</v>
      </c>
      <c r="AG21" s="28">
        <f>N21-'Dez25'!N21</f>
        <v>9.9999999999999534E-3</v>
      </c>
      <c r="AH21" s="28">
        <f>P21-'Dez25'!P21</f>
        <v>-1.0000000000000009E-2</v>
      </c>
      <c r="AI21" s="28">
        <f>R21-'Dez25'!R21</f>
        <v>0</v>
      </c>
      <c r="AK21" s="10">
        <f>I21-'Dez25'!I21</f>
        <v>-3800000</v>
      </c>
      <c r="AL21" s="76">
        <f>I21/'Dez25'!I21-1</f>
        <v>-2.3929471032745564E-2</v>
      </c>
    </row>
    <row r="22" spans="2:39" x14ac:dyDescent="0.25">
      <c r="B22" t="s">
        <v>12</v>
      </c>
      <c r="C22" s="2" t="s">
        <v>16</v>
      </c>
      <c r="D22" t="s">
        <v>58</v>
      </c>
      <c r="F22" s="7">
        <f t="shared" si="3"/>
        <v>1</v>
      </c>
      <c r="H22" s="3" t="s">
        <v>33</v>
      </c>
      <c r="I22" s="78">
        <v>1286600000</v>
      </c>
      <c r="J22" s="77">
        <v>0.19</v>
      </c>
      <c r="K22" s="78">
        <f t="shared" si="4"/>
        <v>244454000</v>
      </c>
      <c r="L22" s="77">
        <v>0.28000000000000003</v>
      </c>
      <c r="M22" s="78">
        <f t="shared" si="5"/>
        <v>360248000.00000006</v>
      </c>
      <c r="N22" s="77">
        <v>0.5</v>
      </c>
      <c r="O22" s="78">
        <f t="shared" si="6"/>
        <v>643300000</v>
      </c>
      <c r="P22" s="77">
        <v>0.03</v>
      </c>
      <c r="Q22" s="78">
        <f t="shared" si="7"/>
        <v>38598000</v>
      </c>
      <c r="R22" s="77">
        <v>0</v>
      </c>
      <c r="S22" s="78">
        <f t="shared" si="8"/>
        <v>0</v>
      </c>
      <c r="T22" s="77">
        <v>0</v>
      </c>
      <c r="U22" s="78">
        <f t="shared" si="9"/>
        <v>0</v>
      </c>
      <c r="Y22" s="12">
        <f>K22-'Dez25'!K22</f>
        <v>-45274000</v>
      </c>
      <c r="Z22" s="12">
        <f>M22-'Dez25'!M22</f>
        <v>34304000.00000006</v>
      </c>
      <c r="AA22" s="12">
        <f>O22-'Dez25'!O22</f>
        <v>75916000</v>
      </c>
      <c r="AB22" s="12">
        <f>Q22-'Dez25'!Q22</f>
        <v>14454000</v>
      </c>
      <c r="AC22" s="12">
        <f>+S22-'Dez25'!S22</f>
        <v>0</v>
      </c>
      <c r="AE22" s="28">
        <f>J22-'Dez25'!J22</f>
        <v>-4.9999999999999989E-2</v>
      </c>
      <c r="AF22" s="28">
        <f>L22-'Dez25'!L22</f>
        <v>1.0000000000000009E-2</v>
      </c>
      <c r="AG22" s="28">
        <f>N22-'Dez25'!N22</f>
        <v>3.0000000000000027E-2</v>
      </c>
      <c r="AH22" s="28">
        <f>P22-'Dez25'!P22</f>
        <v>9.9999999999999985E-3</v>
      </c>
      <c r="AI22" s="28">
        <f>R22-'Dez25'!R22</f>
        <v>0</v>
      </c>
      <c r="AK22" s="10">
        <f>I22-'Dez25'!I22</f>
        <v>79400000</v>
      </c>
      <c r="AL22" s="76">
        <f>I22/'Dez25'!I22-1</f>
        <v>6.5772034459907314E-2</v>
      </c>
    </row>
    <row r="23" spans="2:39" x14ac:dyDescent="0.25">
      <c r="B23" t="s">
        <v>13</v>
      </c>
      <c r="C23" s="2" t="s">
        <v>17</v>
      </c>
      <c r="D23" t="s">
        <v>59</v>
      </c>
      <c r="F23" s="7">
        <f t="shared" si="3"/>
        <v>1</v>
      </c>
      <c r="H23" s="3" t="s">
        <v>68</v>
      </c>
      <c r="I23" s="78">
        <v>227511694</v>
      </c>
      <c r="J23" s="77">
        <v>0.50290000000000001</v>
      </c>
      <c r="K23" s="78">
        <f t="shared" si="4"/>
        <v>114415630.9126</v>
      </c>
      <c r="L23" s="77">
        <v>0.1154</v>
      </c>
      <c r="M23" s="78">
        <f t="shared" si="5"/>
        <v>26254849.487600002</v>
      </c>
      <c r="N23" s="77">
        <v>0.27360000000000001</v>
      </c>
      <c r="O23" s="78">
        <f t="shared" si="6"/>
        <v>62247199.478399999</v>
      </c>
      <c r="P23" s="77">
        <v>9.6199999999999994E-2</v>
      </c>
      <c r="Q23" s="78">
        <f t="shared" si="7"/>
        <v>21886624.9628</v>
      </c>
      <c r="R23" s="77">
        <v>0</v>
      </c>
      <c r="S23" s="78">
        <f t="shared" si="8"/>
        <v>0</v>
      </c>
      <c r="T23" s="77">
        <f>1.19%</f>
        <v>1.1899999999999999E-2</v>
      </c>
      <c r="U23" s="78">
        <f t="shared" si="9"/>
        <v>2707389.1585999997</v>
      </c>
      <c r="Y23" s="12">
        <f>K23-'Dez25'!K23</f>
        <v>7207283.3971000016</v>
      </c>
      <c r="Z23" s="12">
        <f>M23-'Dez25'!M23</f>
        <v>1183555.6799000017</v>
      </c>
      <c r="AA23" s="12">
        <f>O23-'Dez25'!O23</f>
        <v>-4475153.4790000021</v>
      </c>
      <c r="AB23" s="12">
        <f>Q23-'Dez25'!Q23</f>
        <v>41663.870299998671</v>
      </c>
      <c r="AC23" s="12">
        <f>+S23-'Dez25'!S23</f>
        <v>0</v>
      </c>
      <c r="AE23" s="28">
        <f>J23-'Dez25'!J23</f>
        <v>2.4400000000000033E-2</v>
      </c>
      <c r="AF23" s="28">
        <f>L23-'Dez25'!L23</f>
        <v>3.5000000000000031E-3</v>
      </c>
      <c r="AG23" s="28">
        <f>N23-'Dez25'!N23</f>
        <v>-2.4199999999999999E-2</v>
      </c>
      <c r="AH23" s="28">
        <f>P23-'Dez25'!P23</f>
        <v>-1.3000000000000095E-3</v>
      </c>
      <c r="AI23" s="28">
        <f>R23-'Dez25'!R23</f>
        <v>0</v>
      </c>
      <c r="AK23" s="10">
        <f>I23-'Dez25'!I23</f>
        <v>3460811</v>
      </c>
      <c r="AL23" s="76">
        <f>I23/'Dez25'!I23-1</f>
        <v>1.5446540328966307E-2</v>
      </c>
    </row>
    <row r="24" spans="2:39" x14ac:dyDescent="0.25">
      <c r="B24" t="s">
        <v>14</v>
      </c>
      <c r="C24" s="2" t="s">
        <v>18</v>
      </c>
      <c r="F24" s="7">
        <f t="shared" si="3"/>
        <v>1.0000000000000002</v>
      </c>
      <c r="H24" s="3" t="s">
        <v>35</v>
      </c>
      <c r="I24" s="78">
        <v>547982661.90999997</v>
      </c>
      <c r="J24" s="77">
        <v>9.0999999999999998E-2</v>
      </c>
      <c r="K24" s="78">
        <f t="shared" si="4"/>
        <v>49866422.233809993</v>
      </c>
      <c r="L24" s="77">
        <f>36.9%+0.6%+6.1%</f>
        <v>0.436</v>
      </c>
      <c r="M24" s="78">
        <f t="shared" si="5"/>
        <v>238920440.59276</v>
      </c>
      <c r="N24" s="77">
        <f>35.1%+0.1%+1.9%</f>
        <v>0.37100000000000005</v>
      </c>
      <c r="O24" s="78">
        <f t="shared" si="6"/>
        <v>203301567.56861001</v>
      </c>
      <c r="P24" s="77">
        <v>0.10199999999999999</v>
      </c>
      <c r="Q24" s="78">
        <f t="shared" si="7"/>
        <v>55894231.514819995</v>
      </c>
      <c r="R24" s="77">
        <v>0</v>
      </c>
      <c r="S24" s="78">
        <f t="shared" si="8"/>
        <v>0</v>
      </c>
      <c r="T24" s="77">
        <v>0</v>
      </c>
      <c r="U24" s="78">
        <f t="shared" si="9"/>
        <v>0</v>
      </c>
      <c r="Y24" s="12">
        <f>K24-'Dez25'!K24</f>
        <v>1821087.1302099898</v>
      </c>
      <c r="Z24" s="12">
        <f>M24-'Dez25'!M24</f>
        <v>-4439626.3450400233</v>
      </c>
      <c r="AA24" s="12">
        <f>O24-'Dez25'!O24</f>
        <v>22087097.123510033</v>
      </c>
      <c r="AB24" s="12">
        <f>Q24-'Dez25'!Q24</f>
        <v>6282200.7013199925</v>
      </c>
      <c r="AC24" s="12">
        <f>+S24-'Dez25'!S24</f>
        <v>0</v>
      </c>
      <c r="AE24" s="28">
        <f>J24-'Dez25'!J24</f>
        <v>-1.0000000000000009E-3</v>
      </c>
      <c r="AF24" s="28">
        <f>L24-'Dez25'!L24</f>
        <v>-3.0000000000000027E-2</v>
      </c>
      <c r="AG24" s="28">
        <f>N24-'Dez25'!N24</f>
        <v>2.4000000000000077E-2</v>
      </c>
      <c r="AH24" s="28">
        <f>P24-'Dez25'!P24</f>
        <v>6.9999999999999923E-3</v>
      </c>
      <c r="AI24" s="28">
        <f>R24-'Dez25'!R24</f>
        <v>0</v>
      </c>
      <c r="AK24" s="10">
        <f>I24-'Dez25'!I24</f>
        <v>25750758.609999955</v>
      </c>
      <c r="AL24" s="76">
        <f>I24/'Dez25'!I24-1</f>
        <v>4.9309049193050347E-2</v>
      </c>
    </row>
    <row r="25" spans="2:39" x14ac:dyDescent="0.25">
      <c r="B25" t="s">
        <v>15</v>
      </c>
      <c r="C25" s="2" t="s">
        <v>19</v>
      </c>
      <c r="F25" s="7">
        <f t="shared" si="3"/>
        <v>0.99999999999999989</v>
      </c>
      <c r="H25" s="3" t="s">
        <v>36</v>
      </c>
      <c r="I25" s="78">
        <v>621100000</v>
      </c>
      <c r="J25" s="77">
        <v>0.21</v>
      </c>
      <c r="K25" s="78">
        <f t="shared" si="4"/>
        <v>130431000</v>
      </c>
      <c r="L25" s="77">
        <v>0.26</v>
      </c>
      <c r="M25" s="78">
        <f t="shared" si="5"/>
        <v>161486000</v>
      </c>
      <c r="N25" s="77">
        <v>0.44</v>
      </c>
      <c r="O25" s="78">
        <f t="shared" si="6"/>
        <v>273284000</v>
      </c>
      <c r="P25" s="77">
        <v>0.09</v>
      </c>
      <c r="Q25" s="78">
        <f t="shared" si="7"/>
        <v>55899000</v>
      </c>
      <c r="R25" s="77">
        <v>0</v>
      </c>
      <c r="S25" s="78">
        <f t="shared" si="8"/>
        <v>0</v>
      </c>
      <c r="T25" s="77">
        <v>0</v>
      </c>
      <c r="U25" s="78">
        <f t="shared" si="9"/>
        <v>0</v>
      </c>
      <c r="Y25" s="12">
        <f>K25-'Dez25'!K25</f>
        <v>3991000</v>
      </c>
      <c r="Z25" s="12">
        <f>M25-'Dez25'!M25</f>
        <v>-2886000</v>
      </c>
      <c r="AA25" s="12">
        <f>O25-'Dez25'!O25</f>
        <v>-4884000</v>
      </c>
      <c r="AB25" s="12">
        <f>Q25-'Dez25'!Q25</f>
        <v>-7321000</v>
      </c>
      <c r="AC25" s="12">
        <f>+S25-'Dez25'!S25</f>
        <v>0</v>
      </c>
      <c r="AE25" s="28">
        <f>J25-'Dez25'!J25</f>
        <v>9.9999999999999811E-3</v>
      </c>
      <c r="AF25" s="28">
        <f>L25-'Dez25'!L25</f>
        <v>0</v>
      </c>
      <c r="AG25" s="28">
        <f>N25-'Dez25'!N25</f>
        <v>0</v>
      </c>
      <c r="AH25" s="28">
        <f>P25-'Dez25'!P25</f>
        <v>-1.0000000000000009E-2</v>
      </c>
      <c r="AI25" s="28">
        <f>R25-'Dez25'!R25</f>
        <v>0</v>
      </c>
      <c r="AK25" s="10">
        <f>I25-'Dez25'!I25</f>
        <v>-11100000</v>
      </c>
      <c r="AL25" s="76">
        <f>I25/'Dez25'!I25-1</f>
        <v>-1.7557734894020904E-2</v>
      </c>
    </row>
    <row r="26" spans="2:39" x14ac:dyDescent="0.25">
      <c r="B26" t="s">
        <v>57</v>
      </c>
      <c r="F26" s="7">
        <f>J26+L26+N26+P26+R26+T26</f>
        <v>1</v>
      </c>
      <c r="H26" s="3" t="s">
        <v>65</v>
      </c>
      <c r="I26" s="78">
        <v>2065700000</v>
      </c>
      <c r="J26" s="77">
        <v>0.37</v>
      </c>
      <c r="K26" s="78">
        <f t="shared" si="4"/>
        <v>764309000</v>
      </c>
      <c r="L26" s="77">
        <v>0.19</v>
      </c>
      <c r="M26" s="78">
        <f t="shared" si="5"/>
        <v>392483000</v>
      </c>
      <c r="N26" s="77">
        <v>0.42</v>
      </c>
      <c r="O26" s="78">
        <f t="shared" si="6"/>
        <v>867594000</v>
      </c>
      <c r="P26" s="77">
        <v>0.02</v>
      </c>
      <c r="Q26" s="78">
        <f t="shared" si="7"/>
        <v>41314000</v>
      </c>
      <c r="R26" s="77">
        <v>0</v>
      </c>
      <c r="S26" s="78">
        <f t="shared" si="8"/>
        <v>0</v>
      </c>
      <c r="T26" s="77">
        <v>0</v>
      </c>
      <c r="U26" s="78">
        <f t="shared" si="9"/>
        <v>0</v>
      </c>
      <c r="Y26" s="12">
        <f>K26-'Dez25'!K26</f>
        <v>-18389000</v>
      </c>
      <c r="Z26" s="12">
        <f>M26-'Dez25'!M26</f>
        <v>32865000</v>
      </c>
      <c r="AA26" s="12">
        <f>O26-'Dez25'!O26</f>
        <v>63742000</v>
      </c>
      <c r="AB26" s="12">
        <f>Q26-'Dez25'!Q26</f>
        <v>-127918000</v>
      </c>
      <c r="AC26" s="12">
        <f>+S26-'Dez25'!S26</f>
        <v>0</v>
      </c>
      <c r="AE26" s="28">
        <f>J26-'Dez25'!J26</f>
        <v>0</v>
      </c>
      <c r="AF26" s="28">
        <f>L26-'Dez25'!L26</f>
        <v>1.999999999999999E-2</v>
      </c>
      <c r="AG26" s="28">
        <f>N26-'Dez25'!N26</f>
        <v>3.999999999999998E-2</v>
      </c>
      <c r="AH26" s="28">
        <f>P26-'Dez25'!P26</f>
        <v>-0.06</v>
      </c>
      <c r="AI26" s="28">
        <f>R26-'Dez25'!R26</f>
        <v>0</v>
      </c>
      <c r="AK26" s="10">
        <f>I26-'Dez25'!I26</f>
        <v>-49700000</v>
      </c>
      <c r="AL26" s="76">
        <f>I26/'Dez25'!I26-1</f>
        <v>-2.3494374586366606E-2</v>
      </c>
    </row>
    <row r="27" spans="2:39" s="8" customFormat="1" x14ac:dyDescent="0.25">
      <c r="B27"/>
      <c r="C27"/>
      <c r="E27"/>
      <c r="F27" s="7">
        <f t="shared" si="3"/>
        <v>1</v>
      </c>
      <c r="G27"/>
      <c r="H27" s="21" t="s">
        <v>45</v>
      </c>
      <c r="I27" s="20">
        <f>SUM(I17:I26)</f>
        <v>7972082124.4899998</v>
      </c>
      <c r="J27" s="15">
        <f>K27/$I$27</f>
        <v>0.23310606605833734</v>
      </c>
      <c r="K27" s="63">
        <f>SUM(K17:K26)</f>
        <v>1858340702.3338561</v>
      </c>
      <c r="L27" s="15">
        <f>M27/$I$27</f>
        <v>0.25861991792640848</v>
      </c>
      <c r="M27" s="62">
        <f>SUM(M17:M26)</f>
        <v>2061739224.7381921</v>
      </c>
      <c r="N27" s="15">
        <f>O27/$I$27</f>
        <v>0.40357785137837759</v>
      </c>
      <c r="O27" s="63">
        <f>SUM(O17:O26)</f>
        <v>3217355774.8136458</v>
      </c>
      <c r="P27" s="15">
        <f>Q27/$I$27</f>
        <v>8.605168960901044E-2</v>
      </c>
      <c r="Q27" s="63">
        <f>SUM(Q17:Q26)</f>
        <v>686011136.51415396</v>
      </c>
      <c r="R27" s="15">
        <f>S27/$I$27</f>
        <v>0</v>
      </c>
      <c r="S27" s="63">
        <f>SUM(S17:S26)</f>
        <v>0</v>
      </c>
      <c r="T27" s="15">
        <f>U27/$I$27</f>
        <v>1.8644475027866158E-2</v>
      </c>
      <c r="U27" s="17">
        <f>SUM(U17:U26)</f>
        <v>148635286.090152</v>
      </c>
      <c r="Y27" s="12">
        <f>K27-'Dez25'!K27</f>
        <v>-131022702.71871972</v>
      </c>
      <c r="Z27" s="12">
        <f>M27-'Dez25'!M27</f>
        <v>74739078.76714015</v>
      </c>
      <c r="AA27" s="12">
        <f>O27-'Dez25'!O27</f>
        <v>229813623.36074972</v>
      </c>
      <c r="AB27" s="12">
        <f>Q27-'Dez25'!Q27</f>
        <v>-102567381.87149811</v>
      </c>
      <c r="AC27" s="12">
        <f>+S27-'Dez25'!S27</f>
        <v>0</v>
      </c>
      <c r="AE27" s="28">
        <f>J27-'Dez25'!J27</f>
        <v>-1.8568596271285986E-2</v>
      </c>
      <c r="AF27" s="28">
        <f>L27-'Dez25'!L27</f>
        <v>7.2442318571452891E-3</v>
      </c>
      <c r="AG27" s="28">
        <f>N27-'Dez25'!N27</f>
        <v>2.5623446339669842E-2</v>
      </c>
      <c r="AH27" s="28">
        <f>P27-'Dez25'!P27</f>
        <v>-1.3711496861114919E-2</v>
      </c>
      <c r="AI27" s="28">
        <f>R27-'Dez25'!R27</f>
        <v>0</v>
      </c>
      <c r="AK27" s="92">
        <f>I27-'Dez25'!I27</f>
        <v>67578005.409999847</v>
      </c>
      <c r="AL27" s="76">
        <f>I27/'Dez25'!I27-1</f>
        <v>8.54930358589856E-3</v>
      </c>
    </row>
    <row r="28" spans="2:39" x14ac:dyDescent="0.25">
      <c r="F28" s="7"/>
      <c r="I28" s="10"/>
      <c r="J28" s="10"/>
      <c r="K28" s="10"/>
      <c r="L28" s="5"/>
      <c r="M28" s="10"/>
      <c r="N28" s="10"/>
      <c r="O28" s="10"/>
      <c r="P28" s="5"/>
      <c r="Q28" s="10"/>
    </row>
    <row r="29" spans="2:39" x14ac:dyDescent="0.25">
      <c r="F29" s="7"/>
      <c r="H29" s="4" t="s">
        <v>38</v>
      </c>
      <c r="I29" s="9" t="s">
        <v>4</v>
      </c>
      <c r="J29" s="113" t="s">
        <v>7</v>
      </c>
      <c r="K29" s="113"/>
      <c r="L29" s="112" t="s">
        <v>8</v>
      </c>
      <c r="M29" s="112"/>
      <c r="N29" s="112" t="s">
        <v>10</v>
      </c>
      <c r="O29" s="112"/>
      <c r="P29" s="112" t="s">
        <v>9</v>
      </c>
      <c r="Q29" s="112"/>
      <c r="R29" s="112" t="s">
        <v>40</v>
      </c>
      <c r="S29" s="112"/>
      <c r="T29" s="112" t="s">
        <v>55</v>
      </c>
      <c r="U29" s="112"/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  <c r="AE29" s="27" t="s">
        <v>49</v>
      </c>
      <c r="AF29" s="27" t="s">
        <v>50</v>
      </c>
      <c r="AG29" s="27" t="s">
        <v>51</v>
      </c>
      <c r="AH29" s="27" t="s">
        <v>52</v>
      </c>
      <c r="AI29" s="27" t="s">
        <v>54</v>
      </c>
    </row>
    <row r="30" spans="2:39" x14ac:dyDescent="0.25">
      <c r="F30" s="7">
        <f>J30+L30+N30+P30+R30+T30</f>
        <v>1</v>
      </c>
      <c r="H30" s="21" t="s">
        <v>39</v>
      </c>
      <c r="I30" s="94">
        <v>226991035.81999999</v>
      </c>
      <c r="J30" s="81">
        <f>12.73%+1.38%</f>
        <v>0.1411</v>
      </c>
      <c r="K30" s="80">
        <f t="shared" ref="K30:K35" si="10">+J30*$I30</f>
        <v>32028435.154201999</v>
      </c>
      <c r="L30" s="81">
        <f>10%+7.68%+2.99%</f>
        <v>0.20670000000000002</v>
      </c>
      <c r="M30" s="80">
        <f t="shared" ref="M30:M35" si="11">+L30*$I30</f>
        <v>46919047.103994004</v>
      </c>
      <c r="N30" s="81">
        <f>38.56%+1.85%+1.07%-0.55%</f>
        <v>0.4093</v>
      </c>
      <c r="O30" s="80">
        <f t="shared" ref="O30:O35" si="12">+N30*$I30</f>
        <v>92907430.961126</v>
      </c>
      <c r="P30" s="81">
        <v>0.15770000000000001</v>
      </c>
      <c r="Q30" s="80">
        <f t="shared" ref="Q30:Q35" si="13">+P30*$I30</f>
        <v>35796486.348814003</v>
      </c>
      <c r="R30" s="88">
        <v>5.7000000000000002E-2</v>
      </c>
      <c r="S30" s="80">
        <f t="shared" ref="S30:S35" si="14">+R30*$I30</f>
        <v>12938489.04174</v>
      </c>
      <c r="T30" s="81">
        <v>2.8199999999999999E-2</v>
      </c>
      <c r="U30" s="80">
        <f t="shared" ref="U30:U35" si="15">+T30*$I30</f>
        <v>6401147.210124</v>
      </c>
      <c r="V30" s="8"/>
      <c r="Y30" s="12">
        <f>K30-'Dez25'!K30</f>
        <v>1762398.4573299997</v>
      </c>
      <c r="Z30" s="12">
        <f>M30-'Dez25'!M30</f>
        <v>629814.50877799839</v>
      </c>
      <c r="AA30" s="12">
        <f>O30-'Dez25'!O30</f>
        <v>-1000666.5190420002</v>
      </c>
      <c r="AB30" s="12">
        <f>Q30-'Dez25'!Q30</f>
        <v>144312.0714860037</v>
      </c>
      <c r="AC30" s="12">
        <f>+S30-'Dez25'!S30</f>
        <v>-538122.97965199873</v>
      </c>
      <c r="AD30" s="98"/>
      <c r="AE30" s="28">
        <f>J30-'Dez25'!J30</f>
        <v>6.8000000000000005E-3</v>
      </c>
      <c r="AF30" s="28">
        <f>L30-'Dez25'!L30</f>
        <v>1.2999999999999956E-3</v>
      </c>
      <c r="AG30" s="28">
        <f>N30-'Dez25'!N30</f>
        <v>-7.4000000000000177E-3</v>
      </c>
      <c r="AH30" s="28">
        <f>P30-'Dez25'!P30</f>
        <v>-5.0000000000000044E-4</v>
      </c>
      <c r="AI30" s="28">
        <f>R30-'Dez25'!R30</f>
        <v>-2.7999999999999969E-3</v>
      </c>
      <c r="AJ30" s="8"/>
      <c r="AK30" s="10">
        <f>I30-'Dez25'!I30</f>
        <v>1629630.7800000012</v>
      </c>
      <c r="AL30" s="76">
        <f>I30/'Dez25'!I30-1</f>
        <v>7.2311884091722511E-3</v>
      </c>
      <c r="AM30" s="8"/>
    </row>
    <row r="31" spans="2:39" hidden="1" outlineLevel="1" x14ac:dyDescent="0.25">
      <c r="F31" s="7">
        <f t="shared" si="3"/>
        <v>0</v>
      </c>
      <c r="H31" s="3" t="s">
        <v>56</v>
      </c>
      <c r="I31" s="78"/>
      <c r="J31" s="77"/>
      <c r="K31" s="78">
        <f t="shared" si="10"/>
        <v>0</v>
      </c>
      <c r="L31" s="77"/>
      <c r="M31" s="78">
        <f t="shared" si="11"/>
        <v>0</v>
      </c>
      <c r="N31" s="77"/>
      <c r="O31" s="78">
        <f t="shared" si="12"/>
        <v>0</v>
      </c>
      <c r="P31" s="77"/>
      <c r="Q31" s="78">
        <f t="shared" si="13"/>
        <v>0</v>
      </c>
      <c r="R31" s="77"/>
      <c r="S31" s="78">
        <f t="shared" si="14"/>
        <v>0</v>
      </c>
      <c r="T31" s="77"/>
      <c r="U31" s="78">
        <f t="shared" si="15"/>
        <v>0</v>
      </c>
      <c r="Y31" s="12">
        <f>K31-'Dez25'!K31</f>
        <v>0</v>
      </c>
      <c r="Z31" s="12">
        <f>M31-'Dez25'!M31</f>
        <v>0</v>
      </c>
      <c r="AA31" s="12">
        <f>O31-'Dez25'!O31</f>
        <v>0</v>
      </c>
      <c r="AB31" s="12">
        <f>Q31-'Dez25'!Q31</f>
        <v>0</v>
      </c>
      <c r="AC31" s="12">
        <f>+S31-'Dez25'!S31</f>
        <v>0</v>
      </c>
      <c r="AE31" s="28">
        <f>J31-'Dez25'!J31</f>
        <v>0</v>
      </c>
      <c r="AF31" s="28">
        <f>L31-'Dez25'!L31</f>
        <v>0</v>
      </c>
      <c r="AG31" s="28">
        <f>N31-'Dez25'!N31</f>
        <v>0</v>
      </c>
      <c r="AH31" s="28">
        <f>P31-'Dez25'!P31</f>
        <v>0</v>
      </c>
      <c r="AI31" s="28">
        <f>R31-'Dez25'!R31</f>
        <v>0</v>
      </c>
      <c r="AK31" s="10">
        <f>I31-'Dez25'!I31</f>
        <v>0</v>
      </c>
      <c r="AL31" s="76" t="e">
        <f>I31/'Dez25'!I31-1</f>
        <v>#DIV/0!</v>
      </c>
    </row>
    <row r="32" spans="2:39" collapsed="1" x14ac:dyDescent="0.25">
      <c r="F32" s="7">
        <f t="shared" si="3"/>
        <v>1</v>
      </c>
      <c r="H32" s="3" t="s">
        <v>42</v>
      </c>
      <c r="I32" s="84">
        <v>285321710</v>
      </c>
      <c r="J32" s="77">
        <v>0.08</v>
      </c>
      <c r="K32" s="78">
        <f t="shared" si="10"/>
        <v>22825736.800000001</v>
      </c>
      <c r="L32" s="77">
        <v>0.12</v>
      </c>
      <c r="M32" s="78">
        <f t="shared" si="11"/>
        <v>34238605.199999996</v>
      </c>
      <c r="N32" s="77">
        <v>0.5</v>
      </c>
      <c r="O32" s="78">
        <f t="shared" si="12"/>
        <v>142660855</v>
      </c>
      <c r="P32" s="77">
        <v>0.09</v>
      </c>
      <c r="Q32" s="78">
        <f t="shared" si="13"/>
        <v>25678953.899999999</v>
      </c>
      <c r="R32" s="77">
        <v>0.18</v>
      </c>
      <c r="S32" s="78">
        <f t="shared" si="14"/>
        <v>51357907.799999997</v>
      </c>
      <c r="T32" s="77">
        <v>0.03</v>
      </c>
      <c r="U32" s="78">
        <f t="shared" si="15"/>
        <v>8559651.2999999989</v>
      </c>
      <c r="Y32" s="12">
        <f>K32-'Dez25'!K32</f>
        <v>956671.12000000104</v>
      </c>
      <c r="Z32" s="12">
        <f>M32-'Dez25'!M32</f>
        <v>1435006.679999996</v>
      </c>
      <c r="AA32" s="12">
        <f>O32-'Dez25'!O32</f>
        <v>19647360.549999997</v>
      </c>
      <c r="AB32" s="12">
        <f>Q32-'Dez25'!Q32</f>
        <v>3809888.2199999988</v>
      </c>
      <c r="AC32" s="12">
        <f>+S32-'Dez25'!S32</f>
        <v>2152510.0199999958</v>
      </c>
      <c r="AE32" s="28">
        <f>J32-'Dez25'!J32</f>
        <v>0</v>
      </c>
      <c r="AF32" s="28">
        <f>L32-'Dez25'!L32</f>
        <v>0</v>
      </c>
      <c r="AG32" s="28">
        <f>N32-'Dez25'!N32</f>
        <v>4.9999999999999989E-2</v>
      </c>
      <c r="AH32" s="28">
        <f>P32-'Dez25'!P32</f>
        <v>9.999999999999995E-3</v>
      </c>
      <c r="AI32" s="28">
        <f>R32-'Dez25'!R32</f>
        <v>0</v>
      </c>
      <c r="AK32" s="10">
        <f>I32-'Dez25'!I32</f>
        <v>11958389</v>
      </c>
      <c r="AL32" s="76">
        <f>I32/'Dez25'!I32-1</f>
        <v>4.3745404307551583E-2</v>
      </c>
    </row>
    <row r="33" spans="5:38" x14ac:dyDescent="0.25">
      <c r="F33" s="7">
        <f t="shared" si="3"/>
        <v>1</v>
      </c>
      <c r="H33" s="3" t="s">
        <v>69</v>
      </c>
      <c r="I33" s="84">
        <v>462594490</v>
      </c>
      <c r="J33" s="77">
        <v>0.17</v>
      </c>
      <c r="K33" s="78">
        <f t="shared" si="10"/>
        <v>78641063.300000012</v>
      </c>
      <c r="L33" s="77">
        <f>9%+6%+3%+1%</f>
        <v>0.19</v>
      </c>
      <c r="M33" s="78">
        <f t="shared" si="11"/>
        <v>87892953.099999994</v>
      </c>
      <c r="N33" s="77">
        <v>0.45</v>
      </c>
      <c r="O33" s="78">
        <f t="shared" si="12"/>
        <v>208167520.5</v>
      </c>
      <c r="P33" s="77">
        <v>0.18</v>
      </c>
      <c r="Q33" s="78">
        <f t="shared" si="13"/>
        <v>83267008.200000003</v>
      </c>
      <c r="R33" s="77">
        <v>0</v>
      </c>
      <c r="S33" s="78">
        <f t="shared" si="14"/>
        <v>0</v>
      </c>
      <c r="T33" s="77">
        <v>0.01</v>
      </c>
      <c r="U33" s="78">
        <f t="shared" si="15"/>
        <v>4625944.9000000004</v>
      </c>
      <c r="Y33" s="12">
        <f>K33-'Dez25'!K33</f>
        <v>-4452927.8199999779</v>
      </c>
      <c r="Z33" s="12">
        <f>M33-'Dez25'!M33</f>
        <v>-9050036.5400000215</v>
      </c>
      <c r="AA33" s="12">
        <f>O33-'Dez25'!O33</f>
        <v>14281541.219999999</v>
      </c>
      <c r="AB33" s="12">
        <f>Q33-'Dez25'!Q33</f>
        <v>173017.08000001311</v>
      </c>
      <c r="AC33" s="12">
        <f>+S33-'Dez25'!S33</f>
        <v>0</v>
      </c>
      <c r="AE33" s="28">
        <f>J33-'Dez25'!J33</f>
        <v>-9.9999999999999811E-3</v>
      </c>
      <c r="AF33" s="28">
        <f>L33-'Dez25'!L33</f>
        <v>-2.0000000000000018E-2</v>
      </c>
      <c r="AG33" s="28">
        <f>N33-'Dez25'!N33</f>
        <v>3.0000000000000027E-2</v>
      </c>
      <c r="AH33" s="28">
        <f>P33-'Dez25'!P33</f>
        <v>0</v>
      </c>
      <c r="AI33" s="28">
        <f>R33-'Dez25'!R33</f>
        <v>0</v>
      </c>
      <c r="AK33" s="10">
        <f>I33-'Dez25'!I33</f>
        <v>961206</v>
      </c>
      <c r="AL33" s="76">
        <f>I33/'Dez25'!I33-1</f>
        <v>2.0821852178232181E-3</v>
      </c>
    </row>
    <row r="34" spans="5:38" x14ac:dyDescent="0.25">
      <c r="F34" s="7">
        <f t="shared" si="3"/>
        <v>1</v>
      </c>
      <c r="H34" s="3" t="s">
        <v>44</v>
      </c>
      <c r="I34" s="84">
        <v>75500000</v>
      </c>
      <c r="J34" s="77">
        <v>0.04</v>
      </c>
      <c r="K34" s="78">
        <f t="shared" si="10"/>
        <v>3020000</v>
      </c>
      <c r="L34" s="77">
        <v>0.25</v>
      </c>
      <c r="M34" s="78">
        <f t="shared" si="11"/>
        <v>18875000</v>
      </c>
      <c r="N34" s="77">
        <v>0.54</v>
      </c>
      <c r="O34" s="78">
        <f t="shared" si="12"/>
        <v>40770000</v>
      </c>
      <c r="P34" s="77">
        <v>0.02</v>
      </c>
      <c r="Q34" s="78">
        <f t="shared" si="13"/>
        <v>1510000</v>
      </c>
      <c r="R34" s="77">
        <v>0.15</v>
      </c>
      <c r="S34" s="78">
        <f t="shared" si="14"/>
        <v>11325000</v>
      </c>
      <c r="T34" s="77">
        <v>0</v>
      </c>
      <c r="U34" s="78">
        <f t="shared" si="15"/>
        <v>0</v>
      </c>
      <c r="Y34" s="12">
        <f>K34-'Dez25'!K34</f>
        <v>-3451000</v>
      </c>
      <c r="Z34" s="12">
        <f>M34-'Dez25'!M34</f>
        <v>5214000</v>
      </c>
      <c r="AA34" s="12">
        <f>O34-'Dez25'!O34</f>
        <v>2663000</v>
      </c>
      <c r="AB34" s="12">
        <f>Q34-'Dez25'!Q34</f>
        <v>72000</v>
      </c>
      <c r="AC34" s="12">
        <f>+S34-'Dez25'!S34</f>
        <v>-898000</v>
      </c>
      <c r="AE34" s="28">
        <f>J34-'Dez25'!J34</f>
        <v>-4.9999999999999996E-2</v>
      </c>
      <c r="AF34" s="28">
        <f>L34-'Dez25'!L34</f>
        <v>0.06</v>
      </c>
      <c r="AG34" s="28">
        <f>N34-'Dez25'!N34</f>
        <v>1.0000000000000009E-2</v>
      </c>
      <c r="AH34" s="28">
        <f>P34-'Dez25'!P34</f>
        <v>0</v>
      </c>
      <c r="AI34" s="28">
        <f>R34-'Dez25'!R34</f>
        <v>-2.0000000000000018E-2</v>
      </c>
      <c r="AK34" s="10">
        <f>I34-'Dez25'!I34</f>
        <v>3600000</v>
      </c>
      <c r="AL34" s="76">
        <f>I34/'Dez25'!I34-1</f>
        <v>5.0069541029207132E-2</v>
      </c>
    </row>
    <row r="35" spans="5:38" x14ac:dyDescent="0.25">
      <c r="F35" s="7">
        <f t="shared" si="3"/>
        <v>1</v>
      </c>
      <c r="H35" s="3" t="s">
        <v>66</v>
      </c>
      <c r="I35" s="84">
        <v>333400000</v>
      </c>
      <c r="J35" s="77">
        <v>0.13</v>
      </c>
      <c r="K35" s="78">
        <f t="shared" si="10"/>
        <v>43342000</v>
      </c>
      <c r="L35" s="77">
        <v>0.03</v>
      </c>
      <c r="M35" s="78">
        <f t="shared" si="11"/>
        <v>10002000</v>
      </c>
      <c r="N35" s="77">
        <v>0.52</v>
      </c>
      <c r="O35" s="78">
        <f t="shared" si="12"/>
        <v>173368000</v>
      </c>
      <c r="P35" s="77">
        <v>0.16</v>
      </c>
      <c r="Q35" s="78">
        <f t="shared" si="13"/>
        <v>53344000</v>
      </c>
      <c r="R35" s="77">
        <v>0.16</v>
      </c>
      <c r="S35" s="78">
        <f t="shared" si="14"/>
        <v>53344000</v>
      </c>
      <c r="T35" s="77">
        <v>0</v>
      </c>
      <c r="U35" s="78">
        <f t="shared" si="15"/>
        <v>0</v>
      </c>
      <c r="Y35" s="12">
        <f>K35-'Dez25'!K35</f>
        <v>27032000</v>
      </c>
      <c r="Z35" s="12">
        <f>M35-'Dez25'!M35</f>
        <v>6740000</v>
      </c>
      <c r="AA35" s="12">
        <f>O35-'Dez25'!O35</f>
        <v>29840000</v>
      </c>
      <c r="AB35" s="12">
        <f>Q35-'Dez25'!Q35</f>
        <v>-70612000</v>
      </c>
      <c r="AC35" s="12">
        <f>+S35-'Dez25'!S35</f>
        <v>14200000</v>
      </c>
      <c r="AE35" s="28">
        <f>J35-'Dez25'!J35</f>
        <v>0.08</v>
      </c>
      <c r="AF35" s="28">
        <f>L35-'Dez25'!L35</f>
        <v>1.9999999999999997E-2</v>
      </c>
      <c r="AG35" s="28">
        <f>N35-'Dez25'!N35</f>
        <v>8.0000000000000016E-2</v>
      </c>
      <c r="AH35" s="28">
        <f>P35-'Dez25'!P35</f>
        <v>-0.22</v>
      </c>
      <c r="AI35" s="28">
        <f>R35-'Dez25'!R35</f>
        <v>4.0000000000000008E-2</v>
      </c>
      <c r="AK35" s="10">
        <f>I35-'Dez25'!I35</f>
        <v>7200000</v>
      </c>
      <c r="AL35" s="76">
        <f>I35/'Dez25'!I35-1</f>
        <v>2.2072348252605734E-2</v>
      </c>
    </row>
    <row r="36" spans="5:38" s="8" customFormat="1" x14ac:dyDescent="0.25">
      <c r="E36"/>
      <c r="F36" s="7">
        <f t="shared" si="3"/>
        <v>0.99999999999999989</v>
      </c>
      <c r="G36"/>
      <c r="H36" s="3" t="s">
        <v>45</v>
      </c>
      <c r="I36" s="17">
        <f>SUM(I30:I35)</f>
        <v>1383807235.8199999</v>
      </c>
      <c r="J36" s="15">
        <f>+K36/$I$36</f>
        <v>0.12997275241708384</v>
      </c>
      <c r="K36" s="17">
        <f>SUM(K30:K35)</f>
        <v>179857235.25420201</v>
      </c>
      <c r="L36" s="15">
        <f>+M36/$I$36</f>
        <v>0.14303119703425196</v>
      </c>
      <c r="M36" s="17">
        <f>SUM(M30:M35)</f>
        <v>197927605.40399399</v>
      </c>
      <c r="N36" s="15">
        <f>+O36/$I$36</f>
        <v>0.47540856083997202</v>
      </c>
      <c r="O36" s="17">
        <f>SUM(O30:O35)</f>
        <v>657873806.46112597</v>
      </c>
      <c r="P36" s="15">
        <f>+Q36/$I$36</f>
        <v>0.14423717645220979</v>
      </c>
      <c r="Q36" s="17">
        <f>SUM(Q30:Q35)</f>
        <v>199596448.448814</v>
      </c>
      <c r="R36" s="15">
        <f>+S36/$I$36</f>
        <v>9.3196070596725286E-2</v>
      </c>
      <c r="S36" s="17">
        <f>SUM(S30:S35)</f>
        <v>128965396.84174</v>
      </c>
      <c r="T36" s="15">
        <f>+U36/$I$36</f>
        <v>1.4154242659757101E-2</v>
      </c>
      <c r="U36" s="63">
        <f>SUM(U30:U35)</f>
        <v>19586743.410123996</v>
      </c>
      <c r="Y36" s="12">
        <f>K36-'Dez25'!K36</f>
        <v>21847141.75733</v>
      </c>
      <c r="Z36" s="12">
        <f>M36-'Dez25'!M36</f>
        <v>4968784.6487779915</v>
      </c>
      <c r="AA36" s="12">
        <f>O36-'Dez25'!O36</f>
        <v>65431235.250957966</v>
      </c>
      <c r="AB36" s="12">
        <f>Q36-'Dez25'!Q36</f>
        <v>-66412782.628513992</v>
      </c>
      <c r="AC36" s="12">
        <f>+S36-'Dez25'!S36</f>
        <v>14916387.040347993</v>
      </c>
      <c r="AE36" s="28">
        <f>J36-'Dez25'!J36</f>
        <v>1.365697943841121E-2</v>
      </c>
      <c r="AF36" s="28">
        <f>L36-'Dez25'!L36</f>
        <v>9.8866106397613174E-4</v>
      </c>
      <c r="AG36" s="28">
        <f>N36-'Dez25'!N36</f>
        <v>3.9294550078076307E-2</v>
      </c>
      <c r="AH36" s="28">
        <f>P36-'Dez25'!P36</f>
        <v>-5.1579866924416407E-2</v>
      </c>
      <c r="AI36" s="28">
        <f>R36-'Dez25'!R36</f>
        <v>9.2413153091225331E-3</v>
      </c>
      <c r="AK36" s="92">
        <f>I36-'Dez25'!I36</f>
        <v>25349225.779999971</v>
      </c>
      <c r="AL36" s="76">
        <f>I36/'Dez25'!I36-1</f>
        <v>1.8660293945525375E-2</v>
      </c>
    </row>
    <row r="37" spans="5:38" x14ac:dyDescent="0.25">
      <c r="F37" s="7"/>
    </row>
    <row r="38" spans="5:38" x14ac:dyDescent="0.25">
      <c r="F38" s="7"/>
      <c r="K38"/>
    </row>
    <row r="39" spans="5:38" x14ac:dyDescent="0.25">
      <c r="F39" s="7"/>
      <c r="J39" s="38"/>
    </row>
    <row r="40" spans="5:38" x14ac:dyDescent="0.25">
      <c r="F40" s="7"/>
      <c r="I40" s="30"/>
      <c r="J40" s="35"/>
    </row>
    <row r="41" spans="5:38" x14ac:dyDescent="0.25">
      <c r="F41" s="7"/>
      <c r="I41" s="37"/>
      <c r="J41" s="35"/>
    </row>
    <row r="42" spans="5:38" x14ac:dyDescent="0.25">
      <c r="F42" s="7"/>
      <c r="I42" s="37"/>
      <c r="J42" s="35"/>
    </row>
    <row r="43" spans="5:38" x14ac:dyDescent="0.25">
      <c r="F43" s="7"/>
      <c r="I43" s="37"/>
      <c r="J43" s="35"/>
    </row>
    <row r="44" spans="5:38" x14ac:dyDescent="0.25">
      <c r="F44" s="7"/>
      <c r="I44" s="37"/>
      <c r="J44" s="35"/>
    </row>
    <row r="45" spans="5:38" x14ac:dyDescent="0.25">
      <c r="F45" s="7"/>
      <c r="I45" s="37"/>
      <c r="J45" s="35"/>
      <c r="K45" s="37"/>
    </row>
    <row r="46" spans="5:38" x14ac:dyDescent="0.25">
      <c r="F46" s="7"/>
      <c r="I46" s="37"/>
      <c r="J46" s="35"/>
    </row>
    <row r="47" spans="5:38" x14ac:dyDescent="0.25">
      <c r="F47" s="7"/>
      <c r="I47" s="37"/>
      <c r="J47" s="35"/>
    </row>
    <row r="48" spans="5:38" x14ac:dyDescent="0.25">
      <c r="F48" s="7"/>
      <c r="I48" s="37"/>
      <c r="J48" s="35"/>
    </row>
    <row r="49" spans="9:10" x14ac:dyDescent="0.25">
      <c r="I49" s="37"/>
      <c r="J49" s="35"/>
    </row>
    <row r="50" spans="9:10" x14ac:dyDescent="0.25">
      <c r="I50" s="37"/>
      <c r="J50" s="35"/>
    </row>
    <row r="51" spans="9:10" x14ac:dyDescent="0.25">
      <c r="I51" s="37"/>
      <c r="J51" s="35"/>
    </row>
    <row r="52" spans="9:10" x14ac:dyDescent="0.25">
      <c r="I52" s="37"/>
      <c r="J52" s="35"/>
    </row>
    <row r="53" spans="9:10" x14ac:dyDescent="0.25">
      <c r="I53" s="37"/>
      <c r="J53" s="35"/>
    </row>
    <row r="54" spans="9:10" x14ac:dyDescent="0.25">
      <c r="I54" s="37"/>
      <c r="J54" s="35"/>
    </row>
    <row r="55" spans="9:10" x14ac:dyDescent="0.25">
      <c r="I55" s="37"/>
      <c r="J55" s="35"/>
    </row>
    <row r="56" spans="9:10" x14ac:dyDescent="0.25">
      <c r="I56" s="37"/>
      <c r="J56" s="35"/>
    </row>
    <row r="57" spans="9:10" x14ac:dyDescent="0.25">
      <c r="I57" s="37"/>
      <c r="J57" s="35"/>
    </row>
    <row r="58" spans="9:10" x14ac:dyDescent="0.25">
      <c r="I58" s="37"/>
      <c r="J58" s="35"/>
    </row>
    <row r="59" spans="9:10" x14ac:dyDescent="0.25">
      <c r="I59" s="37"/>
      <c r="J59" s="35"/>
    </row>
    <row r="60" spans="9:10" x14ac:dyDescent="0.25">
      <c r="I60" s="37"/>
      <c r="J60" s="35"/>
    </row>
    <row r="61" spans="9:10" x14ac:dyDescent="0.25">
      <c r="I61" s="37"/>
      <c r="J61" s="35"/>
    </row>
    <row r="62" spans="9:10" x14ac:dyDescent="0.25">
      <c r="I62" s="37"/>
      <c r="J62" s="35"/>
    </row>
    <row r="63" spans="9:10" x14ac:dyDescent="0.25">
      <c r="I63" s="37"/>
      <c r="J63" s="35"/>
    </row>
    <row r="64" spans="9:10" x14ac:dyDescent="0.25">
      <c r="I64" s="37"/>
      <c r="J64" s="35"/>
    </row>
    <row r="65" spans="9:10" x14ac:dyDescent="0.25">
      <c r="I65" s="37"/>
      <c r="J65" s="35"/>
    </row>
    <row r="66" spans="9:10" x14ac:dyDescent="0.25">
      <c r="I66" s="37"/>
      <c r="J66" s="35"/>
    </row>
    <row r="67" spans="9:10" x14ac:dyDescent="0.25">
      <c r="I67" s="37"/>
      <c r="J67" s="35"/>
    </row>
    <row r="68" spans="9:10" x14ac:dyDescent="0.25">
      <c r="I68" s="37"/>
      <c r="J68" s="35"/>
    </row>
    <row r="69" spans="9:10" x14ac:dyDescent="0.25">
      <c r="I69" s="37"/>
      <c r="J69" s="35"/>
    </row>
    <row r="70" spans="9:10" x14ac:dyDescent="0.25">
      <c r="I70" s="37"/>
      <c r="J70" s="35"/>
    </row>
    <row r="71" spans="9:10" x14ac:dyDescent="0.25">
      <c r="I71" s="37"/>
      <c r="J71" s="35"/>
    </row>
    <row r="72" spans="9:10" x14ac:dyDescent="0.25">
      <c r="I72" s="37"/>
      <c r="J72" s="35"/>
    </row>
    <row r="73" spans="9:10" x14ac:dyDescent="0.25">
      <c r="I73" s="37"/>
      <c r="J73" s="35"/>
    </row>
    <row r="74" spans="9:10" x14ac:dyDescent="0.25">
      <c r="I74" s="37"/>
      <c r="J74" s="35"/>
    </row>
    <row r="75" spans="9:10" x14ac:dyDescent="0.25">
      <c r="I75" s="37"/>
      <c r="J75" s="35"/>
    </row>
    <row r="76" spans="9:10" x14ac:dyDescent="0.25">
      <c r="I76" s="37"/>
      <c r="J76" s="35"/>
    </row>
    <row r="77" spans="9:10" x14ac:dyDescent="0.25">
      <c r="I77" s="37"/>
      <c r="J77" s="35"/>
    </row>
    <row r="78" spans="9:10" x14ac:dyDescent="0.25">
      <c r="I78" s="37"/>
      <c r="J78" s="35"/>
    </row>
    <row r="79" spans="9:10" x14ac:dyDescent="0.25">
      <c r="I79" s="37"/>
      <c r="J79" s="35"/>
    </row>
    <row r="80" spans="9:10" x14ac:dyDescent="0.25">
      <c r="I80" s="37"/>
      <c r="J80" s="35"/>
    </row>
    <row r="81" spans="9:10" x14ac:dyDescent="0.25">
      <c r="I81" s="37"/>
      <c r="J81" s="35"/>
    </row>
    <row r="82" spans="9:10" x14ac:dyDescent="0.25">
      <c r="I82" s="37"/>
      <c r="J82" s="35"/>
    </row>
    <row r="83" spans="9:10" x14ac:dyDescent="0.25">
      <c r="I83" s="37"/>
      <c r="J83" s="35"/>
    </row>
    <row r="84" spans="9:10" x14ac:dyDescent="0.25">
      <c r="I84" s="37"/>
      <c r="J84" s="35"/>
    </row>
    <row r="85" spans="9:10" x14ac:dyDescent="0.25">
      <c r="I85" s="37"/>
      <c r="J85" s="35"/>
    </row>
    <row r="86" spans="9:10" x14ac:dyDescent="0.25">
      <c r="I86" s="37"/>
      <c r="J86" s="35"/>
    </row>
    <row r="87" spans="9:10" x14ac:dyDescent="0.25">
      <c r="I87" s="37"/>
      <c r="J87" s="35"/>
    </row>
    <row r="88" spans="9:10" x14ac:dyDescent="0.25">
      <c r="I88" s="37"/>
      <c r="J88" s="35"/>
    </row>
    <row r="89" spans="9:10" x14ac:dyDescent="0.25">
      <c r="I89" s="37"/>
      <c r="J89" s="35"/>
    </row>
    <row r="90" spans="9:10" x14ac:dyDescent="0.25">
      <c r="I90" s="37"/>
      <c r="J90" s="35"/>
    </row>
    <row r="91" spans="9:10" x14ac:dyDescent="0.25">
      <c r="I91" s="37"/>
      <c r="J91" s="35"/>
    </row>
    <row r="92" spans="9:10" x14ac:dyDescent="0.25">
      <c r="I92" s="37"/>
      <c r="J92" s="35"/>
    </row>
    <row r="93" spans="9:10" x14ac:dyDescent="0.25">
      <c r="I93" s="37"/>
      <c r="J93" s="35"/>
    </row>
    <row r="94" spans="9:10" x14ac:dyDescent="0.25">
      <c r="I94" s="37"/>
      <c r="J94" s="35"/>
    </row>
    <row r="95" spans="9:10" x14ac:dyDescent="0.25">
      <c r="I95" s="37"/>
      <c r="J95" s="35"/>
    </row>
    <row r="96" spans="9:10" x14ac:dyDescent="0.25">
      <c r="I96" s="37"/>
      <c r="J96" s="35"/>
    </row>
    <row r="97" spans="9:10" x14ac:dyDescent="0.25">
      <c r="I97" s="37"/>
      <c r="J97" s="35"/>
    </row>
    <row r="98" spans="9:10" x14ac:dyDescent="0.25">
      <c r="I98" s="37"/>
      <c r="J98" s="35"/>
    </row>
    <row r="99" spans="9:10" x14ac:dyDescent="0.25">
      <c r="I99" s="37"/>
      <c r="J99" s="35"/>
    </row>
    <row r="100" spans="9:10" x14ac:dyDescent="0.25">
      <c r="I100" s="37"/>
      <c r="J100" s="35"/>
    </row>
    <row r="101" spans="9:10" x14ac:dyDescent="0.25">
      <c r="I101" s="37"/>
      <c r="J101" s="35"/>
    </row>
    <row r="102" spans="9:10" x14ac:dyDescent="0.25">
      <c r="I102" s="37"/>
      <c r="J102" s="35"/>
    </row>
    <row r="103" spans="9:10" x14ac:dyDescent="0.25">
      <c r="I103" s="37"/>
      <c r="J103" s="35"/>
    </row>
    <row r="104" spans="9:10" x14ac:dyDescent="0.25">
      <c r="I104" s="37"/>
      <c r="J104" s="35"/>
    </row>
    <row r="105" spans="9:10" x14ac:dyDescent="0.25">
      <c r="I105" s="37"/>
      <c r="J105" s="35"/>
    </row>
    <row r="106" spans="9:10" x14ac:dyDescent="0.25">
      <c r="I106" s="37"/>
      <c r="J106" s="35"/>
    </row>
    <row r="107" spans="9:10" x14ac:dyDescent="0.25">
      <c r="I107" s="37"/>
      <c r="J107" s="35"/>
    </row>
    <row r="108" spans="9:10" x14ac:dyDescent="0.25">
      <c r="I108" s="37"/>
      <c r="J108" s="35"/>
    </row>
    <row r="109" spans="9:10" x14ac:dyDescent="0.25">
      <c r="I109" s="37"/>
      <c r="J109" s="35"/>
    </row>
    <row r="110" spans="9:10" x14ac:dyDescent="0.25">
      <c r="I110" s="37"/>
      <c r="J110" s="35"/>
    </row>
    <row r="111" spans="9:10" x14ac:dyDescent="0.25">
      <c r="I111" s="37"/>
      <c r="J111" s="35"/>
    </row>
    <row r="112" spans="9:10" x14ac:dyDescent="0.25">
      <c r="I112" s="37"/>
      <c r="J112" s="35"/>
    </row>
    <row r="113" spans="9:10" x14ac:dyDescent="0.25">
      <c r="I113" s="37"/>
      <c r="J113" s="35"/>
    </row>
    <row r="114" spans="9:10" x14ac:dyDescent="0.25">
      <c r="I114" s="37"/>
      <c r="J114" s="35"/>
    </row>
    <row r="115" spans="9:10" x14ac:dyDescent="0.25">
      <c r="I115" s="37"/>
      <c r="J115" s="35"/>
    </row>
    <row r="116" spans="9:10" x14ac:dyDescent="0.25">
      <c r="I116" s="37"/>
      <c r="J116" s="35"/>
    </row>
    <row r="117" spans="9:10" x14ac:dyDescent="0.25">
      <c r="I117" s="37"/>
      <c r="J117" s="35"/>
    </row>
    <row r="118" spans="9:10" x14ac:dyDescent="0.25">
      <c r="I118" s="37"/>
      <c r="J118" s="35"/>
    </row>
    <row r="119" spans="9:10" x14ac:dyDescent="0.25">
      <c r="I119" s="37"/>
      <c r="J119" s="35"/>
    </row>
    <row r="120" spans="9:10" x14ac:dyDescent="0.25">
      <c r="I120" s="37"/>
      <c r="J120" s="35"/>
    </row>
    <row r="121" spans="9:10" x14ac:dyDescent="0.25">
      <c r="I121" s="37"/>
      <c r="J121" s="35"/>
    </row>
    <row r="122" spans="9:10" x14ac:dyDescent="0.25">
      <c r="I122" s="37"/>
      <c r="J122" s="35"/>
    </row>
    <row r="123" spans="9:10" x14ac:dyDescent="0.25">
      <c r="I123" s="37"/>
      <c r="J123" s="35"/>
    </row>
    <row r="124" spans="9:10" x14ac:dyDescent="0.25">
      <c r="I124" s="37"/>
      <c r="J124" s="35"/>
    </row>
    <row r="125" spans="9:10" x14ac:dyDescent="0.25">
      <c r="I125" s="37"/>
      <c r="J125" s="35"/>
    </row>
    <row r="126" spans="9:10" x14ac:dyDescent="0.25">
      <c r="I126" s="37"/>
      <c r="J126" s="35"/>
    </row>
    <row r="127" spans="9:10" x14ac:dyDescent="0.25">
      <c r="I127" s="37"/>
      <c r="J127" s="35"/>
    </row>
    <row r="128" spans="9:10" x14ac:dyDescent="0.25">
      <c r="I128" s="37"/>
      <c r="J128" s="35"/>
    </row>
    <row r="129" spans="9:10" x14ac:dyDescent="0.25">
      <c r="I129" s="37"/>
      <c r="J129" s="35"/>
    </row>
    <row r="130" spans="9:10" x14ac:dyDescent="0.25">
      <c r="I130" s="37"/>
      <c r="J130" s="35"/>
    </row>
    <row r="131" spans="9:10" x14ac:dyDescent="0.25">
      <c r="I131" s="37"/>
      <c r="J131" s="35"/>
    </row>
    <row r="132" spans="9:10" x14ac:dyDescent="0.25">
      <c r="I132" s="37"/>
      <c r="J132" s="35"/>
    </row>
    <row r="133" spans="9:10" x14ac:dyDescent="0.25">
      <c r="I133" s="37"/>
      <c r="J133" s="35"/>
    </row>
    <row r="134" spans="9:10" x14ac:dyDescent="0.25">
      <c r="I134" s="37"/>
      <c r="J134" s="35"/>
    </row>
    <row r="135" spans="9:10" x14ac:dyDescent="0.25">
      <c r="I135" s="37"/>
      <c r="J135" s="35"/>
    </row>
    <row r="136" spans="9:10" x14ac:dyDescent="0.25">
      <c r="I136" s="37"/>
      <c r="J136" s="35"/>
    </row>
    <row r="137" spans="9:10" x14ac:dyDescent="0.25">
      <c r="I137" s="37"/>
      <c r="J137" s="35"/>
    </row>
    <row r="138" spans="9:10" x14ac:dyDescent="0.25">
      <c r="I138" s="37"/>
      <c r="J138" s="35"/>
    </row>
    <row r="139" spans="9:10" x14ac:dyDescent="0.25">
      <c r="I139" s="37"/>
      <c r="J139" s="35"/>
    </row>
    <row r="140" spans="9:10" x14ac:dyDescent="0.25">
      <c r="I140" s="37"/>
      <c r="J140" s="35"/>
    </row>
    <row r="141" spans="9:10" x14ac:dyDescent="0.25">
      <c r="I141" s="37"/>
      <c r="J141" s="35"/>
    </row>
    <row r="142" spans="9:10" x14ac:dyDescent="0.25">
      <c r="I142" s="37"/>
      <c r="J142" s="35"/>
    </row>
    <row r="143" spans="9:10" x14ac:dyDescent="0.25">
      <c r="I143" s="37"/>
      <c r="J143" s="35"/>
    </row>
    <row r="144" spans="9:10" x14ac:dyDescent="0.25">
      <c r="I144" s="37"/>
      <c r="J144" s="35"/>
    </row>
    <row r="145" spans="9:10" x14ac:dyDescent="0.25">
      <c r="I145" s="37"/>
      <c r="J145" s="35"/>
    </row>
    <row r="146" spans="9:10" x14ac:dyDescent="0.25">
      <c r="I146" s="37"/>
      <c r="J146" s="35"/>
    </row>
    <row r="147" spans="9:10" x14ac:dyDescent="0.25">
      <c r="I147" s="37"/>
      <c r="J147" s="35"/>
    </row>
    <row r="148" spans="9:10" x14ac:dyDescent="0.25">
      <c r="I148" s="37"/>
      <c r="J148" s="35"/>
    </row>
    <row r="149" spans="9:10" x14ac:dyDescent="0.25">
      <c r="I149" s="37"/>
      <c r="J149" s="35"/>
    </row>
    <row r="150" spans="9:10" x14ac:dyDescent="0.25">
      <c r="I150" s="37"/>
      <c r="J150" s="35"/>
    </row>
    <row r="151" spans="9:10" x14ac:dyDescent="0.25">
      <c r="I151" s="37"/>
      <c r="J151" s="35"/>
    </row>
    <row r="152" spans="9:10" x14ac:dyDescent="0.25">
      <c r="I152" s="37"/>
      <c r="J152" s="35"/>
    </row>
    <row r="153" spans="9:10" x14ac:dyDescent="0.25">
      <c r="I153" s="37"/>
      <c r="J153" s="35"/>
    </row>
    <row r="154" spans="9:10" x14ac:dyDescent="0.25">
      <c r="I154" s="37"/>
      <c r="J154" s="35"/>
    </row>
    <row r="155" spans="9:10" x14ac:dyDescent="0.25">
      <c r="I155" s="37"/>
      <c r="J155" s="35"/>
    </row>
    <row r="156" spans="9:10" x14ac:dyDescent="0.25">
      <c r="I156" s="37"/>
      <c r="J156" s="35"/>
    </row>
    <row r="157" spans="9:10" x14ac:dyDescent="0.25">
      <c r="I157" s="37"/>
      <c r="J157" s="35"/>
    </row>
    <row r="158" spans="9:10" x14ac:dyDescent="0.25">
      <c r="I158" s="37"/>
      <c r="J158" s="35"/>
    </row>
    <row r="159" spans="9:10" x14ac:dyDescent="0.25">
      <c r="I159" s="37"/>
      <c r="J159" s="35"/>
    </row>
    <row r="160" spans="9:10" x14ac:dyDescent="0.25">
      <c r="I160" s="37"/>
      <c r="J160" s="35"/>
    </row>
    <row r="161" spans="9:10" x14ac:dyDescent="0.25">
      <c r="I161" s="37"/>
      <c r="J161" s="35"/>
    </row>
    <row r="162" spans="9:10" x14ac:dyDescent="0.25">
      <c r="I162" s="37"/>
      <c r="J162" s="35"/>
    </row>
    <row r="163" spans="9:10" x14ac:dyDescent="0.25">
      <c r="I163" s="37"/>
      <c r="J163" s="35"/>
    </row>
    <row r="164" spans="9:10" x14ac:dyDescent="0.25">
      <c r="I164" s="37"/>
      <c r="J164" s="35"/>
    </row>
    <row r="165" spans="9:10" x14ac:dyDescent="0.25">
      <c r="I165" s="37"/>
      <c r="J165" s="35"/>
    </row>
    <row r="166" spans="9:10" x14ac:dyDescent="0.25">
      <c r="I166" s="37"/>
      <c r="J166" s="35"/>
    </row>
    <row r="167" spans="9:10" x14ac:dyDescent="0.25">
      <c r="I167" s="37"/>
      <c r="J167" s="35"/>
    </row>
    <row r="168" spans="9:10" x14ac:dyDescent="0.25">
      <c r="I168" s="37"/>
      <c r="J168" s="35"/>
    </row>
    <row r="169" spans="9:10" x14ac:dyDescent="0.25">
      <c r="I169" s="37"/>
      <c r="J169" s="35"/>
    </row>
    <row r="170" spans="9:10" x14ac:dyDescent="0.25">
      <c r="I170" s="37"/>
      <c r="J170" s="35"/>
    </row>
    <row r="171" spans="9:10" x14ac:dyDescent="0.25">
      <c r="I171" s="37"/>
      <c r="J171" s="35"/>
    </row>
    <row r="172" spans="9:10" x14ac:dyDescent="0.25">
      <c r="I172" s="37"/>
      <c r="J172" s="35"/>
    </row>
    <row r="173" spans="9:10" x14ac:dyDescent="0.25">
      <c r="I173" s="37"/>
      <c r="J173" s="35"/>
    </row>
    <row r="174" spans="9:10" x14ac:dyDescent="0.25">
      <c r="I174" s="37"/>
      <c r="J174" s="35"/>
    </row>
    <row r="175" spans="9:10" x14ac:dyDescent="0.25">
      <c r="I175" s="37"/>
      <c r="J175" s="35"/>
    </row>
    <row r="176" spans="9:10" x14ac:dyDescent="0.25">
      <c r="I176" s="37"/>
      <c r="J176" s="35"/>
    </row>
    <row r="177" spans="9:10" x14ac:dyDescent="0.25">
      <c r="I177" s="37"/>
      <c r="J177" s="35"/>
    </row>
    <row r="178" spans="9:10" x14ac:dyDescent="0.25">
      <c r="I178" s="37"/>
      <c r="J178" s="35"/>
    </row>
    <row r="179" spans="9:10" x14ac:dyDescent="0.25">
      <c r="I179" s="37"/>
      <c r="J179" s="35"/>
    </row>
    <row r="180" spans="9:10" x14ac:dyDescent="0.25">
      <c r="I180" s="37"/>
      <c r="J180" s="35"/>
    </row>
    <row r="181" spans="9:10" x14ac:dyDescent="0.25">
      <c r="I181" s="37"/>
      <c r="J181" s="35"/>
    </row>
    <row r="182" spans="9:10" x14ac:dyDescent="0.25">
      <c r="I182" s="37"/>
      <c r="J182" s="35"/>
    </row>
    <row r="183" spans="9:10" x14ac:dyDescent="0.25">
      <c r="I183" s="37"/>
      <c r="J183" s="35"/>
    </row>
    <row r="184" spans="9:10" x14ac:dyDescent="0.25">
      <c r="I184" s="37"/>
      <c r="J184" s="35"/>
    </row>
    <row r="185" spans="9:10" x14ac:dyDescent="0.25">
      <c r="I185" s="37"/>
      <c r="J185" s="35"/>
    </row>
    <row r="186" spans="9:10" x14ac:dyDescent="0.25">
      <c r="I186" s="37"/>
      <c r="J186" s="35"/>
    </row>
    <row r="187" spans="9:10" x14ac:dyDescent="0.25">
      <c r="I187" s="37"/>
      <c r="J187" s="35"/>
    </row>
    <row r="188" spans="9:10" x14ac:dyDescent="0.25">
      <c r="I188" s="37"/>
      <c r="J188" s="35"/>
    </row>
    <row r="189" spans="9:10" x14ac:dyDescent="0.25">
      <c r="I189" s="37"/>
      <c r="J189" s="35"/>
    </row>
    <row r="190" spans="9:10" x14ac:dyDescent="0.25">
      <c r="I190" s="37"/>
      <c r="J190" s="35"/>
    </row>
    <row r="191" spans="9:10" x14ac:dyDescent="0.25">
      <c r="I191" s="37"/>
      <c r="J191" s="35"/>
    </row>
    <row r="192" spans="9:10" x14ac:dyDescent="0.25">
      <c r="I192" s="37"/>
      <c r="J192" s="35"/>
    </row>
    <row r="193" spans="9:10" x14ac:dyDescent="0.25">
      <c r="I193" s="37"/>
      <c r="J193" s="35"/>
    </row>
    <row r="194" spans="9:10" x14ac:dyDescent="0.25">
      <c r="I194" s="37"/>
      <c r="J194" s="35"/>
    </row>
    <row r="195" spans="9:10" x14ac:dyDescent="0.25">
      <c r="I195" s="37"/>
      <c r="J195" s="35"/>
    </row>
    <row r="196" spans="9:10" x14ac:dyDescent="0.25">
      <c r="I196" s="37"/>
      <c r="J196" s="35"/>
    </row>
    <row r="197" spans="9:10" x14ac:dyDescent="0.25">
      <c r="I197" s="37"/>
      <c r="J197" s="35"/>
    </row>
    <row r="198" spans="9:10" x14ac:dyDescent="0.25">
      <c r="I198" s="37"/>
      <c r="J198" s="35"/>
    </row>
    <row r="199" spans="9:10" x14ac:dyDescent="0.25">
      <c r="I199" s="37"/>
      <c r="J199" s="35"/>
    </row>
    <row r="200" spans="9:10" x14ac:dyDescent="0.25">
      <c r="I200" s="37"/>
      <c r="J200" s="35"/>
    </row>
    <row r="201" spans="9:10" x14ac:dyDescent="0.25">
      <c r="I201" s="37"/>
      <c r="J201" s="35"/>
    </row>
    <row r="202" spans="9:10" x14ac:dyDescent="0.25">
      <c r="I202" s="37"/>
      <c r="J202" s="35"/>
    </row>
    <row r="203" spans="9:10" x14ac:dyDescent="0.25">
      <c r="I203" s="37"/>
      <c r="J203" s="35"/>
    </row>
    <row r="204" spans="9:10" x14ac:dyDescent="0.25">
      <c r="I204" s="37"/>
      <c r="J204" s="35"/>
    </row>
    <row r="205" spans="9:10" x14ac:dyDescent="0.25">
      <c r="I205" s="37"/>
      <c r="J205" s="35"/>
    </row>
    <row r="206" spans="9:10" x14ac:dyDescent="0.25">
      <c r="I206" s="37"/>
      <c r="J206" s="35"/>
    </row>
    <row r="207" spans="9:10" x14ac:dyDescent="0.25">
      <c r="I207" s="37"/>
      <c r="J207" s="35"/>
    </row>
    <row r="208" spans="9:10" x14ac:dyDescent="0.25">
      <c r="I208" s="37"/>
      <c r="J208" s="35"/>
    </row>
    <row r="209" spans="9:10" x14ac:dyDescent="0.25">
      <c r="I209" s="37"/>
      <c r="J209" s="35"/>
    </row>
    <row r="210" spans="9:10" x14ac:dyDescent="0.25">
      <c r="I210" s="37"/>
      <c r="J210" s="35"/>
    </row>
    <row r="211" spans="9:10" x14ac:dyDescent="0.25">
      <c r="I211" s="37"/>
      <c r="J211" s="35"/>
    </row>
    <row r="212" spans="9:10" x14ac:dyDescent="0.25">
      <c r="I212" s="37"/>
      <c r="J212" s="35"/>
    </row>
    <row r="213" spans="9:10" x14ac:dyDescent="0.25">
      <c r="I213" s="37"/>
      <c r="J213" s="35"/>
    </row>
    <row r="214" spans="9:10" x14ac:dyDescent="0.25">
      <c r="I214" s="37"/>
      <c r="J214" s="35"/>
    </row>
    <row r="215" spans="9:10" x14ac:dyDescent="0.25">
      <c r="I215" s="37"/>
      <c r="J215" s="35"/>
    </row>
    <row r="216" spans="9:10" x14ac:dyDescent="0.25">
      <c r="I216" s="37"/>
      <c r="J216" s="35"/>
    </row>
    <row r="217" spans="9:10" x14ac:dyDescent="0.25">
      <c r="I217" s="37"/>
      <c r="J217" s="35"/>
    </row>
    <row r="218" spans="9:10" x14ac:dyDescent="0.25">
      <c r="I218" s="37"/>
      <c r="J218" s="35"/>
    </row>
    <row r="219" spans="9:10" x14ac:dyDescent="0.25">
      <c r="I219" s="37"/>
      <c r="J219" s="35"/>
    </row>
    <row r="220" spans="9:10" x14ac:dyDescent="0.25">
      <c r="I220" s="37"/>
      <c r="J220" s="35"/>
    </row>
    <row r="221" spans="9:10" x14ac:dyDescent="0.25">
      <c r="I221" s="37"/>
      <c r="J221" s="35"/>
    </row>
    <row r="222" spans="9:10" x14ac:dyDescent="0.25">
      <c r="I222" s="37"/>
      <c r="J222" s="35"/>
    </row>
    <row r="223" spans="9:10" x14ac:dyDescent="0.25">
      <c r="I223" s="37"/>
      <c r="J223" s="35"/>
    </row>
    <row r="224" spans="9:10" x14ac:dyDescent="0.25">
      <c r="I224" s="37"/>
      <c r="J224" s="35"/>
    </row>
    <row r="225" spans="9:10" x14ac:dyDescent="0.25">
      <c r="I225" s="37"/>
      <c r="J225" s="35"/>
    </row>
    <row r="226" spans="9:10" x14ac:dyDescent="0.25">
      <c r="I226" s="37"/>
      <c r="J226" s="35"/>
    </row>
    <row r="227" spans="9:10" x14ac:dyDescent="0.25">
      <c r="I227" s="37"/>
      <c r="J227" s="35"/>
    </row>
    <row r="228" spans="9:10" x14ac:dyDescent="0.25">
      <c r="I228" s="37"/>
      <c r="J228" s="35"/>
    </row>
    <row r="229" spans="9:10" x14ac:dyDescent="0.25">
      <c r="I229" s="37"/>
      <c r="J229" s="35"/>
    </row>
    <row r="230" spans="9:10" x14ac:dyDescent="0.25">
      <c r="I230" s="37"/>
      <c r="J230" s="35"/>
    </row>
    <row r="231" spans="9:10" x14ac:dyDescent="0.25">
      <c r="I231" s="37"/>
      <c r="J231" s="35"/>
    </row>
    <row r="232" spans="9:10" x14ac:dyDescent="0.25">
      <c r="I232" s="37"/>
      <c r="J232" s="35"/>
    </row>
    <row r="233" spans="9:10" x14ac:dyDescent="0.25">
      <c r="I233" s="37"/>
      <c r="J233" s="35"/>
    </row>
    <row r="234" spans="9:10" x14ac:dyDescent="0.25">
      <c r="I234" s="37"/>
      <c r="J234" s="35"/>
    </row>
    <row r="235" spans="9:10" x14ac:dyDescent="0.25">
      <c r="I235" s="37"/>
      <c r="J235" s="35"/>
    </row>
    <row r="236" spans="9:10" x14ac:dyDescent="0.25">
      <c r="I236" s="37"/>
      <c r="J236" s="35"/>
    </row>
    <row r="237" spans="9:10" x14ac:dyDescent="0.25">
      <c r="I237" s="37"/>
      <c r="J237" s="35"/>
    </row>
    <row r="238" spans="9:10" x14ac:dyDescent="0.25">
      <c r="I238" s="37"/>
      <c r="J238" s="35"/>
    </row>
    <row r="239" spans="9:10" x14ac:dyDescent="0.25">
      <c r="I239" s="37"/>
      <c r="J239" s="35"/>
    </row>
    <row r="240" spans="9:10" x14ac:dyDescent="0.25">
      <c r="I240" s="37"/>
      <c r="J240" s="35"/>
    </row>
    <row r="241" spans="9:10" x14ac:dyDescent="0.25">
      <c r="I241" s="37"/>
      <c r="J241" s="35"/>
    </row>
    <row r="242" spans="9:10" x14ac:dyDescent="0.25">
      <c r="I242" s="37"/>
      <c r="J242" s="35"/>
    </row>
    <row r="243" spans="9:10" x14ac:dyDescent="0.25">
      <c r="I243" s="37"/>
      <c r="J243" s="35"/>
    </row>
    <row r="244" spans="9:10" x14ac:dyDescent="0.25">
      <c r="I244" s="37"/>
      <c r="J244" s="35"/>
    </row>
    <row r="245" spans="9:10" x14ac:dyDescent="0.25">
      <c r="I245" s="37"/>
      <c r="J245" s="35"/>
    </row>
    <row r="246" spans="9:10" x14ac:dyDescent="0.25">
      <c r="I246" s="37"/>
      <c r="J246" s="35"/>
    </row>
    <row r="247" spans="9:10" x14ac:dyDescent="0.25">
      <c r="I247" s="37"/>
      <c r="J247" s="35"/>
    </row>
    <row r="248" spans="9:10" x14ac:dyDescent="0.25">
      <c r="I248" s="37"/>
      <c r="J248" s="35"/>
    </row>
    <row r="249" spans="9:10" x14ac:dyDescent="0.25">
      <c r="I249" s="37"/>
      <c r="J249" s="35"/>
    </row>
    <row r="250" spans="9:10" x14ac:dyDescent="0.25">
      <c r="I250" s="37"/>
      <c r="J250" s="35"/>
    </row>
    <row r="251" spans="9:10" x14ac:dyDescent="0.25">
      <c r="I251" s="37"/>
      <c r="J251" s="35"/>
    </row>
    <row r="252" spans="9:10" x14ac:dyDescent="0.25">
      <c r="I252" s="37"/>
      <c r="J252" s="35"/>
    </row>
    <row r="253" spans="9:10" x14ac:dyDescent="0.25">
      <c r="I253" s="37"/>
      <c r="J253" s="35"/>
    </row>
    <row r="254" spans="9:10" x14ac:dyDescent="0.25">
      <c r="I254" s="37"/>
      <c r="J254" s="35"/>
    </row>
    <row r="255" spans="9:10" x14ac:dyDescent="0.25">
      <c r="I255" s="37"/>
      <c r="J255" s="35"/>
    </row>
    <row r="256" spans="9:10" x14ac:dyDescent="0.25">
      <c r="I256" s="37"/>
      <c r="J256" s="35"/>
    </row>
    <row r="257" spans="9:10" x14ac:dyDescent="0.25">
      <c r="I257" s="37"/>
      <c r="J257" s="35"/>
    </row>
    <row r="258" spans="9:10" x14ac:dyDescent="0.25">
      <c r="I258" s="37"/>
      <c r="J258" s="35"/>
    </row>
    <row r="259" spans="9:10" x14ac:dyDescent="0.25">
      <c r="I259" s="37"/>
      <c r="J259" s="35"/>
    </row>
    <row r="260" spans="9:10" x14ac:dyDescent="0.25">
      <c r="I260" s="37"/>
      <c r="J260" s="35"/>
    </row>
    <row r="261" spans="9:10" x14ac:dyDescent="0.25">
      <c r="I261" s="37"/>
      <c r="J261" s="35"/>
    </row>
    <row r="262" spans="9:10" x14ac:dyDescent="0.25">
      <c r="I262" s="37"/>
      <c r="J262" s="35"/>
    </row>
    <row r="263" spans="9:10" x14ac:dyDescent="0.25">
      <c r="I263" s="37"/>
      <c r="J263" s="35"/>
    </row>
    <row r="264" spans="9:10" x14ac:dyDescent="0.25">
      <c r="I264" s="37"/>
      <c r="J264" s="35"/>
    </row>
    <row r="265" spans="9:10" x14ac:dyDescent="0.25">
      <c r="I265" s="37"/>
      <c r="J265" s="35"/>
    </row>
    <row r="266" spans="9:10" x14ac:dyDescent="0.25">
      <c r="I266" s="37"/>
      <c r="J266" s="35"/>
    </row>
    <row r="267" spans="9:10" x14ac:dyDescent="0.25">
      <c r="I267" s="37"/>
      <c r="J267" s="35"/>
    </row>
    <row r="268" spans="9:10" x14ac:dyDescent="0.25">
      <c r="I268" s="37"/>
      <c r="J268" s="35"/>
    </row>
    <row r="269" spans="9:10" x14ac:dyDescent="0.25">
      <c r="I269" s="37"/>
      <c r="J269" s="35"/>
    </row>
    <row r="270" spans="9:10" x14ac:dyDescent="0.25">
      <c r="I270" s="37"/>
      <c r="J270" s="35"/>
    </row>
    <row r="271" spans="9:10" x14ac:dyDescent="0.25">
      <c r="I271" s="37"/>
      <c r="J271" s="35"/>
    </row>
    <row r="272" spans="9:10" x14ac:dyDescent="0.25">
      <c r="I272" s="37"/>
      <c r="J272" s="35"/>
    </row>
    <row r="273" spans="9:10" x14ac:dyDescent="0.25">
      <c r="I273" s="37"/>
      <c r="J273" s="35"/>
    </row>
    <row r="274" spans="9:10" x14ac:dyDescent="0.25">
      <c r="I274" s="37"/>
      <c r="J274" s="35"/>
    </row>
    <row r="275" spans="9:10" x14ac:dyDescent="0.25">
      <c r="I275" s="37"/>
      <c r="J275" s="35"/>
    </row>
    <row r="276" spans="9:10" x14ac:dyDescent="0.25">
      <c r="I276" s="37"/>
      <c r="J276" s="35"/>
    </row>
    <row r="277" spans="9:10" x14ac:dyDescent="0.25">
      <c r="I277" s="37"/>
      <c r="J277" s="35"/>
    </row>
    <row r="278" spans="9:10" x14ac:dyDescent="0.25">
      <c r="I278" s="37"/>
      <c r="J278" s="35"/>
    </row>
    <row r="279" spans="9:10" x14ac:dyDescent="0.25">
      <c r="I279" s="37"/>
      <c r="J279" s="35"/>
    </row>
    <row r="280" spans="9:10" x14ac:dyDescent="0.25">
      <c r="I280" s="37"/>
      <c r="J280" s="35"/>
    </row>
    <row r="281" spans="9:10" x14ac:dyDescent="0.25">
      <c r="I281" s="37"/>
      <c r="J281" s="35"/>
    </row>
    <row r="282" spans="9:10" x14ac:dyDescent="0.25">
      <c r="I282" s="37"/>
      <c r="J282" s="35"/>
    </row>
    <row r="283" spans="9:10" x14ac:dyDescent="0.25">
      <c r="I283" s="37"/>
      <c r="J283" s="35"/>
    </row>
    <row r="284" spans="9:10" x14ac:dyDescent="0.25">
      <c r="I284" s="37"/>
      <c r="J284" s="35"/>
    </row>
    <row r="285" spans="9:10" x14ac:dyDescent="0.25">
      <c r="I285" s="37"/>
      <c r="J285" s="35"/>
    </row>
    <row r="286" spans="9:10" x14ac:dyDescent="0.25">
      <c r="I286" s="37"/>
      <c r="J286" s="35"/>
    </row>
    <row r="287" spans="9:10" x14ac:dyDescent="0.25">
      <c r="I287" s="37"/>
      <c r="J287" s="35"/>
    </row>
    <row r="288" spans="9:10" x14ac:dyDescent="0.25">
      <c r="I288" s="37"/>
      <c r="J288" s="35"/>
    </row>
    <row r="289" spans="9:10" x14ac:dyDescent="0.25">
      <c r="I289" s="37"/>
      <c r="J289" s="35"/>
    </row>
    <row r="290" spans="9:10" x14ac:dyDescent="0.25">
      <c r="I290" s="37"/>
      <c r="J290" s="35"/>
    </row>
    <row r="291" spans="9:10" x14ac:dyDescent="0.25">
      <c r="I291" s="37"/>
      <c r="J291" s="35"/>
    </row>
    <row r="292" spans="9:10" x14ac:dyDescent="0.25">
      <c r="I292" s="37"/>
      <c r="J292" s="35"/>
    </row>
    <row r="293" spans="9:10" x14ac:dyDescent="0.25">
      <c r="I293" s="37"/>
      <c r="J293" s="35"/>
    </row>
    <row r="294" spans="9:10" x14ac:dyDescent="0.25">
      <c r="I294" s="37"/>
      <c r="J294" s="35"/>
    </row>
    <row r="295" spans="9:10" x14ac:dyDescent="0.25">
      <c r="I295" s="37"/>
      <c r="J295" s="35"/>
    </row>
    <row r="296" spans="9:10" x14ac:dyDescent="0.25">
      <c r="I296" s="37"/>
      <c r="J296" s="35"/>
    </row>
    <row r="297" spans="9:10" x14ac:dyDescent="0.25">
      <c r="I297" s="37"/>
      <c r="J297" s="35"/>
    </row>
    <row r="298" spans="9:10" x14ac:dyDescent="0.25">
      <c r="I298" s="37"/>
      <c r="J298" s="35"/>
    </row>
    <row r="299" spans="9:10" x14ac:dyDescent="0.25">
      <c r="I299" s="37"/>
      <c r="J299" s="35"/>
    </row>
    <row r="300" spans="9:10" x14ac:dyDescent="0.25">
      <c r="I300" s="37"/>
      <c r="J300" s="35"/>
    </row>
    <row r="301" spans="9:10" x14ac:dyDescent="0.25">
      <c r="I301" s="37"/>
      <c r="J301" s="35"/>
    </row>
    <row r="302" spans="9:10" x14ac:dyDescent="0.25">
      <c r="I302" s="37"/>
      <c r="J302" s="35"/>
    </row>
    <row r="303" spans="9:10" x14ac:dyDescent="0.25">
      <c r="I303" s="37"/>
      <c r="J303" s="35"/>
    </row>
    <row r="304" spans="9:10" x14ac:dyDescent="0.25">
      <c r="I304" s="37"/>
      <c r="J304" s="35"/>
    </row>
    <row r="305" spans="9:12" x14ac:dyDescent="0.25">
      <c r="I305" s="37"/>
      <c r="J305" s="35"/>
    </row>
    <row r="306" spans="9:12" x14ac:dyDescent="0.25">
      <c r="I306" s="37"/>
      <c r="J306" s="35"/>
    </row>
    <row r="307" spans="9:12" x14ac:dyDescent="0.25">
      <c r="I307" s="37"/>
      <c r="J307" s="35"/>
    </row>
    <row r="308" spans="9:12" x14ac:dyDescent="0.25">
      <c r="I308" s="37"/>
      <c r="J308" s="35"/>
    </row>
    <row r="309" spans="9:12" x14ac:dyDescent="0.25">
      <c r="I309" s="37"/>
      <c r="J309" s="35"/>
    </row>
    <row r="310" spans="9:12" x14ac:dyDescent="0.25">
      <c r="I310" s="37"/>
      <c r="J310" s="35"/>
    </row>
    <row r="311" spans="9:12" x14ac:dyDescent="0.25">
      <c r="I311" s="37"/>
      <c r="J311" s="35"/>
    </row>
    <row r="312" spans="9:12" x14ac:dyDescent="0.25">
      <c r="I312" s="37"/>
      <c r="J312" s="35"/>
      <c r="L312" s="36"/>
    </row>
    <row r="313" spans="9:12" x14ac:dyDescent="0.25">
      <c r="I313" s="37"/>
      <c r="J313" s="35"/>
    </row>
    <row r="314" spans="9:12" x14ac:dyDescent="0.25">
      <c r="I314" s="37"/>
      <c r="J314" s="35"/>
    </row>
    <row r="315" spans="9:12" x14ac:dyDescent="0.25">
      <c r="I315" s="37"/>
      <c r="J315" s="35"/>
    </row>
    <row r="316" spans="9:12" x14ac:dyDescent="0.25">
      <c r="I316" s="37"/>
      <c r="J316" s="35"/>
    </row>
    <row r="317" spans="9:12" x14ac:dyDescent="0.25">
      <c r="I317" s="37"/>
      <c r="J317" s="35"/>
    </row>
    <row r="318" spans="9:12" x14ac:dyDescent="0.25">
      <c r="I318" s="37"/>
      <c r="J318" s="35"/>
    </row>
    <row r="319" spans="9:12" x14ac:dyDescent="0.25">
      <c r="I319" s="37"/>
      <c r="J319" s="35"/>
    </row>
    <row r="320" spans="9:12" x14ac:dyDescent="0.25">
      <c r="I320" s="37"/>
      <c r="J320" s="35"/>
    </row>
    <row r="321" spans="9:10" x14ac:dyDescent="0.25">
      <c r="I321" s="37"/>
      <c r="J321" s="35"/>
    </row>
    <row r="322" spans="9:10" x14ac:dyDescent="0.25">
      <c r="I322" s="37"/>
      <c r="J322" s="35"/>
    </row>
    <row r="323" spans="9:10" x14ac:dyDescent="0.25">
      <c r="I323" s="37"/>
      <c r="J323" s="35"/>
    </row>
    <row r="324" spans="9:10" x14ac:dyDescent="0.25">
      <c r="I324" s="37"/>
      <c r="J324" s="35"/>
    </row>
    <row r="325" spans="9:10" x14ac:dyDescent="0.25">
      <c r="I325" s="37"/>
      <c r="J325" s="35"/>
    </row>
    <row r="326" spans="9:10" x14ac:dyDescent="0.25">
      <c r="I326" s="37"/>
      <c r="J326" s="35"/>
    </row>
    <row r="327" spans="9:10" x14ac:dyDescent="0.25">
      <c r="I327" s="37"/>
      <c r="J327" s="35"/>
    </row>
    <row r="328" spans="9:10" x14ac:dyDescent="0.25">
      <c r="I328" s="37"/>
      <c r="J328" s="35"/>
    </row>
    <row r="329" spans="9:10" x14ac:dyDescent="0.25">
      <c r="I329" s="37"/>
      <c r="J329" s="35"/>
    </row>
    <row r="330" spans="9:10" x14ac:dyDescent="0.25">
      <c r="I330" s="37"/>
      <c r="J330" s="35"/>
    </row>
    <row r="331" spans="9:10" x14ac:dyDescent="0.25">
      <c r="I331" s="37"/>
      <c r="J331" s="35"/>
    </row>
    <row r="332" spans="9:10" x14ac:dyDescent="0.25">
      <c r="I332" s="37"/>
      <c r="J332" s="35"/>
    </row>
    <row r="333" spans="9:10" x14ac:dyDescent="0.25">
      <c r="I333" s="37"/>
      <c r="J333" s="35"/>
    </row>
    <row r="334" spans="9:10" x14ac:dyDescent="0.25">
      <c r="I334" s="37"/>
      <c r="J334" s="35"/>
    </row>
    <row r="335" spans="9:10" x14ac:dyDescent="0.25">
      <c r="I335" s="37"/>
      <c r="J335" s="35"/>
    </row>
    <row r="336" spans="9:10" x14ac:dyDescent="0.25">
      <c r="I336" s="37"/>
      <c r="J336" s="35"/>
    </row>
    <row r="337" spans="9:10" x14ac:dyDescent="0.25">
      <c r="I337" s="37"/>
      <c r="J337" s="35"/>
    </row>
    <row r="338" spans="9:10" x14ac:dyDescent="0.25">
      <c r="I338" s="37"/>
      <c r="J338" s="35"/>
    </row>
    <row r="339" spans="9:10" x14ac:dyDescent="0.25">
      <c r="I339" s="37"/>
      <c r="J339" s="35"/>
    </row>
    <row r="340" spans="9:10" x14ac:dyDescent="0.25">
      <c r="I340" s="37"/>
      <c r="J340" s="35"/>
    </row>
    <row r="341" spans="9:10" x14ac:dyDescent="0.25">
      <c r="I341" s="37"/>
      <c r="J341" s="35"/>
    </row>
    <row r="342" spans="9:10" x14ac:dyDescent="0.25">
      <c r="I342" s="37"/>
      <c r="J342" s="35"/>
    </row>
    <row r="343" spans="9:10" x14ac:dyDescent="0.25">
      <c r="I343" s="37"/>
      <c r="J343" s="35"/>
    </row>
    <row r="344" spans="9:10" x14ac:dyDescent="0.25">
      <c r="I344" s="37"/>
      <c r="J344" s="35"/>
    </row>
    <row r="345" spans="9:10" x14ac:dyDescent="0.25">
      <c r="I345" s="37"/>
      <c r="J345" s="35"/>
    </row>
    <row r="346" spans="9:10" x14ac:dyDescent="0.25">
      <c r="I346" s="37"/>
      <c r="J346" s="35"/>
    </row>
    <row r="347" spans="9:10" x14ac:dyDescent="0.25">
      <c r="I347" s="37"/>
      <c r="J347" s="35"/>
    </row>
    <row r="348" spans="9:10" x14ac:dyDescent="0.25">
      <c r="I348" s="37"/>
      <c r="J348" s="35"/>
    </row>
    <row r="349" spans="9:10" x14ac:dyDescent="0.25">
      <c r="I349" s="37"/>
      <c r="J349" s="35"/>
    </row>
    <row r="350" spans="9:10" x14ac:dyDescent="0.25">
      <c r="I350" s="37"/>
      <c r="J350" s="35"/>
    </row>
    <row r="351" spans="9:10" x14ac:dyDescent="0.25">
      <c r="I351" s="37"/>
      <c r="J351" s="35"/>
    </row>
    <row r="352" spans="9:10" x14ac:dyDescent="0.25">
      <c r="I352" s="37"/>
      <c r="J352" s="35"/>
    </row>
    <row r="353" spans="9:10" x14ac:dyDescent="0.25">
      <c r="I353" s="37"/>
      <c r="J353" s="35"/>
    </row>
    <row r="354" spans="9:10" x14ac:dyDescent="0.25">
      <c r="I354" s="37"/>
      <c r="J354" s="35"/>
    </row>
    <row r="355" spans="9:10" x14ac:dyDescent="0.25">
      <c r="I355" s="37"/>
      <c r="J355" s="35"/>
    </row>
    <row r="356" spans="9:10" x14ac:dyDescent="0.25">
      <c r="I356" s="37"/>
      <c r="J356" s="35"/>
    </row>
    <row r="357" spans="9:10" x14ac:dyDescent="0.25">
      <c r="I357" s="37"/>
      <c r="J357" s="35"/>
    </row>
    <row r="358" spans="9:10" x14ac:dyDescent="0.25">
      <c r="I358" s="37"/>
      <c r="J358" s="35"/>
    </row>
    <row r="359" spans="9:10" x14ac:dyDescent="0.25">
      <c r="I359" s="37"/>
      <c r="J359" s="35"/>
    </row>
    <row r="360" spans="9:10" x14ac:dyDescent="0.25">
      <c r="I360" s="37"/>
      <c r="J360" s="35"/>
    </row>
    <row r="361" spans="9:10" x14ac:dyDescent="0.25">
      <c r="I361" s="37"/>
      <c r="J361" s="35"/>
    </row>
    <row r="362" spans="9:10" x14ac:dyDescent="0.25">
      <c r="I362" s="37"/>
      <c r="J362" s="35"/>
    </row>
    <row r="363" spans="9:10" x14ac:dyDescent="0.25">
      <c r="I363" s="37"/>
      <c r="J363" s="35"/>
    </row>
    <row r="364" spans="9:10" x14ac:dyDescent="0.25">
      <c r="I364" s="37"/>
      <c r="J364" s="35"/>
    </row>
    <row r="365" spans="9:10" x14ac:dyDescent="0.25">
      <c r="I365" s="37"/>
      <c r="J365" s="35"/>
    </row>
    <row r="366" spans="9:10" x14ac:dyDescent="0.25">
      <c r="I366" s="37"/>
      <c r="J366" s="35"/>
    </row>
    <row r="367" spans="9:10" x14ac:dyDescent="0.25">
      <c r="I367" s="37"/>
      <c r="J367" s="35"/>
    </row>
    <row r="368" spans="9:10" x14ac:dyDescent="0.25">
      <c r="I368" s="37"/>
      <c r="J368" s="35"/>
    </row>
    <row r="369" spans="9:10" x14ac:dyDescent="0.25">
      <c r="I369" s="37"/>
      <c r="J369" s="35"/>
    </row>
    <row r="370" spans="9:10" x14ac:dyDescent="0.25">
      <c r="I370" s="37"/>
      <c r="J370" s="35"/>
    </row>
    <row r="371" spans="9:10" x14ac:dyDescent="0.25">
      <c r="I371" s="37"/>
      <c r="J371" s="35"/>
    </row>
    <row r="372" spans="9:10" x14ac:dyDescent="0.25">
      <c r="I372" s="37"/>
      <c r="J372" s="35"/>
    </row>
    <row r="373" spans="9:10" x14ac:dyDescent="0.25">
      <c r="I373" s="37"/>
      <c r="J373" s="35"/>
    </row>
    <row r="374" spans="9:10" x14ac:dyDescent="0.25">
      <c r="I374" s="37"/>
      <c r="J374" s="35"/>
    </row>
    <row r="375" spans="9:10" x14ac:dyDescent="0.25">
      <c r="I375" s="37"/>
      <c r="J375" s="35"/>
    </row>
    <row r="376" spans="9:10" x14ac:dyDescent="0.25">
      <c r="I376" s="37"/>
      <c r="J376" s="35"/>
    </row>
    <row r="377" spans="9:10" x14ac:dyDescent="0.25">
      <c r="I377" s="37"/>
      <c r="J377" s="35"/>
    </row>
    <row r="378" spans="9:10" x14ac:dyDescent="0.25">
      <c r="I378" s="37"/>
      <c r="J378" s="35"/>
    </row>
    <row r="379" spans="9:10" x14ac:dyDescent="0.25">
      <c r="I379" s="37"/>
      <c r="J379" s="35"/>
    </row>
    <row r="380" spans="9:10" x14ac:dyDescent="0.25">
      <c r="I380" s="37"/>
      <c r="J380" s="35"/>
    </row>
    <row r="381" spans="9:10" x14ac:dyDescent="0.25">
      <c r="I381" s="37"/>
      <c r="J381" s="35"/>
    </row>
    <row r="382" spans="9:10" x14ac:dyDescent="0.25">
      <c r="I382" s="37"/>
      <c r="J382" s="35"/>
    </row>
    <row r="383" spans="9:10" x14ac:dyDescent="0.25">
      <c r="I383" s="37"/>
      <c r="J383" s="35"/>
    </row>
    <row r="384" spans="9:10" x14ac:dyDescent="0.25">
      <c r="I384" s="37"/>
      <c r="J384" s="35"/>
    </row>
    <row r="385" spans="9:10" x14ac:dyDescent="0.25">
      <c r="I385" s="37"/>
      <c r="J385" s="35"/>
    </row>
    <row r="386" spans="9:10" x14ac:dyDescent="0.25">
      <c r="I386" s="37"/>
      <c r="J386" s="35"/>
    </row>
    <row r="387" spans="9:10" x14ac:dyDescent="0.25">
      <c r="I387" s="37"/>
      <c r="J387" s="35"/>
    </row>
    <row r="388" spans="9:10" x14ac:dyDescent="0.25">
      <c r="I388" s="37"/>
      <c r="J388" s="35"/>
    </row>
    <row r="389" spans="9:10" x14ac:dyDescent="0.25">
      <c r="I389" s="37"/>
      <c r="J389" s="35"/>
    </row>
    <row r="390" spans="9:10" x14ac:dyDescent="0.25">
      <c r="I390" s="37"/>
      <c r="J390" s="35"/>
    </row>
    <row r="391" spans="9:10" x14ac:dyDescent="0.25">
      <c r="I391" s="37"/>
      <c r="J391" s="35"/>
    </row>
    <row r="392" spans="9:10" x14ac:dyDescent="0.25">
      <c r="I392" s="37"/>
      <c r="J392" s="35"/>
    </row>
    <row r="393" spans="9:10" x14ac:dyDescent="0.25">
      <c r="I393" s="37"/>
      <c r="J393" s="35"/>
    </row>
    <row r="394" spans="9:10" x14ac:dyDescent="0.25">
      <c r="I394" s="37"/>
      <c r="J394" s="35"/>
    </row>
    <row r="395" spans="9:10" x14ac:dyDescent="0.25">
      <c r="I395" s="37"/>
      <c r="J395" s="35"/>
    </row>
    <row r="396" spans="9:10" x14ac:dyDescent="0.25">
      <c r="I396" s="37"/>
      <c r="J396" s="35"/>
    </row>
    <row r="397" spans="9:10" x14ac:dyDescent="0.25">
      <c r="I397" s="37"/>
      <c r="J397" s="35"/>
    </row>
    <row r="398" spans="9:10" x14ac:dyDescent="0.25">
      <c r="I398" s="37"/>
      <c r="J398" s="35"/>
    </row>
    <row r="399" spans="9:10" x14ac:dyDescent="0.25">
      <c r="I399" s="37"/>
      <c r="J399" s="35"/>
    </row>
    <row r="400" spans="9:10" x14ac:dyDescent="0.25">
      <c r="I400" s="37"/>
      <c r="J400" s="35"/>
    </row>
    <row r="401" spans="9:10" x14ac:dyDescent="0.25">
      <c r="I401" s="37"/>
      <c r="J401" s="35"/>
    </row>
    <row r="402" spans="9:10" x14ac:dyDescent="0.25">
      <c r="I402" s="37"/>
      <c r="J402" s="35"/>
    </row>
    <row r="403" spans="9:10" x14ac:dyDescent="0.25">
      <c r="I403" s="37"/>
      <c r="J403" s="35"/>
    </row>
    <row r="404" spans="9:10" x14ac:dyDescent="0.25">
      <c r="I404" s="37"/>
      <c r="J404" s="35"/>
    </row>
    <row r="405" spans="9:10" x14ac:dyDescent="0.25">
      <c r="I405" s="37"/>
      <c r="J405" s="35"/>
    </row>
    <row r="406" spans="9:10" x14ac:dyDescent="0.25">
      <c r="I406" s="37"/>
      <c r="J406" s="35"/>
    </row>
    <row r="407" spans="9:10" x14ac:dyDescent="0.25">
      <c r="I407" s="37"/>
      <c r="J407" s="35"/>
    </row>
    <row r="408" spans="9:10" x14ac:dyDescent="0.25">
      <c r="I408" s="37"/>
      <c r="J408" s="35"/>
    </row>
    <row r="409" spans="9:10" x14ac:dyDescent="0.25">
      <c r="I409" s="37"/>
      <c r="J409" s="35"/>
    </row>
    <row r="410" spans="9:10" x14ac:dyDescent="0.25">
      <c r="I410" s="37"/>
      <c r="J410" s="35"/>
    </row>
    <row r="411" spans="9:10" x14ac:dyDescent="0.25">
      <c r="I411" s="37"/>
      <c r="J411" s="35"/>
    </row>
    <row r="412" spans="9:10" x14ac:dyDescent="0.25">
      <c r="I412" s="37"/>
      <c r="J412" s="35"/>
    </row>
    <row r="413" spans="9:10" x14ac:dyDescent="0.25">
      <c r="I413" s="37"/>
      <c r="J413" s="35"/>
    </row>
    <row r="414" spans="9:10" x14ac:dyDescent="0.25">
      <c r="I414" s="37"/>
      <c r="J414" s="35"/>
    </row>
    <row r="415" spans="9:10" x14ac:dyDescent="0.25">
      <c r="I415" s="37"/>
      <c r="J415" s="35"/>
    </row>
    <row r="416" spans="9:10" x14ac:dyDescent="0.25">
      <c r="I416" s="37"/>
      <c r="J416" s="35"/>
    </row>
    <row r="417" spans="9:10" x14ac:dyDescent="0.25">
      <c r="I417" s="37"/>
      <c r="J417" s="35"/>
    </row>
    <row r="418" spans="9:10" x14ac:dyDescent="0.25">
      <c r="I418" s="37"/>
      <c r="J418" s="35"/>
    </row>
    <row r="419" spans="9:10" x14ac:dyDescent="0.25">
      <c r="I419" s="37"/>
      <c r="J419" s="35"/>
    </row>
    <row r="420" spans="9:10" x14ac:dyDescent="0.25">
      <c r="I420" s="37"/>
      <c r="J420" s="35"/>
    </row>
    <row r="421" spans="9:10" x14ac:dyDescent="0.25">
      <c r="I421" s="37"/>
      <c r="J421" s="35"/>
    </row>
    <row r="422" spans="9:10" x14ac:dyDescent="0.25">
      <c r="I422" s="37"/>
      <c r="J422" s="35"/>
    </row>
    <row r="423" spans="9:10" x14ac:dyDescent="0.25">
      <c r="I423" s="37"/>
      <c r="J423" s="35"/>
    </row>
    <row r="424" spans="9:10" x14ac:dyDescent="0.25">
      <c r="I424" s="37"/>
      <c r="J424" s="35"/>
    </row>
    <row r="425" spans="9:10" x14ac:dyDescent="0.25">
      <c r="I425" s="37"/>
      <c r="J425" s="35"/>
    </row>
    <row r="426" spans="9:10" x14ac:dyDescent="0.25">
      <c r="I426" s="37"/>
      <c r="J426" s="35"/>
    </row>
    <row r="427" spans="9:10" x14ac:dyDescent="0.25">
      <c r="I427" s="37"/>
      <c r="J427" s="35"/>
    </row>
    <row r="428" spans="9:10" x14ac:dyDescent="0.25">
      <c r="I428" s="37"/>
      <c r="J428" s="35"/>
    </row>
    <row r="429" spans="9:10" x14ac:dyDescent="0.25">
      <c r="I429" s="37"/>
      <c r="J429" s="35"/>
    </row>
    <row r="430" spans="9:10" x14ac:dyDescent="0.25">
      <c r="I430" s="37"/>
      <c r="J430" s="35"/>
    </row>
    <row r="431" spans="9:10" x14ac:dyDescent="0.25">
      <c r="I431" s="37"/>
      <c r="J431" s="35"/>
    </row>
    <row r="432" spans="9:10" x14ac:dyDescent="0.25">
      <c r="I432" s="37"/>
      <c r="J432" s="35"/>
    </row>
    <row r="433" spans="9:10" x14ac:dyDescent="0.25">
      <c r="I433" s="37"/>
      <c r="J433" s="35"/>
    </row>
    <row r="434" spans="9:10" x14ac:dyDescent="0.25">
      <c r="I434" s="37"/>
      <c r="J434" s="35"/>
    </row>
    <row r="435" spans="9:10" x14ac:dyDescent="0.25">
      <c r="I435" s="37"/>
      <c r="J435" s="35"/>
    </row>
    <row r="436" spans="9:10" x14ac:dyDescent="0.25">
      <c r="I436" s="37"/>
      <c r="J436" s="35"/>
    </row>
    <row r="437" spans="9:10" x14ac:dyDescent="0.25">
      <c r="I437" s="37"/>
      <c r="J437" s="35"/>
    </row>
    <row r="438" spans="9:10" x14ac:dyDescent="0.25">
      <c r="I438" s="37"/>
      <c r="J438" s="35"/>
    </row>
    <row r="439" spans="9:10" x14ac:dyDescent="0.25">
      <c r="I439" s="37"/>
      <c r="J439" s="35"/>
    </row>
    <row r="440" spans="9:10" x14ac:dyDescent="0.25">
      <c r="I440" s="37"/>
      <c r="J440" s="35"/>
    </row>
    <row r="441" spans="9:10" x14ac:dyDescent="0.25">
      <c r="I441" s="37"/>
      <c r="J441" s="35"/>
    </row>
    <row r="442" spans="9:10" x14ac:dyDescent="0.25">
      <c r="I442" s="37"/>
      <c r="J442" s="35"/>
    </row>
    <row r="443" spans="9:10" x14ac:dyDescent="0.25">
      <c r="I443" s="37"/>
      <c r="J443" s="35"/>
    </row>
    <row r="444" spans="9:10" x14ac:dyDescent="0.25">
      <c r="I444" s="37"/>
      <c r="J444" s="35"/>
    </row>
    <row r="445" spans="9:10" x14ac:dyDescent="0.25">
      <c r="I445" s="37"/>
      <c r="J445" s="35"/>
    </row>
    <row r="446" spans="9:10" x14ac:dyDescent="0.25">
      <c r="I446" s="37"/>
      <c r="J446" s="35"/>
    </row>
    <row r="447" spans="9:10" x14ac:dyDescent="0.25">
      <c r="I447" s="37"/>
      <c r="J447" s="35"/>
    </row>
    <row r="448" spans="9:10" x14ac:dyDescent="0.25">
      <c r="I448" s="37"/>
      <c r="J448" s="35"/>
    </row>
    <row r="449" spans="9:10" x14ac:dyDescent="0.25">
      <c r="I449" s="37"/>
      <c r="J449" s="35"/>
    </row>
    <row r="450" spans="9:10" x14ac:dyDescent="0.25">
      <c r="I450" s="37"/>
      <c r="J450" s="35"/>
    </row>
    <row r="451" spans="9:10" x14ac:dyDescent="0.25">
      <c r="I451" s="37"/>
      <c r="J451" s="35"/>
    </row>
    <row r="452" spans="9:10" x14ac:dyDescent="0.25">
      <c r="I452" s="37"/>
      <c r="J452" s="35"/>
    </row>
    <row r="453" spans="9:10" x14ac:dyDescent="0.25">
      <c r="I453" s="37"/>
      <c r="J453" s="35"/>
    </row>
    <row r="454" spans="9:10" x14ac:dyDescent="0.25">
      <c r="I454" s="37"/>
      <c r="J454" s="35"/>
    </row>
    <row r="455" spans="9:10" x14ac:dyDescent="0.25">
      <c r="I455" s="37"/>
      <c r="J455" s="35"/>
    </row>
    <row r="456" spans="9:10" x14ac:dyDescent="0.25">
      <c r="I456" s="37"/>
      <c r="J456" s="35"/>
    </row>
    <row r="457" spans="9:10" x14ac:dyDescent="0.25">
      <c r="I457" s="37"/>
      <c r="J457" s="35"/>
    </row>
    <row r="458" spans="9:10" x14ac:dyDescent="0.25">
      <c r="I458" s="37"/>
      <c r="J458" s="35"/>
    </row>
    <row r="459" spans="9:10" x14ac:dyDescent="0.25">
      <c r="I459" s="37"/>
      <c r="J459" s="35"/>
    </row>
    <row r="460" spans="9:10" x14ac:dyDescent="0.25">
      <c r="I460" s="37"/>
      <c r="J460" s="35"/>
    </row>
    <row r="461" spans="9:10" x14ac:dyDescent="0.25">
      <c r="I461" s="37"/>
      <c r="J461" s="35"/>
    </row>
    <row r="462" spans="9:10" x14ac:dyDescent="0.25">
      <c r="I462" s="37"/>
      <c r="J462" s="35"/>
    </row>
    <row r="463" spans="9:10" x14ac:dyDescent="0.25">
      <c r="I463" s="37"/>
      <c r="J463" s="35"/>
    </row>
    <row r="464" spans="9:10" x14ac:dyDescent="0.25">
      <c r="I464" s="37"/>
      <c r="J464" s="35"/>
    </row>
    <row r="465" spans="9:10" x14ac:dyDescent="0.25">
      <c r="I465" s="37"/>
      <c r="J465" s="35"/>
    </row>
    <row r="466" spans="9:10" x14ac:dyDescent="0.25">
      <c r="I466" s="37"/>
      <c r="J466" s="35"/>
    </row>
    <row r="467" spans="9:10" x14ac:dyDescent="0.25">
      <c r="I467" s="37"/>
      <c r="J467" s="35"/>
    </row>
    <row r="468" spans="9:10" x14ac:dyDescent="0.25">
      <c r="I468" s="37"/>
      <c r="J468" s="35"/>
    </row>
    <row r="469" spans="9:10" x14ac:dyDescent="0.25">
      <c r="I469" s="37"/>
      <c r="J469" s="35"/>
    </row>
    <row r="470" spans="9:10" x14ac:dyDescent="0.25">
      <c r="I470" s="37"/>
      <c r="J470" s="35"/>
    </row>
    <row r="471" spans="9:10" x14ac:dyDescent="0.25">
      <c r="I471" s="37"/>
      <c r="J471" s="35"/>
    </row>
    <row r="472" spans="9:10" x14ac:dyDescent="0.25">
      <c r="I472" s="37"/>
      <c r="J472" s="35"/>
    </row>
    <row r="473" spans="9:10" x14ac:dyDescent="0.25">
      <c r="I473" s="37"/>
      <c r="J473" s="35"/>
    </row>
    <row r="474" spans="9:10" x14ac:dyDescent="0.25">
      <c r="I474" s="37"/>
      <c r="J474" s="35"/>
    </row>
    <row r="475" spans="9:10" x14ac:dyDescent="0.25">
      <c r="I475" s="37"/>
      <c r="J475" s="35"/>
    </row>
    <row r="476" spans="9:10" x14ac:dyDescent="0.25">
      <c r="I476" s="37"/>
      <c r="J476" s="35"/>
    </row>
    <row r="477" spans="9:10" x14ac:dyDescent="0.25">
      <c r="I477" s="37"/>
      <c r="J477" s="35"/>
    </row>
    <row r="478" spans="9:10" x14ac:dyDescent="0.25">
      <c r="I478" s="37"/>
      <c r="J478" s="35"/>
    </row>
    <row r="479" spans="9:10" x14ac:dyDescent="0.25">
      <c r="I479" s="37"/>
      <c r="J479" s="35"/>
    </row>
    <row r="480" spans="9:10" x14ac:dyDescent="0.25">
      <c r="I480" s="37"/>
      <c r="J480" s="35"/>
    </row>
    <row r="481" spans="9:10" x14ac:dyDescent="0.25">
      <c r="I481" s="37"/>
      <c r="J481" s="35"/>
    </row>
    <row r="482" spans="9:10" x14ac:dyDescent="0.25">
      <c r="I482" s="37"/>
      <c r="J482" s="35"/>
    </row>
    <row r="483" spans="9:10" x14ac:dyDescent="0.25">
      <c r="I483" s="37"/>
      <c r="J483" s="35"/>
    </row>
    <row r="484" spans="9:10" x14ac:dyDescent="0.25">
      <c r="I484" s="37"/>
      <c r="J484" s="35"/>
    </row>
    <row r="485" spans="9:10" x14ac:dyDescent="0.25">
      <c r="I485" s="37"/>
      <c r="J485" s="35"/>
    </row>
    <row r="486" spans="9:10" x14ac:dyDescent="0.25">
      <c r="I486" s="37"/>
      <c r="J486" s="35"/>
    </row>
    <row r="487" spans="9:10" x14ac:dyDescent="0.25">
      <c r="I487" s="37"/>
      <c r="J487" s="35"/>
    </row>
    <row r="488" spans="9:10" x14ac:dyDescent="0.25">
      <c r="I488" s="37"/>
      <c r="J488" s="35"/>
    </row>
    <row r="489" spans="9:10" x14ac:dyDescent="0.25">
      <c r="I489" s="37"/>
      <c r="J489" s="35"/>
    </row>
    <row r="490" spans="9:10" x14ac:dyDescent="0.25">
      <c r="I490" s="37"/>
      <c r="J490" s="35"/>
    </row>
    <row r="491" spans="9:10" x14ac:dyDescent="0.25">
      <c r="I491" s="37"/>
      <c r="J491" s="35"/>
    </row>
    <row r="492" spans="9:10" x14ac:dyDescent="0.25">
      <c r="I492" s="37"/>
      <c r="J492" s="35"/>
    </row>
    <row r="493" spans="9:10" x14ac:dyDescent="0.25">
      <c r="I493" s="37"/>
      <c r="J493" s="35"/>
    </row>
    <row r="494" spans="9:10" x14ac:dyDescent="0.25">
      <c r="I494" s="37"/>
      <c r="J494" s="35"/>
    </row>
    <row r="495" spans="9:10" x14ac:dyDescent="0.25">
      <c r="I495" s="37"/>
      <c r="J495" s="35"/>
    </row>
    <row r="496" spans="9:10" x14ac:dyDescent="0.25">
      <c r="I496" s="37"/>
      <c r="J496" s="35"/>
    </row>
    <row r="497" spans="9:10" x14ac:dyDescent="0.25">
      <c r="I497" s="37"/>
      <c r="J497" s="35"/>
    </row>
    <row r="498" spans="9:10" x14ac:dyDescent="0.25">
      <c r="I498" s="37"/>
      <c r="J498" s="35"/>
    </row>
    <row r="499" spans="9:10" x14ac:dyDescent="0.25">
      <c r="I499" s="37"/>
      <c r="J499" s="35"/>
    </row>
    <row r="500" spans="9:10" x14ac:dyDescent="0.25">
      <c r="I500" s="37"/>
      <c r="J500" s="35"/>
    </row>
    <row r="501" spans="9:10" x14ac:dyDescent="0.25">
      <c r="I501" s="37"/>
      <c r="J501" s="35"/>
    </row>
    <row r="502" spans="9:10" x14ac:dyDescent="0.25">
      <c r="I502" s="37"/>
      <c r="J502" s="35"/>
    </row>
    <row r="503" spans="9:10" x14ac:dyDescent="0.25">
      <c r="I503" s="37"/>
      <c r="J503" s="35"/>
    </row>
    <row r="504" spans="9:10" x14ac:dyDescent="0.25">
      <c r="I504" s="37"/>
      <c r="J504" s="35"/>
    </row>
    <row r="505" spans="9:10" x14ac:dyDescent="0.25">
      <c r="I505" s="37"/>
      <c r="J505" s="35"/>
    </row>
    <row r="506" spans="9:10" x14ac:dyDescent="0.25">
      <c r="I506" s="37"/>
      <c r="J506" s="35"/>
    </row>
    <row r="507" spans="9:10" x14ac:dyDescent="0.25">
      <c r="I507" s="37"/>
      <c r="J507" s="35"/>
    </row>
    <row r="508" spans="9:10" x14ac:dyDescent="0.25">
      <c r="I508" s="37"/>
      <c r="J508" s="35"/>
    </row>
    <row r="509" spans="9:10" x14ac:dyDescent="0.25">
      <c r="I509" s="37"/>
      <c r="J509" s="35"/>
    </row>
    <row r="510" spans="9:10" x14ac:dyDescent="0.25">
      <c r="I510" s="37"/>
      <c r="J510" s="35"/>
    </row>
    <row r="511" spans="9:10" x14ac:dyDescent="0.25">
      <c r="I511" s="37"/>
      <c r="J511" s="35"/>
    </row>
    <row r="512" spans="9:10" x14ac:dyDescent="0.25">
      <c r="I512" s="37"/>
      <c r="J512" s="35"/>
    </row>
    <row r="513" spans="9:10" x14ac:dyDescent="0.25">
      <c r="I513" s="37"/>
      <c r="J513" s="35"/>
    </row>
    <row r="514" spans="9:10" x14ac:dyDescent="0.25">
      <c r="I514" s="37"/>
      <c r="J514" s="35"/>
    </row>
    <row r="515" spans="9:10" x14ac:dyDescent="0.25">
      <c r="I515" s="37"/>
      <c r="J515" s="35"/>
    </row>
    <row r="516" spans="9:10" x14ac:dyDescent="0.25">
      <c r="I516" s="37"/>
      <c r="J516" s="35"/>
    </row>
    <row r="517" spans="9:10" x14ac:dyDescent="0.25">
      <c r="I517" s="37"/>
      <c r="J517" s="35"/>
    </row>
    <row r="518" spans="9:10" x14ac:dyDescent="0.25">
      <c r="I518" s="37"/>
      <c r="J518" s="35"/>
    </row>
    <row r="519" spans="9:10" x14ac:dyDescent="0.25">
      <c r="I519" s="37"/>
      <c r="J519" s="35"/>
    </row>
    <row r="520" spans="9:10" x14ac:dyDescent="0.25">
      <c r="I520" s="37"/>
      <c r="J520" s="35"/>
    </row>
    <row r="521" spans="9:10" x14ac:dyDescent="0.25">
      <c r="I521" s="37"/>
      <c r="J521" s="35"/>
    </row>
    <row r="522" spans="9:10" x14ac:dyDescent="0.25">
      <c r="I522" s="37"/>
      <c r="J522" s="35"/>
    </row>
    <row r="523" spans="9:10" x14ac:dyDescent="0.25">
      <c r="I523" s="37"/>
      <c r="J523" s="35"/>
    </row>
    <row r="524" spans="9:10" x14ac:dyDescent="0.25">
      <c r="I524" s="37"/>
      <c r="J524" s="35"/>
    </row>
    <row r="525" spans="9:10" x14ac:dyDescent="0.25">
      <c r="I525" s="37"/>
      <c r="J525" s="35"/>
    </row>
    <row r="526" spans="9:10" x14ac:dyDescent="0.25">
      <c r="I526" s="37"/>
      <c r="J526" s="35"/>
    </row>
    <row r="527" spans="9:10" x14ac:dyDescent="0.25">
      <c r="I527" s="37"/>
      <c r="J527" s="35"/>
    </row>
    <row r="528" spans="9:10" x14ac:dyDescent="0.25">
      <c r="I528" s="37"/>
      <c r="J528" s="35"/>
    </row>
    <row r="529" spans="9:10" x14ac:dyDescent="0.25">
      <c r="I529" s="37"/>
      <c r="J529" s="35"/>
    </row>
    <row r="530" spans="9:10" x14ac:dyDescent="0.25">
      <c r="I530" s="37"/>
      <c r="J530" s="35"/>
    </row>
    <row r="531" spans="9:10" x14ac:dyDescent="0.25">
      <c r="I531" s="37"/>
      <c r="J531" s="35"/>
    </row>
    <row r="532" spans="9:10" x14ac:dyDescent="0.25">
      <c r="I532" s="37"/>
      <c r="J532" s="35"/>
    </row>
    <row r="533" spans="9:10" x14ac:dyDescent="0.25">
      <c r="I533" s="37"/>
      <c r="J533" s="35"/>
    </row>
    <row r="534" spans="9:10" x14ac:dyDescent="0.25">
      <c r="I534" s="37"/>
      <c r="J534" s="35"/>
    </row>
    <row r="535" spans="9:10" x14ac:dyDescent="0.25">
      <c r="I535" s="37"/>
      <c r="J535" s="35"/>
    </row>
    <row r="536" spans="9:10" x14ac:dyDescent="0.25">
      <c r="I536" s="37"/>
      <c r="J536" s="35"/>
    </row>
    <row r="537" spans="9:10" x14ac:dyDescent="0.25">
      <c r="I537" s="37"/>
      <c r="J537" s="35"/>
    </row>
    <row r="538" spans="9:10" x14ac:dyDescent="0.25">
      <c r="I538" s="37"/>
      <c r="J538" s="35"/>
    </row>
    <row r="539" spans="9:10" x14ac:dyDescent="0.25">
      <c r="I539" s="37"/>
      <c r="J539" s="35"/>
    </row>
    <row r="540" spans="9:10" x14ac:dyDescent="0.25">
      <c r="I540" s="37"/>
      <c r="J540" s="35"/>
    </row>
    <row r="541" spans="9:10" x14ac:dyDescent="0.25">
      <c r="I541" s="37"/>
      <c r="J541" s="35"/>
    </row>
    <row r="542" spans="9:10" x14ac:dyDescent="0.25">
      <c r="I542" s="37"/>
      <c r="J542" s="35"/>
    </row>
    <row r="543" spans="9:10" x14ac:dyDescent="0.25">
      <c r="I543" s="37"/>
      <c r="J543" s="35"/>
    </row>
    <row r="544" spans="9:10" x14ac:dyDescent="0.25">
      <c r="I544" s="37"/>
      <c r="J544" s="35"/>
    </row>
    <row r="545" spans="9:10" x14ac:dyDescent="0.25">
      <c r="I545" s="37"/>
      <c r="J545" s="35"/>
    </row>
    <row r="546" spans="9:10" x14ac:dyDescent="0.25">
      <c r="I546" s="37"/>
      <c r="J546" s="35"/>
    </row>
    <row r="547" spans="9:10" x14ac:dyDescent="0.25">
      <c r="I547" s="37"/>
      <c r="J547" s="35"/>
    </row>
    <row r="548" spans="9:10" x14ac:dyDescent="0.25">
      <c r="I548" s="37"/>
      <c r="J548" s="35"/>
    </row>
    <row r="549" spans="9:10" x14ac:dyDescent="0.25">
      <c r="I549" s="37"/>
      <c r="J549" s="35"/>
    </row>
    <row r="550" spans="9:10" x14ac:dyDescent="0.25">
      <c r="I550" s="37"/>
      <c r="J550" s="35"/>
    </row>
    <row r="551" spans="9:10" x14ac:dyDescent="0.25">
      <c r="I551" s="37"/>
      <c r="J551" s="35"/>
    </row>
    <row r="552" spans="9:10" x14ac:dyDescent="0.25">
      <c r="I552" s="37"/>
      <c r="J552" s="35"/>
    </row>
    <row r="553" spans="9:10" x14ac:dyDescent="0.25">
      <c r="I553" s="37"/>
      <c r="J553" s="35"/>
    </row>
    <row r="554" spans="9:10" x14ac:dyDescent="0.25">
      <c r="I554" s="37"/>
      <c r="J554" s="35"/>
    </row>
    <row r="555" spans="9:10" x14ac:dyDescent="0.25">
      <c r="I555" s="37"/>
      <c r="J555" s="35"/>
    </row>
    <row r="556" spans="9:10" x14ac:dyDescent="0.25">
      <c r="I556" s="37"/>
      <c r="J556" s="35"/>
    </row>
    <row r="557" spans="9:10" x14ac:dyDescent="0.25">
      <c r="I557" s="37"/>
      <c r="J557" s="35"/>
    </row>
    <row r="558" spans="9:10" x14ac:dyDescent="0.25">
      <c r="I558" s="37"/>
      <c r="J558" s="35"/>
    </row>
    <row r="559" spans="9:10" x14ac:dyDescent="0.25">
      <c r="I559" s="37"/>
      <c r="J559" s="35"/>
    </row>
    <row r="560" spans="9:10" x14ac:dyDescent="0.25">
      <c r="I560" s="37"/>
      <c r="J560" s="35"/>
    </row>
    <row r="561" spans="9:10" x14ac:dyDescent="0.25">
      <c r="I561" s="37"/>
      <c r="J561" s="35"/>
    </row>
    <row r="562" spans="9:10" x14ac:dyDescent="0.25">
      <c r="I562" s="37"/>
      <c r="J562" s="35"/>
    </row>
    <row r="563" spans="9:10" x14ac:dyDescent="0.25">
      <c r="I563" s="37"/>
      <c r="J563" s="35"/>
    </row>
    <row r="564" spans="9:10" x14ac:dyDescent="0.25">
      <c r="I564" s="37"/>
      <c r="J564" s="35"/>
    </row>
    <row r="565" spans="9:10" x14ac:dyDescent="0.25">
      <c r="I565" s="37"/>
      <c r="J565" s="35"/>
    </row>
    <row r="566" spans="9:10" x14ac:dyDescent="0.25">
      <c r="I566" s="37"/>
      <c r="J566" s="35"/>
    </row>
    <row r="567" spans="9:10" x14ac:dyDescent="0.25">
      <c r="I567" s="37"/>
      <c r="J567" s="35"/>
    </row>
    <row r="568" spans="9:10" x14ac:dyDescent="0.25">
      <c r="I568" s="37"/>
      <c r="J568" s="35"/>
    </row>
    <row r="569" spans="9:10" x14ac:dyDescent="0.25">
      <c r="I569" s="37"/>
      <c r="J569" s="35"/>
    </row>
    <row r="570" spans="9:10" x14ac:dyDescent="0.25">
      <c r="I570" s="37"/>
      <c r="J570" s="35"/>
    </row>
    <row r="571" spans="9:10" x14ac:dyDescent="0.25">
      <c r="I571" s="37"/>
      <c r="J571" s="35"/>
    </row>
    <row r="572" spans="9:10" x14ac:dyDescent="0.25">
      <c r="I572" s="37"/>
      <c r="J572" s="35"/>
    </row>
    <row r="573" spans="9:10" x14ac:dyDescent="0.25">
      <c r="I573" s="37"/>
      <c r="J573" s="35"/>
    </row>
    <row r="574" spans="9:10" x14ac:dyDescent="0.25">
      <c r="I574" s="37"/>
      <c r="J574" s="35"/>
    </row>
    <row r="575" spans="9:10" x14ac:dyDescent="0.25">
      <c r="I575" s="37"/>
      <c r="J575" s="35"/>
    </row>
    <row r="576" spans="9:10" x14ac:dyDescent="0.25">
      <c r="I576" s="37"/>
      <c r="J576" s="35"/>
    </row>
    <row r="577" spans="9:10" x14ac:dyDescent="0.25">
      <c r="I577" s="37"/>
      <c r="J577" s="35"/>
    </row>
    <row r="578" spans="9:10" x14ac:dyDescent="0.25">
      <c r="I578" s="37"/>
      <c r="J578" s="35"/>
    </row>
    <row r="579" spans="9:10" x14ac:dyDescent="0.25">
      <c r="I579" s="37"/>
      <c r="J579" s="35"/>
    </row>
    <row r="580" spans="9:10" x14ac:dyDescent="0.25">
      <c r="I580" s="37"/>
      <c r="J580" s="35"/>
    </row>
    <row r="581" spans="9:10" x14ac:dyDescent="0.25">
      <c r="I581" s="37"/>
      <c r="J581" s="35"/>
    </row>
    <row r="582" spans="9:10" x14ac:dyDescent="0.25">
      <c r="I582" s="37"/>
      <c r="J582" s="35"/>
    </row>
    <row r="583" spans="9:10" x14ac:dyDescent="0.25">
      <c r="I583" s="37"/>
      <c r="J583" s="35"/>
    </row>
    <row r="584" spans="9:10" x14ac:dyDescent="0.25">
      <c r="I584" s="37"/>
      <c r="J584" s="35"/>
    </row>
    <row r="585" spans="9:10" x14ac:dyDescent="0.25">
      <c r="I585" s="37"/>
      <c r="J585" s="35"/>
    </row>
    <row r="586" spans="9:10" x14ac:dyDescent="0.25">
      <c r="I586" s="37"/>
      <c r="J586" s="35"/>
    </row>
    <row r="587" spans="9:10" x14ac:dyDescent="0.25">
      <c r="I587" s="37"/>
      <c r="J587" s="35"/>
    </row>
    <row r="588" spans="9:10" x14ac:dyDescent="0.25">
      <c r="I588" s="37"/>
      <c r="J588" s="35"/>
    </row>
    <row r="589" spans="9:10" x14ac:dyDescent="0.25">
      <c r="I589" s="37"/>
      <c r="J589" s="35"/>
    </row>
    <row r="590" spans="9:10" x14ac:dyDescent="0.25">
      <c r="I590" s="37"/>
      <c r="J590" s="35"/>
    </row>
    <row r="591" spans="9:10" x14ac:dyDescent="0.25">
      <c r="I591" s="37"/>
      <c r="J591" s="35"/>
    </row>
    <row r="592" spans="9:10" x14ac:dyDescent="0.25">
      <c r="I592" s="37"/>
      <c r="J592" s="35"/>
    </row>
    <row r="593" spans="9:10" x14ac:dyDescent="0.25">
      <c r="I593" s="37"/>
      <c r="J593" s="35"/>
    </row>
    <row r="594" spans="9:10" x14ac:dyDescent="0.25">
      <c r="I594" s="37"/>
      <c r="J594" s="35"/>
    </row>
    <row r="595" spans="9:10" x14ac:dyDescent="0.25">
      <c r="I595" s="37"/>
      <c r="J595" s="35"/>
    </row>
    <row r="596" spans="9:10" x14ac:dyDescent="0.25">
      <c r="I596" s="37"/>
      <c r="J596" s="35"/>
    </row>
    <row r="597" spans="9:10" x14ac:dyDescent="0.25">
      <c r="I597" s="37"/>
      <c r="J597" s="35"/>
    </row>
    <row r="598" spans="9:10" x14ac:dyDescent="0.25">
      <c r="I598" s="37"/>
      <c r="J598" s="35"/>
    </row>
    <row r="599" spans="9:10" x14ac:dyDescent="0.25">
      <c r="I599" s="37"/>
      <c r="J599" s="35"/>
    </row>
    <row r="600" spans="9:10" x14ac:dyDescent="0.25">
      <c r="I600" s="37"/>
      <c r="J600" s="35"/>
    </row>
    <row r="601" spans="9:10" x14ac:dyDescent="0.25">
      <c r="I601" s="37"/>
      <c r="J601" s="35"/>
    </row>
    <row r="602" spans="9:10" x14ac:dyDescent="0.25">
      <c r="I602" s="37"/>
      <c r="J602" s="35"/>
    </row>
    <row r="603" spans="9:10" x14ac:dyDescent="0.25">
      <c r="I603" s="37"/>
      <c r="J603" s="35"/>
    </row>
    <row r="604" spans="9:10" x14ac:dyDescent="0.25">
      <c r="I604" s="37"/>
      <c r="J604" s="35"/>
    </row>
    <row r="605" spans="9:10" x14ac:dyDescent="0.25">
      <c r="I605" s="37"/>
      <c r="J605" s="35"/>
    </row>
    <row r="606" spans="9:10" x14ac:dyDescent="0.25">
      <c r="I606" s="37"/>
      <c r="J606" s="35"/>
    </row>
    <row r="607" spans="9:10" x14ac:dyDescent="0.25">
      <c r="I607" s="37"/>
      <c r="J607" s="35"/>
    </row>
    <row r="608" spans="9:10" x14ac:dyDescent="0.25">
      <c r="I608" s="37"/>
      <c r="J608" s="35"/>
    </row>
    <row r="609" spans="9:10" x14ac:dyDescent="0.25">
      <c r="I609" s="37"/>
      <c r="J609" s="35"/>
    </row>
    <row r="610" spans="9:10" x14ac:dyDescent="0.25">
      <c r="I610" s="37"/>
      <c r="J610" s="35"/>
    </row>
    <row r="611" spans="9:10" x14ac:dyDescent="0.25">
      <c r="I611" s="37"/>
      <c r="J611" s="35"/>
    </row>
    <row r="612" spans="9:10" x14ac:dyDescent="0.25">
      <c r="I612" s="37"/>
      <c r="J612" s="35"/>
    </row>
    <row r="613" spans="9:10" x14ac:dyDescent="0.25">
      <c r="I613" s="37"/>
      <c r="J613" s="35"/>
    </row>
    <row r="614" spans="9:10" x14ac:dyDescent="0.25">
      <c r="I614" s="37"/>
      <c r="J614" s="35"/>
    </row>
    <row r="615" spans="9:10" x14ac:dyDescent="0.25">
      <c r="I615" s="37"/>
      <c r="J615" s="35"/>
    </row>
    <row r="616" spans="9:10" x14ac:dyDescent="0.25">
      <c r="I616" s="37"/>
      <c r="J616" s="35"/>
    </row>
    <row r="617" spans="9:10" x14ac:dyDescent="0.25">
      <c r="I617" s="37"/>
      <c r="J617" s="35"/>
    </row>
    <row r="618" spans="9:10" x14ac:dyDescent="0.25">
      <c r="I618" s="37"/>
      <c r="J618" s="35"/>
    </row>
    <row r="619" spans="9:10" x14ac:dyDescent="0.25">
      <c r="I619" s="37"/>
      <c r="J619" s="35"/>
    </row>
    <row r="620" spans="9:10" x14ac:dyDescent="0.25">
      <c r="I620" s="37"/>
      <c r="J620" s="35"/>
    </row>
    <row r="621" spans="9:10" x14ac:dyDescent="0.25">
      <c r="I621" s="37"/>
      <c r="J621" s="35"/>
    </row>
    <row r="622" spans="9:10" x14ac:dyDescent="0.25">
      <c r="I622" s="37"/>
      <c r="J622" s="35"/>
    </row>
    <row r="623" spans="9:10" x14ac:dyDescent="0.25">
      <c r="I623" s="37"/>
      <c r="J623" s="35"/>
    </row>
    <row r="624" spans="9:10" x14ac:dyDescent="0.25">
      <c r="I624" s="37"/>
      <c r="J624" s="35"/>
    </row>
    <row r="625" spans="9:10" x14ac:dyDescent="0.25">
      <c r="I625" s="37"/>
      <c r="J625" s="35"/>
    </row>
    <row r="626" spans="9:10" x14ac:dyDescent="0.25">
      <c r="I626" s="37"/>
      <c r="J626" s="35"/>
    </row>
    <row r="627" spans="9:10" x14ac:dyDescent="0.25">
      <c r="I627" s="37"/>
      <c r="J627" s="35"/>
    </row>
    <row r="628" spans="9:10" x14ac:dyDescent="0.25">
      <c r="I628" s="37"/>
      <c r="J628" s="35"/>
    </row>
    <row r="629" spans="9:10" x14ac:dyDescent="0.25">
      <c r="I629" s="37"/>
      <c r="J629" s="35"/>
    </row>
    <row r="630" spans="9:10" x14ac:dyDescent="0.25">
      <c r="I630" s="37"/>
      <c r="J630" s="35"/>
    </row>
    <row r="631" spans="9:10" x14ac:dyDescent="0.25">
      <c r="I631" s="37"/>
      <c r="J631" s="35"/>
    </row>
    <row r="632" spans="9:10" x14ac:dyDescent="0.25">
      <c r="I632" s="37"/>
      <c r="J632" s="35"/>
    </row>
    <row r="633" spans="9:10" x14ac:dyDescent="0.25">
      <c r="I633" s="37"/>
      <c r="J633" s="35"/>
    </row>
    <row r="634" spans="9:10" x14ac:dyDescent="0.25">
      <c r="I634" s="37"/>
      <c r="J634" s="35"/>
    </row>
    <row r="635" spans="9:10" x14ac:dyDescent="0.25">
      <c r="I635" s="37"/>
      <c r="J635" s="35"/>
    </row>
    <row r="636" spans="9:10" x14ac:dyDescent="0.25">
      <c r="I636" s="37"/>
      <c r="J636" s="35"/>
    </row>
    <row r="637" spans="9:10" x14ac:dyDescent="0.25">
      <c r="I637" s="37"/>
      <c r="J637" s="35"/>
    </row>
    <row r="638" spans="9:10" x14ac:dyDescent="0.25">
      <c r="I638" s="37"/>
      <c r="J638" s="35"/>
    </row>
    <row r="639" spans="9:10" x14ac:dyDescent="0.25">
      <c r="I639" s="37"/>
      <c r="J639" s="35"/>
    </row>
    <row r="640" spans="9:10" x14ac:dyDescent="0.25">
      <c r="I640" s="37"/>
      <c r="J640" s="35"/>
    </row>
    <row r="641" spans="9:10" x14ac:dyDescent="0.25">
      <c r="I641" s="37"/>
      <c r="J641" s="35"/>
    </row>
    <row r="642" spans="9:10" x14ac:dyDescent="0.25">
      <c r="I642" s="37"/>
      <c r="J642" s="35"/>
    </row>
    <row r="643" spans="9:10" x14ac:dyDescent="0.25">
      <c r="I643" s="37"/>
      <c r="J643" s="35"/>
    </row>
    <row r="644" spans="9:10" x14ac:dyDescent="0.25">
      <c r="I644" s="37"/>
      <c r="J644" s="35"/>
    </row>
    <row r="645" spans="9:10" x14ac:dyDescent="0.25">
      <c r="I645" s="37"/>
      <c r="J645" s="35"/>
    </row>
    <row r="646" spans="9:10" x14ac:dyDescent="0.25">
      <c r="I646" s="37"/>
      <c r="J646" s="35"/>
    </row>
    <row r="647" spans="9:10" x14ac:dyDescent="0.25">
      <c r="I647" s="37"/>
      <c r="J647" s="35"/>
    </row>
    <row r="648" spans="9:10" x14ac:dyDescent="0.25">
      <c r="I648" s="37"/>
      <c r="J648" s="35"/>
    </row>
    <row r="649" spans="9:10" x14ac:dyDescent="0.25">
      <c r="I649" s="37"/>
      <c r="J649" s="35"/>
    </row>
    <row r="650" spans="9:10" x14ac:dyDescent="0.25">
      <c r="I650" s="37"/>
      <c r="J650" s="35"/>
    </row>
    <row r="651" spans="9:10" x14ac:dyDescent="0.25">
      <c r="I651" s="37"/>
      <c r="J651" s="35"/>
    </row>
    <row r="652" spans="9:10" x14ac:dyDescent="0.25">
      <c r="I652" s="37"/>
      <c r="J652" s="35"/>
    </row>
    <row r="653" spans="9:10" x14ac:dyDescent="0.25">
      <c r="I653" s="37"/>
      <c r="J653" s="35"/>
    </row>
    <row r="654" spans="9:10" x14ac:dyDescent="0.25">
      <c r="I654" s="37"/>
      <c r="J654" s="35"/>
    </row>
    <row r="655" spans="9:10" x14ac:dyDescent="0.25">
      <c r="I655" s="37"/>
      <c r="J655" s="35"/>
    </row>
    <row r="656" spans="9:10" x14ac:dyDescent="0.25">
      <c r="I656" s="37"/>
      <c r="J656" s="35"/>
    </row>
    <row r="657" spans="9:10" x14ac:dyDescent="0.25">
      <c r="I657" s="37"/>
      <c r="J657" s="35"/>
    </row>
    <row r="658" spans="9:10" x14ac:dyDescent="0.25">
      <c r="I658" s="37"/>
      <c r="J658" s="35"/>
    </row>
    <row r="659" spans="9:10" x14ac:dyDescent="0.25">
      <c r="I659" s="37"/>
      <c r="J659" s="35"/>
    </row>
    <row r="660" spans="9:10" x14ac:dyDescent="0.25">
      <c r="I660" s="37"/>
      <c r="J660" s="35"/>
    </row>
    <row r="661" spans="9:10" x14ac:dyDescent="0.25">
      <c r="I661" s="37"/>
      <c r="J661" s="35"/>
    </row>
    <row r="662" spans="9:10" x14ac:dyDescent="0.25">
      <c r="I662" s="37"/>
      <c r="J662" s="35"/>
    </row>
    <row r="663" spans="9:10" x14ac:dyDescent="0.25">
      <c r="I663" s="37"/>
      <c r="J663" s="35"/>
    </row>
    <row r="664" spans="9:10" x14ac:dyDescent="0.25">
      <c r="I664" s="37"/>
      <c r="J664" s="35"/>
    </row>
    <row r="665" spans="9:10" x14ac:dyDescent="0.25">
      <c r="I665" s="37"/>
      <c r="J665" s="35"/>
    </row>
    <row r="666" spans="9:10" x14ac:dyDescent="0.25">
      <c r="I666" s="37"/>
      <c r="J666" s="35"/>
    </row>
    <row r="667" spans="9:10" x14ac:dyDescent="0.25">
      <c r="I667" s="37"/>
      <c r="J667" s="35"/>
    </row>
    <row r="668" spans="9:10" x14ac:dyDescent="0.25">
      <c r="I668" s="37"/>
      <c r="J668" s="35"/>
    </row>
    <row r="669" spans="9:10" x14ac:dyDescent="0.25">
      <c r="I669" s="37"/>
      <c r="J669" s="35"/>
    </row>
    <row r="670" spans="9:10" x14ac:dyDescent="0.25">
      <c r="I670" s="37"/>
      <c r="J670" s="35"/>
    </row>
    <row r="671" spans="9:10" x14ac:dyDescent="0.25">
      <c r="I671" s="37"/>
      <c r="J671" s="35"/>
    </row>
    <row r="672" spans="9:10" x14ac:dyDescent="0.25">
      <c r="I672" s="37"/>
      <c r="J672" s="35"/>
    </row>
    <row r="673" spans="9:10" x14ac:dyDescent="0.25">
      <c r="I673" s="37"/>
      <c r="J673" s="35"/>
    </row>
    <row r="674" spans="9:10" x14ac:dyDescent="0.25">
      <c r="I674" s="37"/>
      <c r="J674" s="35"/>
    </row>
    <row r="675" spans="9:10" x14ac:dyDescent="0.25">
      <c r="I675" s="37"/>
      <c r="J675" s="35"/>
    </row>
    <row r="676" spans="9:10" x14ac:dyDescent="0.25">
      <c r="I676" s="37"/>
      <c r="J676" s="35"/>
    </row>
    <row r="677" spans="9:10" x14ac:dyDescent="0.25">
      <c r="I677" s="37"/>
      <c r="J677" s="35"/>
    </row>
    <row r="678" spans="9:10" x14ac:dyDescent="0.25">
      <c r="I678" s="37"/>
      <c r="J678" s="35"/>
    </row>
    <row r="679" spans="9:10" x14ac:dyDescent="0.25">
      <c r="I679" s="37"/>
      <c r="J679" s="35"/>
    </row>
    <row r="680" spans="9:10" x14ac:dyDescent="0.25">
      <c r="I680" s="37"/>
      <c r="J680" s="35"/>
    </row>
    <row r="681" spans="9:10" x14ac:dyDescent="0.25">
      <c r="I681" s="37"/>
      <c r="J681" s="35"/>
    </row>
    <row r="682" spans="9:10" x14ac:dyDescent="0.25">
      <c r="I682" s="37"/>
      <c r="J682" s="35"/>
    </row>
    <row r="683" spans="9:10" x14ac:dyDescent="0.25">
      <c r="I683" s="37"/>
      <c r="J683" s="35"/>
    </row>
    <row r="684" spans="9:10" x14ac:dyDescent="0.25">
      <c r="I684" s="37"/>
      <c r="J684" s="35"/>
    </row>
    <row r="685" spans="9:10" x14ac:dyDescent="0.25">
      <c r="I685" s="37"/>
      <c r="J685" s="35"/>
    </row>
    <row r="686" spans="9:10" x14ac:dyDescent="0.25">
      <c r="I686" s="37"/>
      <c r="J686" s="35"/>
    </row>
    <row r="687" spans="9:10" x14ac:dyDescent="0.25">
      <c r="I687" s="37"/>
      <c r="J687" s="35"/>
    </row>
    <row r="688" spans="9:10" x14ac:dyDescent="0.25">
      <c r="I688" s="37"/>
      <c r="J688" s="35"/>
    </row>
    <row r="689" spans="9:10" x14ac:dyDescent="0.25">
      <c r="I689" s="37"/>
      <c r="J689" s="35"/>
    </row>
    <row r="690" spans="9:10" x14ac:dyDescent="0.25">
      <c r="I690" s="37"/>
      <c r="J690" s="35"/>
    </row>
    <row r="691" spans="9:10" x14ac:dyDescent="0.25">
      <c r="I691" s="37"/>
      <c r="J691" s="35"/>
    </row>
    <row r="692" spans="9:10" x14ac:dyDescent="0.25">
      <c r="I692" s="37"/>
      <c r="J692" s="35"/>
    </row>
    <row r="693" spans="9:10" x14ac:dyDescent="0.25">
      <c r="I693" s="37"/>
      <c r="J693" s="35"/>
    </row>
    <row r="694" spans="9:10" x14ac:dyDescent="0.25">
      <c r="I694" s="37"/>
      <c r="J694" s="35"/>
    </row>
    <row r="695" spans="9:10" x14ac:dyDescent="0.25">
      <c r="I695" s="37"/>
      <c r="J695" s="35"/>
    </row>
    <row r="696" spans="9:10" x14ac:dyDescent="0.25">
      <c r="I696" s="37"/>
      <c r="J696" s="35"/>
    </row>
    <row r="697" spans="9:10" x14ac:dyDescent="0.25">
      <c r="I697" s="37"/>
      <c r="J697" s="35"/>
    </row>
    <row r="698" spans="9:10" x14ac:dyDescent="0.25">
      <c r="I698" s="37"/>
      <c r="J698" s="35"/>
    </row>
    <row r="699" spans="9:10" x14ac:dyDescent="0.25">
      <c r="I699" s="37"/>
      <c r="J699" s="35"/>
    </row>
    <row r="700" spans="9:10" x14ac:dyDescent="0.25">
      <c r="I700" s="37"/>
      <c r="J700" s="35"/>
    </row>
    <row r="701" spans="9:10" x14ac:dyDescent="0.25">
      <c r="I701" s="37"/>
      <c r="J701" s="35"/>
    </row>
    <row r="702" spans="9:10" x14ac:dyDescent="0.25">
      <c r="I702" s="37"/>
      <c r="J702" s="35"/>
    </row>
    <row r="703" spans="9:10" x14ac:dyDescent="0.25">
      <c r="I703" s="37"/>
      <c r="J703" s="35"/>
    </row>
    <row r="704" spans="9:10" x14ac:dyDescent="0.25">
      <c r="I704" s="37"/>
      <c r="J704" s="35"/>
    </row>
    <row r="705" spans="9:10" x14ac:dyDescent="0.25">
      <c r="I705" s="37"/>
      <c r="J705" s="35"/>
    </row>
    <row r="706" spans="9:10" x14ac:dyDescent="0.25">
      <c r="I706" s="37"/>
      <c r="J706" s="35"/>
    </row>
    <row r="707" spans="9:10" x14ac:dyDescent="0.25">
      <c r="I707" s="37"/>
      <c r="J707" s="35"/>
    </row>
    <row r="708" spans="9:10" x14ac:dyDescent="0.25">
      <c r="I708" s="37"/>
      <c r="J708" s="35"/>
    </row>
    <row r="709" spans="9:10" x14ac:dyDescent="0.25">
      <c r="I709" s="37"/>
      <c r="J709" s="35"/>
    </row>
    <row r="710" spans="9:10" x14ac:dyDescent="0.25">
      <c r="I710" s="37"/>
      <c r="J710" s="35"/>
    </row>
    <row r="711" spans="9:10" x14ac:dyDescent="0.25">
      <c r="I711" s="37"/>
      <c r="J711" s="35"/>
    </row>
    <row r="712" spans="9:10" x14ac:dyDescent="0.25">
      <c r="I712" s="37"/>
      <c r="J712" s="35"/>
    </row>
    <row r="713" spans="9:10" x14ac:dyDescent="0.25">
      <c r="I713" s="37"/>
      <c r="J713" s="35"/>
    </row>
    <row r="714" spans="9:10" x14ac:dyDescent="0.25">
      <c r="I714" s="37"/>
      <c r="J714" s="35"/>
    </row>
    <row r="715" spans="9:10" x14ac:dyDescent="0.25">
      <c r="I715" s="37"/>
      <c r="J715" s="35"/>
    </row>
    <row r="716" spans="9:10" x14ac:dyDescent="0.25">
      <c r="I716" s="37"/>
      <c r="J716" s="35"/>
    </row>
    <row r="717" spans="9:10" x14ac:dyDescent="0.25">
      <c r="I717" s="37"/>
      <c r="J717" s="35"/>
    </row>
    <row r="718" spans="9:10" x14ac:dyDescent="0.25">
      <c r="I718" s="37"/>
      <c r="J718" s="35"/>
    </row>
    <row r="719" spans="9:10" x14ac:dyDescent="0.25">
      <c r="I719" s="37"/>
      <c r="J719" s="35"/>
    </row>
    <row r="720" spans="9:10" x14ac:dyDescent="0.25">
      <c r="I720" s="37"/>
      <c r="J720" s="35"/>
    </row>
    <row r="721" spans="9:10" x14ac:dyDescent="0.25">
      <c r="I721" s="37"/>
      <c r="J721" s="35"/>
    </row>
    <row r="722" spans="9:10" x14ac:dyDescent="0.25">
      <c r="I722" s="37"/>
      <c r="J722" s="35"/>
    </row>
    <row r="723" spans="9:10" x14ac:dyDescent="0.25">
      <c r="I723" s="37"/>
      <c r="J723" s="35"/>
    </row>
    <row r="724" spans="9:10" x14ac:dyDescent="0.25">
      <c r="I724" s="37"/>
      <c r="J724" s="35"/>
    </row>
    <row r="725" spans="9:10" x14ac:dyDescent="0.25">
      <c r="I725" s="37"/>
      <c r="J725" s="35"/>
    </row>
    <row r="726" spans="9:10" x14ac:dyDescent="0.25">
      <c r="I726" s="37"/>
      <c r="J726" s="35"/>
    </row>
    <row r="727" spans="9:10" x14ac:dyDescent="0.25">
      <c r="I727" s="37"/>
      <c r="J727" s="35"/>
    </row>
    <row r="728" spans="9:10" x14ac:dyDescent="0.25">
      <c r="I728" s="37"/>
      <c r="J728" s="35"/>
    </row>
    <row r="729" spans="9:10" x14ac:dyDescent="0.25">
      <c r="I729" s="37"/>
      <c r="J729" s="35"/>
    </row>
    <row r="730" spans="9:10" x14ac:dyDescent="0.25">
      <c r="I730" s="37"/>
      <c r="J730" s="35"/>
    </row>
    <row r="731" spans="9:10" x14ac:dyDescent="0.25">
      <c r="I731" s="37"/>
      <c r="J731" s="35"/>
    </row>
    <row r="732" spans="9:10" x14ac:dyDescent="0.25">
      <c r="I732" s="37"/>
      <c r="J732" s="35"/>
    </row>
    <row r="733" spans="9:10" x14ac:dyDescent="0.25">
      <c r="I733" s="37"/>
      <c r="J733" s="35"/>
    </row>
    <row r="734" spans="9:10" x14ac:dyDescent="0.25">
      <c r="I734" s="37"/>
      <c r="J734" s="35"/>
    </row>
    <row r="735" spans="9:10" x14ac:dyDescent="0.25">
      <c r="I735" s="37"/>
      <c r="J735" s="35"/>
    </row>
    <row r="736" spans="9:10" x14ac:dyDescent="0.25">
      <c r="I736" s="37"/>
      <c r="J736" s="35"/>
    </row>
    <row r="737" spans="9:10" x14ac:dyDescent="0.25">
      <c r="I737" s="37"/>
      <c r="J737" s="35"/>
    </row>
    <row r="738" spans="9:10" x14ac:dyDescent="0.25">
      <c r="I738" s="37"/>
      <c r="J738" s="35"/>
    </row>
    <row r="739" spans="9:10" x14ac:dyDescent="0.25">
      <c r="I739" s="37"/>
      <c r="J739" s="35"/>
    </row>
    <row r="740" spans="9:10" x14ac:dyDescent="0.25">
      <c r="I740" s="37"/>
      <c r="J740" s="35"/>
    </row>
    <row r="741" spans="9:10" x14ac:dyDescent="0.25">
      <c r="I741" s="37"/>
      <c r="J741" s="35"/>
    </row>
    <row r="742" spans="9:10" x14ac:dyDescent="0.25">
      <c r="I742" s="37"/>
      <c r="J742" s="35"/>
    </row>
    <row r="743" spans="9:10" x14ac:dyDescent="0.25">
      <c r="I743" s="37"/>
      <c r="J743" s="35"/>
    </row>
    <row r="744" spans="9:10" x14ac:dyDescent="0.25">
      <c r="I744" s="37"/>
      <c r="J744" s="35"/>
    </row>
    <row r="745" spans="9:10" x14ac:dyDescent="0.25">
      <c r="I745" s="37"/>
      <c r="J745" s="35"/>
    </row>
    <row r="746" spans="9:10" x14ac:dyDescent="0.25">
      <c r="I746" s="37"/>
      <c r="J746" s="35"/>
    </row>
    <row r="747" spans="9:10" x14ac:dyDescent="0.25">
      <c r="I747" s="37"/>
      <c r="J747" s="35"/>
    </row>
    <row r="748" spans="9:10" x14ac:dyDescent="0.25">
      <c r="I748" s="37"/>
      <c r="J748" s="35"/>
    </row>
    <row r="749" spans="9:10" x14ac:dyDescent="0.25">
      <c r="I749" s="37"/>
      <c r="J749" s="35"/>
    </row>
    <row r="750" spans="9:10" x14ac:dyDescent="0.25">
      <c r="I750" s="37"/>
      <c r="J750" s="35"/>
    </row>
    <row r="751" spans="9:10" x14ac:dyDescent="0.25">
      <c r="I751" s="37"/>
      <c r="J751" s="35"/>
    </row>
    <row r="752" spans="9:10" x14ac:dyDescent="0.25">
      <c r="I752" s="37"/>
      <c r="J752" s="35"/>
    </row>
    <row r="753" spans="9:10" x14ac:dyDescent="0.25">
      <c r="I753" s="37"/>
      <c r="J753" s="35"/>
    </row>
    <row r="754" spans="9:10" x14ac:dyDescent="0.25">
      <c r="I754" s="37"/>
      <c r="J754" s="35"/>
    </row>
    <row r="755" spans="9:10" x14ac:dyDescent="0.25">
      <c r="I755" s="37"/>
      <c r="J755" s="35"/>
    </row>
    <row r="756" spans="9:10" x14ac:dyDescent="0.25">
      <c r="I756" s="37"/>
      <c r="J756" s="35"/>
    </row>
    <row r="757" spans="9:10" x14ac:dyDescent="0.25">
      <c r="I757" s="37"/>
      <c r="J757" s="35"/>
    </row>
    <row r="758" spans="9:10" x14ac:dyDescent="0.25">
      <c r="I758" s="37"/>
      <c r="J758" s="35"/>
    </row>
    <row r="759" spans="9:10" x14ac:dyDescent="0.25">
      <c r="I759" s="37"/>
      <c r="J759" s="35"/>
    </row>
    <row r="760" spans="9:10" x14ac:dyDescent="0.25">
      <c r="I760" s="37"/>
      <c r="J760" s="35"/>
    </row>
    <row r="761" spans="9:10" x14ac:dyDescent="0.25">
      <c r="I761" s="37"/>
      <c r="J761" s="35"/>
    </row>
    <row r="762" spans="9:10" x14ac:dyDescent="0.25">
      <c r="I762" s="37"/>
      <c r="J762" s="35"/>
    </row>
    <row r="763" spans="9:10" x14ac:dyDescent="0.25">
      <c r="I763" s="37"/>
      <c r="J763" s="35"/>
    </row>
    <row r="764" spans="9:10" x14ac:dyDescent="0.25">
      <c r="I764" s="37"/>
      <c r="J764" s="35"/>
    </row>
    <row r="765" spans="9:10" x14ac:dyDescent="0.25">
      <c r="I765" s="37"/>
      <c r="J765" s="35"/>
    </row>
    <row r="766" spans="9:10" x14ac:dyDescent="0.25">
      <c r="I766" s="37"/>
      <c r="J766" s="35"/>
    </row>
    <row r="767" spans="9:10" x14ac:dyDescent="0.25">
      <c r="I767" s="37"/>
      <c r="J767" s="35"/>
    </row>
    <row r="768" spans="9:10" x14ac:dyDescent="0.25">
      <c r="I768" s="37"/>
      <c r="J768" s="35"/>
    </row>
    <row r="769" spans="9:10" x14ac:dyDescent="0.25">
      <c r="I769" s="37"/>
      <c r="J769" s="35"/>
    </row>
    <row r="770" spans="9:10" x14ac:dyDescent="0.25">
      <c r="I770" s="37"/>
      <c r="J770" s="35"/>
    </row>
    <row r="771" spans="9:10" x14ac:dyDescent="0.25">
      <c r="I771" s="37"/>
      <c r="J771" s="35"/>
    </row>
    <row r="772" spans="9:10" x14ac:dyDescent="0.25">
      <c r="I772" s="37"/>
      <c r="J772" s="35"/>
    </row>
    <row r="773" spans="9:10" x14ac:dyDescent="0.25">
      <c r="I773" s="37"/>
      <c r="J773" s="35"/>
    </row>
    <row r="774" spans="9:10" x14ac:dyDescent="0.25">
      <c r="I774" s="37"/>
      <c r="J774" s="35"/>
    </row>
    <row r="775" spans="9:10" x14ac:dyDescent="0.25">
      <c r="I775" s="37"/>
      <c r="J775" s="35"/>
    </row>
    <row r="776" spans="9:10" x14ac:dyDescent="0.25">
      <c r="I776" s="37"/>
      <c r="J776" s="35"/>
    </row>
    <row r="777" spans="9:10" x14ac:dyDescent="0.25">
      <c r="I777" s="37"/>
      <c r="J777" s="35"/>
    </row>
    <row r="778" spans="9:10" x14ac:dyDescent="0.25">
      <c r="I778" s="37"/>
      <c r="J778" s="35"/>
    </row>
    <row r="779" spans="9:10" x14ac:dyDescent="0.25">
      <c r="I779" s="37"/>
      <c r="J779" s="35"/>
    </row>
    <row r="780" spans="9:10" x14ac:dyDescent="0.25">
      <c r="I780" s="37"/>
      <c r="J780" s="35"/>
    </row>
    <row r="781" spans="9:10" x14ac:dyDescent="0.25">
      <c r="I781" s="37"/>
      <c r="J781" s="35"/>
    </row>
    <row r="782" spans="9:10" x14ac:dyDescent="0.25">
      <c r="I782" s="37"/>
      <c r="J782" s="35"/>
    </row>
    <row r="783" spans="9:10" x14ac:dyDescent="0.25">
      <c r="I783" s="37"/>
      <c r="J783" s="35"/>
    </row>
    <row r="784" spans="9:10" x14ac:dyDescent="0.25">
      <c r="I784" s="37"/>
      <c r="J784" s="35"/>
    </row>
    <row r="785" spans="9:10" x14ac:dyDescent="0.25">
      <c r="I785" s="37"/>
      <c r="J785" s="35"/>
    </row>
    <row r="786" spans="9:10" x14ac:dyDescent="0.25">
      <c r="I786" s="37"/>
      <c r="J786" s="35"/>
    </row>
    <row r="787" spans="9:10" x14ac:dyDescent="0.25">
      <c r="I787" s="37"/>
      <c r="J787" s="35"/>
    </row>
    <row r="788" spans="9:10" x14ac:dyDescent="0.25">
      <c r="I788" s="37"/>
      <c r="J788" s="35"/>
    </row>
    <row r="789" spans="9:10" x14ac:dyDescent="0.25">
      <c r="I789" s="37"/>
      <c r="J789" s="35"/>
    </row>
    <row r="790" spans="9:10" x14ac:dyDescent="0.25">
      <c r="I790" s="37"/>
      <c r="J790" s="35"/>
    </row>
    <row r="791" spans="9:10" x14ac:dyDescent="0.25">
      <c r="I791" s="37"/>
      <c r="J791" s="35"/>
    </row>
    <row r="792" spans="9:10" x14ac:dyDescent="0.25">
      <c r="I792" s="37"/>
      <c r="J792" s="35"/>
    </row>
    <row r="793" spans="9:10" x14ac:dyDescent="0.25">
      <c r="I793" s="37"/>
      <c r="J793" s="35"/>
    </row>
    <row r="794" spans="9:10" x14ac:dyDescent="0.25">
      <c r="I794" s="37"/>
      <c r="J794" s="35"/>
    </row>
    <row r="795" spans="9:10" x14ac:dyDescent="0.25">
      <c r="I795" s="37"/>
      <c r="J795" s="35"/>
    </row>
    <row r="796" spans="9:10" x14ac:dyDescent="0.25">
      <c r="I796" s="37"/>
      <c r="J796" s="35"/>
    </row>
    <row r="797" spans="9:10" x14ac:dyDescent="0.25">
      <c r="I797" s="37"/>
      <c r="J797" s="35"/>
    </row>
    <row r="798" spans="9:10" x14ac:dyDescent="0.25">
      <c r="I798" s="37"/>
      <c r="J798" s="35"/>
    </row>
    <row r="799" spans="9:10" x14ac:dyDescent="0.25">
      <c r="I799" s="37"/>
      <c r="J799" s="35"/>
    </row>
    <row r="800" spans="9:10" x14ac:dyDescent="0.25">
      <c r="I800" s="37"/>
      <c r="J800" s="35"/>
    </row>
    <row r="801" spans="9:10" x14ac:dyDescent="0.25">
      <c r="I801" s="37"/>
      <c r="J801" s="35"/>
    </row>
    <row r="802" spans="9:10" x14ac:dyDescent="0.25">
      <c r="I802" s="37"/>
      <c r="J802" s="35"/>
    </row>
    <row r="803" spans="9:10" x14ac:dyDescent="0.25">
      <c r="I803" s="37"/>
      <c r="J803" s="35"/>
    </row>
    <row r="804" spans="9:10" x14ac:dyDescent="0.25">
      <c r="I804" s="37"/>
      <c r="J804" s="35"/>
    </row>
    <row r="805" spans="9:10" x14ac:dyDescent="0.25">
      <c r="I805" s="37"/>
      <c r="J805" s="35"/>
    </row>
    <row r="806" spans="9:10" x14ac:dyDescent="0.25">
      <c r="I806" s="37"/>
      <c r="J806" s="35"/>
    </row>
    <row r="807" spans="9:10" x14ac:dyDescent="0.25">
      <c r="I807" s="37"/>
      <c r="J807" s="35"/>
    </row>
    <row r="808" spans="9:10" x14ac:dyDescent="0.25">
      <c r="I808" s="37"/>
      <c r="J808" s="35"/>
    </row>
    <row r="809" spans="9:10" x14ac:dyDescent="0.25">
      <c r="I809" s="37"/>
      <c r="J809" s="35"/>
    </row>
    <row r="810" spans="9:10" x14ac:dyDescent="0.25">
      <c r="I810" s="37"/>
      <c r="J810" s="35"/>
    </row>
    <row r="811" spans="9:10" x14ac:dyDescent="0.25">
      <c r="I811" s="37"/>
      <c r="J811" s="35"/>
    </row>
    <row r="812" spans="9:10" x14ac:dyDescent="0.25">
      <c r="I812" s="37"/>
      <c r="J812" s="35"/>
    </row>
    <row r="813" spans="9:10" x14ac:dyDescent="0.25">
      <c r="I813" s="37"/>
      <c r="J813" s="35"/>
    </row>
    <row r="814" spans="9:10" x14ac:dyDescent="0.25">
      <c r="I814" s="37"/>
      <c r="J814" s="35"/>
    </row>
    <row r="815" spans="9:10" x14ac:dyDescent="0.25">
      <c r="I815" s="37"/>
      <c r="J815" s="35"/>
    </row>
    <row r="816" spans="9:10" x14ac:dyDescent="0.25">
      <c r="I816" s="37"/>
      <c r="J816" s="35"/>
    </row>
    <row r="817" spans="9:10" x14ac:dyDescent="0.25">
      <c r="I817" s="37"/>
      <c r="J817" s="35"/>
    </row>
    <row r="818" spans="9:10" x14ac:dyDescent="0.25">
      <c r="I818" s="37"/>
      <c r="J818" s="35"/>
    </row>
    <row r="819" spans="9:10" x14ac:dyDescent="0.25">
      <c r="I819" s="37"/>
      <c r="J819" s="35"/>
    </row>
    <row r="820" spans="9:10" x14ac:dyDescent="0.25">
      <c r="I820" s="37"/>
      <c r="J820" s="35"/>
    </row>
    <row r="821" spans="9:10" x14ac:dyDescent="0.25">
      <c r="I821" s="37"/>
      <c r="J821" s="35"/>
    </row>
    <row r="822" spans="9:10" x14ac:dyDescent="0.25">
      <c r="I822" s="37"/>
      <c r="J822" s="35"/>
    </row>
    <row r="823" spans="9:10" x14ac:dyDescent="0.25">
      <c r="I823" s="37"/>
      <c r="J823" s="35"/>
    </row>
    <row r="824" spans="9:10" x14ac:dyDescent="0.25">
      <c r="I824" s="37"/>
      <c r="J824" s="35"/>
    </row>
    <row r="825" spans="9:10" x14ac:dyDescent="0.25">
      <c r="I825" s="37"/>
      <c r="J825" s="35"/>
    </row>
    <row r="826" spans="9:10" x14ac:dyDescent="0.25">
      <c r="I826" s="37"/>
      <c r="J826" s="35"/>
    </row>
    <row r="827" spans="9:10" x14ac:dyDescent="0.25">
      <c r="I827" s="37"/>
      <c r="J827" s="35"/>
    </row>
    <row r="828" spans="9:10" x14ac:dyDescent="0.25">
      <c r="I828" s="37"/>
      <c r="J828" s="35"/>
    </row>
    <row r="829" spans="9:10" x14ac:dyDescent="0.25">
      <c r="I829" s="37"/>
      <c r="J829" s="35"/>
    </row>
    <row r="830" spans="9:10" x14ac:dyDescent="0.25">
      <c r="I830" s="37"/>
      <c r="J830" s="35"/>
    </row>
    <row r="831" spans="9:10" x14ac:dyDescent="0.25">
      <c r="I831" s="37"/>
      <c r="J831" s="35"/>
    </row>
    <row r="832" spans="9:10" x14ac:dyDescent="0.25">
      <c r="I832" s="37"/>
      <c r="J832" s="35"/>
    </row>
    <row r="833" spans="9:10" x14ac:dyDescent="0.25">
      <c r="I833" s="37"/>
      <c r="J833" s="35"/>
    </row>
    <row r="834" spans="9:10" x14ac:dyDescent="0.25">
      <c r="I834" s="37"/>
      <c r="J834" s="35"/>
    </row>
    <row r="835" spans="9:10" x14ac:dyDescent="0.25">
      <c r="I835" s="37"/>
      <c r="J835" s="35"/>
    </row>
    <row r="836" spans="9:10" x14ac:dyDescent="0.25">
      <c r="I836" s="37"/>
      <c r="J836" s="35"/>
    </row>
    <row r="837" spans="9:10" x14ac:dyDescent="0.25">
      <c r="I837" s="37"/>
      <c r="J837" s="35"/>
    </row>
    <row r="838" spans="9:10" x14ac:dyDescent="0.25">
      <c r="I838" s="37"/>
      <c r="J838" s="35"/>
    </row>
    <row r="839" spans="9:10" x14ac:dyDescent="0.25">
      <c r="I839" s="37"/>
      <c r="J839" s="35"/>
    </row>
    <row r="840" spans="9:10" x14ac:dyDescent="0.25">
      <c r="I840" s="37"/>
      <c r="J840" s="35"/>
    </row>
    <row r="841" spans="9:10" x14ac:dyDescent="0.25">
      <c r="I841" s="37"/>
      <c r="J841" s="35"/>
    </row>
    <row r="842" spans="9:10" x14ac:dyDescent="0.25">
      <c r="I842" s="37"/>
      <c r="J842" s="35"/>
    </row>
    <row r="843" spans="9:10" x14ac:dyDescent="0.25">
      <c r="I843" s="37"/>
      <c r="J843" s="35"/>
    </row>
    <row r="844" spans="9:10" x14ac:dyDescent="0.25">
      <c r="I844" s="37"/>
      <c r="J844" s="35"/>
    </row>
    <row r="845" spans="9:10" x14ac:dyDescent="0.25">
      <c r="I845" s="37"/>
      <c r="J845" s="35"/>
    </row>
    <row r="846" spans="9:10" x14ac:dyDescent="0.25">
      <c r="I846" s="37"/>
      <c r="J846" s="35"/>
    </row>
    <row r="847" spans="9:10" x14ac:dyDescent="0.25">
      <c r="I847" s="37"/>
      <c r="J847" s="35"/>
    </row>
    <row r="848" spans="9:10" x14ac:dyDescent="0.25">
      <c r="I848" s="37"/>
      <c r="J848" s="35"/>
    </row>
    <row r="849" spans="9:10" x14ac:dyDescent="0.25">
      <c r="I849" s="37"/>
      <c r="J849" s="35"/>
    </row>
    <row r="850" spans="9:10" x14ac:dyDescent="0.25">
      <c r="I850" s="37"/>
      <c r="J850" s="35"/>
    </row>
    <row r="851" spans="9:10" x14ac:dyDescent="0.25">
      <c r="I851" s="37"/>
      <c r="J851" s="35"/>
    </row>
    <row r="852" spans="9:10" x14ac:dyDescent="0.25">
      <c r="I852" s="37"/>
      <c r="J852" s="35"/>
    </row>
    <row r="853" spans="9:10" x14ac:dyDescent="0.25">
      <c r="I853" s="37"/>
      <c r="J853" s="35"/>
    </row>
    <row r="854" spans="9:10" x14ac:dyDescent="0.25">
      <c r="I854" s="37"/>
      <c r="J854" s="35"/>
    </row>
    <row r="855" spans="9:10" x14ac:dyDescent="0.25">
      <c r="I855" s="37"/>
      <c r="J855" s="35"/>
    </row>
    <row r="856" spans="9:10" x14ac:dyDescent="0.25">
      <c r="I856" s="37"/>
      <c r="J856" s="35"/>
    </row>
    <row r="857" spans="9:10" x14ac:dyDescent="0.25">
      <c r="I857" s="37"/>
      <c r="J857" s="35"/>
    </row>
    <row r="858" spans="9:10" x14ac:dyDescent="0.25">
      <c r="I858" s="37"/>
      <c r="J858" s="35"/>
    </row>
    <row r="859" spans="9:10" x14ac:dyDescent="0.25">
      <c r="I859" s="37"/>
      <c r="J859" s="35"/>
    </row>
    <row r="860" spans="9:10" x14ac:dyDescent="0.25">
      <c r="I860" s="37"/>
      <c r="J860" s="35"/>
    </row>
    <row r="861" spans="9:10" x14ac:dyDescent="0.25">
      <c r="I861" s="37"/>
      <c r="J861" s="35"/>
    </row>
    <row r="862" spans="9:10" x14ac:dyDescent="0.25">
      <c r="I862" s="37"/>
      <c r="J862" s="35"/>
    </row>
    <row r="863" spans="9:10" x14ac:dyDescent="0.25">
      <c r="I863" s="37"/>
      <c r="J863" s="35"/>
    </row>
    <row r="864" spans="9:10" x14ac:dyDescent="0.25">
      <c r="I864" s="37"/>
      <c r="J864" s="35"/>
    </row>
    <row r="865" spans="9:10" x14ac:dyDescent="0.25">
      <c r="I865" s="37"/>
      <c r="J865" s="35"/>
    </row>
    <row r="866" spans="9:10" x14ac:dyDescent="0.25">
      <c r="I866" s="37"/>
      <c r="J866" s="35"/>
    </row>
    <row r="867" spans="9:10" x14ac:dyDescent="0.25">
      <c r="I867" s="37"/>
      <c r="J867" s="35"/>
    </row>
    <row r="868" spans="9:10" x14ac:dyDescent="0.25">
      <c r="I868" s="37"/>
      <c r="J868" s="35"/>
    </row>
    <row r="869" spans="9:10" x14ac:dyDescent="0.25">
      <c r="I869" s="37"/>
      <c r="J869" s="35"/>
    </row>
    <row r="870" spans="9:10" x14ac:dyDescent="0.25">
      <c r="I870" s="37"/>
      <c r="J870" s="35"/>
    </row>
    <row r="871" spans="9:10" x14ac:dyDescent="0.25">
      <c r="I871" s="37"/>
      <c r="J871" s="35"/>
    </row>
    <row r="872" spans="9:10" x14ac:dyDescent="0.25">
      <c r="I872" s="37"/>
      <c r="J872" s="35"/>
    </row>
    <row r="873" spans="9:10" x14ac:dyDescent="0.25">
      <c r="I873" s="37"/>
      <c r="J873" s="35"/>
    </row>
    <row r="874" spans="9:10" x14ac:dyDescent="0.25">
      <c r="I874" s="37"/>
      <c r="J874" s="35"/>
    </row>
    <row r="875" spans="9:10" x14ac:dyDescent="0.25">
      <c r="I875" s="37"/>
      <c r="J875" s="35"/>
    </row>
    <row r="876" spans="9:10" x14ac:dyDescent="0.25">
      <c r="I876" s="37"/>
      <c r="J876" s="35"/>
    </row>
    <row r="877" spans="9:10" x14ac:dyDescent="0.25">
      <c r="I877" s="37"/>
      <c r="J877" s="35"/>
    </row>
    <row r="878" spans="9:10" x14ac:dyDescent="0.25">
      <c r="I878" s="37"/>
      <c r="J878" s="35"/>
    </row>
    <row r="879" spans="9:10" x14ac:dyDescent="0.25">
      <c r="I879" s="37"/>
      <c r="J879" s="35"/>
    </row>
    <row r="880" spans="9:10" x14ac:dyDescent="0.25">
      <c r="I880" s="37"/>
      <c r="J880" s="35"/>
    </row>
    <row r="881" spans="9:10" x14ac:dyDescent="0.25">
      <c r="I881" s="37"/>
      <c r="J881" s="35"/>
    </row>
    <row r="882" spans="9:10" x14ac:dyDescent="0.25">
      <c r="I882" s="37"/>
      <c r="J882" s="35"/>
    </row>
    <row r="883" spans="9:10" x14ac:dyDescent="0.25">
      <c r="I883" s="37"/>
      <c r="J883" s="35"/>
    </row>
    <row r="884" spans="9:10" x14ac:dyDescent="0.25">
      <c r="I884" s="37"/>
      <c r="J884" s="35"/>
    </row>
    <row r="885" spans="9:10" x14ac:dyDescent="0.25">
      <c r="I885" s="37"/>
      <c r="J885" s="35"/>
    </row>
    <row r="886" spans="9:10" x14ac:dyDescent="0.25">
      <c r="I886" s="37"/>
      <c r="J886" s="35"/>
    </row>
    <row r="887" spans="9:10" x14ac:dyDescent="0.25">
      <c r="I887" s="37"/>
      <c r="J887" s="35"/>
    </row>
    <row r="888" spans="9:10" x14ac:dyDescent="0.25">
      <c r="I888" s="37"/>
      <c r="J888" s="35"/>
    </row>
    <row r="889" spans="9:10" x14ac:dyDescent="0.25">
      <c r="I889" s="37"/>
      <c r="J889" s="35"/>
    </row>
    <row r="890" spans="9:10" x14ac:dyDescent="0.25">
      <c r="I890" s="37"/>
      <c r="J890" s="35"/>
    </row>
    <row r="891" spans="9:10" x14ac:dyDescent="0.25">
      <c r="I891" s="37"/>
      <c r="J891" s="35"/>
    </row>
    <row r="892" spans="9:10" x14ac:dyDescent="0.25">
      <c r="I892" s="37"/>
      <c r="J892" s="35"/>
    </row>
    <row r="893" spans="9:10" x14ac:dyDescent="0.25">
      <c r="I893" s="37"/>
      <c r="J893" s="35"/>
    </row>
    <row r="894" spans="9:10" x14ac:dyDescent="0.25">
      <c r="I894" s="37"/>
      <c r="J894" s="35"/>
    </row>
    <row r="895" spans="9:10" x14ac:dyDescent="0.25">
      <c r="I895" s="37"/>
      <c r="J895" s="35"/>
    </row>
    <row r="896" spans="9:10" x14ac:dyDescent="0.25">
      <c r="I896" s="37"/>
      <c r="J896" s="35"/>
    </row>
    <row r="897" spans="9:10" x14ac:dyDescent="0.25">
      <c r="I897" s="37"/>
      <c r="J897" s="35"/>
    </row>
    <row r="898" spans="9:10" x14ac:dyDescent="0.25">
      <c r="I898" s="37"/>
      <c r="J898" s="35"/>
    </row>
    <row r="899" spans="9:10" x14ac:dyDescent="0.25">
      <c r="I899" s="37"/>
      <c r="J899" s="35"/>
    </row>
    <row r="900" spans="9:10" x14ac:dyDescent="0.25">
      <c r="I900" s="37"/>
      <c r="J900" s="35"/>
    </row>
    <row r="901" spans="9:10" x14ac:dyDescent="0.25">
      <c r="I901" s="37"/>
      <c r="J901" s="35"/>
    </row>
    <row r="902" spans="9:10" x14ac:dyDescent="0.25">
      <c r="I902" s="37"/>
      <c r="J902" s="35"/>
    </row>
    <row r="903" spans="9:10" x14ac:dyDescent="0.25">
      <c r="I903" s="37"/>
      <c r="J903" s="35"/>
    </row>
    <row r="904" spans="9:10" x14ac:dyDescent="0.25">
      <c r="I904" s="37"/>
      <c r="J904" s="35"/>
    </row>
    <row r="905" spans="9:10" x14ac:dyDescent="0.25">
      <c r="I905" s="37"/>
      <c r="J905" s="35"/>
    </row>
    <row r="906" spans="9:10" x14ac:dyDescent="0.25">
      <c r="I906" s="37"/>
      <c r="J906" s="35"/>
    </row>
    <row r="907" spans="9:10" x14ac:dyDescent="0.25">
      <c r="I907" s="37"/>
      <c r="J907" s="35"/>
    </row>
    <row r="908" spans="9:10" x14ac:dyDescent="0.25">
      <c r="I908" s="37"/>
      <c r="J908" s="35"/>
    </row>
    <row r="909" spans="9:10" x14ac:dyDescent="0.25">
      <c r="I909" s="37"/>
      <c r="J909" s="35"/>
    </row>
    <row r="910" spans="9:10" x14ac:dyDescent="0.25">
      <c r="I910" s="37"/>
      <c r="J910" s="35"/>
    </row>
    <row r="911" spans="9:10" x14ac:dyDescent="0.25">
      <c r="I911" s="37"/>
      <c r="J911" s="35"/>
    </row>
    <row r="912" spans="9:10" x14ac:dyDescent="0.25">
      <c r="I912" s="37"/>
      <c r="J912" s="35"/>
    </row>
    <row r="913" spans="9:10" x14ac:dyDescent="0.25">
      <c r="I913" s="37"/>
      <c r="J913" s="35"/>
    </row>
    <row r="914" spans="9:10" x14ac:dyDescent="0.25">
      <c r="I914" s="37"/>
      <c r="J914" s="35"/>
    </row>
    <row r="915" spans="9:10" x14ac:dyDescent="0.25">
      <c r="I915" s="37"/>
      <c r="J915" s="35"/>
    </row>
    <row r="916" spans="9:10" x14ac:dyDescent="0.25">
      <c r="I916" s="37"/>
      <c r="J916" s="35"/>
    </row>
    <row r="917" spans="9:10" x14ac:dyDescent="0.25">
      <c r="I917" s="37"/>
      <c r="J917" s="35"/>
    </row>
    <row r="918" spans="9:10" x14ac:dyDescent="0.25">
      <c r="I918" s="37"/>
      <c r="J918" s="35"/>
    </row>
    <row r="919" spans="9:10" x14ac:dyDescent="0.25">
      <c r="I919" s="37"/>
      <c r="J919" s="35"/>
    </row>
    <row r="920" spans="9:10" x14ac:dyDescent="0.25">
      <c r="I920" s="37"/>
      <c r="J920" s="35"/>
    </row>
    <row r="921" spans="9:10" x14ac:dyDescent="0.25">
      <c r="I921" s="37"/>
      <c r="J921" s="35"/>
    </row>
    <row r="922" spans="9:10" x14ac:dyDescent="0.25">
      <c r="I922" s="37"/>
      <c r="J922" s="35"/>
    </row>
    <row r="923" spans="9:10" x14ac:dyDescent="0.25">
      <c r="I923" s="37"/>
      <c r="J923" s="35"/>
    </row>
    <row r="924" spans="9:10" x14ac:dyDescent="0.25">
      <c r="I924" s="37"/>
      <c r="J924" s="35"/>
    </row>
    <row r="925" spans="9:10" x14ac:dyDescent="0.25">
      <c r="I925" s="37"/>
      <c r="J925" s="35"/>
    </row>
    <row r="926" spans="9:10" x14ac:dyDescent="0.25">
      <c r="I926" s="37"/>
      <c r="J926" s="35"/>
    </row>
    <row r="927" spans="9:10" x14ac:dyDescent="0.25">
      <c r="I927" s="37"/>
      <c r="J927" s="35"/>
    </row>
    <row r="928" spans="9:10" x14ac:dyDescent="0.25">
      <c r="I928" s="37"/>
      <c r="J928" s="35"/>
    </row>
    <row r="929" spans="9:10" x14ac:dyDescent="0.25">
      <c r="I929" s="37"/>
      <c r="J929" s="35"/>
    </row>
    <row r="930" spans="9:10" x14ac:dyDescent="0.25">
      <c r="I930" s="37"/>
      <c r="J930" s="35"/>
    </row>
    <row r="931" spans="9:10" x14ac:dyDescent="0.25">
      <c r="I931" s="37"/>
      <c r="J931" s="35"/>
    </row>
    <row r="932" spans="9:10" x14ac:dyDescent="0.25">
      <c r="I932" s="37"/>
      <c r="J932" s="35"/>
    </row>
    <row r="933" spans="9:10" x14ac:dyDescent="0.25">
      <c r="I933" s="37"/>
      <c r="J933" s="35"/>
    </row>
    <row r="934" spans="9:10" x14ac:dyDescent="0.25">
      <c r="I934" s="37"/>
      <c r="J934" s="35"/>
    </row>
    <row r="935" spans="9:10" x14ac:dyDescent="0.25">
      <c r="I935" s="37"/>
      <c r="J935" s="35"/>
    </row>
    <row r="936" spans="9:10" x14ac:dyDescent="0.25">
      <c r="I936" s="37"/>
      <c r="J936" s="35"/>
    </row>
    <row r="937" spans="9:10" x14ac:dyDescent="0.25">
      <c r="I937" s="37"/>
      <c r="J937" s="35"/>
    </row>
    <row r="938" spans="9:10" x14ac:dyDescent="0.25">
      <c r="I938" s="37"/>
      <c r="J938" s="35"/>
    </row>
    <row r="939" spans="9:10" x14ac:dyDescent="0.25">
      <c r="I939" s="37"/>
      <c r="J939" s="35"/>
    </row>
    <row r="940" spans="9:10" x14ac:dyDescent="0.25">
      <c r="I940" s="37"/>
      <c r="J940" s="35"/>
    </row>
    <row r="941" spans="9:10" x14ac:dyDescent="0.25">
      <c r="I941" s="37"/>
      <c r="J941" s="35"/>
    </row>
    <row r="942" spans="9:10" x14ac:dyDescent="0.25">
      <c r="I942" s="37"/>
      <c r="J942" s="35"/>
    </row>
    <row r="943" spans="9:10" x14ac:dyDescent="0.25">
      <c r="I943" s="37"/>
      <c r="J943" s="35"/>
    </row>
    <row r="944" spans="9:10" x14ac:dyDescent="0.25">
      <c r="I944" s="37"/>
      <c r="J944" s="35"/>
    </row>
    <row r="945" spans="9:10" x14ac:dyDescent="0.25">
      <c r="I945" s="37"/>
      <c r="J945" s="35"/>
    </row>
    <row r="946" spans="9:10" x14ac:dyDescent="0.25">
      <c r="I946" s="37"/>
      <c r="J946" s="35"/>
    </row>
    <row r="947" spans="9:10" x14ac:dyDescent="0.25">
      <c r="I947" s="37"/>
      <c r="J947" s="35"/>
    </row>
    <row r="948" spans="9:10" x14ac:dyDescent="0.25">
      <c r="I948" s="37"/>
      <c r="J948" s="35"/>
    </row>
    <row r="949" spans="9:10" x14ac:dyDescent="0.25">
      <c r="I949" s="37"/>
      <c r="J949" s="35"/>
    </row>
    <row r="950" spans="9:10" x14ac:dyDescent="0.25">
      <c r="I950" s="37"/>
      <c r="J950" s="35"/>
    </row>
    <row r="951" spans="9:10" x14ac:dyDescent="0.25">
      <c r="I951" s="37"/>
      <c r="J951" s="35"/>
    </row>
    <row r="952" spans="9:10" x14ac:dyDescent="0.25">
      <c r="I952" s="37"/>
      <c r="J952" s="35"/>
    </row>
    <row r="953" spans="9:10" x14ac:dyDescent="0.25">
      <c r="I953" s="37"/>
      <c r="J953" s="35"/>
    </row>
    <row r="954" spans="9:10" x14ac:dyDescent="0.25">
      <c r="I954" s="37"/>
      <c r="J954" s="35"/>
    </row>
    <row r="955" spans="9:10" x14ac:dyDescent="0.25">
      <c r="I955" s="37"/>
      <c r="J955" s="35"/>
    </row>
    <row r="956" spans="9:10" x14ac:dyDescent="0.25">
      <c r="I956" s="37"/>
      <c r="J956" s="35"/>
    </row>
    <row r="957" spans="9:10" x14ac:dyDescent="0.25">
      <c r="I957" s="37"/>
      <c r="J957" s="35"/>
    </row>
    <row r="958" spans="9:10" x14ac:dyDescent="0.25">
      <c r="I958" s="37"/>
      <c r="J958" s="35"/>
    </row>
    <row r="959" spans="9:10" x14ac:dyDescent="0.25">
      <c r="I959" s="37"/>
      <c r="J959" s="35"/>
    </row>
    <row r="960" spans="9:10" x14ac:dyDescent="0.25">
      <c r="I960" s="37"/>
      <c r="J960" s="35"/>
    </row>
    <row r="961" spans="9:10" x14ac:dyDescent="0.25">
      <c r="I961" s="37"/>
      <c r="J961" s="35"/>
    </row>
    <row r="962" spans="9:10" x14ac:dyDescent="0.25">
      <c r="I962" s="37"/>
      <c r="J962" s="35"/>
    </row>
    <row r="963" spans="9:10" x14ac:dyDescent="0.25">
      <c r="I963" s="37"/>
      <c r="J963" s="35"/>
    </row>
    <row r="964" spans="9:10" x14ac:dyDescent="0.25">
      <c r="I964" s="37"/>
      <c r="J964" s="35"/>
    </row>
    <row r="965" spans="9:10" x14ac:dyDescent="0.25">
      <c r="I965" s="37"/>
      <c r="J965" s="35"/>
    </row>
    <row r="966" spans="9:10" x14ac:dyDescent="0.25">
      <c r="I966" s="37"/>
      <c r="J966" s="35"/>
    </row>
    <row r="967" spans="9:10" x14ac:dyDescent="0.25">
      <c r="I967" s="37"/>
      <c r="J967" s="35"/>
    </row>
    <row r="968" spans="9:10" x14ac:dyDescent="0.25">
      <c r="I968" s="37"/>
      <c r="J968" s="35"/>
    </row>
    <row r="969" spans="9:10" x14ac:dyDescent="0.25">
      <c r="I969" s="37"/>
      <c r="J969" s="35"/>
    </row>
    <row r="970" spans="9:10" x14ac:dyDescent="0.25">
      <c r="I970" s="37"/>
      <c r="J970" s="35"/>
    </row>
    <row r="971" spans="9:10" x14ac:dyDescent="0.25">
      <c r="I971" s="37"/>
      <c r="J971" s="35"/>
    </row>
    <row r="972" spans="9:10" x14ac:dyDescent="0.25">
      <c r="I972" s="37"/>
      <c r="J972" s="35"/>
    </row>
    <row r="973" spans="9:10" x14ac:dyDescent="0.25">
      <c r="I973" s="37"/>
      <c r="J973" s="35"/>
    </row>
    <row r="974" spans="9:10" x14ac:dyDescent="0.25">
      <c r="I974" s="37"/>
      <c r="J974" s="35"/>
    </row>
    <row r="975" spans="9:10" x14ac:dyDescent="0.25">
      <c r="I975" s="37"/>
      <c r="J975" s="35"/>
    </row>
    <row r="976" spans="9:10" x14ac:dyDescent="0.25">
      <c r="I976" s="37"/>
      <c r="J976" s="35"/>
    </row>
    <row r="977" spans="9:10" x14ac:dyDescent="0.25">
      <c r="I977" s="37"/>
      <c r="J977" s="35"/>
    </row>
    <row r="978" spans="9:10" x14ac:dyDescent="0.25">
      <c r="I978" s="37"/>
      <c r="J978" s="35"/>
    </row>
    <row r="979" spans="9:10" x14ac:dyDescent="0.25">
      <c r="I979" s="37"/>
      <c r="J979" s="35"/>
    </row>
    <row r="980" spans="9:10" x14ac:dyDescent="0.25">
      <c r="I980" s="37"/>
      <c r="J980" s="35"/>
    </row>
    <row r="981" spans="9:10" x14ac:dyDescent="0.25">
      <c r="I981" s="37"/>
      <c r="J981" s="35"/>
    </row>
    <row r="982" spans="9:10" x14ac:dyDescent="0.25">
      <c r="I982" s="37"/>
      <c r="J982" s="35"/>
    </row>
    <row r="983" spans="9:10" x14ac:dyDescent="0.25">
      <c r="I983" s="37"/>
      <c r="J983" s="35"/>
    </row>
    <row r="984" spans="9:10" x14ac:dyDescent="0.25">
      <c r="I984" s="37"/>
      <c r="J984" s="35"/>
    </row>
    <row r="985" spans="9:10" x14ac:dyDescent="0.25">
      <c r="I985" s="37"/>
      <c r="J985" s="35"/>
    </row>
    <row r="986" spans="9:10" x14ac:dyDescent="0.25">
      <c r="I986" s="37"/>
      <c r="J986" s="35"/>
    </row>
    <row r="987" spans="9:10" x14ac:dyDescent="0.25">
      <c r="I987" s="37"/>
      <c r="J987" s="35"/>
    </row>
    <row r="988" spans="9:10" x14ac:dyDescent="0.25">
      <c r="I988" s="37"/>
      <c r="J988" s="35"/>
    </row>
    <row r="989" spans="9:10" x14ac:dyDescent="0.25">
      <c r="I989" s="37"/>
      <c r="J989" s="35"/>
    </row>
    <row r="990" spans="9:10" x14ac:dyDescent="0.25">
      <c r="I990" s="37"/>
      <c r="J990" s="35"/>
    </row>
    <row r="991" spans="9:10" x14ac:dyDescent="0.25">
      <c r="I991" s="37"/>
      <c r="J991" s="35"/>
    </row>
    <row r="992" spans="9:10" x14ac:dyDescent="0.25">
      <c r="I992" s="37"/>
      <c r="J992" s="35"/>
    </row>
    <row r="993" spans="9:10" x14ac:dyDescent="0.25">
      <c r="I993" s="37"/>
      <c r="J993" s="35"/>
    </row>
    <row r="994" spans="9:10" x14ac:dyDescent="0.25">
      <c r="I994" s="37"/>
      <c r="J994" s="35"/>
    </row>
    <row r="995" spans="9:10" x14ac:dyDescent="0.25">
      <c r="I995" s="37"/>
      <c r="J995" s="35"/>
    </row>
    <row r="996" spans="9:10" x14ac:dyDescent="0.25">
      <c r="I996" s="37"/>
      <c r="J996" s="35"/>
    </row>
    <row r="997" spans="9:10" x14ac:dyDescent="0.25">
      <c r="I997" s="37"/>
      <c r="J997" s="35"/>
    </row>
    <row r="998" spans="9:10" x14ac:dyDescent="0.25">
      <c r="I998" s="37"/>
      <c r="J998" s="35"/>
    </row>
    <row r="999" spans="9:10" x14ac:dyDescent="0.25">
      <c r="I999" s="37"/>
      <c r="J999" s="35"/>
    </row>
    <row r="1000" spans="9:10" x14ac:dyDescent="0.25">
      <c r="I1000" s="37"/>
      <c r="J1000" s="35"/>
    </row>
    <row r="1001" spans="9:10" x14ac:dyDescent="0.25">
      <c r="I1001" s="37"/>
      <c r="J1001" s="35"/>
    </row>
    <row r="1002" spans="9:10" x14ac:dyDescent="0.25">
      <c r="I1002" s="37"/>
      <c r="J1002" s="35"/>
    </row>
    <row r="1003" spans="9:10" x14ac:dyDescent="0.25">
      <c r="I1003" s="37"/>
      <c r="J1003" s="35"/>
    </row>
    <row r="1004" spans="9:10" x14ac:dyDescent="0.25">
      <c r="I1004" s="37"/>
      <c r="J1004" s="35"/>
    </row>
    <row r="1005" spans="9:10" x14ac:dyDescent="0.25">
      <c r="I1005" s="37"/>
      <c r="J1005" s="35"/>
    </row>
    <row r="1006" spans="9:10" x14ac:dyDescent="0.25">
      <c r="I1006" s="37"/>
      <c r="J1006" s="35"/>
    </row>
    <row r="1007" spans="9:10" x14ac:dyDescent="0.25">
      <c r="I1007" s="37"/>
      <c r="J1007" s="35"/>
    </row>
    <row r="1008" spans="9:10" x14ac:dyDescent="0.25">
      <c r="I1008" s="37"/>
      <c r="J1008" s="35"/>
    </row>
    <row r="1009" spans="9:10" x14ac:dyDescent="0.25">
      <c r="I1009" s="37"/>
      <c r="J1009" s="35"/>
    </row>
    <row r="1010" spans="9:10" x14ac:dyDescent="0.25">
      <c r="I1010" s="37"/>
      <c r="J1010" s="35"/>
    </row>
    <row r="1011" spans="9:10" x14ac:dyDescent="0.25">
      <c r="I1011" s="37"/>
      <c r="J1011" s="35"/>
    </row>
    <row r="1012" spans="9:10" x14ac:dyDescent="0.25">
      <c r="I1012" s="37"/>
      <c r="J1012" s="35"/>
    </row>
    <row r="1013" spans="9:10" x14ac:dyDescent="0.25">
      <c r="I1013" s="37"/>
      <c r="J1013" s="35"/>
    </row>
    <row r="1014" spans="9:10" x14ac:dyDescent="0.25">
      <c r="I1014" s="37"/>
      <c r="J1014" s="35"/>
    </row>
    <row r="1015" spans="9:10" x14ac:dyDescent="0.25">
      <c r="I1015" s="37"/>
      <c r="J1015" s="35"/>
    </row>
    <row r="1016" spans="9:10" x14ac:dyDescent="0.25">
      <c r="I1016" s="37"/>
      <c r="J1016" s="35"/>
    </row>
    <row r="1017" spans="9:10" x14ac:dyDescent="0.25">
      <c r="I1017" s="37"/>
      <c r="J1017" s="35"/>
    </row>
    <row r="1018" spans="9:10" x14ac:dyDescent="0.25">
      <c r="I1018" s="37"/>
      <c r="J1018" s="35"/>
    </row>
    <row r="1019" spans="9:10" x14ac:dyDescent="0.25">
      <c r="I1019" s="37"/>
      <c r="J1019" s="35"/>
    </row>
    <row r="1020" spans="9:10" x14ac:dyDescent="0.25">
      <c r="I1020" s="37"/>
      <c r="J1020" s="35"/>
    </row>
    <row r="1021" spans="9:10" x14ac:dyDescent="0.25">
      <c r="I1021" s="37"/>
      <c r="J1021" s="35"/>
    </row>
    <row r="1022" spans="9:10" x14ac:dyDescent="0.25">
      <c r="I1022" s="37"/>
      <c r="J1022" s="35"/>
    </row>
    <row r="1023" spans="9:10" x14ac:dyDescent="0.25">
      <c r="I1023" s="37"/>
      <c r="J1023" s="35"/>
    </row>
    <row r="1024" spans="9:10" x14ac:dyDescent="0.25">
      <c r="I1024" s="37"/>
      <c r="J1024" s="35"/>
    </row>
    <row r="1025" spans="9:10" x14ac:dyDescent="0.25">
      <c r="I1025" s="37"/>
      <c r="J1025" s="35"/>
    </row>
    <row r="1026" spans="9:10" x14ac:dyDescent="0.25">
      <c r="I1026" s="37"/>
      <c r="J1026" s="35"/>
    </row>
    <row r="1027" spans="9:10" x14ac:dyDescent="0.25">
      <c r="I1027" s="37"/>
      <c r="J1027" s="35"/>
    </row>
    <row r="1028" spans="9:10" x14ac:dyDescent="0.25">
      <c r="I1028" s="37"/>
      <c r="J1028" s="35"/>
    </row>
    <row r="1029" spans="9:10" x14ac:dyDescent="0.25">
      <c r="I1029" s="37"/>
      <c r="J1029" s="35"/>
    </row>
    <row r="1030" spans="9:10" x14ac:dyDescent="0.25">
      <c r="I1030" s="37"/>
      <c r="J1030" s="35"/>
    </row>
    <row r="1031" spans="9:10" x14ac:dyDescent="0.25">
      <c r="I1031" s="37"/>
      <c r="J1031" s="35"/>
    </row>
    <row r="1032" spans="9:10" x14ac:dyDescent="0.25">
      <c r="I1032" s="37"/>
      <c r="J1032" s="35"/>
    </row>
    <row r="1033" spans="9:10" x14ac:dyDescent="0.25">
      <c r="I1033" s="37"/>
      <c r="J1033" s="35"/>
    </row>
    <row r="1034" spans="9:10" x14ac:dyDescent="0.25">
      <c r="I1034" s="37"/>
      <c r="J1034" s="35"/>
    </row>
    <row r="1035" spans="9:10" x14ac:dyDescent="0.25">
      <c r="I1035" s="37"/>
      <c r="J1035" s="35"/>
    </row>
    <row r="1036" spans="9:10" x14ac:dyDescent="0.25">
      <c r="I1036" s="37"/>
      <c r="J1036" s="35"/>
    </row>
    <row r="1037" spans="9:10" x14ac:dyDescent="0.25">
      <c r="I1037" s="37"/>
      <c r="J1037" s="35"/>
    </row>
    <row r="1038" spans="9:10" x14ac:dyDescent="0.25">
      <c r="I1038" s="37"/>
      <c r="J1038" s="35"/>
    </row>
    <row r="1039" spans="9:10" x14ac:dyDescent="0.25">
      <c r="I1039" s="37"/>
      <c r="J1039" s="35"/>
    </row>
    <row r="1040" spans="9:10" x14ac:dyDescent="0.25">
      <c r="I1040" s="37"/>
      <c r="J1040" s="35"/>
    </row>
    <row r="1041" spans="9:10" x14ac:dyDescent="0.25">
      <c r="I1041" s="37"/>
      <c r="J1041" s="35"/>
    </row>
    <row r="1042" spans="9:10" x14ac:dyDescent="0.25">
      <c r="I1042" s="37"/>
      <c r="J1042" s="35"/>
    </row>
    <row r="1043" spans="9:10" x14ac:dyDescent="0.25">
      <c r="I1043" s="37"/>
      <c r="J1043" s="35"/>
    </row>
    <row r="1044" spans="9:10" x14ac:dyDescent="0.25">
      <c r="I1044" s="37"/>
      <c r="J1044" s="35"/>
    </row>
    <row r="1045" spans="9:10" x14ac:dyDescent="0.25">
      <c r="I1045" s="37"/>
      <c r="J1045" s="35"/>
    </row>
    <row r="1046" spans="9:10" x14ac:dyDescent="0.25">
      <c r="I1046" s="37"/>
      <c r="J1046" s="35"/>
    </row>
    <row r="1047" spans="9:10" x14ac:dyDescent="0.25">
      <c r="I1047" s="37"/>
      <c r="J1047" s="35"/>
    </row>
    <row r="1048" spans="9:10" x14ac:dyDescent="0.25">
      <c r="I1048" s="37"/>
      <c r="J1048" s="35"/>
    </row>
    <row r="1049" spans="9:10" x14ac:dyDescent="0.25">
      <c r="I1049" s="37"/>
      <c r="J1049" s="35"/>
    </row>
    <row r="1050" spans="9:10" x14ac:dyDescent="0.25">
      <c r="I1050" s="37"/>
      <c r="J1050" s="35"/>
    </row>
    <row r="1051" spans="9:10" x14ac:dyDescent="0.25">
      <c r="I1051" s="37"/>
      <c r="J1051" s="35"/>
    </row>
    <row r="1052" spans="9:10" x14ac:dyDescent="0.25">
      <c r="I1052" s="37"/>
      <c r="J1052" s="35"/>
    </row>
    <row r="1053" spans="9:10" x14ac:dyDescent="0.25">
      <c r="I1053" s="37"/>
      <c r="J1053" s="35"/>
    </row>
    <row r="1054" spans="9:10" x14ac:dyDescent="0.25">
      <c r="I1054" s="37"/>
      <c r="J1054" s="35"/>
    </row>
    <row r="1055" spans="9:10" x14ac:dyDescent="0.25">
      <c r="I1055" s="37"/>
      <c r="J1055" s="35"/>
    </row>
    <row r="1056" spans="9:10" x14ac:dyDescent="0.25">
      <c r="I1056" s="37"/>
      <c r="J1056" s="35"/>
    </row>
    <row r="1057" spans="9:10" x14ac:dyDescent="0.25">
      <c r="I1057" s="37"/>
      <c r="J1057" s="35"/>
    </row>
    <row r="1058" spans="9:10" x14ac:dyDescent="0.25">
      <c r="I1058" s="37"/>
      <c r="J1058" s="35"/>
    </row>
    <row r="1059" spans="9:10" x14ac:dyDescent="0.25">
      <c r="I1059" s="37"/>
      <c r="J1059" s="35"/>
    </row>
    <row r="1060" spans="9:10" x14ac:dyDescent="0.25">
      <c r="I1060" s="37"/>
      <c r="J1060" s="35"/>
    </row>
    <row r="1061" spans="9:10" x14ac:dyDescent="0.25">
      <c r="I1061" s="37"/>
      <c r="J1061" s="35"/>
    </row>
    <row r="1062" spans="9:10" x14ac:dyDescent="0.25">
      <c r="I1062" s="37"/>
      <c r="J1062" s="35"/>
    </row>
    <row r="1063" spans="9:10" x14ac:dyDescent="0.25">
      <c r="I1063" s="37"/>
      <c r="J1063" s="35"/>
    </row>
    <row r="1064" spans="9:10" x14ac:dyDescent="0.25">
      <c r="I1064" s="37"/>
      <c r="J1064" s="35"/>
    </row>
    <row r="1065" spans="9:10" x14ac:dyDescent="0.25">
      <c r="I1065" s="37"/>
      <c r="J1065" s="35"/>
    </row>
    <row r="1066" spans="9:10" x14ac:dyDescent="0.25">
      <c r="I1066" s="37"/>
      <c r="J1066" s="35"/>
    </row>
    <row r="1067" spans="9:10" x14ac:dyDescent="0.25">
      <c r="I1067" s="37"/>
      <c r="J1067" s="35"/>
    </row>
    <row r="1068" spans="9:10" x14ac:dyDescent="0.25">
      <c r="I1068" s="37"/>
      <c r="J1068" s="35"/>
    </row>
    <row r="1069" spans="9:10" x14ac:dyDescent="0.25">
      <c r="I1069" s="37"/>
      <c r="J1069" s="35"/>
    </row>
    <row r="1070" spans="9:10" x14ac:dyDescent="0.25">
      <c r="I1070" s="37"/>
      <c r="J1070" s="35"/>
    </row>
    <row r="1071" spans="9:10" x14ac:dyDescent="0.25">
      <c r="I1071" s="37"/>
      <c r="J1071" s="35"/>
    </row>
    <row r="1072" spans="9:10" x14ac:dyDescent="0.25">
      <c r="I1072" s="37"/>
      <c r="J1072" s="35"/>
    </row>
    <row r="1073" spans="9:10" x14ac:dyDescent="0.25">
      <c r="I1073" s="37"/>
      <c r="J1073" s="35"/>
    </row>
    <row r="1074" spans="9:10" x14ac:dyDescent="0.25">
      <c r="I1074" s="37"/>
      <c r="J1074" s="35"/>
    </row>
    <row r="1075" spans="9:10" x14ac:dyDescent="0.25">
      <c r="I1075" s="37"/>
      <c r="J1075" s="35"/>
    </row>
    <row r="1076" spans="9:10" x14ac:dyDescent="0.25">
      <c r="I1076" s="37"/>
      <c r="J1076" s="35"/>
    </row>
    <row r="1077" spans="9:10" x14ac:dyDescent="0.25">
      <c r="I1077" s="37"/>
      <c r="J1077" s="35"/>
    </row>
    <row r="1078" spans="9:10" x14ac:dyDescent="0.25">
      <c r="I1078" s="37"/>
      <c r="J1078" s="35"/>
    </row>
    <row r="1079" spans="9:10" x14ac:dyDescent="0.25">
      <c r="I1079" s="37"/>
      <c r="J1079" s="35"/>
    </row>
    <row r="1080" spans="9:10" x14ac:dyDescent="0.25">
      <c r="I1080" s="37"/>
      <c r="J1080" s="35"/>
    </row>
    <row r="1081" spans="9:10" x14ac:dyDescent="0.25">
      <c r="I1081" s="37"/>
      <c r="J1081" s="35"/>
    </row>
    <row r="1082" spans="9:10" x14ac:dyDescent="0.25">
      <c r="I1082" s="37"/>
      <c r="J1082" s="35"/>
    </row>
    <row r="1083" spans="9:10" x14ac:dyDescent="0.25">
      <c r="I1083" s="37"/>
      <c r="J1083" s="35"/>
    </row>
    <row r="1084" spans="9:10" x14ac:dyDescent="0.25">
      <c r="I1084" s="37"/>
      <c r="J1084" s="35"/>
    </row>
    <row r="1085" spans="9:10" x14ac:dyDescent="0.25">
      <c r="I1085" s="37"/>
      <c r="J1085" s="35"/>
    </row>
    <row r="1086" spans="9:10" x14ac:dyDescent="0.25">
      <c r="I1086" s="37"/>
      <c r="J1086" s="35"/>
    </row>
    <row r="1087" spans="9:10" x14ac:dyDescent="0.25">
      <c r="I1087" s="37"/>
      <c r="J1087" s="35"/>
    </row>
    <row r="1088" spans="9:10" x14ac:dyDescent="0.25">
      <c r="I1088" s="37"/>
      <c r="J1088" s="35"/>
    </row>
    <row r="1089" spans="9:10" x14ac:dyDescent="0.25">
      <c r="I1089" s="37"/>
      <c r="J1089" s="35"/>
    </row>
    <row r="1090" spans="9:10" x14ac:dyDescent="0.25">
      <c r="I1090" s="37"/>
      <c r="J1090" s="35"/>
    </row>
    <row r="1091" spans="9:10" x14ac:dyDescent="0.25">
      <c r="I1091" s="37"/>
      <c r="J1091" s="35"/>
    </row>
    <row r="1092" spans="9:10" x14ac:dyDescent="0.25">
      <c r="I1092" s="37"/>
      <c r="J1092" s="35"/>
    </row>
    <row r="1093" spans="9:10" x14ac:dyDescent="0.25">
      <c r="I1093" s="37"/>
      <c r="J1093" s="35"/>
    </row>
    <row r="1094" spans="9:10" x14ac:dyDescent="0.25">
      <c r="I1094" s="37"/>
      <c r="J1094" s="35"/>
    </row>
    <row r="1095" spans="9:10" x14ac:dyDescent="0.25">
      <c r="I1095" s="37"/>
      <c r="J1095" s="35"/>
    </row>
    <row r="1096" spans="9:10" x14ac:dyDescent="0.25">
      <c r="I1096" s="37"/>
      <c r="J1096" s="35"/>
    </row>
    <row r="1097" spans="9:10" x14ac:dyDescent="0.25">
      <c r="I1097" s="37"/>
      <c r="J1097" s="35"/>
    </row>
    <row r="1098" spans="9:10" x14ac:dyDescent="0.25">
      <c r="I1098" s="37"/>
      <c r="J1098" s="35"/>
    </row>
    <row r="1099" spans="9:10" x14ac:dyDescent="0.25">
      <c r="I1099" s="37"/>
      <c r="J1099" s="35"/>
    </row>
    <row r="1100" spans="9:10" x14ac:dyDescent="0.25">
      <c r="I1100" s="37"/>
      <c r="J1100" s="35"/>
    </row>
    <row r="1101" spans="9:10" x14ac:dyDescent="0.25">
      <c r="I1101" s="37"/>
      <c r="J1101" s="35"/>
    </row>
    <row r="1102" spans="9:10" x14ac:dyDescent="0.25">
      <c r="I1102" s="37"/>
      <c r="J1102" s="35"/>
    </row>
    <row r="1103" spans="9:10" x14ac:dyDescent="0.25">
      <c r="I1103" s="37"/>
      <c r="J1103" s="35"/>
    </row>
    <row r="1104" spans="9:10" x14ac:dyDescent="0.25">
      <c r="I1104" s="37"/>
      <c r="J1104" s="35"/>
    </row>
    <row r="1105" spans="9:10" x14ac:dyDescent="0.25">
      <c r="I1105" s="37"/>
      <c r="J1105" s="35"/>
    </row>
    <row r="1106" spans="9:10" x14ac:dyDescent="0.25">
      <c r="I1106" s="37"/>
      <c r="J1106" s="35"/>
    </row>
    <row r="1107" spans="9:10" x14ac:dyDescent="0.25">
      <c r="I1107" s="37"/>
      <c r="J1107" s="35"/>
    </row>
    <row r="1108" spans="9:10" x14ac:dyDescent="0.25">
      <c r="I1108" s="37"/>
      <c r="J1108" s="35"/>
    </row>
    <row r="1109" spans="9:10" x14ac:dyDescent="0.25">
      <c r="I1109" s="37"/>
      <c r="J1109" s="35"/>
    </row>
    <row r="1110" spans="9:10" x14ac:dyDescent="0.25">
      <c r="I1110" s="37"/>
      <c r="J1110" s="35"/>
    </row>
    <row r="1111" spans="9:10" x14ac:dyDescent="0.25">
      <c r="I1111" s="37"/>
      <c r="J1111" s="35"/>
    </row>
    <row r="1112" spans="9:10" x14ac:dyDescent="0.25">
      <c r="I1112" s="37"/>
      <c r="J1112" s="35"/>
    </row>
    <row r="1113" spans="9:10" x14ac:dyDescent="0.25">
      <c r="I1113" s="37"/>
      <c r="J1113" s="35"/>
    </row>
    <row r="1114" spans="9:10" x14ac:dyDescent="0.25">
      <c r="I1114" s="37"/>
      <c r="J1114" s="35"/>
    </row>
    <row r="1115" spans="9:10" x14ac:dyDescent="0.25">
      <c r="I1115" s="37"/>
      <c r="J1115" s="35"/>
    </row>
    <row r="1116" spans="9:10" x14ac:dyDescent="0.25">
      <c r="I1116" s="37"/>
      <c r="J1116" s="35"/>
    </row>
    <row r="1117" spans="9:10" x14ac:dyDescent="0.25">
      <c r="I1117" s="37"/>
      <c r="J1117" s="35"/>
    </row>
    <row r="1118" spans="9:10" x14ac:dyDescent="0.25">
      <c r="I1118" s="37"/>
      <c r="J1118" s="35"/>
    </row>
    <row r="1119" spans="9:10" x14ac:dyDescent="0.25">
      <c r="I1119" s="37"/>
      <c r="J1119" s="35"/>
    </row>
    <row r="1120" spans="9:10" x14ac:dyDescent="0.25">
      <c r="I1120" s="37"/>
      <c r="J1120" s="35"/>
    </row>
    <row r="1121" spans="9:10" x14ac:dyDescent="0.25">
      <c r="I1121" s="37"/>
      <c r="J1121" s="35"/>
    </row>
    <row r="1122" spans="9:10" x14ac:dyDescent="0.25">
      <c r="I1122" s="37"/>
      <c r="J1122" s="35"/>
    </row>
    <row r="1123" spans="9:10" x14ac:dyDescent="0.25">
      <c r="I1123" s="37"/>
      <c r="J1123" s="35"/>
    </row>
    <row r="1124" spans="9:10" x14ac:dyDescent="0.25">
      <c r="I1124" s="37"/>
      <c r="J1124" s="35"/>
    </row>
    <row r="1125" spans="9:10" x14ac:dyDescent="0.25">
      <c r="I1125" s="37"/>
      <c r="J1125" s="35"/>
    </row>
    <row r="1126" spans="9:10" x14ac:dyDescent="0.25">
      <c r="I1126" s="37"/>
      <c r="J1126" s="35"/>
    </row>
    <row r="1127" spans="9:10" x14ac:dyDescent="0.25">
      <c r="I1127" s="37"/>
      <c r="J1127" s="35"/>
    </row>
    <row r="1128" spans="9:10" x14ac:dyDescent="0.25">
      <c r="I1128" s="37"/>
      <c r="J1128" s="35"/>
    </row>
    <row r="1129" spans="9:10" x14ac:dyDescent="0.25">
      <c r="I1129" s="37"/>
      <c r="J1129" s="35"/>
    </row>
    <row r="1130" spans="9:10" x14ac:dyDescent="0.25">
      <c r="I1130" s="37"/>
      <c r="J1130" s="35"/>
    </row>
    <row r="1131" spans="9:10" x14ac:dyDescent="0.25">
      <c r="I1131" s="37"/>
      <c r="J1131" s="35"/>
    </row>
    <row r="1132" spans="9:10" x14ac:dyDescent="0.25">
      <c r="I1132" s="37"/>
      <c r="J1132" s="35"/>
    </row>
    <row r="1133" spans="9:10" x14ac:dyDescent="0.25">
      <c r="I1133" s="37"/>
      <c r="J1133" s="35"/>
    </row>
    <row r="1134" spans="9:10" x14ac:dyDescent="0.25">
      <c r="I1134" s="37"/>
      <c r="J1134" s="35"/>
    </row>
    <row r="1135" spans="9:10" x14ac:dyDescent="0.25">
      <c r="I1135" s="37"/>
      <c r="J1135" s="35"/>
    </row>
    <row r="1136" spans="9:10" x14ac:dyDescent="0.25">
      <c r="I1136" s="37"/>
      <c r="J1136" s="35"/>
    </row>
    <row r="1137" spans="9:10" x14ac:dyDescent="0.25">
      <c r="I1137" s="37"/>
      <c r="J1137" s="35"/>
    </row>
    <row r="1138" spans="9:10" x14ac:dyDescent="0.25">
      <c r="I1138" s="37"/>
      <c r="J1138" s="35"/>
    </row>
    <row r="1139" spans="9:10" x14ac:dyDescent="0.25">
      <c r="I1139" s="37"/>
      <c r="J1139" s="35"/>
    </row>
    <row r="1140" spans="9:10" x14ac:dyDescent="0.25">
      <c r="I1140" s="37"/>
      <c r="J1140" s="35"/>
    </row>
    <row r="1141" spans="9:10" x14ac:dyDescent="0.25">
      <c r="I1141" s="37"/>
      <c r="J1141" s="35"/>
    </row>
    <row r="1142" spans="9:10" x14ac:dyDescent="0.25">
      <c r="I1142" s="37"/>
      <c r="J1142" s="35"/>
    </row>
    <row r="1143" spans="9:10" x14ac:dyDescent="0.25">
      <c r="I1143" s="37"/>
      <c r="J1143" s="35"/>
    </row>
    <row r="1144" spans="9:10" x14ac:dyDescent="0.25">
      <c r="I1144" s="37"/>
      <c r="J1144" s="35"/>
    </row>
    <row r="1145" spans="9:10" x14ac:dyDescent="0.25">
      <c r="I1145" s="37"/>
      <c r="J1145" s="35"/>
    </row>
    <row r="1146" spans="9:10" x14ac:dyDescent="0.25">
      <c r="I1146" s="37"/>
      <c r="J1146" s="35"/>
    </row>
    <row r="1147" spans="9:10" x14ac:dyDescent="0.25">
      <c r="I1147" s="37"/>
      <c r="J1147" s="35"/>
    </row>
    <row r="1148" spans="9:10" x14ac:dyDescent="0.25">
      <c r="I1148" s="37"/>
      <c r="J1148" s="35"/>
    </row>
    <row r="1149" spans="9:10" x14ac:dyDescent="0.25">
      <c r="I1149" s="37"/>
      <c r="J1149" s="35"/>
    </row>
    <row r="1150" spans="9:10" x14ac:dyDescent="0.25">
      <c r="I1150" s="37"/>
      <c r="J1150" s="35"/>
    </row>
    <row r="1151" spans="9:10" x14ac:dyDescent="0.25">
      <c r="I1151" s="37"/>
      <c r="J1151" s="35"/>
    </row>
    <row r="1152" spans="9:10" x14ac:dyDescent="0.25">
      <c r="I1152" s="37"/>
      <c r="J1152" s="35"/>
    </row>
    <row r="1153" spans="9:10" x14ac:dyDescent="0.25">
      <c r="I1153" s="37"/>
      <c r="J1153" s="35"/>
    </row>
    <row r="1154" spans="9:10" x14ac:dyDescent="0.25">
      <c r="I1154" s="37"/>
      <c r="J1154" s="35"/>
    </row>
    <row r="1155" spans="9:10" x14ac:dyDescent="0.25">
      <c r="I1155" s="37"/>
      <c r="J1155" s="35"/>
    </row>
    <row r="1156" spans="9:10" x14ac:dyDescent="0.25">
      <c r="I1156" s="37"/>
      <c r="J1156" s="35"/>
    </row>
    <row r="1157" spans="9:10" x14ac:dyDescent="0.25">
      <c r="I1157" s="37"/>
      <c r="J1157" s="35"/>
    </row>
    <row r="1158" spans="9:10" x14ac:dyDescent="0.25">
      <c r="I1158" s="37"/>
      <c r="J1158" s="35"/>
    </row>
    <row r="1159" spans="9:10" x14ac:dyDescent="0.25">
      <c r="I1159" s="37"/>
      <c r="J1159" s="35"/>
    </row>
    <row r="1160" spans="9:10" x14ac:dyDescent="0.25">
      <c r="I1160" s="37"/>
      <c r="J1160" s="35"/>
    </row>
    <row r="1161" spans="9:10" x14ac:dyDescent="0.25">
      <c r="I1161" s="37"/>
      <c r="J1161" s="35"/>
    </row>
    <row r="1162" spans="9:10" x14ac:dyDescent="0.25">
      <c r="I1162" s="37"/>
      <c r="J1162" s="35"/>
    </row>
    <row r="1163" spans="9:10" x14ac:dyDescent="0.25">
      <c r="I1163" s="37"/>
      <c r="J1163" s="35"/>
    </row>
    <row r="1164" spans="9:10" x14ac:dyDescent="0.25">
      <c r="I1164" s="37"/>
      <c r="J1164" s="35"/>
    </row>
    <row r="1165" spans="9:10" x14ac:dyDescent="0.25">
      <c r="I1165" s="37"/>
      <c r="J1165" s="35"/>
    </row>
    <row r="1166" spans="9:10" x14ac:dyDescent="0.25">
      <c r="I1166" s="37"/>
      <c r="J1166" s="35"/>
    </row>
    <row r="1167" spans="9:10" x14ac:dyDescent="0.25">
      <c r="I1167" s="37"/>
      <c r="J1167" s="35"/>
    </row>
    <row r="1168" spans="9:10" x14ac:dyDescent="0.25">
      <c r="I1168" s="37"/>
      <c r="J1168" s="35"/>
    </row>
    <row r="1169" spans="9:10" x14ac:dyDescent="0.25">
      <c r="I1169" s="37"/>
      <c r="J1169" s="35"/>
    </row>
    <row r="1170" spans="9:10" x14ac:dyDescent="0.25">
      <c r="I1170" s="37"/>
      <c r="J1170" s="35"/>
    </row>
    <row r="1171" spans="9:10" x14ac:dyDescent="0.25">
      <c r="I1171" s="37"/>
      <c r="J1171" s="35"/>
    </row>
    <row r="1172" spans="9:10" x14ac:dyDescent="0.25">
      <c r="I1172" s="37"/>
      <c r="J1172" s="35"/>
    </row>
    <row r="1173" spans="9:10" x14ac:dyDescent="0.25">
      <c r="I1173" s="37"/>
      <c r="J1173" s="35"/>
    </row>
    <row r="1174" spans="9:10" x14ac:dyDescent="0.25">
      <c r="I1174" s="37"/>
      <c r="J1174" s="35"/>
    </row>
    <row r="1175" spans="9:10" x14ac:dyDescent="0.25">
      <c r="I1175" s="37"/>
      <c r="J1175" s="35"/>
    </row>
    <row r="1176" spans="9:10" x14ac:dyDescent="0.25">
      <c r="I1176" s="37"/>
      <c r="J1176" s="35"/>
    </row>
    <row r="1177" spans="9:10" x14ac:dyDescent="0.25">
      <c r="I1177" s="37"/>
      <c r="J1177" s="35"/>
    </row>
    <row r="1178" spans="9:10" x14ac:dyDescent="0.25">
      <c r="I1178" s="37"/>
      <c r="J1178" s="35"/>
    </row>
    <row r="1179" spans="9:10" x14ac:dyDescent="0.25">
      <c r="I1179" s="37"/>
      <c r="J1179" s="35"/>
    </row>
    <row r="1180" spans="9:10" x14ac:dyDescent="0.25">
      <c r="I1180" s="37"/>
      <c r="J1180" s="35"/>
    </row>
    <row r="1181" spans="9:10" x14ac:dyDescent="0.25">
      <c r="I1181" s="37"/>
      <c r="J1181" s="35"/>
    </row>
    <row r="1182" spans="9:10" x14ac:dyDescent="0.25">
      <c r="I1182" s="37"/>
      <c r="J1182" s="35"/>
    </row>
    <row r="1183" spans="9:10" x14ac:dyDescent="0.25">
      <c r="I1183" s="37"/>
      <c r="J1183" s="35"/>
    </row>
    <row r="1184" spans="9:10" x14ac:dyDescent="0.25">
      <c r="I1184" s="37"/>
      <c r="J1184" s="35"/>
    </row>
    <row r="1185" spans="9:10" x14ac:dyDescent="0.25">
      <c r="I1185" s="37"/>
      <c r="J1185" s="35"/>
    </row>
    <row r="1186" spans="9:10" x14ac:dyDescent="0.25">
      <c r="I1186" s="37"/>
      <c r="J1186" s="35"/>
    </row>
    <row r="1187" spans="9:10" x14ac:dyDescent="0.25">
      <c r="I1187" s="37"/>
      <c r="J1187" s="35"/>
    </row>
    <row r="1188" spans="9:10" x14ac:dyDescent="0.25">
      <c r="I1188" s="37"/>
      <c r="J1188" s="35"/>
    </row>
    <row r="1189" spans="9:10" x14ac:dyDescent="0.25">
      <c r="I1189" s="37"/>
      <c r="J1189" s="35"/>
    </row>
    <row r="1190" spans="9:10" x14ac:dyDescent="0.25">
      <c r="I1190" s="37"/>
      <c r="J1190" s="35"/>
    </row>
    <row r="1191" spans="9:10" x14ac:dyDescent="0.25">
      <c r="I1191" s="37"/>
      <c r="J1191" s="35"/>
    </row>
    <row r="1192" spans="9:10" x14ac:dyDescent="0.25">
      <c r="I1192" s="37"/>
      <c r="J1192" s="35"/>
    </row>
    <row r="1193" spans="9:10" x14ac:dyDescent="0.25">
      <c r="I1193" s="37"/>
      <c r="J1193" s="35"/>
    </row>
    <row r="1194" spans="9:10" x14ac:dyDescent="0.25">
      <c r="I1194" s="37"/>
      <c r="J1194" s="35"/>
    </row>
    <row r="1195" spans="9:10" x14ac:dyDescent="0.25">
      <c r="I1195" s="37"/>
      <c r="J1195" s="35"/>
    </row>
    <row r="1196" spans="9:10" x14ac:dyDescent="0.25">
      <c r="I1196" s="37"/>
      <c r="J1196" s="35"/>
    </row>
    <row r="1197" spans="9:10" x14ac:dyDescent="0.25">
      <c r="I1197" s="37"/>
      <c r="J1197" s="35"/>
    </row>
    <row r="1198" spans="9:10" x14ac:dyDescent="0.25">
      <c r="I1198" s="37"/>
      <c r="J1198" s="35"/>
    </row>
    <row r="1199" spans="9:10" x14ac:dyDescent="0.25">
      <c r="I1199" s="37"/>
      <c r="J1199" s="35"/>
    </row>
    <row r="1200" spans="9:10" x14ac:dyDescent="0.25">
      <c r="I1200" s="37"/>
      <c r="J1200" s="35"/>
    </row>
    <row r="1201" spans="9:10" x14ac:dyDescent="0.25">
      <c r="I1201" s="37"/>
      <c r="J1201" s="35"/>
    </row>
    <row r="1202" spans="9:10" x14ac:dyDescent="0.25">
      <c r="I1202" s="37"/>
      <c r="J1202" s="35"/>
    </row>
    <row r="1203" spans="9:10" x14ac:dyDescent="0.25">
      <c r="I1203" s="37"/>
      <c r="J1203" s="35"/>
    </row>
    <row r="1204" spans="9:10" x14ac:dyDescent="0.25">
      <c r="I1204" s="37"/>
      <c r="J1204" s="35"/>
    </row>
    <row r="1205" spans="9:10" x14ac:dyDescent="0.25">
      <c r="I1205" s="37"/>
      <c r="J1205" s="35"/>
    </row>
    <row r="1206" spans="9:10" x14ac:dyDescent="0.25">
      <c r="I1206" s="37"/>
      <c r="J1206" s="35"/>
    </row>
    <row r="1207" spans="9:10" x14ac:dyDescent="0.25">
      <c r="I1207" s="37"/>
      <c r="J1207" s="35"/>
    </row>
    <row r="1208" spans="9:10" x14ac:dyDescent="0.25">
      <c r="I1208" s="37"/>
      <c r="J1208" s="35"/>
    </row>
    <row r="1209" spans="9:10" x14ac:dyDescent="0.25">
      <c r="I1209" s="37"/>
      <c r="J1209" s="35"/>
    </row>
    <row r="1210" spans="9:10" x14ac:dyDescent="0.25">
      <c r="I1210" s="37"/>
      <c r="J1210" s="35"/>
    </row>
    <row r="1211" spans="9:10" x14ac:dyDescent="0.25">
      <c r="I1211" s="37"/>
      <c r="J1211" s="35"/>
    </row>
    <row r="1212" spans="9:10" x14ac:dyDescent="0.25">
      <c r="I1212" s="37"/>
      <c r="J1212" s="35"/>
    </row>
    <row r="1213" spans="9:10" x14ac:dyDescent="0.25">
      <c r="I1213" s="37"/>
      <c r="J1213" s="35"/>
    </row>
    <row r="1214" spans="9:10" x14ac:dyDescent="0.25">
      <c r="I1214" s="37"/>
      <c r="J1214" s="35"/>
    </row>
    <row r="1215" spans="9:10" x14ac:dyDescent="0.25">
      <c r="I1215" s="37"/>
      <c r="J1215" s="35"/>
    </row>
    <row r="1216" spans="9:10" x14ac:dyDescent="0.25">
      <c r="I1216" s="37"/>
      <c r="J1216" s="35"/>
    </row>
    <row r="1217" spans="9:10" x14ac:dyDescent="0.25">
      <c r="I1217" s="37"/>
      <c r="J1217" s="35"/>
    </row>
    <row r="1218" spans="9:10" x14ac:dyDescent="0.25">
      <c r="I1218" s="37"/>
      <c r="J1218" s="35"/>
    </row>
    <row r="1219" spans="9:10" x14ac:dyDescent="0.25">
      <c r="I1219" s="37"/>
      <c r="J1219" s="35"/>
    </row>
    <row r="1220" spans="9:10" x14ac:dyDescent="0.25">
      <c r="I1220" s="37"/>
      <c r="J1220" s="35"/>
    </row>
    <row r="1221" spans="9:10" x14ac:dyDescent="0.25">
      <c r="I1221" s="37"/>
      <c r="J1221" s="35"/>
    </row>
    <row r="1222" spans="9:10" x14ac:dyDescent="0.25">
      <c r="I1222" s="37"/>
      <c r="J1222" s="35"/>
    </row>
    <row r="1223" spans="9:10" x14ac:dyDescent="0.25">
      <c r="I1223" s="37"/>
      <c r="J1223" s="35"/>
    </row>
    <row r="1224" spans="9:10" x14ac:dyDescent="0.25">
      <c r="I1224" s="37"/>
      <c r="J1224" s="35"/>
    </row>
    <row r="1225" spans="9:10" x14ac:dyDescent="0.25">
      <c r="I1225" s="37"/>
      <c r="J1225" s="35"/>
    </row>
    <row r="1226" spans="9:10" x14ac:dyDescent="0.25">
      <c r="I1226" s="37"/>
      <c r="J1226" s="35"/>
    </row>
    <row r="1227" spans="9:10" x14ac:dyDescent="0.25">
      <c r="I1227" s="37"/>
      <c r="J1227" s="35"/>
    </row>
    <row r="1228" spans="9:10" x14ac:dyDescent="0.25">
      <c r="I1228" s="37"/>
      <c r="J1228" s="35"/>
    </row>
    <row r="1229" spans="9:10" x14ac:dyDescent="0.25">
      <c r="I1229" s="37"/>
      <c r="J1229" s="35"/>
    </row>
    <row r="1230" spans="9:10" x14ac:dyDescent="0.25">
      <c r="I1230" s="37"/>
      <c r="J1230" s="35"/>
    </row>
    <row r="1231" spans="9:10" x14ac:dyDescent="0.25">
      <c r="I1231" s="37"/>
      <c r="J1231" s="35"/>
    </row>
    <row r="1232" spans="9:10" x14ac:dyDescent="0.25">
      <c r="I1232" s="37"/>
      <c r="J1232" s="35"/>
    </row>
    <row r="1233" spans="9:10" x14ac:dyDescent="0.25">
      <c r="I1233" s="37"/>
      <c r="J1233" s="35"/>
    </row>
    <row r="1234" spans="9:10" x14ac:dyDescent="0.25">
      <c r="I1234" s="37"/>
      <c r="J1234" s="35"/>
    </row>
    <row r="1235" spans="9:10" x14ac:dyDescent="0.25">
      <c r="I1235" s="37"/>
      <c r="J1235" s="35"/>
    </row>
    <row r="1236" spans="9:10" x14ac:dyDescent="0.25">
      <c r="I1236" s="37"/>
      <c r="J1236" s="35"/>
    </row>
    <row r="1237" spans="9:10" x14ac:dyDescent="0.25">
      <c r="I1237" s="37"/>
      <c r="J1237" s="35"/>
    </row>
    <row r="1238" spans="9:10" x14ac:dyDescent="0.25">
      <c r="I1238" s="37"/>
      <c r="J1238" s="35"/>
    </row>
    <row r="1239" spans="9:10" x14ac:dyDescent="0.25">
      <c r="I1239" s="37"/>
      <c r="J1239" s="35"/>
    </row>
    <row r="1240" spans="9:10" x14ac:dyDescent="0.25">
      <c r="I1240" s="37"/>
      <c r="J1240" s="35"/>
    </row>
    <row r="1241" spans="9:10" x14ac:dyDescent="0.25">
      <c r="I1241" s="37"/>
      <c r="J1241" s="35"/>
    </row>
    <row r="1242" spans="9:10" x14ac:dyDescent="0.25">
      <c r="I1242" s="37"/>
      <c r="J1242" s="35"/>
    </row>
    <row r="1243" spans="9:10" x14ac:dyDescent="0.25">
      <c r="I1243" s="37"/>
      <c r="J1243" s="35"/>
    </row>
    <row r="1244" spans="9:10" x14ac:dyDescent="0.25">
      <c r="I1244" s="37"/>
      <c r="J1244" s="35"/>
    </row>
    <row r="1245" spans="9:10" x14ac:dyDescent="0.25">
      <c r="I1245" s="37"/>
      <c r="J1245" s="35"/>
    </row>
    <row r="1246" spans="9:10" x14ac:dyDescent="0.25">
      <c r="I1246" s="37"/>
      <c r="J1246" s="35"/>
    </row>
    <row r="1247" spans="9:10" x14ac:dyDescent="0.25">
      <c r="I1247" s="37"/>
      <c r="J1247" s="35"/>
    </row>
    <row r="1248" spans="9:10" x14ac:dyDescent="0.25">
      <c r="I1248" s="37"/>
      <c r="J1248" s="35"/>
    </row>
    <row r="1249" spans="9:10" x14ac:dyDescent="0.25">
      <c r="I1249" s="37"/>
      <c r="J1249" s="35"/>
    </row>
    <row r="1250" spans="9:10" x14ac:dyDescent="0.25">
      <c r="I1250" s="37"/>
      <c r="J1250" s="35"/>
    </row>
    <row r="1251" spans="9:10" x14ac:dyDescent="0.25">
      <c r="I1251" s="37"/>
      <c r="J1251" s="35"/>
    </row>
    <row r="1252" spans="9:10" x14ac:dyDescent="0.25">
      <c r="I1252" s="37"/>
      <c r="J1252" s="35"/>
    </row>
    <row r="1253" spans="9:10" x14ac:dyDescent="0.25">
      <c r="I1253" s="37"/>
      <c r="J1253" s="35"/>
    </row>
    <row r="1254" spans="9:10" x14ac:dyDescent="0.25">
      <c r="I1254" s="37"/>
      <c r="J1254" s="35"/>
    </row>
    <row r="1255" spans="9:10" x14ac:dyDescent="0.25">
      <c r="I1255" s="37"/>
      <c r="J1255" s="35"/>
    </row>
    <row r="1256" spans="9:10" x14ac:dyDescent="0.25">
      <c r="I1256" s="37"/>
      <c r="J1256" s="35"/>
    </row>
    <row r="1257" spans="9:10" x14ac:dyDescent="0.25">
      <c r="I1257" s="37"/>
      <c r="J1257" s="35"/>
    </row>
    <row r="1258" spans="9:10" x14ac:dyDescent="0.25">
      <c r="I1258" s="37"/>
      <c r="J1258" s="35"/>
    </row>
    <row r="1259" spans="9:10" x14ac:dyDescent="0.25">
      <c r="I1259" s="37"/>
      <c r="J1259" s="35"/>
    </row>
    <row r="1260" spans="9:10" x14ac:dyDescent="0.25">
      <c r="I1260" s="37"/>
      <c r="J1260" s="35"/>
    </row>
    <row r="1261" spans="9:10" x14ac:dyDescent="0.25">
      <c r="I1261" s="37"/>
      <c r="J1261" s="35"/>
    </row>
    <row r="1262" spans="9:10" x14ac:dyDescent="0.25">
      <c r="I1262" s="37"/>
      <c r="J1262" s="35"/>
    </row>
    <row r="1263" spans="9:10" x14ac:dyDescent="0.25">
      <c r="I1263" s="37"/>
      <c r="J1263" s="35"/>
    </row>
    <row r="1264" spans="9:10" x14ac:dyDescent="0.25">
      <c r="I1264" s="37"/>
      <c r="J1264" s="35"/>
    </row>
    <row r="1265" spans="9:10" x14ac:dyDescent="0.25">
      <c r="I1265" s="37"/>
      <c r="J1265" s="35"/>
    </row>
    <row r="1266" spans="9:10" x14ac:dyDescent="0.25">
      <c r="I1266" s="37"/>
      <c r="J1266" s="35"/>
    </row>
    <row r="1267" spans="9:10" x14ac:dyDescent="0.25">
      <c r="I1267" s="37"/>
      <c r="J1267" s="35"/>
    </row>
    <row r="1268" spans="9:10" x14ac:dyDescent="0.25">
      <c r="I1268" s="37"/>
      <c r="J1268" s="35"/>
    </row>
    <row r="1269" spans="9:10" x14ac:dyDescent="0.25">
      <c r="I1269" s="37"/>
      <c r="J1269" s="35"/>
    </row>
    <row r="1270" spans="9:10" x14ac:dyDescent="0.25">
      <c r="I1270" s="37"/>
      <c r="J1270" s="35"/>
    </row>
    <row r="1271" spans="9:10" x14ac:dyDescent="0.25">
      <c r="I1271" s="37"/>
      <c r="J1271" s="35"/>
    </row>
    <row r="1272" spans="9:10" x14ac:dyDescent="0.25">
      <c r="I1272" s="37"/>
      <c r="J1272" s="35"/>
    </row>
    <row r="1273" spans="9:10" x14ac:dyDescent="0.25">
      <c r="I1273" s="37"/>
      <c r="J1273" s="35"/>
    </row>
    <row r="1274" spans="9:10" x14ac:dyDescent="0.25">
      <c r="I1274" s="37"/>
      <c r="J1274" s="35"/>
    </row>
    <row r="1275" spans="9:10" x14ac:dyDescent="0.25">
      <c r="I1275" s="37"/>
      <c r="J1275" s="35"/>
    </row>
    <row r="1276" spans="9:10" x14ac:dyDescent="0.25">
      <c r="I1276" s="37"/>
      <c r="J1276" s="35"/>
    </row>
    <row r="1277" spans="9:10" x14ac:dyDescent="0.25">
      <c r="I1277" s="37"/>
      <c r="J1277" s="35"/>
    </row>
    <row r="1278" spans="9:10" x14ac:dyDescent="0.25">
      <c r="I1278" s="37"/>
      <c r="J1278" s="35"/>
    </row>
    <row r="1279" spans="9:10" x14ac:dyDescent="0.25">
      <c r="I1279" s="37"/>
      <c r="J1279" s="35"/>
    </row>
    <row r="1280" spans="9:10" x14ac:dyDescent="0.25">
      <c r="I1280" s="37"/>
      <c r="J1280" s="35"/>
    </row>
    <row r="1281" spans="9:10" x14ac:dyDescent="0.25">
      <c r="I1281" s="37"/>
      <c r="J1281" s="35"/>
    </row>
    <row r="1282" spans="9:10" x14ac:dyDescent="0.25">
      <c r="I1282" s="37"/>
      <c r="J1282" s="35"/>
    </row>
    <row r="1283" spans="9:10" x14ac:dyDescent="0.25">
      <c r="I1283" s="37"/>
      <c r="J1283" s="35"/>
    </row>
    <row r="1284" spans="9:10" x14ac:dyDescent="0.25">
      <c r="I1284" s="37"/>
      <c r="J1284" s="35"/>
    </row>
    <row r="1285" spans="9:10" x14ac:dyDescent="0.25">
      <c r="I1285" s="37"/>
      <c r="J1285" s="35"/>
    </row>
    <row r="1286" spans="9:10" x14ac:dyDescent="0.25">
      <c r="I1286" s="37"/>
      <c r="J1286" s="35"/>
    </row>
    <row r="1287" spans="9:10" x14ac:dyDescent="0.25">
      <c r="I1287" s="37"/>
      <c r="J1287" s="35"/>
    </row>
    <row r="1288" spans="9:10" x14ac:dyDescent="0.25">
      <c r="I1288" s="37"/>
      <c r="J1288" s="35"/>
    </row>
    <row r="1289" spans="9:10" x14ac:dyDescent="0.25">
      <c r="I1289" s="37"/>
      <c r="J1289" s="35"/>
    </row>
    <row r="1290" spans="9:10" x14ac:dyDescent="0.25">
      <c r="I1290" s="37"/>
      <c r="J1290" s="35"/>
    </row>
    <row r="1291" spans="9:10" x14ac:dyDescent="0.25">
      <c r="I1291" s="37"/>
      <c r="J1291" s="35"/>
    </row>
    <row r="1292" spans="9:10" x14ac:dyDescent="0.25">
      <c r="I1292" s="37"/>
      <c r="J1292" s="35"/>
    </row>
    <row r="1293" spans="9:10" x14ac:dyDescent="0.25">
      <c r="I1293" s="37"/>
      <c r="J1293" s="35"/>
    </row>
    <row r="1294" spans="9:10" x14ac:dyDescent="0.25">
      <c r="I1294" s="37"/>
      <c r="J1294" s="35"/>
    </row>
    <row r="1295" spans="9:10" x14ac:dyDescent="0.25">
      <c r="I1295" s="37"/>
      <c r="J1295" s="35"/>
    </row>
    <row r="1296" spans="9:10" x14ac:dyDescent="0.25">
      <c r="I1296" s="37"/>
      <c r="J1296" s="35"/>
    </row>
    <row r="1297" spans="9:10" x14ac:dyDescent="0.25">
      <c r="I1297" s="37"/>
      <c r="J1297" s="35"/>
    </row>
    <row r="1298" spans="9:10" x14ac:dyDescent="0.25">
      <c r="I1298" s="37"/>
      <c r="J1298" s="35"/>
    </row>
    <row r="1299" spans="9:10" x14ac:dyDescent="0.25">
      <c r="I1299" s="37"/>
      <c r="J1299" s="35"/>
    </row>
    <row r="1300" spans="9:10" x14ac:dyDescent="0.25">
      <c r="I1300" s="37"/>
      <c r="J1300" s="35"/>
    </row>
    <row r="1301" spans="9:10" x14ac:dyDescent="0.25">
      <c r="I1301" s="37"/>
      <c r="J1301" s="35"/>
    </row>
    <row r="1302" spans="9:10" x14ac:dyDescent="0.25">
      <c r="I1302" s="37"/>
      <c r="J1302" s="35"/>
    </row>
    <row r="1303" spans="9:10" x14ac:dyDescent="0.25">
      <c r="I1303" s="37"/>
      <c r="J1303" s="35"/>
    </row>
    <row r="1304" spans="9:10" x14ac:dyDescent="0.25">
      <c r="I1304" s="37"/>
      <c r="J1304" s="35"/>
    </row>
    <row r="1305" spans="9:10" x14ac:dyDescent="0.25">
      <c r="I1305" s="37"/>
      <c r="J1305" s="35"/>
    </row>
    <row r="1306" spans="9:10" x14ac:dyDescent="0.25">
      <c r="I1306" s="37"/>
      <c r="J1306" s="35"/>
    </row>
    <row r="1307" spans="9:10" x14ac:dyDescent="0.25">
      <c r="I1307" s="37"/>
      <c r="J1307" s="35"/>
    </row>
    <row r="1308" spans="9:10" x14ac:dyDescent="0.25">
      <c r="I1308" s="37"/>
      <c r="J1308" s="35"/>
    </row>
    <row r="1309" spans="9:10" x14ac:dyDescent="0.25">
      <c r="I1309" s="37"/>
      <c r="J1309" s="35"/>
    </row>
    <row r="1310" spans="9:10" x14ac:dyDescent="0.25">
      <c r="I1310" s="37"/>
      <c r="J1310" s="35"/>
    </row>
    <row r="1311" spans="9:10" x14ac:dyDescent="0.25">
      <c r="I1311" s="37"/>
      <c r="J1311" s="35"/>
    </row>
    <row r="1312" spans="9:10" x14ac:dyDescent="0.25">
      <c r="I1312" s="37"/>
      <c r="J1312" s="35"/>
    </row>
    <row r="1313" spans="9:10" x14ac:dyDescent="0.25">
      <c r="I1313" s="37"/>
      <c r="J1313" s="35"/>
    </row>
    <row r="1314" spans="9:10" x14ac:dyDescent="0.25">
      <c r="I1314" s="37"/>
      <c r="J1314" s="35"/>
    </row>
    <row r="1315" spans="9:10" x14ac:dyDescent="0.25">
      <c r="I1315" s="37"/>
      <c r="J1315" s="35"/>
    </row>
    <row r="1316" spans="9:10" x14ac:dyDescent="0.25">
      <c r="I1316" s="37"/>
      <c r="J1316" s="35"/>
    </row>
    <row r="1317" spans="9:10" x14ac:dyDescent="0.25">
      <c r="I1317" s="37"/>
      <c r="J1317" s="35"/>
    </row>
    <row r="1318" spans="9:10" x14ac:dyDescent="0.25">
      <c r="I1318" s="37"/>
      <c r="J1318" s="35"/>
    </row>
    <row r="1319" spans="9:10" x14ac:dyDescent="0.25">
      <c r="I1319" s="37"/>
      <c r="J1319" s="35"/>
    </row>
    <row r="1320" spans="9:10" x14ac:dyDescent="0.25">
      <c r="I1320" s="37"/>
      <c r="J1320" s="35"/>
    </row>
    <row r="1321" spans="9:10" x14ac:dyDescent="0.25">
      <c r="I1321" s="37"/>
      <c r="J1321" s="35"/>
    </row>
    <row r="1322" spans="9:10" x14ac:dyDescent="0.25">
      <c r="I1322" s="37"/>
      <c r="J1322" s="35"/>
    </row>
    <row r="1323" spans="9:10" x14ac:dyDescent="0.25">
      <c r="I1323" s="37"/>
      <c r="J1323" s="35"/>
    </row>
    <row r="1324" spans="9:10" x14ac:dyDescent="0.25">
      <c r="I1324" s="37"/>
      <c r="J1324" s="35"/>
    </row>
    <row r="1325" spans="9:10" x14ac:dyDescent="0.25">
      <c r="I1325" s="37"/>
      <c r="J1325" s="35"/>
    </row>
    <row r="1326" spans="9:10" x14ac:dyDescent="0.25">
      <c r="I1326" s="37"/>
      <c r="J1326" s="35"/>
    </row>
    <row r="1327" spans="9:10" x14ac:dyDescent="0.25">
      <c r="I1327" s="37"/>
      <c r="J1327" s="35"/>
    </row>
    <row r="1328" spans="9:10" x14ac:dyDescent="0.25">
      <c r="I1328" s="37"/>
      <c r="J1328" s="35"/>
    </row>
    <row r="1329" spans="9:10" x14ac:dyDescent="0.25">
      <c r="I1329" s="37"/>
      <c r="J1329" s="35"/>
    </row>
    <row r="1330" spans="9:10" x14ac:dyDescent="0.25">
      <c r="I1330" s="37"/>
      <c r="J1330" s="35"/>
    </row>
    <row r="1331" spans="9:10" x14ac:dyDescent="0.25">
      <c r="I1331" s="37"/>
      <c r="J1331" s="35"/>
    </row>
    <row r="1332" spans="9:10" x14ac:dyDescent="0.25">
      <c r="I1332" s="37"/>
      <c r="J1332" s="35"/>
    </row>
    <row r="1333" spans="9:10" x14ac:dyDescent="0.25">
      <c r="I1333" s="37"/>
      <c r="J1333" s="35"/>
    </row>
    <row r="1334" spans="9:10" x14ac:dyDescent="0.25">
      <c r="I1334" s="37"/>
      <c r="J1334" s="35"/>
    </row>
  </sheetData>
  <mergeCells count="18">
    <mergeCell ref="T29:U29"/>
    <mergeCell ref="J16:K16"/>
    <mergeCell ref="L16:M16"/>
    <mergeCell ref="N16:O16"/>
    <mergeCell ref="P16:Q16"/>
    <mergeCell ref="R16:S16"/>
    <mergeCell ref="T16:U16"/>
    <mergeCell ref="J29:K29"/>
    <mergeCell ref="L29:M29"/>
    <mergeCell ref="N29:O29"/>
    <mergeCell ref="P29:Q29"/>
    <mergeCell ref="R29:S29"/>
    <mergeCell ref="T2:U2"/>
    <mergeCell ref="J2:K2"/>
    <mergeCell ref="L2:M2"/>
    <mergeCell ref="N2:O2"/>
    <mergeCell ref="P2:Q2"/>
    <mergeCell ref="R2:S2"/>
  </mergeCells>
  <conditionalFormatting sqref="AE3:AI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:AI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0:AI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00122-0B4C-4A53-BBE2-0C76A212C57C}">
  <dimension ref="B1:AQ1334"/>
  <sheetViews>
    <sheetView showGridLines="0" zoomScale="85" zoomScaleNormal="85" workbookViewId="0">
      <selection activeCell="H15" sqref="H15"/>
    </sheetView>
  </sheetViews>
  <sheetFormatPr defaultRowHeight="15" outlineLevelRow="1" outlineLevelCol="1" x14ac:dyDescent="0.25"/>
  <cols>
    <col min="1" max="1" width="2.5703125" customWidth="1"/>
    <col min="2" max="2" width="9.140625" customWidth="1"/>
    <col min="3" max="3" width="16.28515625" bestFit="1" customWidth="1"/>
    <col min="4" max="4" width="15.28515625" bestFit="1" customWidth="1"/>
    <col min="5" max="5" width="2.5703125" customWidth="1"/>
    <col min="6" max="6" width="18.140625" bestFit="1" customWidth="1"/>
    <col min="7" max="7" width="2.5703125" customWidth="1"/>
    <col min="8" max="8" width="25.140625" bestFit="1" customWidth="1"/>
    <col min="9" max="9" width="24.28515625" style="11" customWidth="1" outlineLevel="1"/>
    <col min="10" max="10" width="9.42578125" style="6" customWidth="1"/>
    <col min="11" max="11" width="19" style="11" hidden="1" customWidth="1" outlineLevel="1"/>
    <col min="12" max="12" width="12.5703125" style="6" customWidth="1" collapsed="1"/>
    <col min="13" max="13" width="19.5703125" style="11" hidden="1" customWidth="1" outlineLevel="1"/>
    <col min="14" max="14" width="14.140625" style="6" customWidth="1" collapsed="1"/>
    <col min="15" max="15" width="17" style="11" hidden="1" customWidth="1" outlineLevel="1"/>
    <col min="16" max="16" width="8.5703125" style="6" bestFit="1" customWidth="1" collapsed="1"/>
    <col min="17" max="17" width="18" style="11" hidden="1" customWidth="1" outlineLevel="1"/>
    <col min="18" max="18" width="11.42578125" style="5" customWidth="1" collapsed="1"/>
    <col min="19" max="19" width="19.5703125" style="10" hidden="1" customWidth="1" outlineLevel="1"/>
    <col min="20" max="20" width="9.85546875" style="10" bestFit="1" customWidth="1" collapsed="1"/>
    <col min="21" max="21" width="19.5703125" style="10" hidden="1" customWidth="1" outlineLevel="1"/>
    <col min="22" max="22" width="2.5703125" customWidth="1" collapsed="1"/>
    <col min="23" max="24" width="7.140625" hidden="1" customWidth="1" outlineLevel="1"/>
    <col min="25" max="25" width="17.85546875" bestFit="1" customWidth="1" collapsed="1"/>
    <col min="26" max="27" width="17.85546875" bestFit="1" customWidth="1"/>
    <col min="28" max="28" width="17" bestFit="1" customWidth="1"/>
    <col min="29" max="29" width="15.140625" bestFit="1" customWidth="1"/>
    <col min="30" max="30" width="2.5703125" customWidth="1"/>
    <col min="31" max="31" width="7.85546875" bestFit="1" customWidth="1"/>
    <col min="32" max="32" width="11.140625" bestFit="1" customWidth="1"/>
    <col min="33" max="33" width="13.28515625" bestFit="1" customWidth="1"/>
    <col min="34" max="34" width="7.85546875" bestFit="1" customWidth="1"/>
    <col min="35" max="35" width="8.140625" bestFit="1" customWidth="1"/>
    <col min="36" max="36" width="2.5703125" customWidth="1"/>
    <col min="37" max="37" width="17.85546875" bestFit="1" customWidth="1"/>
    <col min="38" max="38" width="8.140625" bestFit="1" customWidth="1"/>
    <col min="39" max="39" width="2.5703125" customWidth="1"/>
    <col min="41" max="41" width="16.28515625" bestFit="1" customWidth="1"/>
  </cols>
  <sheetData>
    <row r="1" spans="2:43" ht="9" customHeight="1" x14ac:dyDescent="0.25"/>
    <row r="2" spans="2:43" x14ac:dyDescent="0.25">
      <c r="B2" s="1"/>
      <c r="C2" s="1" t="s">
        <v>20</v>
      </c>
      <c r="D2" s="1"/>
      <c r="H2" s="4" t="s">
        <v>1</v>
      </c>
      <c r="I2" s="9" t="s">
        <v>4</v>
      </c>
      <c r="J2" s="112" t="s">
        <v>7</v>
      </c>
      <c r="K2" s="112"/>
      <c r="L2" s="112" t="s">
        <v>8</v>
      </c>
      <c r="M2" s="112"/>
      <c r="N2" s="112" t="s">
        <v>10</v>
      </c>
      <c r="O2" s="112"/>
      <c r="P2" s="112" t="s">
        <v>9</v>
      </c>
      <c r="Q2" s="112"/>
      <c r="R2" s="112" t="s">
        <v>21</v>
      </c>
      <c r="S2" s="112"/>
      <c r="T2" s="112" t="s">
        <v>55</v>
      </c>
      <c r="U2" s="112"/>
      <c r="W2" s="1" t="s">
        <v>46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27" t="s">
        <v>49</v>
      </c>
      <c r="AF2" s="27" t="s">
        <v>50</v>
      </c>
      <c r="AG2" s="27" t="s">
        <v>51</v>
      </c>
      <c r="AH2" s="27" t="s">
        <v>52</v>
      </c>
      <c r="AI2" s="27" t="s">
        <v>53</v>
      </c>
      <c r="AK2" s="75" t="s">
        <v>60</v>
      </c>
      <c r="AL2" s="75" t="s">
        <v>61</v>
      </c>
      <c r="AN2" s="1"/>
      <c r="AO2" s="1" t="s">
        <v>20</v>
      </c>
      <c r="AP2" s="1"/>
    </row>
    <row r="3" spans="2:43" x14ac:dyDescent="0.25">
      <c r="B3" s="105" t="s">
        <v>77</v>
      </c>
      <c r="C3" s="106" t="s">
        <v>10</v>
      </c>
      <c r="D3" s="105" t="s">
        <v>7</v>
      </c>
      <c r="F3" s="7">
        <f>J3+L3+N3+P3+R3+T3</f>
        <v>1</v>
      </c>
      <c r="H3" s="97" t="s">
        <v>5</v>
      </c>
      <c r="I3" s="80">
        <v>637109933.63</v>
      </c>
      <c r="J3" s="81">
        <v>0.62239999999999995</v>
      </c>
      <c r="K3" s="80">
        <f t="shared" ref="K3:Q13" si="0">+J3*$I3</f>
        <v>396537222.69131196</v>
      </c>
      <c r="L3" s="81">
        <v>0.18180000000000002</v>
      </c>
      <c r="M3" s="80">
        <f t="shared" si="0"/>
        <v>115826585.933934</v>
      </c>
      <c r="N3" s="81">
        <v>0.154</v>
      </c>
      <c r="O3" s="80">
        <f t="shared" si="0"/>
        <v>98114929.779019997</v>
      </c>
      <c r="P3" s="81">
        <v>4.1099999999999998E-2</v>
      </c>
      <c r="Q3" s="80">
        <f t="shared" si="0"/>
        <v>26185218.272193</v>
      </c>
      <c r="R3" s="108">
        <v>0</v>
      </c>
      <c r="S3" s="80">
        <f t="shared" ref="S3:S13" si="1">+R3*$I3</f>
        <v>0</v>
      </c>
      <c r="T3" s="81">
        <v>6.9999999999999999E-4</v>
      </c>
      <c r="U3" s="65">
        <f t="shared" ref="U3:U13" si="2">+T3*$I3</f>
        <v>445976.95354099997</v>
      </c>
      <c r="Y3" s="12">
        <f>K3-'Nov25'!K3</f>
        <v>5506074.876093924</v>
      </c>
      <c r="Z3" s="12">
        <f>M3-'Nov25'!M3</f>
        <v>-806623.86109501123</v>
      </c>
      <c r="AA3" s="12">
        <f>O3-'Nov25'!O3</f>
        <v>-550630.4125880003</v>
      </c>
      <c r="AB3" s="12">
        <f>Q3-'Nov25'!Q3</f>
        <v>2583114.0893019997</v>
      </c>
      <c r="AC3" s="12">
        <f>+S3-'Nov25'!S3</f>
        <v>0</v>
      </c>
      <c r="AD3" s="98"/>
      <c r="AE3" s="28">
        <f>J3-'Nov25'!J3</f>
        <v>-2.2000000000000908E-3</v>
      </c>
      <c r="AF3" s="28">
        <f>L3-'Nov25'!L3</f>
        <v>-4.500000000000004E-3</v>
      </c>
      <c r="AG3" s="28">
        <f>N3-'Nov25'!N3</f>
        <v>-3.5999999999999921E-3</v>
      </c>
      <c r="AH3" s="28">
        <f>P3-'Nov25'!P3</f>
        <v>3.4000000000000002E-3</v>
      </c>
      <c r="AI3" s="28">
        <f>R3-'Nov25'!R3</f>
        <v>0</v>
      </c>
      <c r="AJ3" s="8"/>
      <c r="AK3" s="10">
        <f>I3-'Nov25'!I3</f>
        <v>11059424.799999952</v>
      </c>
      <c r="AL3" s="76">
        <f>I3/'Nov25'!I3-1</f>
        <v>1.7665387447202141E-2</v>
      </c>
      <c r="AM3" s="8"/>
      <c r="AN3" t="s">
        <v>11</v>
      </c>
      <c r="AO3" s="2" t="s">
        <v>10</v>
      </c>
      <c r="AP3" t="s">
        <v>7</v>
      </c>
      <c r="AQ3" s="8"/>
    </row>
    <row r="4" spans="2:43" x14ac:dyDescent="0.25">
      <c r="B4" s="103" t="s">
        <v>12</v>
      </c>
      <c r="C4" s="104" t="s">
        <v>16</v>
      </c>
      <c r="D4" s="103" t="s">
        <v>58</v>
      </c>
      <c r="F4" s="7">
        <f>J4+L4+N4+P4+R4+T4</f>
        <v>1</v>
      </c>
      <c r="H4" s="3" t="s">
        <v>0</v>
      </c>
      <c r="I4" s="78">
        <v>1719063601</v>
      </c>
      <c r="J4" s="77">
        <v>0.37</v>
      </c>
      <c r="K4" s="78">
        <f t="shared" si="0"/>
        <v>636053532.37</v>
      </c>
      <c r="L4" s="77">
        <v>0.25</v>
      </c>
      <c r="M4" s="78">
        <f t="shared" si="0"/>
        <v>429765900.25</v>
      </c>
      <c r="N4" s="77">
        <v>0.25</v>
      </c>
      <c r="O4" s="78">
        <f t="shared" si="0"/>
        <v>429765900.25</v>
      </c>
      <c r="P4" s="77">
        <v>0.13</v>
      </c>
      <c r="Q4" s="78">
        <f t="shared" si="0"/>
        <v>223478268.13</v>
      </c>
      <c r="R4" s="77">
        <v>0</v>
      </c>
      <c r="S4" s="78">
        <f t="shared" si="1"/>
        <v>0</v>
      </c>
      <c r="T4" s="77">
        <v>0</v>
      </c>
      <c r="U4" s="57">
        <f t="shared" si="2"/>
        <v>0</v>
      </c>
      <c r="Y4" s="12">
        <f>K4-'Nov25'!K4</f>
        <v>-88428278.640999913</v>
      </c>
      <c r="Z4" s="12">
        <f>M4-'Nov25'!M4</f>
        <v>-73687561.638999939</v>
      </c>
      <c r="AA4" s="12">
        <f>O4-'Nov25'!O4</f>
        <v>96469183.319999993</v>
      </c>
      <c r="AB4" s="12">
        <f>Q4-'Nov25'!Q4</f>
        <v>30517010.960000008</v>
      </c>
      <c r="AC4" s="12">
        <f>+S4-'Nov25'!S4</f>
        <v>0</v>
      </c>
      <c r="AE4" s="28">
        <f>J4-'Nov25'!J4</f>
        <v>-4.2999999999999983E-2</v>
      </c>
      <c r="AF4" s="28">
        <f>L4-'Nov25'!L4</f>
        <v>-3.6999999999999977E-2</v>
      </c>
      <c r="AG4" s="28">
        <f>N4-'Nov25'!N4</f>
        <v>0.06</v>
      </c>
      <c r="AH4" s="28">
        <f>P4-'Nov25'!P4</f>
        <v>2.0000000000000004E-2</v>
      </c>
      <c r="AI4" s="28">
        <f>R4-'Nov25'!R4</f>
        <v>0</v>
      </c>
      <c r="AK4" s="10">
        <f>I4-'Nov25'!I4</f>
        <v>-35129646</v>
      </c>
      <c r="AL4" s="76">
        <f>I4/'Nov25'!I4-1</f>
        <v>-2.0026098071052489E-2</v>
      </c>
      <c r="AN4" t="s">
        <v>12</v>
      </c>
      <c r="AO4" s="2" t="s">
        <v>16</v>
      </c>
      <c r="AP4" t="s">
        <v>58</v>
      </c>
    </row>
    <row r="5" spans="2:43" x14ac:dyDescent="0.25">
      <c r="B5" s="103" t="s">
        <v>13</v>
      </c>
      <c r="C5" s="104" t="s">
        <v>17</v>
      </c>
      <c r="D5" s="103" t="s">
        <v>59</v>
      </c>
      <c r="F5" s="7">
        <f t="shared" ref="F5:F36" si="3">J5+L5+N5+P5+R5+T5</f>
        <v>1</v>
      </c>
      <c r="H5" s="3" t="s">
        <v>3</v>
      </c>
      <c r="I5" s="78">
        <v>237075349.16</v>
      </c>
      <c r="J5" s="77">
        <v>0.36</v>
      </c>
      <c r="K5" s="78">
        <f t="shared" si="0"/>
        <v>85347125.697599992</v>
      </c>
      <c r="L5" s="77">
        <v>0</v>
      </c>
      <c r="M5" s="78">
        <f t="shared" si="0"/>
        <v>0</v>
      </c>
      <c r="N5" s="77">
        <v>0.43</v>
      </c>
      <c r="O5" s="78">
        <f t="shared" si="0"/>
        <v>101942400.1388</v>
      </c>
      <c r="P5" s="77">
        <v>0.09</v>
      </c>
      <c r="Q5" s="78">
        <f t="shared" si="0"/>
        <v>21336781.424399998</v>
      </c>
      <c r="R5" s="77">
        <v>0.12</v>
      </c>
      <c r="S5" s="78">
        <f t="shared" si="1"/>
        <v>28449041.8992</v>
      </c>
      <c r="T5" s="77">
        <v>0</v>
      </c>
      <c r="U5" s="57">
        <f t="shared" si="2"/>
        <v>0</v>
      </c>
      <c r="Y5" s="12">
        <f>K5-'Nov25'!K5</f>
        <v>25910584.648799993</v>
      </c>
      <c r="Z5" s="12">
        <f>M5-'Nov25'!M5</f>
        <v>0</v>
      </c>
      <c r="AA5" s="12">
        <f>O5-'Nov25'!O5</f>
        <v>7834543.4781999886</v>
      </c>
      <c r="AB5" s="12">
        <f>Q5-'Nov25'!Q5</f>
        <v>8954168.7058999967</v>
      </c>
      <c r="AC5" s="12">
        <f>+S5-'Nov25'!S5</f>
        <v>-48323156.955499999</v>
      </c>
      <c r="AE5" s="28">
        <f>J5-'Nov25'!J5</f>
        <v>0.12</v>
      </c>
      <c r="AF5" s="28">
        <f>L5-'Nov25'!L5</f>
        <v>0</v>
      </c>
      <c r="AG5" s="28">
        <f>N5-'Nov25'!N5</f>
        <v>4.9999999999999989E-2</v>
      </c>
      <c r="AH5" s="28">
        <f>P5-'Nov25'!P5</f>
        <v>3.9999999999999994E-2</v>
      </c>
      <c r="AI5" s="28">
        <f>R5-'Nov25'!R5</f>
        <v>-0.19</v>
      </c>
      <c r="AK5" s="10">
        <f>I5-'Nov25'!I5</f>
        <v>-10576905.210000008</v>
      </c>
      <c r="AL5" s="76">
        <f>I5/'Nov25'!I5-1</f>
        <v>-4.2708697471405932E-2</v>
      </c>
      <c r="AN5" t="s">
        <v>13</v>
      </c>
      <c r="AO5" s="2" t="s">
        <v>17</v>
      </c>
      <c r="AP5" t="s">
        <v>59</v>
      </c>
    </row>
    <row r="6" spans="2:43" x14ac:dyDescent="0.25">
      <c r="B6" s="103" t="s">
        <v>14</v>
      </c>
      <c r="C6" s="104" t="s">
        <v>18</v>
      </c>
      <c r="F6" s="7">
        <f t="shared" si="3"/>
        <v>1</v>
      </c>
      <c r="H6" s="3" t="s">
        <v>62</v>
      </c>
      <c r="I6" s="78">
        <v>4024269000</v>
      </c>
      <c r="J6" s="77">
        <v>0.26700000000000002</v>
      </c>
      <c r="K6" s="78">
        <f t="shared" si="0"/>
        <v>1074479823</v>
      </c>
      <c r="L6" s="77">
        <v>0.3</v>
      </c>
      <c r="M6" s="78">
        <f t="shared" si="0"/>
        <v>1207280700</v>
      </c>
      <c r="N6" s="77">
        <v>0.36</v>
      </c>
      <c r="O6" s="78">
        <f t="shared" si="0"/>
        <v>1448736840</v>
      </c>
      <c r="P6" s="77">
        <v>5.3999999999999999E-2</v>
      </c>
      <c r="Q6" s="78">
        <f t="shared" si="0"/>
        <v>217310526</v>
      </c>
      <c r="R6" s="77">
        <v>0</v>
      </c>
      <c r="S6" s="78">
        <f t="shared" si="1"/>
        <v>0</v>
      </c>
      <c r="T6" s="77">
        <v>1.9E-2</v>
      </c>
      <c r="U6" s="57">
        <f t="shared" si="2"/>
        <v>76461111</v>
      </c>
      <c r="Y6" s="12">
        <f>K6-'Nov25'!K6</f>
        <v>-29200649.860000134</v>
      </c>
      <c r="Z6" s="12">
        <f>M6-'Nov25'!M6</f>
        <v>199031245.47000003</v>
      </c>
      <c r="AA6" s="12">
        <f>O6-'Nov25'!O6</f>
        <v>-36667706.179999828</v>
      </c>
      <c r="AB6" s="12">
        <f>Q6-'Nov25'!Q6</f>
        <v>22299314.629999995</v>
      </c>
      <c r="AC6" s="12">
        <f>+S6-'Nov25'!S6</f>
        <v>0</v>
      </c>
      <c r="AE6" s="28">
        <f>J6-'Nov25'!J6</f>
        <v>1.0000000000000009E-3</v>
      </c>
      <c r="AF6" s="28">
        <f>L6-'Nov25'!L6</f>
        <v>5.6999999999999995E-2</v>
      </c>
      <c r="AG6" s="28">
        <f>N6-'Nov25'!N6</f>
        <v>2.0000000000000018E-3</v>
      </c>
      <c r="AH6" s="28">
        <f>P6-'Nov25'!P6</f>
        <v>6.9999999999999993E-3</v>
      </c>
      <c r="AI6" s="28">
        <f>R6-'Nov25'!R6</f>
        <v>0</v>
      </c>
      <c r="AK6" s="10">
        <f>I6-'Nov25'!I6</f>
        <v>-124905710</v>
      </c>
      <c r="AL6" s="76">
        <f>I6/'Nov25'!I6-1</f>
        <v>-3.0103748029448485E-2</v>
      </c>
      <c r="AN6" t="s">
        <v>14</v>
      </c>
      <c r="AO6" s="2" t="s">
        <v>18</v>
      </c>
    </row>
    <row r="7" spans="2:43" x14ac:dyDescent="0.25">
      <c r="B7" s="103" t="s">
        <v>15</v>
      </c>
      <c r="C7" s="104" t="s">
        <v>19</v>
      </c>
      <c r="F7" s="7">
        <f t="shared" si="3"/>
        <v>1</v>
      </c>
      <c r="H7" s="3" t="s">
        <v>22</v>
      </c>
      <c r="I7" s="78">
        <v>3357830000</v>
      </c>
      <c r="J7" s="77">
        <v>0.248</v>
      </c>
      <c r="K7" s="78">
        <f t="shared" si="0"/>
        <v>832741840</v>
      </c>
      <c r="L7" s="77">
        <v>0.33200000000000002</v>
      </c>
      <c r="M7" s="78">
        <f t="shared" si="0"/>
        <v>1114799560</v>
      </c>
      <c r="N7" s="77">
        <v>0.30499999999999999</v>
      </c>
      <c r="O7" s="78">
        <f t="shared" si="0"/>
        <v>1024138150</v>
      </c>
      <c r="P7" s="77">
        <v>0.115</v>
      </c>
      <c r="Q7" s="78">
        <f t="shared" si="0"/>
        <v>386150450</v>
      </c>
      <c r="R7" s="77">
        <v>0</v>
      </c>
      <c r="S7" s="78">
        <f t="shared" si="1"/>
        <v>0</v>
      </c>
      <c r="T7" s="77">
        <v>0</v>
      </c>
      <c r="U7" s="57">
        <f t="shared" si="2"/>
        <v>0</v>
      </c>
      <c r="Y7" s="12">
        <f>K7-'Nov25'!K7</f>
        <v>-106860799.99999988</v>
      </c>
      <c r="Z7" s="12">
        <f>M7-'Nov25'!M7</f>
        <v>23007760</v>
      </c>
      <c r="AA7" s="12">
        <f>O7-'Nov25'!O7</f>
        <v>-4792910</v>
      </c>
      <c r="AB7" s="12">
        <f>Q7-'Nov25'!Q7</f>
        <v>138015950</v>
      </c>
      <c r="AC7" s="12">
        <f>+S7-'Nov25'!S7</f>
        <v>0</v>
      </c>
      <c r="AE7" s="28">
        <f>J7-'Nov25'!J7</f>
        <v>-3.5999999999999976E-2</v>
      </c>
      <c r="AF7" s="28">
        <f>L7-'Nov25'!L7</f>
        <v>2.0000000000000018E-3</v>
      </c>
      <c r="AG7" s="28">
        <f>N7-'Nov25'!N7</f>
        <v>-6.0000000000000053E-3</v>
      </c>
      <c r="AH7" s="28">
        <f>P7-'Nov25'!P7</f>
        <v>4.0000000000000008E-2</v>
      </c>
      <c r="AI7" s="28">
        <f>R7-'Nov25'!R7</f>
        <v>0</v>
      </c>
      <c r="AK7" s="10">
        <f>I7-'Nov25'!I7</f>
        <v>49370000</v>
      </c>
      <c r="AL7" s="76">
        <f>I7/'Nov25'!I7-1</f>
        <v>1.4922350580028221E-2</v>
      </c>
      <c r="AN7" t="s">
        <v>15</v>
      </c>
      <c r="AO7" s="2" t="s">
        <v>19</v>
      </c>
    </row>
    <row r="8" spans="2:43" x14ac:dyDescent="0.25">
      <c r="B8" s="103" t="s">
        <v>57</v>
      </c>
      <c r="F8" s="7">
        <f t="shared" si="3"/>
        <v>1</v>
      </c>
      <c r="H8" s="3" t="s">
        <v>23</v>
      </c>
      <c r="I8" s="78">
        <v>190232211.5</v>
      </c>
      <c r="J8" s="77">
        <v>0.14000000000000001</v>
      </c>
      <c r="K8" s="78">
        <f t="shared" si="0"/>
        <v>26632509.610000003</v>
      </c>
      <c r="L8" s="77">
        <v>0.41</v>
      </c>
      <c r="M8" s="78">
        <f t="shared" si="0"/>
        <v>77995206.714999989</v>
      </c>
      <c r="N8" s="77">
        <v>0.24</v>
      </c>
      <c r="O8" s="78">
        <f t="shared" si="0"/>
        <v>45655730.759999998</v>
      </c>
      <c r="P8" s="77">
        <v>0.09</v>
      </c>
      <c r="Q8" s="78">
        <f t="shared" si="0"/>
        <v>17120899.035</v>
      </c>
      <c r="R8" s="77">
        <v>0</v>
      </c>
      <c r="S8" s="78">
        <f t="shared" si="1"/>
        <v>0</v>
      </c>
      <c r="T8" s="77">
        <v>0.12</v>
      </c>
      <c r="U8" s="57">
        <f t="shared" si="2"/>
        <v>22827865.379999999</v>
      </c>
      <c r="Y8" s="12">
        <f>K8-'Nov25'!K8</f>
        <v>-4431795.9835999981</v>
      </c>
      <c r="Z8" s="12">
        <f>M8-'Nov25'!M8</f>
        <v>-1607076.3686000109</v>
      </c>
      <c r="AA8" s="12">
        <f>O8-'Nov25'!O8</f>
        <v>-940727.630400002</v>
      </c>
      <c r="AB8" s="12">
        <f>Q8-'Nov25'!Q8</f>
        <v>1588746.2381999996</v>
      </c>
      <c r="AC8" s="12">
        <f>+S8-'Nov25'!S8</f>
        <v>0</v>
      </c>
      <c r="AE8" s="28">
        <f>J8-'Nov25'!J8</f>
        <v>-1.999999999999999E-2</v>
      </c>
      <c r="AF8" s="28">
        <f>L8-'Nov25'!L8</f>
        <v>0</v>
      </c>
      <c r="AG8" s="28">
        <f>N8-'Nov25'!N8</f>
        <v>0</v>
      </c>
      <c r="AH8" s="28">
        <f>P8-'Nov25'!P8</f>
        <v>9.999999999999995E-3</v>
      </c>
      <c r="AI8" s="28">
        <f>R8-'Nov25'!R8</f>
        <v>0</v>
      </c>
      <c r="AK8" s="10">
        <f>I8-'Nov25'!I8</f>
        <v>-3919698.4600000083</v>
      </c>
      <c r="AL8" s="76">
        <f>I8/'Nov25'!I8-1</f>
        <v>-2.0188822560682329E-2</v>
      </c>
      <c r="AN8" t="s">
        <v>57</v>
      </c>
    </row>
    <row r="9" spans="2:43" x14ac:dyDescent="0.25">
      <c r="F9" s="7">
        <f t="shared" si="3"/>
        <v>0.99999999999999989</v>
      </c>
      <c r="H9" s="3" t="s">
        <v>24</v>
      </c>
      <c r="I9" s="78">
        <v>1563586068</v>
      </c>
      <c r="J9" s="77">
        <v>0.59250000000000003</v>
      </c>
      <c r="K9" s="78">
        <f t="shared" si="0"/>
        <v>926424745.29000008</v>
      </c>
      <c r="L9" s="77">
        <v>0.13950000000000001</v>
      </c>
      <c r="M9" s="78">
        <f t="shared" si="0"/>
        <v>218120256.48600003</v>
      </c>
      <c r="N9" s="77">
        <v>0.2079</v>
      </c>
      <c r="O9" s="78">
        <f t="shared" si="0"/>
        <v>325069543.53719997</v>
      </c>
      <c r="P9" s="77">
        <v>4.8599999999999997E-2</v>
      </c>
      <c r="Q9" s="78">
        <f t="shared" si="0"/>
        <v>75990282.904799998</v>
      </c>
      <c r="R9" s="77">
        <v>0</v>
      </c>
      <c r="S9" s="78">
        <f t="shared" si="1"/>
        <v>0</v>
      </c>
      <c r="T9" s="77">
        <v>1.15E-2</v>
      </c>
      <c r="U9" s="57">
        <f t="shared" si="2"/>
        <v>17981239.782000002</v>
      </c>
      <c r="Y9" s="12">
        <f>K9-'Nov25'!K9</f>
        <v>-124689720.36239994</v>
      </c>
      <c r="Z9" s="12">
        <f>M9-'Nov25'!M9</f>
        <v>2627241.611400038</v>
      </c>
      <c r="AA9" s="12">
        <f>O9-'Nov25'!O9</f>
        <v>43942497.125399947</v>
      </c>
      <c r="AB9" s="12">
        <f>Q9-'Nov25'!Q9</f>
        <v>11326212.424799994</v>
      </c>
      <c r="AC9" s="12">
        <f>+S9-'Nov25'!S9</f>
        <v>0</v>
      </c>
      <c r="AE9" s="28">
        <f>J9-'Nov25'!J9</f>
        <v>-5.7699999999999974E-2</v>
      </c>
      <c r="AF9" s="28">
        <f>L9-'Nov25'!L9</f>
        <v>6.2000000000000111E-3</v>
      </c>
      <c r="AG9" s="28">
        <f>N9-'Nov25'!N9</f>
        <v>3.4000000000000002E-2</v>
      </c>
      <c r="AH9" s="28">
        <f>P9-'Nov25'!P9</f>
        <v>8.5999999999999965E-3</v>
      </c>
      <c r="AI9" s="28">
        <f>R9-'Nov25'!R9</f>
        <v>0</v>
      </c>
      <c r="AK9" s="10">
        <f>I9-'Nov25'!I9</f>
        <v>-53015694</v>
      </c>
      <c r="AL9" s="76">
        <f>I9/'Nov25'!I9-1</f>
        <v>-3.2794529392576544E-2</v>
      </c>
    </row>
    <row r="10" spans="2:43" x14ac:dyDescent="0.25">
      <c r="F10" s="7">
        <f t="shared" si="3"/>
        <v>1</v>
      </c>
      <c r="H10" s="3" t="s">
        <v>73</v>
      </c>
      <c r="I10" s="78">
        <v>7708147896.4799995</v>
      </c>
      <c r="J10" s="77">
        <v>0.26</v>
      </c>
      <c r="K10" s="78">
        <f t="shared" si="0"/>
        <v>2004118453.0848</v>
      </c>
      <c r="L10" s="77">
        <v>0.45800000000000002</v>
      </c>
      <c r="M10" s="78">
        <f t="shared" si="0"/>
        <v>3530331736.5878401</v>
      </c>
      <c r="N10" s="77">
        <v>0.23300000000000001</v>
      </c>
      <c r="O10" s="78">
        <f t="shared" si="0"/>
        <v>1795998459.8798399</v>
      </c>
      <c r="P10" s="77">
        <v>4.9000000000000002E-2</v>
      </c>
      <c r="Q10" s="78">
        <f t="shared" si="0"/>
        <v>377699246.92751998</v>
      </c>
      <c r="R10" s="77">
        <v>0</v>
      </c>
      <c r="S10" s="78">
        <f t="shared" si="1"/>
        <v>0</v>
      </c>
      <c r="T10" s="77">
        <v>0</v>
      </c>
      <c r="U10" s="57">
        <f t="shared" si="2"/>
        <v>0</v>
      </c>
      <c r="Y10" s="12">
        <f>K10-'Nov25'!K10</f>
        <v>-955134661.83630013</v>
      </c>
      <c r="Z10" s="12">
        <f>M10-'Nov25'!M10</f>
        <v>594379827.29604006</v>
      </c>
      <c r="AA10" s="12">
        <f>O10-'Nov25'!O10</f>
        <v>250351819.80293965</v>
      </c>
      <c r="AB10" s="12">
        <f>Q10-'Nov25'!Q10</f>
        <v>51482368.117319942</v>
      </c>
      <c r="AC10" s="12">
        <f>+S10-'Nov25'!S10</f>
        <v>0</v>
      </c>
      <c r="AE10" s="28">
        <f>J10-'Nov25'!J10</f>
        <v>-0.121</v>
      </c>
      <c r="AF10" s="28">
        <f>L10-'Nov25'!L10</f>
        <v>8.0000000000000016E-2</v>
      </c>
      <c r="AG10" s="28">
        <f>N10-'Nov25'!N10</f>
        <v>3.4000000000000002E-2</v>
      </c>
      <c r="AH10" s="28">
        <f>P10-'Nov25'!P10</f>
        <v>6.9999999999999993E-3</v>
      </c>
      <c r="AI10" s="28">
        <f>R10-'Nov25'!R10</f>
        <v>0</v>
      </c>
      <c r="AK10" s="10">
        <f>I10-'Nov25'!I10</f>
        <v>-58920646.620000839</v>
      </c>
      <c r="AL10" s="76">
        <f>I10/'Nov25'!I10-1</f>
        <v>-7.5859568243856756E-3</v>
      </c>
    </row>
    <row r="11" spans="2:43" x14ac:dyDescent="0.25">
      <c r="F11" s="7">
        <f t="shared" si="3"/>
        <v>1</v>
      </c>
      <c r="H11" s="3" t="s">
        <v>47</v>
      </c>
      <c r="I11" s="78">
        <v>2998273756.6999998</v>
      </c>
      <c r="J11" s="77">
        <v>0.64</v>
      </c>
      <c r="K11" s="78">
        <f t="shared" si="0"/>
        <v>1918895204.2879999</v>
      </c>
      <c r="L11" s="77">
        <v>0.24</v>
      </c>
      <c r="M11" s="78">
        <f t="shared" si="0"/>
        <v>719585701.60799992</v>
      </c>
      <c r="N11" s="77">
        <v>0.12</v>
      </c>
      <c r="O11" s="78">
        <f t="shared" si="0"/>
        <v>359792850.80399996</v>
      </c>
      <c r="P11" s="77">
        <v>0</v>
      </c>
      <c r="Q11" s="78">
        <f t="shared" si="0"/>
        <v>0</v>
      </c>
      <c r="R11" s="77">
        <v>0</v>
      </c>
      <c r="S11" s="78">
        <f t="shared" si="1"/>
        <v>0</v>
      </c>
      <c r="T11" s="77">
        <v>0</v>
      </c>
      <c r="U11" s="57">
        <f t="shared" si="2"/>
        <v>0</v>
      </c>
      <c r="Y11" s="12">
        <f>K11-'Nov25'!K11</f>
        <v>1690923.1807997227</v>
      </c>
      <c r="Z11" s="12">
        <f>M11-'Nov25'!M11</f>
        <v>90503046.869699955</v>
      </c>
      <c r="AA11" s="12">
        <f>O11-'Nov25'!O11</f>
        <v>-89551902.580500007</v>
      </c>
      <c r="AB11" s="12">
        <f>Q11-'Nov25'!Q11</f>
        <v>0</v>
      </c>
      <c r="AC11" s="12">
        <f>+S11-'Nov25'!S11</f>
        <v>0</v>
      </c>
      <c r="AE11" s="28">
        <f>J11-'Nov25'!J11</f>
        <v>0</v>
      </c>
      <c r="AF11" s="28">
        <f>L11-'Nov25'!L11</f>
        <v>0.03</v>
      </c>
      <c r="AG11" s="28">
        <f>N11-'Nov25'!N11</f>
        <v>-0.03</v>
      </c>
      <c r="AH11" s="28">
        <f>P11-'Nov25'!P11</f>
        <v>0</v>
      </c>
      <c r="AI11" s="28">
        <f>R11-'Nov25'!R11</f>
        <v>0</v>
      </c>
      <c r="AK11" s="10">
        <f>I11-'Nov25'!I11</f>
        <v>2642067.4699997902</v>
      </c>
      <c r="AL11" s="76">
        <f>I11/'Nov25'!I11-1</f>
        <v>8.8197340130258262E-4</v>
      </c>
    </row>
    <row r="12" spans="2:43" x14ac:dyDescent="0.25">
      <c r="B12" t="s">
        <v>70</v>
      </c>
      <c r="F12" s="7">
        <f t="shared" si="3"/>
        <v>1</v>
      </c>
      <c r="H12" s="3" t="s">
        <v>30</v>
      </c>
      <c r="I12" s="78">
        <v>1482530000</v>
      </c>
      <c r="J12" s="77">
        <v>0.29099999999999998</v>
      </c>
      <c r="K12" s="78">
        <f t="shared" si="0"/>
        <v>431416230</v>
      </c>
      <c r="L12" s="77">
        <v>0.45500000000000002</v>
      </c>
      <c r="M12" s="78">
        <f t="shared" si="0"/>
        <v>674551150</v>
      </c>
      <c r="N12" s="77">
        <v>0.22900000000000001</v>
      </c>
      <c r="O12" s="78">
        <f t="shared" si="0"/>
        <v>339499370</v>
      </c>
      <c r="P12" s="77">
        <v>2.5000000000000001E-2</v>
      </c>
      <c r="Q12" s="78">
        <f t="shared" si="0"/>
        <v>37063250</v>
      </c>
      <c r="R12" s="77">
        <v>0</v>
      </c>
      <c r="S12" s="78">
        <f t="shared" si="1"/>
        <v>0</v>
      </c>
      <c r="T12" s="77">
        <v>0</v>
      </c>
      <c r="U12" s="57">
        <f t="shared" si="2"/>
        <v>0</v>
      </c>
      <c r="Y12" s="12">
        <f>K12-'Nov25'!K12</f>
        <v>-15775770</v>
      </c>
      <c r="Z12" s="12">
        <f>M12-'Nov25'!M12</f>
        <v>42519790</v>
      </c>
      <c r="AA12" s="12">
        <f>O12-'Nov25'!O12</f>
        <v>-34651270</v>
      </c>
      <c r="AB12" s="12">
        <f>Q12-'Nov25'!Q12</f>
        <v>-202750</v>
      </c>
      <c r="AC12" s="12">
        <f>+S12-'Nov25'!S12</f>
        <v>0</v>
      </c>
      <c r="AE12" s="28">
        <f>J12-'Nov25'!J12</f>
        <v>-9.000000000000008E-3</v>
      </c>
      <c r="AF12" s="28">
        <f>L12-'Nov25'!L12</f>
        <v>3.1000000000000028E-2</v>
      </c>
      <c r="AG12" s="28">
        <f>N12-'Nov25'!N12</f>
        <v>-2.1999999999999992E-2</v>
      </c>
      <c r="AH12" s="28">
        <f>P12-'Nov25'!P12</f>
        <v>0</v>
      </c>
      <c r="AI12" s="28">
        <f>R12-'Nov25'!R12</f>
        <v>0</v>
      </c>
      <c r="AK12" s="10">
        <f>I12-'Nov25'!I12</f>
        <v>-8110000</v>
      </c>
      <c r="AL12" s="76">
        <f>I12/'Nov25'!I12-1</f>
        <v>-5.4406161112006135E-3</v>
      </c>
    </row>
    <row r="13" spans="2:43" x14ac:dyDescent="0.25">
      <c r="B13" t="s">
        <v>74</v>
      </c>
      <c r="F13" s="7">
        <f t="shared" si="3"/>
        <v>1</v>
      </c>
      <c r="H13" s="3" t="s">
        <v>64</v>
      </c>
      <c r="I13" s="102">
        <v>977700000</v>
      </c>
      <c r="J13" s="77">
        <v>0.46</v>
      </c>
      <c r="K13" s="78">
        <f t="shared" si="0"/>
        <v>449742000</v>
      </c>
      <c r="L13" s="77">
        <v>0.32</v>
      </c>
      <c r="M13" s="78">
        <f t="shared" si="0"/>
        <v>312864000</v>
      </c>
      <c r="N13" s="77">
        <v>0.15</v>
      </c>
      <c r="O13" s="78">
        <f t="shared" si="0"/>
        <v>146655000</v>
      </c>
      <c r="P13" s="77">
        <v>7.0000000000000007E-2</v>
      </c>
      <c r="Q13" s="78">
        <f t="shared" si="0"/>
        <v>68439000</v>
      </c>
      <c r="R13" s="77">
        <v>0</v>
      </c>
      <c r="S13" s="78">
        <f t="shared" si="1"/>
        <v>0</v>
      </c>
      <c r="T13" s="77">
        <v>0</v>
      </c>
      <c r="U13" s="57">
        <f t="shared" si="2"/>
        <v>0</v>
      </c>
      <c r="Y13" s="12">
        <f>K13-'Nov25'!K13</f>
        <v>-92858000</v>
      </c>
      <c r="Z13" s="12">
        <f>M13-'Nov25'!M13</f>
        <v>9008000</v>
      </c>
      <c r="AA13" s="12">
        <f>O13-'Nov25'!O13</f>
        <v>-26977000</v>
      </c>
      <c r="AB13" s="12">
        <f>Q13-'Nov25'!Q13</f>
        <v>3327000</v>
      </c>
      <c r="AC13" s="12">
        <f>+S13-'Nov25'!S13</f>
        <v>0</v>
      </c>
      <c r="AE13" s="28">
        <f>J13-'Nov25'!J13</f>
        <v>-3.999999999999998E-2</v>
      </c>
      <c r="AF13" s="28">
        <f>L13-'Nov25'!L13</f>
        <v>3.999999999999998E-2</v>
      </c>
      <c r="AG13" s="28">
        <f>N13-'Nov25'!N13</f>
        <v>-1.0000000000000009E-2</v>
      </c>
      <c r="AH13" s="28">
        <f>P13-'Nov25'!P13</f>
        <v>1.0000000000000009E-2</v>
      </c>
      <c r="AI13" s="28">
        <f>R13-'Nov25'!R13</f>
        <v>0</v>
      </c>
      <c r="AK13" s="10">
        <f>I13-'Nov25'!I13</f>
        <v>-107500000</v>
      </c>
      <c r="AL13" s="76">
        <f>I13/'Nov25'!I13-1</f>
        <v>-9.906008109104314E-2</v>
      </c>
    </row>
    <row r="14" spans="2:43" s="8" customFormat="1" x14ac:dyDescent="0.25">
      <c r="B14" t="s">
        <v>42</v>
      </c>
      <c r="E14"/>
      <c r="F14" s="7">
        <f>J14+L14+N14+P14+R14+T14</f>
        <v>1</v>
      </c>
      <c r="G14"/>
      <c r="H14" s="21" t="s">
        <v>45</v>
      </c>
      <c r="I14" s="20">
        <f>SUM(I3:I13)</f>
        <v>24895817816.470001</v>
      </c>
      <c r="J14" s="15">
        <f>K14/$I$14</f>
        <v>0.35276562315706139</v>
      </c>
      <c r="K14" s="17">
        <f>SUM(K3:K13)</f>
        <v>8782388686.0317116</v>
      </c>
      <c r="L14" s="15">
        <f>M14/$I$14</f>
        <v>0.33745108754864661</v>
      </c>
      <c r="M14" s="20">
        <f>SUM(M3:M13)</f>
        <v>8401120797.5807743</v>
      </c>
      <c r="N14" s="15">
        <f>O14/$I$14</f>
        <v>0.24563841285435481</v>
      </c>
      <c r="O14" s="17">
        <f>SUM(O3:O13)</f>
        <v>6115369175.14886</v>
      </c>
      <c r="P14" s="15">
        <f>Q14/$I$14</f>
        <v>5.8273800579233974E-2</v>
      </c>
      <c r="Q14" s="17">
        <f>SUM(Q3:Q13)</f>
        <v>1450773922.693913</v>
      </c>
      <c r="R14" s="15">
        <f>S14/$I$14</f>
        <v>1.1427237341196856E-3</v>
      </c>
      <c r="S14" s="17">
        <f>SUM(S3:S13)</f>
        <v>28449041.8992</v>
      </c>
      <c r="T14" s="15">
        <f>U14/$I$14</f>
        <v>4.7283521265834867E-3</v>
      </c>
      <c r="U14" s="63">
        <f>SUM(U3:U13)</f>
        <v>117716193.115541</v>
      </c>
      <c r="Y14" s="12">
        <f>K14-'Nov25'!K14</f>
        <v>-1384272093.9776077</v>
      </c>
      <c r="Z14" s="12">
        <f>M14-'Nov25'!M14</f>
        <v>884975649.37844467</v>
      </c>
      <c r="AA14" s="12">
        <f>O14-'Nov25'!O14</f>
        <v>204465896.92305279</v>
      </c>
      <c r="AB14" s="12">
        <f>Q14-'Nov25'!Q14</f>
        <v>269891135.16552186</v>
      </c>
      <c r="AC14" s="12">
        <f>+S14-'Nov25'!S14</f>
        <v>-48323156.955499999</v>
      </c>
      <c r="AE14" s="28">
        <f>J14-'Nov25'!J14</f>
        <v>-5.0116541918210578E-2</v>
      </c>
      <c r="AF14" s="28">
        <f>L14-'Nov25'!L14</f>
        <v>3.9602964565932153E-2</v>
      </c>
      <c r="AG14" s="28">
        <f>N14-'Nov25'!N14</f>
        <v>1.1402456544622103E-2</v>
      </c>
      <c r="AH14" s="28">
        <f>P14-'Nov25'!P14</f>
        <v>1.1478040945447458E-2</v>
      </c>
      <c r="AI14" s="28">
        <f>R14-'Nov25'!R14</f>
        <v>-1.8995878332130939E-3</v>
      </c>
      <c r="AK14" s="92">
        <f>I14-'Nov25'!I14</f>
        <v>-339006808.02000046</v>
      </c>
      <c r="AL14" s="76">
        <f>I14/'Nov25'!I14-1</f>
        <v>-1.3434086151365543E-2</v>
      </c>
    </row>
    <row r="15" spans="2:43" x14ac:dyDescent="0.25">
      <c r="B15" t="s">
        <v>66</v>
      </c>
      <c r="F15" s="7"/>
      <c r="I15" s="10"/>
      <c r="J15" s="10"/>
      <c r="K15" s="10"/>
      <c r="L15" s="5"/>
      <c r="M15" s="10"/>
      <c r="N15" s="10"/>
      <c r="O15" s="10"/>
      <c r="P15" s="5"/>
      <c r="Q15" s="10"/>
    </row>
    <row r="16" spans="2:43" x14ac:dyDescent="0.25">
      <c r="F16" s="7"/>
      <c r="H16" s="4" t="s">
        <v>2</v>
      </c>
      <c r="I16" s="9" t="s">
        <v>4</v>
      </c>
      <c r="J16" s="112" t="s">
        <v>7</v>
      </c>
      <c r="K16" s="112"/>
      <c r="L16" s="112" t="s">
        <v>8</v>
      </c>
      <c r="M16" s="112"/>
      <c r="N16" s="112" t="s">
        <v>10</v>
      </c>
      <c r="O16" s="112"/>
      <c r="P16" s="112" t="s">
        <v>9</v>
      </c>
      <c r="Q16" s="112"/>
      <c r="R16" s="112" t="s">
        <v>21</v>
      </c>
      <c r="S16" s="112"/>
      <c r="T16" s="112" t="s">
        <v>55</v>
      </c>
      <c r="U16" s="112"/>
      <c r="Y16" s="27" t="s">
        <v>49</v>
      </c>
      <c r="Z16" s="27" t="s">
        <v>50</v>
      </c>
      <c r="AA16" s="27" t="s">
        <v>51</v>
      </c>
      <c r="AB16" s="27" t="s">
        <v>52</v>
      </c>
      <c r="AC16" s="27" t="s">
        <v>53</v>
      </c>
      <c r="AE16" s="27" t="s">
        <v>49</v>
      </c>
      <c r="AF16" s="27" t="s">
        <v>50</v>
      </c>
      <c r="AG16" s="27" t="s">
        <v>51</v>
      </c>
      <c r="AH16" s="27" t="s">
        <v>52</v>
      </c>
      <c r="AI16" s="27" t="s">
        <v>53</v>
      </c>
    </row>
    <row r="17" spans="2:39" x14ac:dyDescent="0.25">
      <c r="F17" s="7">
        <f t="shared" si="3"/>
        <v>1</v>
      </c>
      <c r="H17" s="21" t="s">
        <v>6</v>
      </c>
      <c r="I17" s="80">
        <v>363715103.77999997</v>
      </c>
      <c r="J17" s="81">
        <v>0.42420000000000002</v>
      </c>
      <c r="K17" s="80">
        <f t="shared" ref="K17:K26" si="4">+J17*$I17</f>
        <v>154287947.023476</v>
      </c>
      <c r="L17" s="81">
        <v>0.21840000000000001</v>
      </c>
      <c r="M17" s="80">
        <f t="shared" ref="M17:M26" si="5">+L17*$I17</f>
        <v>79435378.66555199</v>
      </c>
      <c r="N17" s="81">
        <v>0.2382</v>
      </c>
      <c r="O17" s="80">
        <f t="shared" ref="O17:O26" si="6">+N17*$I17</f>
        <v>86636937.720395997</v>
      </c>
      <c r="P17" s="81">
        <v>6.3399999999999998E-2</v>
      </c>
      <c r="Q17" s="80">
        <f t="shared" ref="Q17:Q26" si="7">+P17*$I17</f>
        <v>23059537.579651996</v>
      </c>
      <c r="R17" s="81">
        <v>0</v>
      </c>
      <c r="S17" s="80">
        <f t="shared" ref="S17:S26" si="8">+R17*$I17</f>
        <v>0</v>
      </c>
      <c r="T17" s="81">
        <v>5.5800000000000002E-2</v>
      </c>
      <c r="U17" s="80">
        <f t="shared" ref="U17:U26" si="9">+T17*$I17</f>
        <v>20295302.790923998</v>
      </c>
      <c r="Y17" s="12">
        <f>K17-'Nov25'!K17</f>
        <v>-5931596.2028239965</v>
      </c>
      <c r="Z17" s="12">
        <f>M17-'Nov25'!M17</f>
        <v>1867621.5641519874</v>
      </c>
      <c r="AA17" s="12">
        <f>O17-'Nov25'!O17</f>
        <v>-989933.94892901182</v>
      </c>
      <c r="AB17" s="12">
        <f>Q17-'Nov25'!Q17</f>
        <v>2977622.9368269965</v>
      </c>
      <c r="AC17" s="12">
        <f>+S17-'Nov25'!S17</f>
        <v>0</v>
      </c>
      <c r="AD17" s="98"/>
      <c r="AE17" s="28">
        <f>J17-'Nov25'!J17</f>
        <v>-1.699999999999996E-2</v>
      </c>
      <c r="AF17" s="28">
        <f>L17-'Nov25'!L17</f>
        <v>4.7999999999999987E-3</v>
      </c>
      <c r="AG17" s="28">
        <f>N17-'Nov25'!N17</f>
        <v>-3.1000000000000194E-3</v>
      </c>
      <c r="AH17" s="28">
        <f>P17-'Nov25'!P17</f>
        <v>8.0999999999999961E-3</v>
      </c>
      <c r="AI17" s="28">
        <f>R17-'Nov25'!R17</f>
        <v>0</v>
      </c>
      <c r="AJ17" s="8"/>
      <c r="AK17" s="10">
        <f>I17-'Nov25'!I17</f>
        <v>570173.52999997139</v>
      </c>
      <c r="AL17" s="76">
        <f>I17/'Nov25'!I17-1</f>
        <v>1.5700991050802138E-3</v>
      </c>
      <c r="AM17" s="8"/>
    </row>
    <row r="18" spans="2:39" x14ac:dyDescent="0.25">
      <c r="F18" s="7">
        <f t="shared" si="3"/>
        <v>1</v>
      </c>
      <c r="H18" s="3" t="s">
        <v>26</v>
      </c>
      <c r="I18" s="78">
        <v>824164324</v>
      </c>
      <c r="J18" s="77">
        <v>0.08</v>
      </c>
      <c r="K18" s="78">
        <f t="shared" si="4"/>
        <v>65933145.920000002</v>
      </c>
      <c r="L18" s="77">
        <v>0.26</v>
      </c>
      <c r="M18" s="78">
        <f t="shared" si="5"/>
        <v>214282724.24000001</v>
      </c>
      <c r="N18" s="77">
        <v>0.37</v>
      </c>
      <c r="O18" s="78">
        <f t="shared" si="6"/>
        <v>304940799.88</v>
      </c>
      <c r="P18" s="77">
        <v>0.17</v>
      </c>
      <c r="Q18" s="78">
        <f t="shared" si="7"/>
        <v>140107935.08000001</v>
      </c>
      <c r="R18" s="77">
        <v>0</v>
      </c>
      <c r="S18" s="78">
        <f t="shared" si="8"/>
        <v>0</v>
      </c>
      <c r="T18" s="77">
        <v>0.12</v>
      </c>
      <c r="U18" s="78">
        <f t="shared" si="9"/>
        <v>98899718.879999995</v>
      </c>
      <c r="Y18" s="12">
        <f>K18-'Nov25'!K18</f>
        <v>-18974368.753000006</v>
      </c>
      <c r="Z18" s="12">
        <f>M18-'Nov25'!M18</f>
        <v>18995440.4921</v>
      </c>
      <c r="AA18" s="12">
        <f>O18-'Nov25'!O18</f>
        <v>-26198507.344700038</v>
      </c>
      <c r="AB18" s="12">
        <f>Q18-'Nov25'!Q18</f>
        <v>-4234839.8641000092</v>
      </c>
      <c r="AC18" s="12">
        <f>+S18-'Nov25'!S18</f>
        <v>0</v>
      </c>
      <c r="AE18" s="28">
        <f>J18-'Nov25'!J18</f>
        <v>-2.0000000000000004E-2</v>
      </c>
      <c r="AF18" s="28">
        <f>L18-'Nov25'!L18</f>
        <v>0.03</v>
      </c>
      <c r="AG18" s="28">
        <f>N18-'Nov25'!N18</f>
        <v>-2.0000000000000018E-2</v>
      </c>
      <c r="AH18" s="28">
        <f>P18-'Nov25'!P18</f>
        <v>0</v>
      </c>
      <c r="AI18" s="28">
        <f>R18-'Nov25'!R18</f>
        <v>0</v>
      </c>
      <c r="AK18" s="10">
        <f>I18-'Nov25'!I18</f>
        <v>-24910822.730000019</v>
      </c>
      <c r="AL18" s="76">
        <f>I18/'Nov25'!I18-1</f>
        <v>-2.933877269395746E-2</v>
      </c>
    </row>
    <row r="19" spans="2:39" x14ac:dyDescent="0.25">
      <c r="F19" s="7">
        <f t="shared" si="3"/>
        <v>1</v>
      </c>
      <c r="H19" s="3" t="s">
        <v>27</v>
      </c>
      <c r="I19" s="78">
        <v>580802920</v>
      </c>
      <c r="J19" s="77">
        <v>9.7000000000000003E-2</v>
      </c>
      <c r="K19" s="78">
        <f t="shared" si="4"/>
        <v>56337883.240000002</v>
      </c>
      <c r="L19" s="77">
        <v>0.33100000000000002</v>
      </c>
      <c r="M19" s="78">
        <f t="shared" si="5"/>
        <v>192245766.52000001</v>
      </c>
      <c r="N19" s="77">
        <v>0.44</v>
      </c>
      <c r="O19" s="78">
        <f t="shared" si="6"/>
        <v>255553284.80000001</v>
      </c>
      <c r="P19" s="77">
        <v>8.1000000000000003E-2</v>
      </c>
      <c r="Q19" s="78">
        <f t="shared" si="7"/>
        <v>47045036.520000003</v>
      </c>
      <c r="R19" s="77">
        <v>0</v>
      </c>
      <c r="S19" s="78">
        <f t="shared" si="8"/>
        <v>0</v>
      </c>
      <c r="T19" s="77">
        <v>5.0999999999999997E-2</v>
      </c>
      <c r="U19" s="78">
        <f t="shared" si="9"/>
        <v>29620948.919999998</v>
      </c>
      <c r="Y19" s="12">
        <f>K19-'Nov25'!K19</f>
        <v>-30711008.407999985</v>
      </c>
      <c r="Z19" s="12">
        <f>M19-'Nov25'!M19</f>
        <v>33260638.023999989</v>
      </c>
      <c r="AA19" s="12">
        <f>O19-'Nov25'!O19</f>
        <v>-1966352.9919999838</v>
      </c>
      <c r="AB19" s="12">
        <f>Q19-'Nov25'!Q19</f>
        <v>2311578.3120000064</v>
      </c>
      <c r="AC19" s="12">
        <f>+S19-'Nov25'!S19</f>
        <v>0</v>
      </c>
      <c r="AE19" s="28">
        <f>J19-'Nov25'!J19</f>
        <v>-4.6999999999999986E-2</v>
      </c>
      <c r="AF19" s="28">
        <f>L19-'Nov25'!L19</f>
        <v>6.8000000000000005E-2</v>
      </c>
      <c r="AG19" s="28">
        <f>N19-'Nov25'!N19</f>
        <v>1.4000000000000012E-2</v>
      </c>
      <c r="AH19" s="28">
        <f>P19-'Nov25'!P19</f>
        <v>7.0000000000000062E-3</v>
      </c>
      <c r="AI19" s="28">
        <f>R19-'Nov25'!R19</f>
        <v>0</v>
      </c>
      <c r="AK19" s="10">
        <f>I19-'Nov25'!I19</f>
        <v>-23703272</v>
      </c>
      <c r="AL19" s="76">
        <f>I19/'Nov25'!I19-1</f>
        <v>-3.9210966427950189E-2</v>
      </c>
    </row>
    <row r="20" spans="2:39" x14ac:dyDescent="0.25">
      <c r="B20" s="1"/>
      <c r="C20" s="1" t="s">
        <v>20</v>
      </c>
      <c r="D20" s="1"/>
      <c r="F20" s="7">
        <f t="shared" si="3"/>
        <v>1</v>
      </c>
      <c r="H20" s="3" t="s">
        <v>67</v>
      </c>
      <c r="I20" s="78">
        <v>1275938985</v>
      </c>
      <c r="J20" s="77">
        <v>0.25</v>
      </c>
      <c r="K20" s="78">
        <f t="shared" si="4"/>
        <v>318984746.25</v>
      </c>
      <c r="L20" s="77">
        <v>0.28000000000000003</v>
      </c>
      <c r="M20" s="78">
        <f t="shared" si="5"/>
        <v>357262915.80000001</v>
      </c>
      <c r="N20" s="77">
        <v>0.28999999999999998</v>
      </c>
      <c r="O20" s="78">
        <f t="shared" si="6"/>
        <v>370022305.64999998</v>
      </c>
      <c r="P20" s="77">
        <v>0.18</v>
      </c>
      <c r="Q20" s="78">
        <f t="shared" si="7"/>
        <v>229669017.29999998</v>
      </c>
      <c r="R20" s="77">
        <v>0</v>
      </c>
      <c r="S20" s="78">
        <f t="shared" si="8"/>
        <v>0</v>
      </c>
      <c r="T20" s="77">
        <v>0</v>
      </c>
      <c r="U20" s="78">
        <f t="shared" si="9"/>
        <v>0</v>
      </c>
      <c r="Y20" s="12">
        <f>K20-'Nov25'!K20</f>
        <v>-3275994.25</v>
      </c>
      <c r="Z20" s="12">
        <f>M20-'Nov25'!M20</f>
        <v>-16559543.179999948</v>
      </c>
      <c r="AA20" s="12">
        <f>O20-'Nov25'!O20</f>
        <v>-16690582.949999988</v>
      </c>
      <c r="AB20" s="12">
        <f>Q20-'Nov25'!Q20</f>
        <v>23422143.379999965</v>
      </c>
      <c r="AC20" s="12">
        <f>+S20-'Nov25'!S20</f>
        <v>0</v>
      </c>
      <c r="AE20" s="28">
        <f>J20-'Nov25'!J20</f>
        <v>0</v>
      </c>
      <c r="AF20" s="28">
        <f>L20-'Nov25'!L20</f>
        <v>-9.9999999999999534E-3</v>
      </c>
      <c r="AG20" s="28">
        <f>N20-'Nov25'!N20</f>
        <v>-1.0000000000000009E-2</v>
      </c>
      <c r="AH20" s="28">
        <f>P20-'Nov25'!P20</f>
        <v>1.999999999999999E-2</v>
      </c>
      <c r="AI20" s="28">
        <f>R20-'Nov25'!R20</f>
        <v>0</v>
      </c>
      <c r="AK20" s="10">
        <f>I20-'Nov25'!I20</f>
        <v>-13103977</v>
      </c>
      <c r="AL20" s="76">
        <f>I20/'Nov25'!I20-1</f>
        <v>-1.016566350873882E-2</v>
      </c>
    </row>
    <row r="21" spans="2:39" x14ac:dyDescent="0.25">
      <c r="B21" t="s">
        <v>11</v>
      </c>
      <c r="C21" s="2" t="s">
        <v>10</v>
      </c>
      <c r="D21" t="s">
        <v>7</v>
      </c>
      <c r="F21" s="7">
        <f t="shared" si="3"/>
        <v>1</v>
      </c>
      <c r="H21" s="3" t="s">
        <v>32</v>
      </c>
      <c r="I21" s="78">
        <v>158800000</v>
      </c>
      <c r="J21" s="77">
        <v>0.25</v>
      </c>
      <c r="K21" s="78">
        <f t="shared" si="4"/>
        <v>39700000</v>
      </c>
      <c r="L21" s="77">
        <v>0.16</v>
      </c>
      <c r="M21" s="78">
        <f t="shared" si="5"/>
        <v>25408000</v>
      </c>
      <c r="N21" s="77">
        <v>0.46</v>
      </c>
      <c r="O21" s="78">
        <f t="shared" si="6"/>
        <v>73048000</v>
      </c>
      <c r="P21" s="77">
        <v>0.13</v>
      </c>
      <c r="Q21" s="78">
        <f t="shared" si="7"/>
        <v>20644000</v>
      </c>
      <c r="R21" s="77">
        <v>0</v>
      </c>
      <c r="S21" s="78">
        <f t="shared" si="8"/>
        <v>0</v>
      </c>
      <c r="T21" s="77">
        <v>0</v>
      </c>
      <c r="U21" s="78">
        <f t="shared" si="9"/>
        <v>0</v>
      </c>
      <c r="Y21" s="12">
        <f>K21-'Nov25'!K21</f>
        <v>-2524000</v>
      </c>
      <c r="Z21" s="12">
        <f>M21-'Nov25'!M21</f>
        <v>1048000</v>
      </c>
      <c r="AA21" s="12">
        <f>O21-'Nov25'!O21</f>
        <v>-3280000</v>
      </c>
      <c r="AB21" s="12">
        <f>Q21-'Nov25'!Q21</f>
        <v>1156000</v>
      </c>
      <c r="AC21" s="12">
        <f>+S21-'Nov25'!S21</f>
        <v>0</v>
      </c>
      <c r="AE21" s="28">
        <f>J21-'Nov25'!J21</f>
        <v>-1.0000000000000009E-2</v>
      </c>
      <c r="AF21" s="28">
        <f>L21-'Nov25'!L21</f>
        <v>1.0000000000000009E-2</v>
      </c>
      <c r="AG21" s="28">
        <f>N21-'Nov25'!N21</f>
        <v>-9.9999999999999534E-3</v>
      </c>
      <c r="AH21" s="28">
        <f>P21-'Nov25'!P21</f>
        <v>1.0000000000000009E-2</v>
      </c>
      <c r="AI21" s="28">
        <f>R21-'Nov25'!R21</f>
        <v>0</v>
      </c>
      <c r="AK21" s="10">
        <f>I21-'Nov25'!I21</f>
        <v>-3600000</v>
      </c>
      <c r="AL21" s="76">
        <f>I21/'Nov25'!I21-1</f>
        <v>-2.2167487684729092E-2</v>
      </c>
    </row>
    <row r="22" spans="2:39" x14ac:dyDescent="0.25">
      <c r="B22" t="s">
        <v>12</v>
      </c>
      <c r="C22" s="2" t="s">
        <v>16</v>
      </c>
      <c r="D22" t="s">
        <v>58</v>
      </c>
      <c r="F22" s="7">
        <f t="shared" si="3"/>
        <v>1</v>
      </c>
      <c r="H22" s="3" t="s">
        <v>33</v>
      </c>
      <c r="I22" s="78">
        <v>1207200000</v>
      </c>
      <c r="J22" s="77">
        <v>0.24</v>
      </c>
      <c r="K22" s="78">
        <f t="shared" si="4"/>
        <v>289728000</v>
      </c>
      <c r="L22" s="77">
        <v>0.27</v>
      </c>
      <c r="M22" s="78">
        <f t="shared" si="5"/>
        <v>325944000</v>
      </c>
      <c r="N22" s="77">
        <v>0.47</v>
      </c>
      <c r="O22" s="78">
        <f t="shared" si="6"/>
        <v>567384000</v>
      </c>
      <c r="P22" s="77">
        <v>0.02</v>
      </c>
      <c r="Q22" s="78">
        <f t="shared" si="7"/>
        <v>24144000</v>
      </c>
      <c r="R22" s="77">
        <v>0</v>
      </c>
      <c r="S22" s="78">
        <f t="shared" si="8"/>
        <v>0</v>
      </c>
      <c r="T22" s="77">
        <v>0</v>
      </c>
      <c r="U22" s="78">
        <f t="shared" si="9"/>
        <v>0</v>
      </c>
      <c r="Y22" s="12">
        <f>K22-'Nov25'!K22</f>
        <v>-14232000</v>
      </c>
      <c r="Z22" s="12">
        <f>M22-'Nov25'!M22</f>
        <v>-3346000</v>
      </c>
      <c r="AA22" s="12">
        <f>O22-'Nov25'!O22</f>
        <v>-40536000</v>
      </c>
      <c r="AB22" s="12">
        <f>Q22-'Nov25'!Q22</f>
        <v>-1186000</v>
      </c>
      <c r="AC22" s="12">
        <f>+S22-'Nov25'!S22</f>
        <v>0</v>
      </c>
      <c r="AE22" s="28">
        <f>J22-'Nov25'!J22</f>
        <v>0</v>
      </c>
      <c r="AF22" s="28">
        <f>L22-'Nov25'!L22</f>
        <v>1.0000000000000009E-2</v>
      </c>
      <c r="AG22" s="28">
        <f>N22-'Nov25'!N22</f>
        <v>-1.0000000000000009E-2</v>
      </c>
      <c r="AH22" s="28">
        <f>P22-'Nov25'!P22</f>
        <v>0</v>
      </c>
      <c r="AI22" s="28">
        <f>R22-'Nov25'!R22</f>
        <v>0</v>
      </c>
      <c r="AK22" s="10">
        <f>I22-'Nov25'!I22</f>
        <v>-59300000</v>
      </c>
      <c r="AL22" s="76">
        <f>I22/'Nov25'!I22-1</f>
        <v>-4.6821950256612732E-2</v>
      </c>
    </row>
    <row r="23" spans="2:39" x14ac:dyDescent="0.25">
      <c r="B23" t="s">
        <v>13</v>
      </c>
      <c r="C23" s="2" t="s">
        <v>17</v>
      </c>
      <c r="D23" t="s">
        <v>59</v>
      </c>
      <c r="F23" s="7">
        <f t="shared" si="3"/>
        <v>1.0000000000000002</v>
      </c>
      <c r="H23" s="3" t="s">
        <v>68</v>
      </c>
      <c r="I23" s="78">
        <v>224050883</v>
      </c>
      <c r="J23" s="77">
        <v>0.47849999999999998</v>
      </c>
      <c r="K23" s="78">
        <f t="shared" si="4"/>
        <v>107208347.51549999</v>
      </c>
      <c r="L23" s="77">
        <v>0.1119</v>
      </c>
      <c r="M23" s="78">
        <f t="shared" si="5"/>
        <v>25071293.807700001</v>
      </c>
      <c r="N23" s="77">
        <v>0.29780000000000001</v>
      </c>
      <c r="O23" s="78">
        <f t="shared" si="6"/>
        <v>66722352.957400002</v>
      </c>
      <c r="P23" s="77">
        <v>9.7500000000000003E-2</v>
      </c>
      <c r="Q23" s="78">
        <f t="shared" si="7"/>
        <v>21844961.092500001</v>
      </c>
      <c r="R23" s="77">
        <v>0</v>
      </c>
      <c r="S23" s="78">
        <f t="shared" si="8"/>
        <v>0</v>
      </c>
      <c r="T23" s="77">
        <v>1.43E-2</v>
      </c>
      <c r="U23" s="78">
        <f t="shared" si="9"/>
        <v>3203927.6269</v>
      </c>
      <c r="Y23" s="12">
        <f>K23-'Nov25'!K23</f>
        <v>-21459659.275400013</v>
      </c>
      <c r="Z23" s="12">
        <f>M23-'Nov25'!M23</f>
        <v>266719.8505000025</v>
      </c>
      <c r="AA23" s="12">
        <f>O23-'Nov25'!O23</f>
        <v>8509404.4821999967</v>
      </c>
      <c r="AB23" s="12">
        <f>Q23-'Nov25'!Q23</f>
        <v>5781482.385900002</v>
      </c>
      <c r="AC23" s="12">
        <f>+S23-'Nov25'!S23</f>
        <v>0</v>
      </c>
      <c r="AE23" s="28">
        <f>J23-'Nov25'!J23</f>
        <v>-8.3800000000000041E-2</v>
      </c>
      <c r="AF23" s="28">
        <f>L23-'Nov25'!L23</f>
        <v>3.5000000000000031E-3</v>
      </c>
      <c r="AG23" s="28">
        <f>N23-'Nov25'!N23</f>
        <v>4.3399999999999994E-2</v>
      </c>
      <c r="AH23" s="28">
        <f>P23-'Nov25'!P23</f>
        <v>2.7300000000000005E-2</v>
      </c>
      <c r="AI23" s="28">
        <f>R23-'Nov25'!R23</f>
        <v>0</v>
      </c>
      <c r="AK23" s="10">
        <f>I23-'Nov25'!I23</f>
        <v>-4773600</v>
      </c>
      <c r="AL23" s="76">
        <f>I23/'Nov25'!I23-1</f>
        <v>-2.0861404065752875E-2</v>
      </c>
    </row>
    <row r="24" spans="2:39" x14ac:dyDescent="0.25">
      <c r="B24" t="s">
        <v>14</v>
      </c>
      <c r="C24" s="2" t="s">
        <v>18</v>
      </c>
      <c r="F24" s="7">
        <f t="shared" si="3"/>
        <v>1</v>
      </c>
      <c r="H24" s="3" t="s">
        <v>35</v>
      </c>
      <c r="I24" s="78">
        <v>522231903.30000001</v>
      </c>
      <c r="J24" s="77">
        <v>9.1999999999999998E-2</v>
      </c>
      <c r="K24" s="78">
        <f t="shared" si="4"/>
        <v>48045335.103600003</v>
      </c>
      <c r="L24" s="77">
        <v>0.46600000000000003</v>
      </c>
      <c r="M24" s="78">
        <f t="shared" si="5"/>
        <v>243360066.93780002</v>
      </c>
      <c r="N24" s="77">
        <v>0.34699999999999998</v>
      </c>
      <c r="O24" s="78">
        <f t="shared" si="6"/>
        <v>181214470.44509998</v>
      </c>
      <c r="P24" s="77">
        <v>9.5000000000000001E-2</v>
      </c>
      <c r="Q24" s="78">
        <f t="shared" si="7"/>
        <v>49612030.813500002</v>
      </c>
      <c r="R24" s="77">
        <v>0</v>
      </c>
      <c r="S24" s="78">
        <f t="shared" si="8"/>
        <v>0</v>
      </c>
      <c r="T24" s="77">
        <v>0</v>
      </c>
      <c r="U24" s="78">
        <f t="shared" si="9"/>
        <v>0</v>
      </c>
      <c r="Y24" s="12">
        <f>K24-'Nov25'!K24</f>
        <v>-20371688.836320005</v>
      </c>
      <c r="Z24" s="12">
        <f>M24-'Nov25'!M24</f>
        <v>16173766.068600029</v>
      </c>
      <c r="AA24" s="12">
        <f>O24-'Nov25'!O24</f>
        <v>3643568.616299957</v>
      </c>
      <c r="AB24" s="12">
        <f>Q24-'Nov25'!Q24</f>
        <v>518899.13142000139</v>
      </c>
      <c r="AC24" s="12">
        <f>+S24-'Nov25'!S24</f>
        <v>0</v>
      </c>
      <c r="AE24" s="28">
        <f>J24-'Nov25'!J24</f>
        <v>-3.9000000000000007E-2</v>
      </c>
      <c r="AF24" s="28">
        <f>L24-'Nov25'!L24</f>
        <v>3.1000000000000028E-2</v>
      </c>
      <c r="AG24" s="28">
        <f>N24-'Nov25'!N24</f>
        <v>6.9999999999999507E-3</v>
      </c>
      <c r="AH24" s="28">
        <f>P24-'Nov25'!P24</f>
        <v>1.0000000000000009E-3</v>
      </c>
      <c r="AI24" s="28">
        <f>R24-'Nov25'!R24</f>
        <v>0</v>
      </c>
      <c r="AK24" s="10">
        <f>I24-'Nov25'!I24</f>
        <v>-35455.019999980927</v>
      </c>
      <c r="AL24" s="76">
        <f>I24/'Nov25'!I24-1</f>
        <v>-6.7886723983723307E-5</v>
      </c>
    </row>
    <row r="25" spans="2:39" x14ac:dyDescent="0.25">
      <c r="B25" t="s">
        <v>15</v>
      </c>
      <c r="C25" s="2" t="s">
        <v>19</v>
      </c>
      <c r="F25" s="7">
        <f t="shared" si="3"/>
        <v>1</v>
      </c>
      <c r="H25" s="3" t="s">
        <v>36</v>
      </c>
      <c r="I25" s="78">
        <v>632200000</v>
      </c>
      <c r="J25" s="77">
        <v>0.2</v>
      </c>
      <c r="K25" s="78">
        <f t="shared" si="4"/>
        <v>126440000</v>
      </c>
      <c r="L25" s="77">
        <v>0.26</v>
      </c>
      <c r="M25" s="78">
        <f t="shared" si="5"/>
        <v>164372000</v>
      </c>
      <c r="N25" s="77">
        <v>0.44</v>
      </c>
      <c r="O25" s="78">
        <f t="shared" si="6"/>
        <v>278168000</v>
      </c>
      <c r="P25" s="77">
        <v>0.1</v>
      </c>
      <c r="Q25" s="78">
        <f t="shared" si="7"/>
        <v>63220000</v>
      </c>
      <c r="R25" s="77">
        <v>0</v>
      </c>
      <c r="S25" s="78">
        <f t="shared" si="8"/>
        <v>0</v>
      </c>
      <c r="T25" s="77">
        <v>0</v>
      </c>
      <c r="U25" s="78">
        <f t="shared" si="9"/>
        <v>0</v>
      </c>
      <c r="Y25" s="12">
        <f>K25-'Nov25'!K25</f>
        <v>-42310000</v>
      </c>
      <c r="Z25" s="12">
        <f>M25-'Nov25'!M25</f>
        <v>9122000</v>
      </c>
      <c r="AA25" s="12">
        <f>O25-'Nov25'!O25</f>
        <v>-12082000</v>
      </c>
      <c r="AB25" s="12">
        <f>Q25-'Nov25'!Q25</f>
        <v>2470000</v>
      </c>
      <c r="AC25" s="12">
        <f>+S25-'Nov25'!S25</f>
        <v>0</v>
      </c>
      <c r="AE25" s="28">
        <f>J25-'Nov25'!J25</f>
        <v>-4.9999999999999989E-2</v>
      </c>
      <c r="AF25" s="28">
        <f>L25-'Nov25'!L25</f>
        <v>0.03</v>
      </c>
      <c r="AG25" s="28">
        <f>N25-'Nov25'!N25</f>
        <v>1.0000000000000009E-2</v>
      </c>
      <c r="AH25" s="28">
        <f>P25-'Nov25'!P25</f>
        <v>1.0000000000000009E-2</v>
      </c>
      <c r="AI25" s="28">
        <f>R25-'Nov25'!R25</f>
        <v>0</v>
      </c>
      <c r="AK25" s="10">
        <f>I25-'Nov25'!I25</f>
        <v>-42800000</v>
      </c>
      <c r="AL25" s="76">
        <f>I25/'Nov25'!I25-1</f>
        <v>-6.3407407407407357E-2</v>
      </c>
    </row>
    <row r="26" spans="2:39" x14ac:dyDescent="0.25">
      <c r="B26" t="s">
        <v>57</v>
      </c>
      <c r="F26" s="7">
        <f>J26+L26+N26+P26+R26+T26</f>
        <v>1</v>
      </c>
      <c r="H26" s="3" t="s">
        <v>65</v>
      </c>
      <c r="I26" s="78">
        <v>2115400000</v>
      </c>
      <c r="J26" s="77">
        <v>0.37</v>
      </c>
      <c r="K26" s="78">
        <f t="shared" si="4"/>
        <v>782698000</v>
      </c>
      <c r="L26" s="77">
        <v>0.17</v>
      </c>
      <c r="M26" s="78">
        <f t="shared" si="5"/>
        <v>359618000</v>
      </c>
      <c r="N26" s="77">
        <v>0.38</v>
      </c>
      <c r="O26" s="78">
        <f t="shared" si="6"/>
        <v>803852000</v>
      </c>
      <c r="P26" s="77">
        <v>0.08</v>
      </c>
      <c r="Q26" s="78">
        <f t="shared" si="7"/>
        <v>169232000</v>
      </c>
      <c r="R26" s="77">
        <v>0</v>
      </c>
      <c r="S26" s="78">
        <f t="shared" si="8"/>
        <v>0</v>
      </c>
      <c r="T26" s="77">
        <v>0</v>
      </c>
      <c r="U26" s="78">
        <f t="shared" si="9"/>
        <v>0</v>
      </c>
      <c r="Y26" s="12">
        <f>K26-'Nov25'!K26</f>
        <v>-30768000</v>
      </c>
      <c r="Z26" s="12">
        <f>M26-'Nov25'!M26</f>
        <v>-4301000</v>
      </c>
      <c r="AA26" s="12">
        <f>O26-'Nov25'!O26</f>
        <v>-9614000</v>
      </c>
      <c r="AB26" s="12">
        <f>Q26-'Nov25'!Q26</f>
        <v>19383000</v>
      </c>
      <c r="AC26" s="12">
        <f>+S26-'Nov25'!S26</f>
        <v>0</v>
      </c>
      <c r="AE26" s="28">
        <f>J26-'Nov25'!J26</f>
        <v>-1.0000000000000009E-2</v>
      </c>
      <c r="AF26" s="28">
        <f>L26-'Nov25'!L26</f>
        <v>0</v>
      </c>
      <c r="AG26" s="28">
        <f>N26-'Nov25'!N26</f>
        <v>0</v>
      </c>
      <c r="AH26" s="28">
        <f>P26-'Nov25'!P26</f>
        <v>9.999999999999995E-3</v>
      </c>
      <c r="AI26" s="28">
        <f>R26-'Nov25'!R26</f>
        <v>0</v>
      </c>
      <c r="AK26" s="10">
        <f>I26-'Nov25'!I26</f>
        <v>-25300000</v>
      </c>
      <c r="AL26" s="76">
        <f>I26/'Nov25'!I26-1</f>
        <v>-1.1818564021114586E-2</v>
      </c>
    </row>
    <row r="27" spans="2:39" s="8" customFormat="1" x14ac:dyDescent="0.25">
      <c r="B27"/>
      <c r="C27"/>
      <c r="E27"/>
      <c r="F27" s="7">
        <f t="shared" si="3"/>
        <v>0.99999999999999989</v>
      </c>
      <c r="G27"/>
      <c r="H27" s="21" t="s">
        <v>45</v>
      </c>
      <c r="I27" s="20">
        <f>SUM(I17:I26)</f>
        <v>7904504119.0799999</v>
      </c>
      <c r="J27" s="15">
        <f>K27/$I$27</f>
        <v>0.25167466232962332</v>
      </c>
      <c r="K27" s="63">
        <f>SUM(K17:K26)</f>
        <v>1989363405.0525758</v>
      </c>
      <c r="L27" s="15">
        <f>M27/$I$27</f>
        <v>0.25137568606926319</v>
      </c>
      <c r="M27" s="62">
        <f>SUM(M17:M26)</f>
        <v>1987000145.9710519</v>
      </c>
      <c r="N27" s="15">
        <f>O27/$I$27</f>
        <v>0.37795440503870775</v>
      </c>
      <c r="O27" s="63">
        <f>SUM(O17:O26)</f>
        <v>2987542151.4528961</v>
      </c>
      <c r="P27" s="15">
        <f>Q27/$I$27</f>
        <v>9.9763186470125359E-2</v>
      </c>
      <c r="Q27" s="63">
        <f>SUM(Q17:Q26)</f>
        <v>788578518.38565207</v>
      </c>
      <c r="R27" s="15">
        <f>S27/$I$27</f>
        <v>0</v>
      </c>
      <c r="S27" s="63">
        <f>SUM(S17:S26)</f>
        <v>0</v>
      </c>
      <c r="T27" s="15">
        <f>U27/$I$27</f>
        <v>1.9232060092280335E-2</v>
      </c>
      <c r="U27" s="17">
        <f>SUM(U17:U26)</f>
        <v>152019898.21782398</v>
      </c>
      <c r="Y27" s="12">
        <f>K27-'Nov25'!K27</f>
        <v>-190558315.72554421</v>
      </c>
      <c r="Z27" s="12">
        <f>M27-'Nov25'!M27</f>
        <v>56527642.819351912</v>
      </c>
      <c r="AA27" s="12">
        <f>O27-'Nov25'!O27</f>
        <v>-99204404.13712883</v>
      </c>
      <c r="AB27" s="12">
        <f>Q27-'Nov25'!Q27</f>
        <v>52599886.282047033</v>
      </c>
      <c r="AC27" s="12">
        <f>+S27-'Nov25'!S27</f>
        <v>0</v>
      </c>
      <c r="AE27" s="28">
        <f>J27-'Nov25'!J27</f>
        <v>-1.7402940009486834E-2</v>
      </c>
      <c r="AF27" s="28">
        <f>L27-'Nov25'!L27</f>
        <v>1.3088729442112451E-2</v>
      </c>
      <c r="AG27" s="28">
        <f>N27-'Nov25'!N27</f>
        <v>-3.0566901258462509E-3</v>
      </c>
      <c r="AH27" s="28">
        <f>P27-'Nov25'!P27</f>
        <v>8.9180135395268978E-3</v>
      </c>
      <c r="AI27" s="28">
        <f>R27-'Nov25'!R27</f>
        <v>0</v>
      </c>
      <c r="AK27" s="92">
        <f>I27-'Nov25'!I27</f>
        <v>-196956953.21999931</v>
      </c>
      <c r="AL27" s="76">
        <f>I27/'Nov25'!I27-1</f>
        <v>-2.4311287984018382E-2</v>
      </c>
    </row>
    <row r="28" spans="2:39" x14ac:dyDescent="0.25">
      <c r="F28" s="7"/>
      <c r="I28" s="10"/>
      <c r="J28" s="10"/>
      <c r="K28" s="10"/>
      <c r="L28" s="5"/>
      <c r="M28" s="10"/>
      <c r="N28" s="10"/>
      <c r="O28" s="10"/>
      <c r="P28" s="5"/>
      <c r="Q28" s="10"/>
    </row>
    <row r="29" spans="2:39" x14ac:dyDescent="0.25">
      <c r="F29" s="7"/>
      <c r="H29" s="4" t="s">
        <v>38</v>
      </c>
      <c r="I29" s="9" t="s">
        <v>4</v>
      </c>
      <c r="J29" s="113" t="s">
        <v>7</v>
      </c>
      <c r="K29" s="113"/>
      <c r="L29" s="112" t="s">
        <v>8</v>
      </c>
      <c r="M29" s="112"/>
      <c r="N29" s="112" t="s">
        <v>10</v>
      </c>
      <c r="O29" s="112"/>
      <c r="P29" s="112" t="s">
        <v>9</v>
      </c>
      <c r="Q29" s="112"/>
      <c r="R29" s="112" t="s">
        <v>40</v>
      </c>
      <c r="S29" s="112"/>
      <c r="T29" s="112" t="s">
        <v>55</v>
      </c>
      <c r="U29" s="112"/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  <c r="AE29" s="27" t="s">
        <v>49</v>
      </c>
      <c r="AF29" s="27" t="s">
        <v>50</v>
      </c>
      <c r="AG29" s="27" t="s">
        <v>51</v>
      </c>
      <c r="AH29" s="27" t="s">
        <v>52</v>
      </c>
      <c r="AI29" s="27" t="s">
        <v>54</v>
      </c>
    </row>
    <row r="30" spans="2:39" x14ac:dyDescent="0.25">
      <c r="F30" s="7">
        <f>J30+L30+N30+P30+R30+T30</f>
        <v>0.99999999999999989</v>
      </c>
      <c r="H30" s="21" t="s">
        <v>39</v>
      </c>
      <c r="I30" s="94">
        <v>225361405.03999999</v>
      </c>
      <c r="J30" s="81">
        <v>0.1343</v>
      </c>
      <c r="K30" s="80">
        <f t="shared" ref="K30:K35" si="10">+J30*$I30</f>
        <v>30266036.696872</v>
      </c>
      <c r="L30" s="81">
        <v>0.20540000000000003</v>
      </c>
      <c r="M30" s="80">
        <f t="shared" ref="M30:M35" si="11">+L30*$I30</f>
        <v>46289232.595216006</v>
      </c>
      <c r="N30" s="81">
        <v>0.41670000000000001</v>
      </c>
      <c r="O30" s="80">
        <f t="shared" ref="O30:O35" si="12">+N30*$I30</f>
        <v>93908097.480168</v>
      </c>
      <c r="P30" s="81">
        <v>0.15820000000000001</v>
      </c>
      <c r="Q30" s="80">
        <f t="shared" ref="Q30:Q35" si="13">+P30*$I30</f>
        <v>35652174.277327999</v>
      </c>
      <c r="R30" s="88">
        <v>5.9799999999999999E-2</v>
      </c>
      <c r="S30" s="80">
        <f t="shared" ref="S30:S35" si="14">+R30*$I30</f>
        <v>13476612.021391999</v>
      </c>
      <c r="T30" s="81">
        <v>2.5599999999999998E-2</v>
      </c>
      <c r="U30" s="80">
        <f t="shared" ref="U30:U35" si="15">+T30*$I30</f>
        <v>5769251.9690239988</v>
      </c>
      <c r="V30" s="8"/>
      <c r="Y30" s="12">
        <f>K30-'Nov25'!K30</f>
        <v>-2316992.8550859988</v>
      </c>
      <c r="Z30" s="12">
        <f>M30-'Nov25'!M30</f>
        <v>467250.74761000276</v>
      </c>
      <c r="AA30" s="12">
        <f>O30-'Nov25'!O30</f>
        <v>-2029580.4730920047</v>
      </c>
      <c r="AB30" s="12">
        <f>Q30-'Nov25'!Q30</f>
        <v>4209662.5751639977</v>
      </c>
      <c r="AC30" s="12">
        <f>+S30-'Nov25'!S30</f>
        <v>394201.3914019987</v>
      </c>
      <c r="AD30" s="98"/>
      <c r="AE30" s="28">
        <f>J30-'Nov25'!J30</f>
        <v>-1.1399999999999993E-2</v>
      </c>
      <c r="AF30" s="28">
        <f>L30-'Nov25'!L30</f>
        <v>5.0000000000000044E-4</v>
      </c>
      <c r="AG30" s="28">
        <f>N30-'Nov25'!N30</f>
        <v>-1.2299999999999978E-2</v>
      </c>
      <c r="AH30" s="28">
        <f>P30-'Nov25'!P30</f>
        <v>1.7600000000000005E-2</v>
      </c>
      <c r="AI30" s="28">
        <f>R30-'Nov25'!R30</f>
        <v>1.2999999999999956E-3</v>
      </c>
      <c r="AJ30" s="8"/>
      <c r="AK30" s="10">
        <f>I30-'Nov25'!I30</f>
        <v>1730454.099999994</v>
      </c>
      <c r="AL30" s="76">
        <f>I30/'Nov25'!I30-1</f>
        <v>7.7379901696357223E-3</v>
      </c>
      <c r="AM30" s="8"/>
    </row>
    <row r="31" spans="2:39" hidden="1" outlineLevel="1" x14ac:dyDescent="0.25">
      <c r="F31" s="7">
        <f t="shared" si="3"/>
        <v>0</v>
      </c>
      <c r="H31" s="3" t="s">
        <v>56</v>
      </c>
      <c r="I31" s="78"/>
      <c r="J31" s="77">
        <v>0</v>
      </c>
      <c r="K31" s="78">
        <f t="shared" si="10"/>
        <v>0</v>
      </c>
      <c r="L31" s="77">
        <v>0</v>
      </c>
      <c r="M31" s="78">
        <f t="shared" si="11"/>
        <v>0</v>
      </c>
      <c r="N31" s="77">
        <v>0</v>
      </c>
      <c r="O31" s="78">
        <f t="shared" si="12"/>
        <v>0</v>
      </c>
      <c r="P31" s="77">
        <v>0</v>
      </c>
      <c r="Q31" s="78">
        <f t="shared" si="13"/>
        <v>0</v>
      </c>
      <c r="R31" s="77">
        <v>0</v>
      </c>
      <c r="S31" s="78">
        <f t="shared" si="14"/>
        <v>0</v>
      </c>
      <c r="T31" s="77">
        <v>0</v>
      </c>
      <c r="U31" s="78">
        <f t="shared" si="15"/>
        <v>0</v>
      </c>
      <c r="Y31" s="12">
        <f>K31-'Nov25'!K31</f>
        <v>0</v>
      </c>
      <c r="Z31" s="12">
        <f>M31-'Nov25'!M31</f>
        <v>0</v>
      </c>
      <c r="AA31" s="12">
        <f>O31-'Nov25'!O31</f>
        <v>0</v>
      </c>
      <c r="AB31" s="12">
        <f>Q31-'Nov25'!Q31</f>
        <v>0</v>
      </c>
      <c r="AC31" s="12">
        <f>+S31-'Nov25'!S31</f>
        <v>0</v>
      </c>
      <c r="AE31" s="28">
        <f>J31-'Nov25'!J31</f>
        <v>0</v>
      </c>
      <c r="AF31" s="28">
        <f>L31-'Nov25'!L31</f>
        <v>0</v>
      </c>
      <c r="AG31" s="28">
        <f>N31-'Nov25'!N31</f>
        <v>0</v>
      </c>
      <c r="AH31" s="28">
        <f>P31-'Nov25'!P31</f>
        <v>0</v>
      </c>
      <c r="AI31" s="28">
        <f>R31-'Nov25'!R31</f>
        <v>0</v>
      </c>
      <c r="AK31" s="10">
        <f>I31-'Nov25'!I31</f>
        <v>0</v>
      </c>
      <c r="AL31" s="76" t="e">
        <f>I31/'Nov25'!I31-1</f>
        <v>#DIV/0!</v>
      </c>
    </row>
    <row r="32" spans="2:39" collapsed="1" x14ac:dyDescent="0.25">
      <c r="F32" s="7">
        <f t="shared" si="3"/>
        <v>0.99999999999999989</v>
      </c>
      <c r="H32" s="3" t="s">
        <v>42</v>
      </c>
      <c r="I32" s="84">
        <v>273363321</v>
      </c>
      <c r="J32" s="77">
        <v>0.08</v>
      </c>
      <c r="K32" s="78">
        <f t="shared" si="10"/>
        <v>21869065.68</v>
      </c>
      <c r="L32" s="77">
        <v>0.12</v>
      </c>
      <c r="M32" s="78">
        <f t="shared" si="11"/>
        <v>32803598.52</v>
      </c>
      <c r="N32" s="77">
        <v>0.45</v>
      </c>
      <c r="O32" s="78">
        <f t="shared" si="12"/>
        <v>123013494.45</v>
      </c>
      <c r="P32" s="77">
        <v>0.08</v>
      </c>
      <c r="Q32" s="78">
        <f t="shared" si="13"/>
        <v>21869065.68</v>
      </c>
      <c r="R32" s="77">
        <v>0.18</v>
      </c>
      <c r="S32" s="78">
        <f t="shared" si="14"/>
        <v>49205397.780000001</v>
      </c>
      <c r="T32" s="77">
        <v>0.09</v>
      </c>
      <c r="U32" s="78">
        <f t="shared" si="15"/>
        <v>24602698.890000001</v>
      </c>
      <c r="Y32" s="12">
        <f>K32-'Nov25'!K32</f>
        <v>9683437.5299999993</v>
      </c>
      <c r="Z32" s="12">
        <f>M32-'Nov25'!M32</f>
        <v>3558090.9600000009</v>
      </c>
      <c r="AA32" s="12">
        <f>O32-'Nov25'!O32</f>
        <v>8468589.8400000036</v>
      </c>
      <c r="AB32" s="12">
        <f>Q32-'Nov25'!Q32</f>
        <v>2372060.6400000006</v>
      </c>
      <c r="AC32" s="12">
        <f>+S32-'Nov25'!S32</f>
        <v>462885.1799999997</v>
      </c>
      <c r="AE32" s="28">
        <f>J32-'Nov25'!J32</f>
        <v>0.03</v>
      </c>
      <c r="AF32" s="28">
        <f>L32-'Nov25'!L32</f>
        <v>0</v>
      </c>
      <c r="AG32" s="28">
        <f>N32-'Nov25'!N32</f>
        <v>-1.9999999999999962E-2</v>
      </c>
      <c r="AH32" s="28">
        <f>P32-'Nov25'!P32</f>
        <v>0</v>
      </c>
      <c r="AI32" s="28">
        <f>R32-'Nov25'!R32</f>
        <v>-2.0000000000000018E-2</v>
      </c>
      <c r="AK32" s="10">
        <f>I32-'Nov25'!I32</f>
        <v>29650758</v>
      </c>
      <c r="AL32" s="76">
        <f>I32/'Nov25'!I32-1</f>
        <v>0.12166282129657802</v>
      </c>
    </row>
    <row r="33" spans="5:38" x14ac:dyDescent="0.25">
      <c r="F33" s="7">
        <f t="shared" si="3"/>
        <v>1</v>
      </c>
      <c r="H33" s="3" t="s">
        <v>69</v>
      </c>
      <c r="I33" s="84">
        <v>461633284</v>
      </c>
      <c r="J33" s="77">
        <v>0.18</v>
      </c>
      <c r="K33" s="78">
        <f t="shared" si="10"/>
        <v>83093991.11999999</v>
      </c>
      <c r="L33" s="77">
        <v>0.21000000000000002</v>
      </c>
      <c r="M33" s="78">
        <f t="shared" si="11"/>
        <v>96942989.640000015</v>
      </c>
      <c r="N33" s="77">
        <v>0.42</v>
      </c>
      <c r="O33" s="78">
        <f t="shared" si="12"/>
        <v>193885979.28</v>
      </c>
      <c r="P33" s="77">
        <v>0.18</v>
      </c>
      <c r="Q33" s="78">
        <f t="shared" si="13"/>
        <v>83093991.11999999</v>
      </c>
      <c r="R33" s="77">
        <v>0</v>
      </c>
      <c r="S33" s="78">
        <f t="shared" si="14"/>
        <v>0</v>
      </c>
      <c r="T33" s="77">
        <v>0.01</v>
      </c>
      <c r="U33" s="78">
        <f t="shared" si="15"/>
        <v>4616332.84</v>
      </c>
      <c r="Y33" s="12">
        <f>K33-'Nov25'!K33</f>
        <v>7967795.9199999869</v>
      </c>
      <c r="Z33" s="12">
        <f>M33-'Nov25'!M33</f>
        <v>3035245.6400000155</v>
      </c>
      <c r="AA33" s="12">
        <f>O33-'Nov25'!O33</f>
        <v>-22101831.920000017</v>
      </c>
      <c r="AB33" s="12">
        <f>Q33-'Nov25'!Q33</f>
        <v>-1422978.4800000042</v>
      </c>
      <c r="AC33" s="12">
        <f>+S33-'Nov25'!S33</f>
        <v>0</v>
      </c>
      <c r="AE33" s="28">
        <f>J33-'Nov25'!J33</f>
        <v>1.999999999999999E-2</v>
      </c>
      <c r="AF33" s="28">
        <f>L33-'Nov25'!L33</f>
        <v>1.0000000000000009E-2</v>
      </c>
      <c r="AG33" s="28">
        <f>N33-'Nov25'!N33</f>
        <v>-4.0000000000000036E-2</v>
      </c>
      <c r="AH33" s="28">
        <f>P33-'Nov25'!P33</f>
        <v>0</v>
      </c>
      <c r="AI33" s="28">
        <f>R33-'Nov25'!R33</f>
        <v>0</v>
      </c>
      <c r="AK33" s="10">
        <f>I33-'Nov25'!I33</f>
        <v>-7905436</v>
      </c>
      <c r="AL33" s="76">
        <f>I33/'Nov25'!I33-1</f>
        <v>-1.6836600823889492E-2</v>
      </c>
    </row>
    <row r="34" spans="5:38" x14ac:dyDescent="0.25">
      <c r="F34" s="7">
        <f t="shared" si="3"/>
        <v>1</v>
      </c>
      <c r="H34" s="3" t="s">
        <v>44</v>
      </c>
      <c r="I34" s="84">
        <v>71900000</v>
      </c>
      <c r="J34" s="77">
        <v>0.09</v>
      </c>
      <c r="K34" s="78">
        <f t="shared" si="10"/>
        <v>6471000</v>
      </c>
      <c r="L34" s="77">
        <v>0.19</v>
      </c>
      <c r="M34" s="78">
        <f t="shared" si="11"/>
        <v>13661000</v>
      </c>
      <c r="N34" s="77">
        <v>0.53</v>
      </c>
      <c r="O34" s="78">
        <f t="shared" si="12"/>
        <v>38107000</v>
      </c>
      <c r="P34" s="77">
        <v>0.02</v>
      </c>
      <c r="Q34" s="78">
        <f t="shared" si="13"/>
        <v>1438000</v>
      </c>
      <c r="R34" s="77">
        <v>0.17</v>
      </c>
      <c r="S34" s="78">
        <f t="shared" si="14"/>
        <v>12223000</v>
      </c>
      <c r="T34" s="77">
        <v>0</v>
      </c>
      <c r="U34" s="78">
        <f t="shared" si="15"/>
        <v>0</v>
      </c>
      <c r="Y34" s="12">
        <f>K34-'Nov25'!K34</f>
        <v>2786000</v>
      </c>
      <c r="Z34" s="12">
        <f>M34-'Nov25'!M34</f>
        <v>1869000</v>
      </c>
      <c r="AA34" s="12">
        <f>O34-'Nov25'!O34</f>
        <v>-4639000</v>
      </c>
      <c r="AB34" s="12">
        <f>Q34-'Nov25'!Q34</f>
        <v>-36000</v>
      </c>
      <c r="AC34" s="12">
        <f>+S34-'Nov25'!S34</f>
        <v>-306000</v>
      </c>
      <c r="AE34" s="28">
        <f>J34-'Nov25'!J34</f>
        <v>3.9999999999999994E-2</v>
      </c>
      <c r="AF34" s="28">
        <f>L34-'Nov25'!L34</f>
        <v>0.03</v>
      </c>
      <c r="AG34" s="28">
        <f>N34-'Nov25'!N34</f>
        <v>-4.9999999999999933E-2</v>
      </c>
      <c r="AH34" s="28">
        <f>P34-'Nov25'!P34</f>
        <v>0</v>
      </c>
      <c r="AI34" s="28">
        <f>R34-'Nov25'!R34</f>
        <v>0</v>
      </c>
      <c r="AK34" s="10">
        <f>I34-'Nov25'!I34</f>
        <v>-1800000</v>
      </c>
      <c r="AL34" s="76">
        <f>I34/'Nov25'!I34-1</f>
        <v>-2.4423337856173677E-2</v>
      </c>
    </row>
    <row r="35" spans="5:38" x14ac:dyDescent="0.25">
      <c r="F35" s="7">
        <f t="shared" si="3"/>
        <v>1</v>
      </c>
      <c r="H35" s="3" t="s">
        <v>66</v>
      </c>
      <c r="I35" s="84">
        <v>326200000</v>
      </c>
      <c r="J35" s="77">
        <v>0.05</v>
      </c>
      <c r="K35" s="78">
        <f t="shared" si="10"/>
        <v>16310000</v>
      </c>
      <c r="L35" s="77">
        <v>0.01</v>
      </c>
      <c r="M35" s="78">
        <f t="shared" si="11"/>
        <v>3262000</v>
      </c>
      <c r="N35" s="77">
        <v>0.44</v>
      </c>
      <c r="O35" s="78">
        <f t="shared" si="12"/>
        <v>143528000</v>
      </c>
      <c r="P35" s="77">
        <v>0.38</v>
      </c>
      <c r="Q35" s="78">
        <f t="shared" si="13"/>
        <v>123956000</v>
      </c>
      <c r="R35" s="77">
        <v>0.12</v>
      </c>
      <c r="S35" s="78">
        <f t="shared" si="14"/>
        <v>39144000</v>
      </c>
      <c r="T35" s="77">
        <v>0</v>
      </c>
      <c r="U35" s="78">
        <f t="shared" si="15"/>
        <v>0</v>
      </c>
      <c r="Y35" s="12">
        <f>K35-'Nov25'!K35</f>
        <v>2686000</v>
      </c>
      <c r="Z35" s="12">
        <f>M35-'Nov25'!M35</f>
        <v>-3550000</v>
      </c>
      <c r="AA35" s="12">
        <f>O35-'Nov25'!O35</f>
        <v>-2930000</v>
      </c>
      <c r="AB35" s="12">
        <f>Q35-'Nov25'!Q35</f>
        <v>-8878000</v>
      </c>
      <c r="AC35" s="12">
        <f>+S35-'Nov25'!S35</f>
        <v>-1728000</v>
      </c>
      <c r="AE35" s="28">
        <f>J35-'Nov25'!J35</f>
        <v>1.0000000000000002E-2</v>
      </c>
      <c r="AF35" s="28">
        <f>L35-'Nov25'!L35</f>
        <v>-0.01</v>
      </c>
      <c r="AG35" s="28">
        <f>N35-'Nov25'!N35</f>
        <v>1.0000000000000009E-2</v>
      </c>
      <c r="AH35" s="28">
        <f>P35-'Nov25'!P35</f>
        <v>-1.0000000000000009E-2</v>
      </c>
      <c r="AI35" s="28">
        <f>R35-'Nov25'!R35</f>
        <v>0</v>
      </c>
      <c r="AK35" s="10">
        <f>I35-'Nov25'!I35</f>
        <v>-14400000</v>
      </c>
      <c r="AL35" s="76">
        <f>I35/'Nov25'!I35-1</f>
        <v>-4.2278332354668269E-2</v>
      </c>
    </row>
    <row r="36" spans="5:38" s="8" customFormat="1" x14ac:dyDescent="0.25">
      <c r="E36"/>
      <c r="F36" s="7">
        <f t="shared" si="3"/>
        <v>1</v>
      </c>
      <c r="G36"/>
      <c r="H36" s="3" t="s">
        <v>45</v>
      </c>
      <c r="I36" s="17">
        <f>SUM(I30:I35)</f>
        <v>1358458010.04</v>
      </c>
      <c r="J36" s="15">
        <f>+K36/$I$36</f>
        <v>0.11631577297867263</v>
      </c>
      <c r="K36" s="17">
        <f>SUM(K30:K35)</f>
        <v>158010093.49687201</v>
      </c>
      <c r="L36" s="15">
        <f>+M36/$I$36</f>
        <v>0.14204253597027583</v>
      </c>
      <c r="M36" s="17">
        <f>SUM(M30:M35)</f>
        <v>192958820.755216</v>
      </c>
      <c r="N36" s="15">
        <f>+O36/$I$36</f>
        <v>0.43611401076189571</v>
      </c>
      <c r="O36" s="17">
        <f>SUM(O30:O35)</f>
        <v>592442571.210168</v>
      </c>
      <c r="P36" s="15">
        <f>+Q36/$I$36</f>
        <v>0.1958170433766262</v>
      </c>
      <c r="Q36" s="17">
        <f>SUM(Q30:Q35)</f>
        <v>266009231.077328</v>
      </c>
      <c r="R36" s="15">
        <f>+S36/$I$36</f>
        <v>8.3954755287602753E-2</v>
      </c>
      <c r="S36" s="17">
        <f>SUM(S30:S35)</f>
        <v>114049009.801392</v>
      </c>
      <c r="T36" s="15">
        <f>+U36/$I$36</f>
        <v>2.5755881624926903E-2</v>
      </c>
      <c r="U36" s="63">
        <f>SUM(U30:U35)</f>
        <v>34988283.699023999</v>
      </c>
      <c r="Y36" s="12">
        <f>K36-'Nov25'!K36</f>
        <v>20806240.594914019</v>
      </c>
      <c r="Z36" s="12">
        <f>M36-'Nov25'!M36</f>
        <v>5379587.3476099968</v>
      </c>
      <c r="AA36" s="12">
        <f>O36-'Nov25'!O36</f>
        <v>-23231822.553092003</v>
      </c>
      <c r="AB36" s="12">
        <f>Q36-'Nov25'!Q36</f>
        <v>-3755255.2648359835</v>
      </c>
      <c r="AC36" s="12">
        <f>+S36-'Nov25'!S36</f>
        <v>-1176913.4285980016</v>
      </c>
      <c r="AE36" s="28">
        <f>J36-'Nov25'!J36</f>
        <v>1.4772213971183043E-2</v>
      </c>
      <c r="AF36" s="28">
        <f>L36-'Nov25'!L36</f>
        <v>3.2165296064772808E-3</v>
      </c>
      <c r="AG36" s="28">
        <f>N36-'Nov25'!N36</f>
        <v>-1.9542064561101302E-2</v>
      </c>
      <c r="AH36" s="28">
        <f>P36-'Nov25'!P36</f>
        <v>-3.8336621803438664E-3</v>
      </c>
      <c r="AI36" s="28">
        <f>R36-'Nov25'!R36</f>
        <v>-1.3231001605074899E-3</v>
      </c>
      <c r="AK36" s="92">
        <f>I36-'Nov25'!I36</f>
        <v>7275776.0999999046</v>
      </c>
      <c r="AL36" s="76">
        <f>I36/'Nov25'!I36-1</f>
        <v>5.384748198460354E-3</v>
      </c>
    </row>
    <row r="37" spans="5:38" x14ac:dyDescent="0.25">
      <c r="F37" s="7"/>
    </row>
    <row r="38" spans="5:38" x14ac:dyDescent="0.25">
      <c r="F38" s="7"/>
      <c r="K38"/>
    </row>
    <row r="39" spans="5:38" x14ac:dyDescent="0.25">
      <c r="F39" s="7"/>
      <c r="J39" s="38"/>
    </row>
    <row r="40" spans="5:38" x14ac:dyDescent="0.25">
      <c r="F40" s="7"/>
      <c r="I40" s="30"/>
      <c r="J40" s="35"/>
    </row>
    <row r="41" spans="5:38" x14ac:dyDescent="0.25">
      <c r="F41" s="7"/>
      <c r="I41" s="37"/>
      <c r="J41" s="35"/>
    </row>
    <row r="42" spans="5:38" x14ac:dyDescent="0.25">
      <c r="F42" s="7"/>
      <c r="I42" s="37"/>
      <c r="J42" s="35"/>
    </row>
    <row r="43" spans="5:38" x14ac:dyDescent="0.25">
      <c r="F43" s="7"/>
      <c r="I43" s="37"/>
      <c r="J43" s="35"/>
    </row>
    <row r="44" spans="5:38" x14ac:dyDescent="0.25">
      <c r="F44" s="7"/>
      <c r="I44" s="37"/>
      <c r="J44" s="35"/>
    </row>
    <row r="45" spans="5:38" x14ac:dyDescent="0.25">
      <c r="F45" s="7"/>
      <c r="I45" s="37"/>
      <c r="J45" s="35"/>
      <c r="K45" s="37"/>
    </row>
    <row r="46" spans="5:38" x14ac:dyDescent="0.25">
      <c r="F46" s="7"/>
      <c r="I46" s="37"/>
      <c r="J46" s="35"/>
    </row>
    <row r="47" spans="5:38" x14ac:dyDescent="0.25">
      <c r="F47" s="7"/>
      <c r="I47" s="37"/>
      <c r="J47" s="35"/>
    </row>
    <row r="48" spans="5:38" x14ac:dyDescent="0.25">
      <c r="F48" s="7"/>
      <c r="I48" s="37"/>
      <c r="J48" s="35"/>
    </row>
    <row r="49" spans="9:10" x14ac:dyDescent="0.25">
      <c r="I49" s="37"/>
      <c r="J49" s="35"/>
    </row>
    <row r="50" spans="9:10" x14ac:dyDescent="0.25">
      <c r="I50" s="37"/>
      <c r="J50" s="35"/>
    </row>
    <row r="51" spans="9:10" x14ac:dyDescent="0.25">
      <c r="I51" s="37"/>
      <c r="J51" s="35"/>
    </row>
    <row r="52" spans="9:10" x14ac:dyDescent="0.25">
      <c r="I52" s="37"/>
      <c r="J52" s="35"/>
    </row>
    <row r="53" spans="9:10" x14ac:dyDescent="0.25">
      <c r="I53" s="37"/>
      <c r="J53" s="35"/>
    </row>
    <row r="54" spans="9:10" x14ac:dyDescent="0.25">
      <c r="I54" s="37"/>
      <c r="J54" s="35"/>
    </row>
    <row r="55" spans="9:10" x14ac:dyDescent="0.25">
      <c r="I55" s="37"/>
      <c r="J55" s="35"/>
    </row>
    <row r="56" spans="9:10" x14ac:dyDescent="0.25">
      <c r="I56" s="37"/>
      <c r="J56" s="35"/>
    </row>
    <row r="57" spans="9:10" x14ac:dyDescent="0.25">
      <c r="I57" s="37"/>
      <c r="J57" s="35"/>
    </row>
    <row r="58" spans="9:10" x14ac:dyDescent="0.25">
      <c r="I58" s="37"/>
      <c r="J58" s="35"/>
    </row>
    <row r="59" spans="9:10" x14ac:dyDescent="0.25">
      <c r="I59" s="37"/>
      <c r="J59" s="35"/>
    </row>
    <row r="60" spans="9:10" x14ac:dyDescent="0.25">
      <c r="I60" s="37"/>
      <c r="J60" s="35"/>
    </row>
    <row r="61" spans="9:10" x14ac:dyDescent="0.25">
      <c r="I61" s="37"/>
      <c r="J61" s="35"/>
    </row>
    <row r="62" spans="9:10" x14ac:dyDescent="0.25">
      <c r="I62" s="37"/>
      <c r="J62" s="35"/>
    </row>
    <row r="63" spans="9:10" x14ac:dyDescent="0.25">
      <c r="I63" s="37"/>
      <c r="J63" s="35"/>
    </row>
    <row r="64" spans="9:10" x14ac:dyDescent="0.25">
      <c r="I64" s="37"/>
      <c r="J64" s="35"/>
    </row>
    <row r="65" spans="9:10" x14ac:dyDescent="0.25">
      <c r="I65" s="37"/>
      <c r="J65" s="35"/>
    </row>
    <row r="66" spans="9:10" x14ac:dyDescent="0.25">
      <c r="I66" s="37"/>
      <c r="J66" s="35"/>
    </row>
    <row r="67" spans="9:10" x14ac:dyDescent="0.25">
      <c r="I67" s="37"/>
      <c r="J67" s="35"/>
    </row>
    <row r="68" spans="9:10" x14ac:dyDescent="0.25">
      <c r="I68" s="37"/>
      <c r="J68" s="35"/>
    </row>
    <row r="69" spans="9:10" x14ac:dyDescent="0.25">
      <c r="I69" s="37"/>
      <c r="J69" s="35"/>
    </row>
    <row r="70" spans="9:10" x14ac:dyDescent="0.25">
      <c r="I70" s="37"/>
      <c r="J70" s="35"/>
    </row>
    <row r="71" spans="9:10" x14ac:dyDescent="0.25">
      <c r="I71" s="37"/>
      <c r="J71" s="35"/>
    </row>
    <row r="72" spans="9:10" x14ac:dyDescent="0.25">
      <c r="I72" s="37"/>
      <c r="J72" s="35"/>
    </row>
    <row r="73" spans="9:10" x14ac:dyDescent="0.25">
      <c r="I73" s="37"/>
      <c r="J73" s="35"/>
    </row>
    <row r="74" spans="9:10" x14ac:dyDescent="0.25">
      <c r="I74" s="37"/>
      <c r="J74" s="35"/>
    </row>
    <row r="75" spans="9:10" x14ac:dyDescent="0.25">
      <c r="I75" s="37"/>
      <c r="J75" s="35"/>
    </row>
    <row r="76" spans="9:10" x14ac:dyDescent="0.25">
      <c r="I76" s="37"/>
      <c r="J76" s="35"/>
    </row>
    <row r="77" spans="9:10" x14ac:dyDescent="0.25">
      <c r="I77" s="37"/>
      <c r="J77" s="35"/>
    </row>
    <row r="78" spans="9:10" x14ac:dyDescent="0.25">
      <c r="I78" s="37"/>
      <c r="J78" s="35"/>
    </row>
    <row r="79" spans="9:10" x14ac:dyDescent="0.25">
      <c r="I79" s="37"/>
      <c r="J79" s="35"/>
    </row>
    <row r="80" spans="9:10" x14ac:dyDescent="0.25">
      <c r="I80" s="37"/>
      <c r="J80" s="35"/>
    </row>
    <row r="81" spans="9:10" x14ac:dyDescent="0.25">
      <c r="I81" s="37"/>
      <c r="J81" s="35"/>
    </row>
    <row r="82" spans="9:10" x14ac:dyDescent="0.25">
      <c r="I82" s="37"/>
      <c r="J82" s="35"/>
    </row>
    <row r="83" spans="9:10" x14ac:dyDescent="0.25">
      <c r="I83" s="37"/>
      <c r="J83" s="35"/>
    </row>
    <row r="84" spans="9:10" x14ac:dyDescent="0.25">
      <c r="I84" s="37"/>
      <c r="J84" s="35"/>
    </row>
    <row r="85" spans="9:10" x14ac:dyDescent="0.25">
      <c r="I85" s="37"/>
      <c r="J85" s="35"/>
    </row>
    <row r="86" spans="9:10" x14ac:dyDescent="0.25">
      <c r="I86" s="37"/>
      <c r="J86" s="35"/>
    </row>
    <row r="87" spans="9:10" x14ac:dyDescent="0.25">
      <c r="I87" s="37"/>
      <c r="J87" s="35"/>
    </row>
    <row r="88" spans="9:10" x14ac:dyDescent="0.25">
      <c r="I88" s="37"/>
      <c r="J88" s="35"/>
    </row>
    <row r="89" spans="9:10" x14ac:dyDescent="0.25">
      <c r="I89" s="37"/>
      <c r="J89" s="35"/>
    </row>
    <row r="90" spans="9:10" x14ac:dyDescent="0.25">
      <c r="I90" s="37"/>
      <c r="J90" s="35"/>
    </row>
    <row r="91" spans="9:10" x14ac:dyDescent="0.25">
      <c r="I91" s="37"/>
      <c r="J91" s="35"/>
    </row>
    <row r="92" spans="9:10" x14ac:dyDescent="0.25">
      <c r="I92" s="37"/>
      <c r="J92" s="35"/>
    </row>
    <row r="93" spans="9:10" x14ac:dyDescent="0.25">
      <c r="I93" s="37"/>
      <c r="J93" s="35"/>
    </row>
    <row r="94" spans="9:10" x14ac:dyDescent="0.25">
      <c r="I94" s="37"/>
      <c r="J94" s="35"/>
    </row>
    <row r="95" spans="9:10" x14ac:dyDescent="0.25">
      <c r="I95" s="37"/>
      <c r="J95" s="35"/>
    </row>
    <row r="96" spans="9:10" x14ac:dyDescent="0.25">
      <c r="I96" s="37"/>
      <c r="J96" s="35"/>
    </row>
    <row r="97" spans="9:10" x14ac:dyDescent="0.25">
      <c r="I97" s="37"/>
      <c r="J97" s="35"/>
    </row>
    <row r="98" spans="9:10" x14ac:dyDescent="0.25">
      <c r="I98" s="37"/>
      <c r="J98" s="35"/>
    </row>
    <row r="99" spans="9:10" x14ac:dyDescent="0.25">
      <c r="I99" s="37"/>
      <c r="J99" s="35"/>
    </row>
    <row r="100" spans="9:10" x14ac:dyDescent="0.25">
      <c r="I100" s="37"/>
      <c r="J100" s="35"/>
    </row>
    <row r="101" spans="9:10" x14ac:dyDescent="0.25">
      <c r="I101" s="37"/>
      <c r="J101" s="35"/>
    </row>
    <row r="102" spans="9:10" x14ac:dyDescent="0.25">
      <c r="I102" s="37"/>
      <c r="J102" s="35"/>
    </row>
    <row r="103" spans="9:10" x14ac:dyDescent="0.25">
      <c r="I103" s="37"/>
      <c r="J103" s="35"/>
    </row>
    <row r="104" spans="9:10" x14ac:dyDescent="0.25">
      <c r="I104" s="37"/>
      <c r="J104" s="35"/>
    </row>
    <row r="105" spans="9:10" x14ac:dyDescent="0.25">
      <c r="I105" s="37"/>
      <c r="J105" s="35"/>
    </row>
    <row r="106" spans="9:10" x14ac:dyDescent="0.25">
      <c r="I106" s="37"/>
      <c r="J106" s="35"/>
    </row>
    <row r="107" spans="9:10" x14ac:dyDescent="0.25">
      <c r="I107" s="37"/>
      <c r="J107" s="35"/>
    </row>
    <row r="108" spans="9:10" x14ac:dyDescent="0.25">
      <c r="I108" s="37"/>
      <c r="J108" s="35"/>
    </row>
    <row r="109" spans="9:10" x14ac:dyDescent="0.25">
      <c r="I109" s="37"/>
      <c r="J109" s="35"/>
    </row>
    <row r="110" spans="9:10" x14ac:dyDescent="0.25">
      <c r="I110" s="37"/>
      <c r="J110" s="35"/>
    </row>
    <row r="111" spans="9:10" x14ac:dyDescent="0.25">
      <c r="I111" s="37"/>
      <c r="J111" s="35"/>
    </row>
    <row r="112" spans="9:10" x14ac:dyDescent="0.25">
      <c r="I112" s="37"/>
      <c r="J112" s="35"/>
    </row>
    <row r="113" spans="9:10" x14ac:dyDescent="0.25">
      <c r="I113" s="37"/>
      <c r="J113" s="35"/>
    </row>
    <row r="114" spans="9:10" x14ac:dyDescent="0.25">
      <c r="I114" s="37"/>
      <c r="J114" s="35"/>
    </row>
    <row r="115" spans="9:10" x14ac:dyDescent="0.25">
      <c r="I115" s="37"/>
      <c r="J115" s="35"/>
    </row>
    <row r="116" spans="9:10" x14ac:dyDescent="0.25">
      <c r="I116" s="37"/>
      <c r="J116" s="35"/>
    </row>
    <row r="117" spans="9:10" x14ac:dyDescent="0.25">
      <c r="I117" s="37"/>
      <c r="J117" s="35"/>
    </row>
    <row r="118" spans="9:10" x14ac:dyDescent="0.25">
      <c r="I118" s="37"/>
      <c r="J118" s="35"/>
    </row>
    <row r="119" spans="9:10" x14ac:dyDescent="0.25">
      <c r="I119" s="37"/>
      <c r="J119" s="35"/>
    </row>
    <row r="120" spans="9:10" x14ac:dyDescent="0.25">
      <c r="I120" s="37"/>
      <c r="J120" s="35"/>
    </row>
    <row r="121" spans="9:10" x14ac:dyDescent="0.25">
      <c r="I121" s="37"/>
      <c r="J121" s="35"/>
    </row>
    <row r="122" spans="9:10" x14ac:dyDescent="0.25">
      <c r="I122" s="37"/>
      <c r="J122" s="35"/>
    </row>
    <row r="123" spans="9:10" x14ac:dyDescent="0.25">
      <c r="I123" s="37"/>
      <c r="J123" s="35"/>
    </row>
    <row r="124" spans="9:10" x14ac:dyDescent="0.25">
      <c r="I124" s="37"/>
      <c r="J124" s="35"/>
    </row>
    <row r="125" spans="9:10" x14ac:dyDescent="0.25">
      <c r="I125" s="37"/>
      <c r="J125" s="35"/>
    </row>
    <row r="126" spans="9:10" x14ac:dyDescent="0.25">
      <c r="I126" s="37"/>
      <c r="J126" s="35"/>
    </row>
    <row r="127" spans="9:10" x14ac:dyDescent="0.25">
      <c r="I127" s="37"/>
      <c r="J127" s="35"/>
    </row>
    <row r="128" spans="9:10" x14ac:dyDescent="0.25">
      <c r="I128" s="37"/>
      <c r="J128" s="35"/>
    </row>
    <row r="129" spans="9:10" x14ac:dyDescent="0.25">
      <c r="I129" s="37"/>
      <c r="J129" s="35"/>
    </row>
    <row r="130" spans="9:10" x14ac:dyDescent="0.25">
      <c r="I130" s="37"/>
      <c r="J130" s="35"/>
    </row>
    <row r="131" spans="9:10" x14ac:dyDescent="0.25">
      <c r="I131" s="37"/>
      <c r="J131" s="35"/>
    </row>
    <row r="132" spans="9:10" x14ac:dyDescent="0.25">
      <c r="I132" s="37"/>
      <c r="J132" s="35"/>
    </row>
    <row r="133" spans="9:10" x14ac:dyDescent="0.25">
      <c r="I133" s="37"/>
      <c r="J133" s="35"/>
    </row>
    <row r="134" spans="9:10" x14ac:dyDescent="0.25">
      <c r="I134" s="37"/>
      <c r="J134" s="35"/>
    </row>
    <row r="135" spans="9:10" x14ac:dyDescent="0.25">
      <c r="I135" s="37"/>
      <c r="J135" s="35"/>
    </row>
    <row r="136" spans="9:10" x14ac:dyDescent="0.25">
      <c r="I136" s="37"/>
      <c r="J136" s="35"/>
    </row>
    <row r="137" spans="9:10" x14ac:dyDescent="0.25">
      <c r="I137" s="37"/>
      <c r="J137" s="35"/>
    </row>
    <row r="138" spans="9:10" x14ac:dyDescent="0.25">
      <c r="I138" s="37"/>
      <c r="J138" s="35"/>
    </row>
    <row r="139" spans="9:10" x14ac:dyDescent="0.25">
      <c r="I139" s="37"/>
      <c r="J139" s="35"/>
    </row>
    <row r="140" spans="9:10" x14ac:dyDescent="0.25">
      <c r="I140" s="37"/>
      <c r="J140" s="35"/>
    </row>
    <row r="141" spans="9:10" x14ac:dyDescent="0.25">
      <c r="I141" s="37"/>
      <c r="J141" s="35"/>
    </row>
    <row r="142" spans="9:10" x14ac:dyDescent="0.25">
      <c r="I142" s="37"/>
      <c r="J142" s="35"/>
    </row>
    <row r="143" spans="9:10" x14ac:dyDescent="0.25">
      <c r="I143" s="37"/>
      <c r="J143" s="35"/>
    </row>
    <row r="144" spans="9:10" x14ac:dyDescent="0.25">
      <c r="I144" s="37"/>
      <c r="J144" s="35"/>
    </row>
    <row r="145" spans="9:10" x14ac:dyDescent="0.25">
      <c r="I145" s="37"/>
      <c r="J145" s="35"/>
    </row>
    <row r="146" spans="9:10" x14ac:dyDescent="0.25">
      <c r="I146" s="37"/>
      <c r="J146" s="35"/>
    </row>
    <row r="147" spans="9:10" x14ac:dyDescent="0.25">
      <c r="I147" s="37"/>
      <c r="J147" s="35"/>
    </row>
    <row r="148" spans="9:10" x14ac:dyDescent="0.25">
      <c r="I148" s="37"/>
      <c r="J148" s="35"/>
    </row>
    <row r="149" spans="9:10" x14ac:dyDescent="0.25">
      <c r="I149" s="37"/>
      <c r="J149" s="35"/>
    </row>
    <row r="150" spans="9:10" x14ac:dyDescent="0.25">
      <c r="I150" s="37"/>
      <c r="J150" s="35"/>
    </row>
    <row r="151" spans="9:10" x14ac:dyDescent="0.25">
      <c r="I151" s="37"/>
      <c r="J151" s="35"/>
    </row>
    <row r="152" spans="9:10" x14ac:dyDescent="0.25">
      <c r="I152" s="37"/>
      <c r="J152" s="35"/>
    </row>
    <row r="153" spans="9:10" x14ac:dyDescent="0.25">
      <c r="I153" s="37"/>
      <c r="J153" s="35"/>
    </row>
    <row r="154" spans="9:10" x14ac:dyDescent="0.25">
      <c r="I154" s="37"/>
      <c r="J154" s="35"/>
    </row>
    <row r="155" spans="9:10" x14ac:dyDescent="0.25">
      <c r="I155" s="37"/>
      <c r="J155" s="35"/>
    </row>
    <row r="156" spans="9:10" x14ac:dyDescent="0.25">
      <c r="I156" s="37"/>
      <c r="J156" s="35"/>
    </row>
    <row r="157" spans="9:10" x14ac:dyDescent="0.25">
      <c r="I157" s="37"/>
      <c r="J157" s="35"/>
    </row>
    <row r="158" spans="9:10" x14ac:dyDescent="0.25">
      <c r="I158" s="37"/>
      <c r="J158" s="35"/>
    </row>
    <row r="159" spans="9:10" x14ac:dyDescent="0.25">
      <c r="I159" s="37"/>
      <c r="J159" s="35"/>
    </row>
    <row r="160" spans="9:10" x14ac:dyDescent="0.25">
      <c r="I160" s="37"/>
      <c r="J160" s="35"/>
    </row>
    <row r="161" spans="9:10" x14ac:dyDescent="0.25">
      <c r="I161" s="37"/>
      <c r="J161" s="35"/>
    </row>
    <row r="162" spans="9:10" x14ac:dyDescent="0.25">
      <c r="I162" s="37"/>
      <c r="J162" s="35"/>
    </row>
    <row r="163" spans="9:10" x14ac:dyDescent="0.25">
      <c r="I163" s="37"/>
      <c r="J163" s="35"/>
    </row>
    <row r="164" spans="9:10" x14ac:dyDescent="0.25">
      <c r="I164" s="37"/>
      <c r="J164" s="35"/>
    </row>
    <row r="165" spans="9:10" x14ac:dyDescent="0.25">
      <c r="I165" s="37"/>
      <c r="J165" s="35"/>
    </row>
    <row r="166" spans="9:10" x14ac:dyDescent="0.25">
      <c r="I166" s="37"/>
      <c r="J166" s="35"/>
    </row>
    <row r="167" spans="9:10" x14ac:dyDescent="0.25">
      <c r="I167" s="37"/>
      <c r="J167" s="35"/>
    </row>
    <row r="168" spans="9:10" x14ac:dyDescent="0.25">
      <c r="I168" s="37"/>
      <c r="J168" s="35"/>
    </row>
    <row r="169" spans="9:10" x14ac:dyDescent="0.25">
      <c r="I169" s="37"/>
      <c r="J169" s="35"/>
    </row>
    <row r="170" spans="9:10" x14ac:dyDescent="0.25">
      <c r="I170" s="37"/>
      <c r="J170" s="35"/>
    </row>
    <row r="171" spans="9:10" x14ac:dyDescent="0.25">
      <c r="I171" s="37"/>
      <c r="J171" s="35"/>
    </row>
    <row r="172" spans="9:10" x14ac:dyDescent="0.25">
      <c r="I172" s="37"/>
      <c r="J172" s="35"/>
    </row>
    <row r="173" spans="9:10" x14ac:dyDescent="0.25">
      <c r="I173" s="37"/>
      <c r="J173" s="35"/>
    </row>
    <row r="174" spans="9:10" x14ac:dyDescent="0.25">
      <c r="I174" s="37"/>
      <c r="J174" s="35"/>
    </row>
    <row r="175" spans="9:10" x14ac:dyDescent="0.25">
      <c r="I175" s="37"/>
      <c r="J175" s="35"/>
    </row>
    <row r="176" spans="9:10" x14ac:dyDescent="0.25">
      <c r="I176" s="37"/>
      <c r="J176" s="35"/>
    </row>
    <row r="177" spans="9:10" x14ac:dyDescent="0.25">
      <c r="I177" s="37"/>
      <c r="J177" s="35"/>
    </row>
    <row r="178" spans="9:10" x14ac:dyDescent="0.25">
      <c r="I178" s="37"/>
      <c r="J178" s="35"/>
    </row>
    <row r="179" spans="9:10" x14ac:dyDescent="0.25">
      <c r="I179" s="37"/>
      <c r="J179" s="35"/>
    </row>
    <row r="180" spans="9:10" x14ac:dyDescent="0.25">
      <c r="I180" s="37"/>
      <c r="J180" s="35"/>
    </row>
    <row r="181" spans="9:10" x14ac:dyDescent="0.25">
      <c r="I181" s="37"/>
      <c r="J181" s="35"/>
    </row>
    <row r="182" spans="9:10" x14ac:dyDescent="0.25">
      <c r="I182" s="37"/>
      <c r="J182" s="35"/>
    </row>
    <row r="183" spans="9:10" x14ac:dyDescent="0.25">
      <c r="I183" s="37"/>
      <c r="J183" s="35"/>
    </row>
    <row r="184" spans="9:10" x14ac:dyDescent="0.25">
      <c r="I184" s="37"/>
      <c r="J184" s="35"/>
    </row>
    <row r="185" spans="9:10" x14ac:dyDescent="0.25">
      <c r="I185" s="37"/>
      <c r="J185" s="35"/>
    </row>
    <row r="186" spans="9:10" x14ac:dyDescent="0.25">
      <c r="I186" s="37"/>
      <c r="J186" s="35"/>
    </row>
    <row r="187" spans="9:10" x14ac:dyDescent="0.25">
      <c r="I187" s="37"/>
      <c r="J187" s="35"/>
    </row>
    <row r="188" spans="9:10" x14ac:dyDescent="0.25">
      <c r="I188" s="37"/>
      <c r="J188" s="35"/>
    </row>
    <row r="189" spans="9:10" x14ac:dyDescent="0.25">
      <c r="I189" s="37"/>
      <c r="J189" s="35"/>
    </row>
    <row r="190" spans="9:10" x14ac:dyDescent="0.25">
      <c r="I190" s="37"/>
      <c r="J190" s="35"/>
    </row>
    <row r="191" spans="9:10" x14ac:dyDescent="0.25">
      <c r="I191" s="37"/>
      <c r="J191" s="35"/>
    </row>
    <row r="192" spans="9:10" x14ac:dyDescent="0.25">
      <c r="I192" s="37"/>
      <c r="J192" s="35"/>
    </row>
    <row r="193" spans="9:10" x14ac:dyDescent="0.25">
      <c r="I193" s="37"/>
      <c r="J193" s="35"/>
    </row>
    <row r="194" spans="9:10" x14ac:dyDescent="0.25">
      <c r="I194" s="37"/>
      <c r="J194" s="35"/>
    </row>
    <row r="195" spans="9:10" x14ac:dyDescent="0.25">
      <c r="I195" s="37"/>
      <c r="J195" s="35"/>
    </row>
    <row r="196" spans="9:10" x14ac:dyDescent="0.25">
      <c r="I196" s="37"/>
      <c r="J196" s="35"/>
    </row>
    <row r="197" spans="9:10" x14ac:dyDescent="0.25">
      <c r="I197" s="37"/>
      <c r="J197" s="35"/>
    </row>
    <row r="198" spans="9:10" x14ac:dyDescent="0.25">
      <c r="I198" s="37"/>
      <c r="J198" s="35"/>
    </row>
    <row r="199" spans="9:10" x14ac:dyDescent="0.25">
      <c r="I199" s="37"/>
      <c r="J199" s="35"/>
    </row>
    <row r="200" spans="9:10" x14ac:dyDescent="0.25">
      <c r="I200" s="37"/>
      <c r="J200" s="35"/>
    </row>
    <row r="201" spans="9:10" x14ac:dyDescent="0.25">
      <c r="I201" s="37"/>
      <c r="J201" s="35"/>
    </row>
    <row r="202" spans="9:10" x14ac:dyDescent="0.25">
      <c r="I202" s="37"/>
      <c r="J202" s="35"/>
    </row>
    <row r="203" spans="9:10" x14ac:dyDescent="0.25">
      <c r="I203" s="37"/>
      <c r="J203" s="35"/>
    </row>
    <row r="204" spans="9:10" x14ac:dyDescent="0.25">
      <c r="I204" s="37"/>
      <c r="J204" s="35"/>
    </row>
    <row r="205" spans="9:10" x14ac:dyDescent="0.25">
      <c r="I205" s="37"/>
      <c r="J205" s="35"/>
    </row>
    <row r="206" spans="9:10" x14ac:dyDescent="0.25">
      <c r="I206" s="37"/>
      <c r="J206" s="35"/>
    </row>
    <row r="207" spans="9:10" x14ac:dyDescent="0.25">
      <c r="I207" s="37"/>
      <c r="J207" s="35"/>
    </row>
    <row r="208" spans="9:10" x14ac:dyDescent="0.25">
      <c r="I208" s="37"/>
      <c r="J208" s="35"/>
    </row>
    <row r="209" spans="9:10" x14ac:dyDescent="0.25">
      <c r="I209" s="37"/>
      <c r="J209" s="35"/>
    </row>
    <row r="210" spans="9:10" x14ac:dyDescent="0.25">
      <c r="I210" s="37"/>
      <c r="J210" s="35"/>
    </row>
    <row r="211" spans="9:10" x14ac:dyDescent="0.25">
      <c r="I211" s="37"/>
      <c r="J211" s="35"/>
    </row>
    <row r="212" spans="9:10" x14ac:dyDescent="0.25">
      <c r="I212" s="37"/>
      <c r="J212" s="35"/>
    </row>
    <row r="213" spans="9:10" x14ac:dyDescent="0.25">
      <c r="I213" s="37"/>
      <c r="J213" s="35"/>
    </row>
    <row r="214" spans="9:10" x14ac:dyDescent="0.25">
      <c r="I214" s="37"/>
      <c r="J214" s="35"/>
    </row>
    <row r="215" spans="9:10" x14ac:dyDescent="0.25">
      <c r="I215" s="37"/>
      <c r="J215" s="35"/>
    </row>
    <row r="216" spans="9:10" x14ac:dyDescent="0.25">
      <c r="I216" s="37"/>
      <c r="J216" s="35"/>
    </row>
    <row r="217" spans="9:10" x14ac:dyDescent="0.25">
      <c r="I217" s="37"/>
      <c r="J217" s="35"/>
    </row>
    <row r="218" spans="9:10" x14ac:dyDescent="0.25">
      <c r="I218" s="37"/>
      <c r="J218" s="35"/>
    </row>
    <row r="219" spans="9:10" x14ac:dyDescent="0.25">
      <c r="I219" s="37"/>
      <c r="J219" s="35"/>
    </row>
    <row r="220" spans="9:10" x14ac:dyDescent="0.25">
      <c r="I220" s="37"/>
      <c r="J220" s="35"/>
    </row>
    <row r="221" spans="9:10" x14ac:dyDescent="0.25">
      <c r="I221" s="37"/>
      <c r="J221" s="35"/>
    </row>
    <row r="222" spans="9:10" x14ac:dyDescent="0.25">
      <c r="I222" s="37"/>
      <c r="J222" s="35"/>
    </row>
    <row r="223" spans="9:10" x14ac:dyDescent="0.25">
      <c r="I223" s="37"/>
      <c r="J223" s="35"/>
    </row>
    <row r="224" spans="9:10" x14ac:dyDescent="0.25">
      <c r="I224" s="37"/>
      <c r="J224" s="35"/>
    </row>
    <row r="225" spans="9:10" x14ac:dyDescent="0.25">
      <c r="I225" s="37"/>
      <c r="J225" s="35"/>
    </row>
    <row r="226" spans="9:10" x14ac:dyDescent="0.25">
      <c r="I226" s="37"/>
      <c r="J226" s="35"/>
    </row>
    <row r="227" spans="9:10" x14ac:dyDescent="0.25">
      <c r="I227" s="37"/>
      <c r="J227" s="35"/>
    </row>
    <row r="228" spans="9:10" x14ac:dyDescent="0.25">
      <c r="I228" s="37"/>
      <c r="J228" s="35"/>
    </row>
    <row r="229" spans="9:10" x14ac:dyDescent="0.25">
      <c r="I229" s="37"/>
      <c r="J229" s="35"/>
    </row>
    <row r="230" spans="9:10" x14ac:dyDescent="0.25">
      <c r="I230" s="37"/>
      <c r="J230" s="35"/>
    </row>
    <row r="231" spans="9:10" x14ac:dyDescent="0.25">
      <c r="I231" s="37"/>
      <c r="J231" s="35"/>
    </row>
    <row r="232" spans="9:10" x14ac:dyDescent="0.25">
      <c r="I232" s="37"/>
      <c r="J232" s="35"/>
    </row>
    <row r="233" spans="9:10" x14ac:dyDescent="0.25">
      <c r="I233" s="37"/>
      <c r="J233" s="35"/>
    </row>
    <row r="234" spans="9:10" x14ac:dyDescent="0.25">
      <c r="I234" s="37"/>
      <c r="J234" s="35"/>
    </row>
    <row r="235" spans="9:10" x14ac:dyDescent="0.25">
      <c r="I235" s="37"/>
      <c r="J235" s="35"/>
    </row>
    <row r="236" spans="9:10" x14ac:dyDescent="0.25">
      <c r="I236" s="37"/>
      <c r="J236" s="35"/>
    </row>
    <row r="237" spans="9:10" x14ac:dyDescent="0.25">
      <c r="I237" s="37"/>
      <c r="J237" s="35"/>
    </row>
    <row r="238" spans="9:10" x14ac:dyDescent="0.25">
      <c r="I238" s="37"/>
      <c r="J238" s="35"/>
    </row>
    <row r="239" spans="9:10" x14ac:dyDescent="0.25">
      <c r="I239" s="37"/>
      <c r="J239" s="35"/>
    </row>
    <row r="240" spans="9:10" x14ac:dyDescent="0.25">
      <c r="I240" s="37"/>
      <c r="J240" s="35"/>
    </row>
    <row r="241" spans="9:10" x14ac:dyDescent="0.25">
      <c r="I241" s="37"/>
      <c r="J241" s="35"/>
    </row>
    <row r="242" spans="9:10" x14ac:dyDescent="0.25">
      <c r="I242" s="37"/>
      <c r="J242" s="35"/>
    </row>
    <row r="243" spans="9:10" x14ac:dyDescent="0.25">
      <c r="I243" s="37"/>
      <c r="J243" s="35"/>
    </row>
    <row r="244" spans="9:10" x14ac:dyDescent="0.25">
      <c r="I244" s="37"/>
      <c r="J244" s="35"/>
    </row>
    <row r="245" spans="9:10" x14ac:dyDescent="0.25">
      <c r="I245" s="37"/>
      <c r="J245" s="35"/>
    </row>
    <row r="246" spans="9:10" x14ac:dyDescent="0.25">
      <c r="I246" s="37"/>
      <c r="J246" s="35"/>
    </row>
    <row r="247" spans="9:10" x14ac:dyDescent="0.25">
      <c r="I247" s="37"/>
      <c r="J247" s="35"/>
    </row>
    <row r="248" spans="9:10" x14ac:dyDescent="0.25">
      <c r="I248" s="37"/>
      <c r="J248" s="35"/>
    </row>
    <row r="249" spans="9:10" x14ac:dyDescent="0.25">
      <c r="I249" s="37"/>
      <c r="J249" s="35"/>
    </row>
    <row r="250" spans="9:10" x14ac:dyDescent="0.25">
      <c r="I250" s="37"/>
      <c r="J250" s="35"/>
    </row>
    <row r="251" spans="9:10" x14ac:dyDescent="0.25">
      <c r="I251" s="37"/>
      <c r="J251" s="35"/>
    </row>
    <row r="252" spans="9:10" x14ac:dyDescent="0.25">
      <c r="I252" s="37"/>
      <c r="J252" s="35"/>
    </row>
    <row r="253" spans="9:10" x14ac:dyDescent="0.25">
      <c r="I253" s="37"/>
      <c r="J253" s="35"/>
    </row>
    <row r="254" spans="9:10" x14ac:dyDescent="0.25">
      <c r="I254" s="37"/>
      <c r="J254" s="35"/>
    </row>
    <row r="255" spans="9:10" x14ac:dyDescent="0.25">
      <c r="I255" s="37"/>
      <c r="J255" s="35"/>
    </row>
    <row r="256" spans="9:10" x14ac:dyDescent="0.25">
      <c r="I256" s="37"/>
      <c r="J256" s="35"/>
    </row>
    <row r="257" spans="9:10" x14ac:dyDescent="0.25">
      <c r="I257" s="37"/>
      <c r="J257" s="35"/>
    </row>
    <row r="258" spans="9:10" x14ac:dyDescent="0.25">
      <c r="I258" s="37"/>
      <c r="J258" s="35"/>
    </row>
    <row r="259" spans="9:10" x14ac:dyDescent="0.25">
      <c r="I259" s="37"/>
      <c r="J259" s="35"/>
    </row>
    <row r="260" spans="9:10" x14ac:dyDescent="0.25">
      <c r="I260" s="37"/>
      <c r="J260" s="35"/>
    </row>
    <row r="261" spans="9:10" x14ac:dyDescent="0.25">
      <c r="I261" s="37"/>
      <c r="J261" s="35"/>
    </row>
    <row r="262" spans="9:10" x14ac:dyDescent="0.25">
      <c r="I262" s="37"/>
      <c r="J262" s="35"/>
    </row>
    <row r="263" spans="9:10" x14ac:dyDescent="0.25">
      <c r="I263" s="37"/>
      <c r="J263" s="35"/>
    </row>
    <row r="264" spans="9:10" x14ac:dyDescent="0.25">
      <c r="I264" s="37"/>
      <c r="J264" s="35"/>
    </row>
    <row r="265" spans="9:10" x14ac:dyDescent="0.25">
      <c r="I265" s="37"/>
      <c r="J265" s="35"/>
    </row>
    <row r="266" spans="9:10" x14ac:dyDescent="0.25">
      <c r="I266" s="37"/>
      <c r="J266" s="35"/>
    </row>
    <row r="267" spans="9:10" x14ac:dyDescent="0.25">
      <c r="I267" s="37"/>
      <c r="J267" s="35"/>
    </row>
    <row r="268" spans="9:10" x14ac:dyDescent="0.25">
      <c r="I268" s="37"/>
      <c r="J268" s="35"/>
    </row>
    <row r="269" spans="9:10" x14ac:dyDescent="0.25">
      <c r="I269" s="37"/>
      <c r="J269" s="35"/>
    </row>
    <row r="270" spans="9:10" x14ac:dyDescent="0.25">
      <c r="I270" s="37"/>
      <c r="J270" s="35"/>
    </row>
    <row r="271" spans="9:10" x14ac:dyDescent="0.25">
      <c r="I271" s="37"/>
      <c r="J271" s="35"/>
    </row>
    <row r="272" spans="9:10" x14ac:dyDescent="0.25">
      <c r="I272" s="37"/>
      <c r="J272" s="35"/>
    </row>
    <row r="273" spans="9:10" x14ac:dyDescent="0.25">
      <c r="I273" s="37"/>
      <c r="J273" s="35"/>
    </row>
    <row r="274" spans="9:10" x14ac:dyDescent="0.25">
      <c r="I274" s="37"/>
      <c r="J274" s="35"/>
    </row>
    <row r="275" spans="9:10" x14ac:dyDescent="0.25">
      <c r="I275" s="37"/>
      <c r="J275" s="35"/>
    </row>
    <row r="276" spans="9:10" x14ac:dyDescent="0.25">
      <c r="I276" s="37"/>
      <c r="J276" s="35"/>
    </row>
    <row r="277" spans="9:10" x14ac:dyDescent="0.25">
      <c r="I277" s="37"/>
      <c r="J277" s="35"/>
    </row>
    <row r="278" spans="9:10" x14ac:dyDescent="0.25">
      <c r="I278" s="37"/>
      <c r="J278" s="35"/>
    </row>
    <row r="279" spans="9:10" x14ac:dyDescent="0.25">
      <c r="I279" s="37"/>
      <c r="J279" s="35"/>
    </row>
    <row r="280" spans="9:10" x14ac:dyDescent="0.25">
      <c r="I280" s="37"/>
      <c r="J280" s="35"/>
    </row>
    <row r="281" spans="9:10" x14ac:dyDescent="0.25">
      <c r="I281" s="37"/>
      <c r="J281" s="35"/>
    </row>
    <row r="282" spans="9:10" x14ac:dyDescent="0.25">
      <c r="I282" s="37"/>
      <c r="J282" s="35"/>
    </row>
    <row r="283" spans="9:10" x14ac:dyDescent="0.25">
      <c r="I283" s="37"/>
      <c r="J283" s="35"/>
    </row>
    <row r="284" spans="9:10" x14ac:dyDescent="0.25">
      <c r="I284" s="37"/>
      <c r="J284" s="35"/>
    </row>
    <row r="285" spans="9:10" x14ac:dyDescent="0.25">
      <c r="I285" s="37"/>
      <c r="J285" s="35"/>
    </row>
    <row r="286" spans="9:10" x14ac:dyDescent="0.25">
      <c r="I286" s="37"/>
      <c r="J286" s="35"/>
    </row>
    <row r="287" spans="9:10" x14ac:dyDescent="0.25">
      <c r="I287" s="37"/>
      <c r="J287" s="35"/>
    </row>
    <row r="288" spans="9:10" x14ac:dyDescent="0.25">
      <c r="I288" s="37"/>
      <c r="J288" s="35"/>
    </row>
    <row r="289" spans="9:10" x14ac:dyDescent="0.25">
      <c r="I289" s="37"/>
      <c r="J289" s="35"/>
    </row>
    <row r="290" spans="9:10" x14ac:dyDescent="0.25">
      <c r="I290" s="37"/>
      <c r="J290" s="35"/>
    </row>
    <row r="291" spans="9:10" x14ac:dyDescent="0.25">
      <c r="I291" s="37"/>
      <c r="J291" s="35"/>
    </row>
    <row r="292" spans="9:10" x14ac:dyDescent="0.25">
      <c r="I292" s="37"/>
      <c r="J292" s="35"/>
    </row>
    <row r="293" spans="9:10" x14ac:dyDescent="0.25">
      <c r="I293" s="37"/>
      <c r="J293" s="35"/>
    </row>
    <row r="294" spans="9:10" x14ac:dyDescent="0.25">
      <c r="I294" s="37"/>
      <c r="J294" s="35"/>
    </row>
    <row r="295" spans="9:10" x14ac:dyDescent="0.25">
      <c r="I295" s="37"/>
      <c r="J295" s="35"/>
    </row>
    <row r="296" spans="9:10" x14ac:dyDescent="0.25">
      <c r="I296" s="37"/>
      <c r="J296" s="35"/>
    </row>
    <row r="297" spans="9:10" x14ac:dyDescent="0.25">
      <c r="I297" s="37"/>
      <c r="J297" s="35"/>
    </row>
    <row r="298" spans="9:10" x14ac:dyDescent="0.25">
      <c r="I298" s="37"/>
      <c r="J298" s="35"/>
    </row>
    <row r="299" spans="9:10" x14ac:dyDescent="0.25">
      <c r="I299" s="37"/>
      <c r="J299" s="35"/>
    </row>
    <row r="300" spans="9:10" x14ac:dyDescent="0.25">
      <c r="I300" s="37"/>
      <c r="J300" s="35"/>
    </row>
    <row r="301" spans="9:10" x14ac:dyDescent="0.25">
      <c r="I301" s="37"/>
      <c r="J301" s="35"/>
    </row>
    <row r="302" spans="9:10" x14ac:dyDescent="0.25">
      <c r="I302" s="37"/>
      <c r="J302" s="35"/>
    </row>
    <row r="303" spans="9:10" x14ac:dyDescent="0.25">
      <c r="I303" s="37"/>
      <c r="J303" s="35"/>
    </row>
    <row r="304" spans="9:10" x14ac:dyDescent="0.25">
      <c r="I304" s="37"/>
      <c r="J304" s="35"/>
    </row>
    <row r="305" spans="9:12" x14ac:dyDescent="0.25">
      <c r="I305" s="37"/>
      <c r="J305" s="35"/>
    </row>
    <row r="306" spans="9:12" x14ac:dyDescent="0.25">
      <c r="I306" s="37"/>
      <c r="J306" s="35"/>
    </row>
    <row r="307" spans="9:12" x14ac:dyDescent="0.25">
      <c r="I307" s="37"/>
      <c r="J307" s="35"/>
    </row>
    <row r="308" spans="9:12" x14ac:dyDescent="0.25">
      <c r="I308" s="37"/>
      <c r="J308" s="35"/>
    </row>
    <row r="309" spans="9:12" x14ac:dyDescent="0.25">
      <c r="I309" s="37"/>
      <c r="J309" s="35"/>
    </row>
    <row r="310" spans="9:12" x14ac:dyDescent="0.25">
      <c r="I310" s="37"/>
      <c r="J310" s="35"/>
    </row>
    <row r="311" spans="9:12" x14ac:dyDescent="0.25">
      <c r="I311" s="37"/>
      <c r="J311" s="35"/>
    </row>
    <row r="312" spans="9:12" x14ac:dyDescent="0.25">
      <c r="I312" s="37"/>
      <c r="J312" s="35"/>
      <c r="L312" s="36"/>
    </row>
    <row r="313" spans="9:12" x14ac:dyDescent="0.25">
      <c r="I313" s="37"/>
      <c r="J313" s="35"/>
    </row>
    <row r="314" spans="9:12" x14ac:dyDescent="0.25">
      <c r="I314" s="37"/>
      <c r="J314" s="35"/>
    </row>
    <row r="315" spans="9:12" x14ac:dyDescent="0.25">
      <c r="I315" s="37"/>
      <c r="J315" s="35"/>
    </row>
    <row r="316" spans="9:12" x14ac:dyDescent="0.25">
      <c r="I316" s="37"/>
      <c r="J316" s="35"/>
    </row>
    <row r="317" spans="9:12" x14ac:dyDescent="0.25">
      <c r="I317" s="37"/>
      <c r="J317" s="35"/>
    </row>
    <row r="318" spans="9:12" x14ac:dyDescent="0.25">
      <c r="I318" s="37"/>
      <c r="J318" s="35"/>
    </row>
    <row r="319" spans="9:12" x14ac:dyDescent="0.25">
      <c r="I319" s="37"/>
      <c r="J319" s="35"/>
    </row>
    <row r="320" spans="9:12" x14ac:dyDescent="0.25">
      <c r="I320" s="37"/>
      <c r="J320" s="35"/>
    </row>
    <row r="321" spans="9:10" x14ac:dyDescent="0.25">
      <c r="I321" s="37"/>
      <c r="J321" s="35"/>
    </row>
    <row r="322" spans="9:10" x14ac:dyDescent="0.25">
      <c r="I322" s="37"/>
      <c r="J322" s="35"/>
    </row>
    <row r="323" spans="9:10" x14ac:dyDescent="0.25">
      <c r="I323" s="37"/>
      <c r="J323" s="35"/>
    </row>
    <row r="324" spans="9:10" x14ac:dyDescent="0.25">
      <c r="I324" s="37"/>
      <c r="J324" s="35"/>
    </row>
    <row r="325" spans="9:10" x14ac:dyDescent="0.25">
      <c r="I325" s="37"/>
      <c r="J325" s="35"/>
    </row>
    <row r="326" spans="9:10" x14ac:dyDescent="0.25">
      <c r="I326" s="37"/>
      <c r="J326" s="35"/>
    </row>
    <row r="327" spans="9:10" x14ac:dyDescent="0.25">
      <c r="I327" s="37"/>
      <c r="J327" s="35"/>
    </row>
    <row r="328" spans="9:10" x14ac:dyDescent="0.25">
      <c r="I328" s="37"/>
      <c r="J328" s="35"/>
    </row>
    <row r="329" spans="9:10" x14ac:dyDescent="0.25">
      <c r="I329" s="37"/>
      <c r="J329" s="35"/>
    </row>
    <row r="330" spans="9:10" x14ac:dyDescent="0.25">
      <c r="I330" s="37"/>
      <c r="J330" s="35"/>
    </row>
    <row r="331" spans="9:10" x14ac:dyDescent="0.25">
      <c r="I331" s="37"/>
      <c r="J331" s="35"/>
    </row>
    <row r="332" spans="9:10" x14ac:dyDescent="0.25">
      <c r="I332" s="37"/>
      <c r="J332" s="35"/>
    </row>
    <row r="333" spans="9:10" x14ac:dyDescent="0.25">
      <c r="I333" s="37"/>
      <c r="J333" s="35"/>
    </row>
    <row r="334" spans="9:10" x14ac:dyDescent="0.25">
      <c r="I334" s="37"/>
      <c r="J334" s="35"/>
    </row>
    <row r="335" spans="9:10" x14ac:dyDescent="0.25">
      <c r="I335" s="37"/>
      <c r="J335" s="35"/>
    </row>
    <row r="336" spans="9:10" x14ac:dyDescent="0.25">
      <c r="I336" s="37"/>
      <c r="J336" s="35"/>
    </row>
    <row r="337" spans="9:10" x14ac:dyDescent="0.25">
      <c r="I337" s="37"/>
      <c r="J337" s="35"/>
    </row>
    <row r="338" spans="9:10" x14ac:dyDescent="0.25">
      <c r="I338" s="37"/>
      <c r="J338" s="35"/>
    </row>
    <row r="339" spans="9:10" x14ac:dyDescent="0.25">
      <c r="I339" s="37"/>
      <c r="J339" s="35"/>
    </row>
    <row r="340" spans="9:10" x14ac:dyDescent="0.25">
      <c r="I340" s="37"/>
      <c r="J340" s="35"/>
    </row>
    <row r="341" spans="9:10" x14ac:dyDescent="0.25">
      <c r="I341" s="37"/>
      <c r="J341" s="35"/>
    </row>
    <row r="342" spans="9:10" x14ac:dyDescent="0.25">
      <c r="I342" s="37"/>
      <c r="J342" s="35"/>
    </row>
    <row r="343" spans="9:10" x14ac:dyDescent="0.25">
      <c r="I343" s="37"/>
      <c r="J343" s="35"/>
    </row>
    <row r="344" spans="9:10" x14ac:dyDescent="0.25">
      <c r="I344" s="37"/>
      <c r="J344" s="35"/>
    </row>
    <row r="345" spans="9:10" x14ac:dyDescent="0.25">
      <c r="I345" s="37"/>
      <c r="J345" s="35"/>
    </row>
    <row r="346" spans="9:10" x14ac:dyDescent="0.25">
      <c r="I346" s="37"/>
      <c r="J346" s="35"/>
    </row>
    <row r="347" spans="9:10" x14ac:dyDescent="0.25">
      <c r="I347" s="37"/>
      <c r="J347" s="35"/>
    </row>
    <row r="348" spans="9:10" x14ac:dyDescent="0.25">
      <c r="I348" s="37"/>
      <c r="J348" s="35"/>
    </row>
    <row r="349" spans="9:10" x14ac:dyDescent="0.25">
      <c r="I349" s="37"/>
      <c r="J349" s="35"/>
    </row>
    <row r="350" spans="9:10" x14ac:dyDescent="0.25">
      <c r="I350" s="37"/>
      <c r="J350" s="35"/>
    </row>
    <row r="351" spans="9:10" x14ac:dyDescent="0.25">
      <c r="I351" s="37"/>
      <c r="J351" s="35"/>
    </row>
    <row r="352" spans="9:10" x14ac:dyDescent="0.25">
      <c r="I352" s="37"/>
      <c r="J352" s="35"/>
    </row>
    <row r="353" spans="9:10" x14ac:dyDescent="0.25">
      <c r="I353" s="37"/>
      <c r="J353" s="35"/>
    </row>
    <row r="354" spans="9:10" x14ac:dyDescent="0.25">
      <c r="I354" s="37"/>
      <c r="J354" s="35"/>
    </row>
    <row r="355" spans="9:10" x14ac:dyDescent="0.25">
      <c r="I355" s="37"/>
      <c r="J355" s="35"/>
    </row>
    <row r="356" spans="9:10" x14ac:dyDescent="0.25">
      <c r="I356" s="37"/>
      <c r="J356" s="35"/>
    </row>
    <row r="357" spans="9:10" x14ac:dyDescent="0.25">
      <c r="I357" s="37"/>
      <c r="J357" s="35"/>
    </row>
    <row r="358" spans="9:10" x14ac:dyDescent="0.25">
      <c r="I358" s="37"/>
      <c r="J358" s="35"/>
    </row>
    <row r="359" spans="9:10" x14ac:dyDescent="0.25">
      <c r="I359" s="37"/>
      <c r="J359" s="35"/>
    </row>
    <row r="360" spans="9:10" x14ac:dyDescent="0.25">
      <c r="I360" s="37"/>
      <c r="J360" s="35"/>
    </row>
    <row r="361" spans="9:10" x14ac:dyDescent="0.25">
      <c r="I361" s="37"/>
      <c r="J361" s="35"/>
    </row>
    <row r="362" spans="9:10" x14ac:dyDescent="0.25">
      <c r="I362" s="37"/>
      <c r="J362" s="35"/>
    </row>
    <row r="363" spans="9:10" x14ac:dyDescent="0.25">
      <c r="I363" s="37"/>
      <c r="J363" s="35"/>
    </row>
    <row r="364" spans="9:10" x14ac:dyDescent="0.25">
      <c r="I364" s="37"/>
      <c r="J364" s="35"/>
    </row>
    <row r="365" spans="9:10" x14ac:dyDescent="0.25">
      <c r="I365" s="37"/>
      <c r="J365" s="35"/>
    </row>
    <row r="366" spans="9:10" x14ac:dyDescent="0.25">
      <c r="I366" s="37"/>
      <c r="J366" s="35"/>
    </row>
    <row r="367" spans="9:10" x14ac:dyDescent="0.25">
      <c r="I367" s="37"/>
      <c r="J367" s="35"/>
    </row>
    <row r="368" spans="9:10" x14ac:dyDescent="0.25">
      <c r="I368" s="37"/>
      <c r="J368" s="35"/>
    </row>
    <row r="369" spans="9:10" x14ac:dyDescent="0.25">
      <c r="I369" s="37"/>
      <c r="J369" s="35"/>
    </row>
    <row r="370" spans="9:10" x14ac:dyDescent="0.25">
      <c r="I370" s="37"/>
      <c r="J370" s="35"/>
    </row>
    <row r="371" spans="9:10" x14ac:dyDescent="0.25">
      <c r="I371" s="37"/>
      <c r="J371" s="35"/>
    </row>
    <row r="372" spans="9:10" x14ac:dyDescent="0.25">
      <c r="I372" s="37"/>
      <c r="J372" s="35"/>
    </row>
    <row r="373" spans="9:10" x14ac:dyDescent="0.25">
      <c r="I373" s="37"/>
      <c r="J373" s="35"/>
    </row>
    <row r="374" spans="9:10" x14ac:dyDescent="0.25">
      <c r="I374" s="37"/>
      <c r="J374" s="35"/>
    </row>
    <row r="375" spans="9:10" x14ac:dyDescent="0.25">
      <c r="I375" s="37"/>
      <c r="J375" s="35"/>
    </row>
    <row r="376" spans="9:10" x14ac:dyDescent="0.25">
      <c r="I376" s="37"/>
      <c r="J376" s="35"/>
    </row>
    <row r="377" spans="9:10" x14ac:dyDescent="0.25">
      <c r="I377" s="37"/>
      <c r="J377" s="35"/>
    </row>
    <row r="378" spans="9:10" x14ac:dyDescent="0.25">
      <c r="I378" s="37"/>
      <c r="J378" s="35"/>
    </row>
    <row r="379" spans="9:10" x14ac:dyDescent="0.25">
      <c r="I379" s="37"/>
      <c r="J379" s="35"/>
    </row>
    <row r="380" spans="9:10" x14ac:dyDescent="0.25">
      <c r="I380" s="37"/>
      <c r="J380" s="35"/>
    </row>
    <row r="381" spans="9:10" x14ac:dyDescent="0.25">
      <c r="I381" s="37"/>
      <c r="J381" s="35"/>
    </row>
    <row r="382" spans="9:10" x14ac:dyDescent="0.25">
      <c r="I382" s="37"/>
      <c r="J382" s="35"/>
    </row>
    <row r="383" spans="9:10" x14ac:dyDescent="0.25">
      <c r="I383" s="37"/>
      <c r="J383" s="35"/>
    </row>
    <row r="384" spans="9:10" x14ac:dyDescent="0.25">
      <c r="I384" s="37"/>
      <c r="J384" s="35"/>
    </row>
    <row r="385" spans="9:10" x14ac:dyDescent="0.25">
      <c r="I385" s="37"/>
      <c r="J385" s="35"/>
    </row>
    <row r="386" spans="9:10" x14ac:dyDescent="0.25">
      <c r="I386" s="37"/>
      <c r="J386" s="35"/>
    </row>
    <row r="387" spans="9:10" x14ac:dyDescent="0.25">
      <c r="I387" s="37"/>
      <c r="J387" s="35"/>
    </row>
    <row r="388" spans="9:10" x14ac:dyDescent="0.25">
      <c r="I388" s="37"/>
      <c r="J388" s="35"/>
    </row>
    <row r="389" spans="9:10" x14ac:dyDescent="0.25">
      <c r="I389" s="37"/>
      <c r="J389" s="35"/>
    </row>
    <row r="390" spans="9:10" x14ac:dyDescent="0.25">
      <c r="I390" s="37"/>
      <c r="J390" s="35"/>
    </row>
    <row r="391" spans="9:10" x14ac:dyDescent="0.25">
      <c r="I391" s="37"/>
      <c r="J391" s="35"/>
    </row>
    <row r="392" spans="9:10" x14ac:dyDescent="0.25">
      <c r="I392" s="37"/>
      <c r="J392" s="35"/>
    </row>
    <row r="393" spans="9:10" x14ac:dyDescent="0.25">
      <c r="I393" s="37"/>
      <c r="J393" s="35"/>
    </row>
    <row r="394" spans="9:10" x14ac:dyDescent="0.25">
      <c r="I394" s="37"/>
      <c r="J394" s="35"/>
    </row>
    <row r="395" spans="9:10" x14ac:dyDescent="0.25">
      <c r="I395" s="37"/>
      <c r="J395" s="35"/>
    </row>
    <row r="396" spans="9:10" x14ac:dyDescent="0.25">
      <c r="I396" s="37"/>
      <c r="J396" s="35"/>
    </row>
    <row r="397" spans="9:10" x14ac:dyDescent="0.25">
      <c r="I397" s="37"/>
      <c r="J397" s="35"/>
    </row>
    <row r="398" spans="9:10" x14ac:dyDescent="0.25">
      <c r="I398" s="37"/>
      <c r="J398" s="35"/>
    </row>
    <row r="399" spans="9:10" x14ac:dyDescent="0.25">
      <c r="I399" s="37"/>
      <c r="J399" s="35"/>
    </row>
    <row r="400" spans="9:10" x14ac:dyDescent="0.25">
      <c r="I400" s="37"/>
      <c r="J400" s="35"/>
    </row>
    <row r="401" spans="9:10" x14ac:dyDescent="0.25">
      <c r="I401" s="37"/>
      <c r="J401" s="35"/>
    </row>
    <row r="402" spans="9:10" x14ac:dyDescent="0.25">
      <c r="I402" s="37"/>
      <c r="J402" s="35"/>
    </row>
    <row r="403" spans="9:10" x14ac:dyDescent="0.25">
      <c r="I403" s="37"/>
      <c r="J403" s="35"/>
    </row>
    <row r="404" spans="9:10" x14ac:dyDescent="0.25">
      <c r="I404" s="37"/>
      <c r="J404" s="35"/>
    </row>
    <row r="405" spans="9:10" x14ac:dyDescent="0.25">
      <c r="I405" s="37"/>
      <c r="J405" s="35"/>
    </row>
    <row r="406" spans="9:10" x14ac:dyDescent="0.25">
      <c r="I406" s="37"/>
      <c r="J406" s="35"/>
    </row>
    <row r="407" spans="9:10" x14ac:dyDescent="0.25">
      <c r="I407" s="37"/>
      <c r="J407" s="35"/>
    </row>
    <row r="408" spans="9:10" x14ac:dyDescent="0.25">
      <c r="I408" s="37"/>
      <c r="J408" s="35"/>
    </row>
    <row r="409" spans="9:10" x14ac:dyDescent="0.25">
      <c r="I409" s="37"/>
      <c r="J409" s="35"/>
    </row>
    <row r="410" spans="9:10" x14ac:dyDescent="0.25">
      <c r="I410" s="37"/>
      <c r="J410" s="35"/>
    </row>
    <row r="411" spans="9:10" x14ac:dyDescent="0.25">
      <c r="I411" s="37"/>
      <c r="J411" s="35"/>
    </row>
    <row r="412" spans="9:10" x14ac:dyDescent="0.25">
      <c r="I412" s="37"/>
      <c r="J412" s="35"/>
    </row>
    <row r="413" spans="9:10" x14ac:dyDescent="0.25">
      <c r="I413" s="37"/>
      <c r="J413" s="35"/>
    </row>
    <row r="414" spans="9:10" x14ac:dyDescent="0.25">
      <c r="I414" s="37"/>
      <c r="J414" s="35"/>
    </row>
    <row r="415" spans="9:10" x14ac:dyDescent="0.25">
      <c r="I415" s="37"/>
      <c r="J415" s="35"/>
    </row>
    <row r="416" spans="9:10" x14ac:dyDescent="0.25">
      <c r="I416" s="37"/>
      <c r="J416" s="35"/>
    </row>
    <row r="417" spans="9:10" x14ac:dyDescent="0.25">
      <c r="I417" s="37"/>
      <c r="J417" s="35"/>
    </row>
    <row r="418" spans="9:10" x14ac:dyDescent="0.25">
      <c r="I418" s="37"/>
      <c r="J418" s="35"/>
    </row>
    <row r="419" spans="9:10" x14ac:dyDescent="0.25">
      <c r="I419" s="37"/>
      <c r="J419" s="35"/>
    </row>
    <row r="420" spans="9:10" x14ac:dyDescent="0.25">
      <c r="I420" s="37"/>
      <c r="J420" s="35"/>
    </row>
    <row r="421" spans="9:10" x14ac:dyDescent="0.25">
      <c r="I421" s="37"/>
      <c r="J421" s="35"/>
    </row>
    <row r="422" spans="9:10" x14ac:dyDescent="0.25">
      <c r="I422" s="37"/>
      <c r="J422" s="35"/>
    </row>
    <row r="423" spans="9:10" x14ac:dyDescent="0.25">
      <c r="I423" s="37"/>
      <c r="J423" s="35"/>
    </row>
    <row r="424" spans="9:10" x14ac:dyDescent="0.25">
      <c r="I424" s="37"/>
      <c r="J424" s="35"/>
    </row>
    <row r="425" spans="9:10" x14ac:dyDescent="0.25">
      <c r="I425" s="37"/>
      <c r="J425" s="35"/>
    </row>
    <row r="426" spans="9:10" x14ac:dyDescent="0.25">
      <c r="I426" s="37"/>
      <c r="J426" s="35"/>
    </row>
    <row r="427" spans="9:10" x14ac:dyDescent="0.25">
      <c r="I427" s="37"/>
      <c r="J427" s="35"/>
    </row>
    <row r="428" spans="9:10" x14ac:dyDescent="0.25">
      <c r="I428" s="37"/>
      <c r="J428" s="35"/>
    </row>
    <row r="429" spans="9:10" x14ac:dyDescent="0.25">
      <c r="I429" s="37"/>
      <c r="J429" s="35"/>
    </row>
    <row r="430" spans="9:10" x14ac:dyDescent="0.25">
      <c r="I430" s="37"/>
      <c r="J430" s="35"/>
    </row>
    <row r="431" spans="9:10" x14ac:dyDescent="0.25">
      <c r="I431" s="37"/>
      <c r="J431" s="35"/>
    </row>
    <row r="432" spans="9:10" x14ac:dyDescent="0.25">
      <c r="I432" s="37"/>
      <c r="J432" s="35"/>
    </row>
    <row r="433" spans="9:10" x14ac:dyDescent="0.25">
      <c r="I433" s="37"/>
      <c r="J433" s="35"/>
    </row>
    <row r="434" spans="9:10" x14ac:dyDescent="0.25">
      <c r="I434" s="37"/>
      <c r="J434" s="35"/>
    </row>
    <row r="435" spans="9:10" x14ac:dyDescent="0.25">
      <c r="I435" s="37"/>
      <c r="J435" s="35"/>
    </row>
    <row r="436" spans="9:10" x14ac:dyDescent="0.25">
      <c r="I436" s="37"/>
      <c r="J436" s="35"/>
    </row>
    <row r="437" spans="9:10" x14ac:dyDescent="0.25">
      <c r="I437" s="37"/>
      <c r="J437" s="35"/>
    </row>
    <row r="438" spans="9:10" x14ac:dyDescent="0.25">
      <c r="I438" s="37"/>
      <c r="J438" s="35"/>
    </row>
    <row r="439" spans="9:10" x14ac:dyDescent="0.25">
      <c r="I439" s="37"/>
      <c r="J439" s="35"/>
    </row>
    <row r="440" spans="9:10" x14ac:dyDescent="0.25">
      <c r="I440" s="37"/>
      <c r="J440" s="35"/>
    </row>
    <row r="441" spans="9:10" x14ac:dyDescent="0.25">
      <c r="I441" s="37"/>
      <c r="J441" s="35"/>
    </row>
    <row r="442" spans="9:10" x14ac:dyDescent="0.25">
      <c r="I442" s="37"/>
      <c r="J442" s="35"/>
    </row>
    <row r="443" spans="9:10" x14ac:dyDescent="0.25">
      <c r="I443" s="37"/>
      <c r="J443" s="35"/>
    </row>
    <row r="444" spans="9:10" x14ac:dyDescent="0.25">
      <c r="I444" s="37"/>
      <c r="J444" s="35"/>
    </row>
    <row r="445" spans="9:10" x14ac:dyDescent="0.25">
      <c r="I445" s="37"/>
      <c r="J445" s="35"/>
    </row>
    <row r="446" spans="9:10" x14ac:dyDescent="0.25">
      <c r="I446" s="37"/>
      <c r="J446" s="35"/>
    </row>
    <row r="447" spans="9:10" x14ac:dyDescent="0.25">
      <c r="I447" s="37"/>
      <c r="J447" s="35"/>
    </row>
    <row r="448" spans="9:10" x14ac:dyDescent="0.25">
      <c r="I448" s="37"/>
      <c r="J448" s="35"/>
    </row>
    <row r="449" spans="9:10" x14ac:dyDescent="0.25">
      <c r="I449" s="37"/>
      <c r="J449" s="35"/>
    </row>
    <row r="450" spans="9:10" x14ac:dyDescent="0.25">
      <c r="I450" s="37"/>
      <c r="J450" s="35"/>
    </row>
    <row r="451" spans="9:10" x14ac:dyDescent="0.25">
      <c r="I451" s="37"/>
      <c r="J451" s="35"/>
    </row>
    <row r="452" spans="9:10" x14ac:dyDescent="0.25">
      <c r="I452" s="37"/>
      <c r="J452" s="35"/>
    </row>
    <row r="453" spans="9:10" x14ac:dyDescent="0.25">
      <c r="I453" s="37"/>
      <c r="J453" s="35"/>
    </row>
    <row r="454" spans="9:10" x14ac:dyDescent="0.25">
      <c r="I454" s="37"/>
      <c r="J454" s="35"/>
    </row>
    <row r="455" spans="9:10" x14ac:dyDescent="0.25">
      <c r="I455" s="37"/>
      <c r="J455" s="35"/>
    </row>
    <row r="456" spans="9:10" x14ac:dyDescent="0.25">
      <c r="I456" s="37"/>
      <c r="J456" s="35"/>
    </row>
    <row r="457" spans="9:10" x14ac:dyDescent="0.25">
      <c r="I457" s="37"/>
      <c r="J457" s="35"/>
    </row>
    <row r="458" spans="9:10" x14ac:dyDescent="0.25">
      <c r="I458" s="37"/>
      <c r="J458" s="35"/>
    </row>
    <row r="459" spans="9:10" x14ac:dyDescent="0.25">
      <c r="I459" s="37"/>
      <c r="J459" s="35"/>
    </row>
    <row r="460" spans="9:10" x14ac:dyDescent="0.25">
      <c r="I460" s="37"/>
      <c r="J460" s="35"/>
    </row>
    <row r="461" spans="9:10" x14ac:dyDescent="0.25">
      <c r="I461" s="37"/>
      <c r="J461" s="35"/>
    </row>
    <row r="462" spans="9:10" x14ac:dyDescent="0.25">
      <c r="I462" s="37"/>
      <c r="J462" s="35"/>
    </row>
    <row r="463" spans="9:10" x14ac:dyDescent="0.25">
      <c r="I463" s="37"/>
      <c r="J463" s="35"/>
    </row>
    <row r="464" spans="9:10" x14ac:dyDescent="0.25">
      <c r="I464" s="37"/>
      <c r="J464" s="35"/>
    </row>
    <row r="465" spans="9:10" x14ac:dyDescent="0.25">
      <c r="I465" s="37"/>
      <c r="J465" s="35"/>
    </row>
    <row r="466" spans="9:10" x14ac:dyDescent="0.25">
      <c r="I466" s="37"/>
      <c r="J466" s="35"/>
    </row>
    <row r="467" spans="9:10" x14ac:dyDescent="0.25">
      <c r="I467" s="37"/>
      <c r="J467" s="35"/>
    </row>
    <row r="468" spans="9:10" x14ac:dyDescent="0.25">
      <c r="I468" s="37"/>
      <c r="J468" s="35"/>
    </row>
    <row r="469" spans="9:10" x14ac:dyDescent="0.25">
      <c r="I469" s="37"/>
      <c r="J469" s="35"/>
    </row>
    <row r="470" spans="9:10" x14ac:dyDescent="0.25">
      <c r="I470" s="37"/>
      <c r="J470" s="35"/>
    </row>
    <row r="471" spans="9:10" x14ac:dyDescent="0.25">
      <c r="I471" s="37"/>
      <c r="J471" s="35"/>
    </row>
    <row r="472" spans="9:10" x14ac:dyDescent="0.25">
      <c r="I472" s="37"/>
      <c r="J472" s="35"/>
    </row>
    <row r="473" spans="9:10" x14ac:dyDescent="0.25">
      <c r="I473" s="37"/>
      <c r="J473" s="35"/>
    </row>
    <row r="474" spans="9:10" x14ac:dyDescent="0.25">
      <c r="I474" s="37"/>
      <c r="J474" s="35"/>
    </row>
    <row r="475" spans="9:10" x14ac:dyDescent="0.25">
      <c r="I475" s="37"/>
      <c r="J475" s="35"/>
    </row>
    <row r="476" spans="9:10" x14ac:dyDescent="0.25">
      <c r="I476" s="37"/>
      <c r="J476" s="35"/>
    </row>
    <row r="477" spans="9:10" x14ac:dyDescent="0.25">
      <c r="I477" s="37"/>
      <c r="J477" s="35"/>
    </row>
    <row r="478" spans="9:10" x14ac:dyDescent="0.25">
      <c r="I478" s="37"/>
      <c r="J478" s="35"/>
    </row>
    <row r="479" spans="9:10" x14ac:dyDescent="0.25">
      <c r="I479" s="37"/>
      <c r="J479" s="35"/>
    </row>
    <row r="480" spans="9:10" x14ac:dyDescent="0.25">
      <c r="I480" s="37"/>
      <c r="J480" s="35"/>
    </row>
    <row r="481" spans="9:10" x14ac:dyDescent="0.25">
      <c r="I481" s="37"/>
      <c r="J481" s="35"/>
    </row>
    <row r="482" spans="9:10" x14ac:dyDescent="0.25">
      <c r="I482" s="37"/>
      <c r="J482" s="35"/>
    </row>
    <row r="483" spans="9:10" x14ac:dyDescent="0.25">
      <c r="I483" s="37"/>
      <c r="J483" s="35"/>
    </row>
    <row r="484" spans="9:10" x14ac:dyDescent="0.25">
      <c r="I484" s="37"/>
      <c r="J484" s="35"/>
    </row>
    <row r="485" spans="9:10" x14ac:dyDescent="0.25">
      <c r="I485" s="37"/>
      <c r="J485" s="35"/>
    </row>
    <row r="486" spans="9:10" x14ac:dyDescent="0.25">
      <c r="I486" s="37"/>
      <c r="J486" s="35"/>
    </row>
    <row r="487" spans="9:10" x14ac:dyDescent="0.25">
      <c r="I487" s="37"/>
      <c r="J487" s="35"/>
    </row>
    <row r="488" spans="9:10" x14ac:dyDescent="0.25">
      <c r="I488" s="37"/>
      <c r="J488" s="35"/>
    </row>
    <row r="489" spans="9:10" x14ac:dyDescent="0.25">
      <c r="I489" s="37"/>
      <c r="J489" s="35"/>
    </row>
    <row r="490" spans="9:10" x14ac:dyDescent="0.25">
      <c r="I490" s="37"/>
      <c r="J490" s="35"/>
    </row>
    <row r="491" spans="9:10" x14ac:dyDescent="0.25">
      <c r="I491" s="37"/>
      <c r="J491" s="35"/>
    </row>
    <row r="492" spans="9:10" x14ac:dyDescent="0.25">
      <c r="I492" s="37"/>
      <c r="J492" s="35"/>
    </row>
    <row r="493" spans="9:10" x14ac:dyDescent="0.25">
      <c r="I493" s="37"/>
      <c r="J493" s="35"/>
    </row>
    <row r="494" spans="9:10" x14ac:dyDescent="0.25">
      <c r="I494" s="37"/>
      <c r="J494" s="35"/>
    </row>
    <row r="495" spans="9:10" x14ac:dyDescent="0.25">
      <c r="I495" s="37"/>
      <c r="J495" s="35"/>
    </row>
    <row r="496" spans="9:10" x14ac:dyDescent="0.25">
      <c r="I496" s="37"/>
      <c r="J496" s="35"/>
    </row>
    <row r="497" spans="9:10" x14ac:dyDescent="0.25">
      <c r="I497" s="37"/>
      <c r="J497" s="35"/>
    </row>
    <row r="498" spans="9:10" x14ac:dyDescent="0.25">
      <c r="I498" s="37"/>
      <c r="J498" s="35"/>
    </row>
    <row r="499" spans="9:10" x14ac:dyDescent="0.25">
      <c r="I499" s="37"/>
      <c r="J499" s="35"/>
    </row>
    <row r="500" spans="9:10" x14ac:dyDescent="0.25">
      <c r="I500" s="37"/>
      <c r="J500" s="35"/>
    </row>
    <row r="501" spans="9:10" x14ac:dyDescent="0.25">
      <c r="I501" s="37"/>
      <c r="J501" s="35"/>
    </row>
    <row r="502" spans="9:10" x14ac:dyDescent="0.25">
      <c r="I502" s="37"/>
      <c r="J502" s="35"/>
    </row>
    <row r="503" spans="9:10" x14ac:dyDescent="0.25">
      <c r="I503" s="37"/>
      <c r="J503" s="35"/>
    </row>
    <row r="504" spans="9:10" x14ac:dyDescent="0.25">
      <c r="I504" s="37"/>
      <c r="J504" s="35"/>
    </row>
    <row r="505" spans="9:10" x14ac:dyDescent="0.25">
      <c r="I505" s="37"/>
      <c r="J505" s="35"/>
    </row>
    <row r="506" spans="9:10" x14ac:dyDescent="0.25">
      <c r="I506" s="37"/>
      <c r="J506" s="35"/>
    </row>
    <row r="507" spans="9:10" x14ac:dyDescent="0.25">
      <c r="I507" s="37"/>
      <c r="J507" s="35"/>
    </row>
    <row r="508" spans="9:10" x14ac:dyDescent="0.25">
      <c r="I508" s="37"/>
      <c r="J508" s="35"/>
    </row>
    <row r="509" spans="9:10" x14ac:dyDescent="0.25">
      <c r="I509" s="37"/>
      <c r="J509" s="35"/>
    </row>
    <row r="510" spans="9:10" x14ac:dyDescent="0.25">
      <c r="I510" s="37"/>
      <c r="J510" s="35"/>
    </row>
    <row r="511" spans="9:10" x14ac:dyDescent="0.25">
      <c r="I511" s="37"/>
      <c r="J511" s="35"/>
    </row>
    <row r="512" spans="9:10" x14ac:dyDescent="0.25">
      <c r="I512" s="37"/>
      <c r="J512" s="35"/>
    </row>
    <row r="513" spans="9:10" x14ac:dyDescent="0.25">
      <c r="I513" s="37"/>
      <c r="J513" s="35"/>
    </row>
    <row r="514" spans="9:10" x14ac:dyDescent="0.25">
      <c r="I514" s="37"/>
      <c r="J514" s="35"/>
    </row>
    <row r="515" spans="9:10" x14ac:dyDescent="0.25">
      <c r="I515" s="37"/>
      <c r="J515" s="35"/>
    </row>
    <row r="516" spans="9:10" x14ac:dyDescent="0.25">
      <c r="I516" s="37"/>
      <c r="J516" s="35"/>
    </row>
    <row r="517" spans="9:10" x14ac:dyDescent="0.25">
      <c r="I517" s="37"/>
      <c r="J517" s="35"/>
    </row>
    <row r="518" spans="9:10" x14ac:dyDescent="0.25">
      <c r="I518" s="37"/>
      <c r="J518" s="35"/>
    </row>
    <row r="519" spans="9:10" x14ac:dyDescent="0.25">
      <c r="I519" s="37"/>
      <c r="J519" s="35"/>
    </row>
    <row r="520" spans="9:10" x14ac:dyDescent="0.25">
      <c r="I520" s="37"/>
      <c r="J520" s="35"/>
    </row>
    <row r="521" spans="9:10" x14ac:dyDescent="0.25">
      <c r="I521" s="37"/>
      <c r="J521" s="35"/>
    </row>
    <row r="522" spans="9:10" x14ac:dyDescent="0.25">
      <c r="I522" s="37"/>
      <c r="J522" s="35"/>
    </row>
    <row r="523" spans="9:10" x14ac:dyDescent="0.25">
      <c r="I523" s="37"/>
      <c r="J523" s="35"/>
    </row>
    <row r="524" spans="9:10" x14ac:dyDescent="0.25">
      <c r="I524" s="37"/>
      <c r="J524" s="35"/>
    </row>
    <row r="525" spans="9:10" x14ac:dyDescent="0.25">
      <c r="I525" s="37"/>
      <c r="J525" s="35"/>
    </row>
    <row r="526" spans="9:10" x14ac:dyDescent="0.25">
      <c r="I526" s="37"/>
      <c r="J526" s="35"/>
    </row>
    <row r="527" spans="9:10" x14ac:dyDescent="0.25">
      <c r="I527" s="37"/>
      <c r="J527" s="35"/>
    </row>
    <row r="528" spans="9:10" x14ac:dyDescent="0.25">
      <c r="I528" s="37"/>
      <c r="J528" s="35"/>
    </row>
    <row r="529" spans="9:10" x14ac:dyDescent="0.25">
      <c r="I529" s="37"/>
      <c r="J529" s="35"/>
    </row>
    <row r="530" spans="9:10" x14ac:dyDescent="0.25">
      <c r="I530" s="37"/>
      <c r="J530" s="35"/>
    </row>
    <row r="531" spans="9:10" x14ac:dyDescent="0.25">
      <c r="I531" s="37"/>
      <c r="J531" s="35"/>
    </row>
    <row r="532" spans="9:10" x14ac:dyDescent="0.25">
      <c r="I532" s="37"/>
      <c r="J532" s="35"/>
    </row>
    <row r="533" spans="9:10" x14ac:dyDescent="0.25">
      <c r="I533" s="37"/>
      <c r="J533" s="35"/>
    </row>
    <row r="534" spans="9:10" x14ac:dyDescent="0.25">
      <c r="I534" s="37"/>
      <c r="J534" s="35"/>
    </row>
    <row r="535" spans="9:10" x14ac:dyDescent="0.25">
      <c r="I535" s="37"/>
      <c r="J535" s="35"/>
    </row>
    <row r="536" spans="9:10" x14ac:dyDescent="0.25">
      <c r="I536" s="37"/>
      <c r="J536" s="35"/>
    </row>
    <row r="537" spans="9:10" x14ac:dyDescent="0.25">
      <c r="I537" s="37"/>
      <c r="J537" s="35"/>
    </row>
    <row r="538" spans="9:10" x14ac:dyDescent="0.25">
      <c r="I538" s="37"/>
      <c r="J538" s="35"/>
    </row>
    <row r="539" spans="9:10" x14ac:dyDescent="0.25">
      <c r="I539" s="37"/>
      <c r="J539" s="35"/>
    </row>
    <row r="540" spans="9:10" x14ac:dyDescent="0.25">
      <c r="I540" s="37"/>
      <c r="J540" s="35"/>
    </row>
    <row r="541" spans="9:10" x14ac:dyDescent="0.25">
      <c r="I541" s="37"/>
      <c r="J541" s="35"/>
    </row>
    <row r="542" spans="9:10" x14ac:dyDescent="0.25">
      <c r="I542" s="37"/>
      <c r="J542" s="35"/>
    </row>
    <row r="543" spans="9:10" x14ac:dyDescent="0.25">
      <c r="I543" s="37"/>
      <c r="J543" s="35"/>
    </row>
    <row r="544" spans="9:10" x14ac:dyDescent="0.25">
      <c r="I544" s="37"/>
      <c r="J544" s="35"/>
    </row>
    <row r="545" spans="9:10" x14ac:dyDescent="0.25">
      <c r="I545" s="37"/>
      <c r="J545" s="35"/>
    </row>
    <row r="546" spans="9:10" x14ac:dyDescent="0.25">
      <c r="I546" s="37"/>
      <c r="J546" s="35"/>
    </row>
    <row r="547" spans="9:10" x14ac:dyDescent="0.25">
      <c r="I547" s="37"/>
      <c r="J547" s="35"/>
    </row>
    <row r="548" spans="9:10" x14ac:dyDescent="0.25">
      <c r="I548" s="37"/>
      <c r="J548" s="35"/>
    </row>
    <row r="549" spans="9:10" x14ac:dyDescent="0.25">
      <c r="I549" s="37"/>
      <c r="J549" s="35"/>
    </row>
    <row r="550" spans="9:10" x14ac:dyDescent="0.25">
      <c r="I550" s="37"/>
      <c r="J550" s="35"/>
    </row>
    <row r="551" spans="9:10" x14ac:dyDescent="0.25">
      <c r="I551" s="37"/>
      <c r="J551" s="35"/>
    </row>
    <row r="552" spans="9:10" x14ac:dyDescent="0.25">
      <c r="I552" s="37"/>
      <c r="J552" s="35"/>
    </row>
    <row r="553" spans="9:10" x14ac:dyDescent="0.25">
      <c r="I553" s="37"/>
      <c r="J553" s="35"/>
    </row>
    <row r="554" spans="9:10" x14ac:dyDescent="0.25">
      <c r="I554" s="37"/>
      <c r="J554" s="35"/>
    </row>
    <row r="555" spans="9:10" x14ac:dyDescent="0.25">
      <c r="I555" s="37"/>
      <c r="J555" s="35"/>
    </row>
    <row r="556" spans="9:10" x14ac:dyDescent="0.25">
      <c r="I556" s="37"/>
      <c r="J556" s="35"/>
    </row>
    <row r="557" spans="9:10" x14ac:dyDescent="0.25">
      <c r="I557" s="37"/>
      <c r="J557" s="35"/>
    </row>
    <row r="558" spans="9:10" x14ac:dyDescent="0.25">
      <c r="I558" s="37"/>
      <c r="J558" s="35"/>
    </row>
    <row r="559" spans="9:10" x14ac:dyDescent="0.25">
      <c r="I559" s="37"/>
      <c r="J559" s="35"/>
    </row>
    <row r="560" spans="9:10" x14ac:dyDescent="0.25">
      <c r="I560" s="37"/>
      <c r="J560" s="35"/>
    </row>
    <row r="561" spans="9:10" x14ac:dyDescent="0.25">
      <c r="I561" s="37"/>
      <c r="J561" s="35"/>
    </row>
    <row r="562" spans="9:10" x14ac:dyDescent="0.25">
      <c r="I562" s="37"/>
      <c r="J562" s="35"/>
    </row>
    <row r="563" spans="9:10" x14ac:dyDescent="0.25">
      <c r="I563" s="37"/>
      <c r="J563" s="35"/>
    </row>
    <row r="564" spans="9:10" x14ac:dyDescent="0.25">
      <c r="I564" s="37"/>
      <c r="J564" s="35"/>
    </row>
    <row r="565" spans="9:10" x14ac:dyDescent="0.25">
      <c r="I565" s="37"/>
      <c r="J565" s="35"/>
    </row>
    <row r="566" spans="9:10" x14ac:dyDescent="0.25">
      <c r="I566" s="37"/>
      <c r="J566" s="35"/>
    </row>
    <row r="567" spans="9:10" x14ac:dyDescent="0.25">
      <c r="I567" s="37"/>
      <c r="J567" s="35"/>
    </row>
    <row r="568" spans="9:10" x14ac:dyDescent="0.25">
      <c r="I568" s="37"/>
      <c r="J568" s="35"/>
    </row>
    <row r="569" spans="9:10" x14ac:dyDescent="0.25">
      <c r="I569" s="37"/>
      <c r="J569" s="35"/>
    </row>
    <row r="570" spans="9:10" x14ac:dyDescent="0.25">
      <c r="I570" s="37"/>
      <c r="J570" s="35"/>
    </row>
    <row r="571" spans="9:10" x14ac:dyDescent="0.25">
      <c r="I571" s="37"/>
      <c r="J571" s="35"/>
    </row>
    <row r="572" spans="9:10" x14ac:dyDescent="0.25">
      <c r="I572" s="37"/>
      <c r="J572" s="35"/>
    </row>
    <row r="573" spans="9:10" x14ac:dyDescent="0.25">
      <c r="I573" s="37"/>
      <c r="J573" s="35"/>
    </row>
    <row r="574" spans="9:10" x14ac:dyDescent="0.25">
      <c r="I574" s="37"/>
      <c r="J574" s="35"/>
    </row>
    <row r="575" spans="9:10" x14ac:dyDescent="0.25">
      <c r="I575" s="37"/>
      <c r="J575" s="35"/>
    </row>
    <row r="576" spans="9:10" x14ac:dyDescent="0.25">
      <c r="I576" s="37"/>
      <c r="J576" s="35"/>
    </row>
    <row r="577" spans="9:10" x14ac:dyDescent="0.25">
      <c r="I577" s="37"/>
      <c r="J577" s="35"/>
    </row>
    <row r="578" spans="9:10" x14ac:dyDescent="0.25">
      <c r="I578" s="37"/>
      <c r="J578" s="35"/>
    </row>
    <row r="579" spans="9:10" x14ac:dyDescent="0.25">
      <c r="I579" s="37"/>
      <c r="J579" s="35"/>
    </row>
    <row r="580" spans="9:10" x14ac:dyDescent="0.25">
      <c r="I580" s="37"/>
      <c r="J580" s="35"/>
    </row>
    <row r="581" spans="9:10" x14ac:dyDescent="0.25">
      <c r="I581" s="37"/>
      <c r="J581" s="35"/>
    </row>
    <row r="582" spans="9:10" x14ac:dyDescent="0.25">
      <c r="I582" s="37"/>
      <c r="J582" s="35"/>
    </row>
    <row r="583" spans="9:10" x14ac:dyDescent="0.25">
      <c r="I583" s="37"/>
      <c r="J583" s="35"/>
    </row>
    <row r="584" spans="9:10" x14ac:dyDescent="0.25">
      <c r="I584" s="37"/>
      <c r="J584" s="35"/>
    </row>
    <row r="585" spans="9:10" x14ac:dyDescent="0.25">
      <c r="I585" s="37"/>
      <c r="J585" s="35"/>
    </row>
    <row r="586" spans="9:10" x14ac:dyDescent="0.25">
      <c r="I586" s="37"/>
      <c r="J586" s="35"/>
    </row>
    <row r="587" spans="9:10" x14ac:dyDescent="0.25">
      <c r="I587" s="37"/>
      <c r="J587" s="35"/>
    </row>
    <row r="588" spans="9:10" x14ac:dyDescent="0.25">
      <c r="I588" s="37"/>
      <c r="J588" s="35"/>
    </row>
    <row r="589" spans="9:10" x14ac:dyDescent="0.25">
      <c r="I589" s="37"/>
      <c r="J589" s="35"/>
    </row>
    <row r="590" spans="9:10" x14ac:dyDescent="0.25">
      <c r="I590" s="37"/>
      <c r="J590" s="35"/>
    </row>
    <row r="591" spans="9:10" x14ac:dyDescent="0.25">
      <c r="I591" s="37"/>
      <c r="J591" s="35"/>
    </row>
    <row r="592" spans="9:10" x14ac:dyDescent="0.25">
      <c r="I592" s="37"/>
      <c r="J592" s="35"/>
    </row>
    <row r="593" spans="9:10" x14ac:dyDescent="0.25">
      <c r="I593" s="37"/>
      <c r="J593" s="35"/>
    </row>
    <row r="594" spans="9:10" x14ac:dyDescent="0.25">
      <c r="I594" s="37"/>
      <c r="J594" s="35"/>
    </row>
    <row r="595" spans="9:10" x14ac:dyDescent="0.25">
      <c r="I595" s="37"/>
      <c r="J595" s="35"/>
    </row>
    <row r="596" spans="9:10" x14ac:dyDescent="0.25">
      <c r="I596" s="37"/>
      <c r="J596" s="35"/>
    </row>
    <row r="597" spans="9:10" x14ac:dyDescent="0.25">
      <c r="I597" s="37"/>
      <c r="J597" s="35"/>
    </row>
    <row r="598" spans="9:10" x14ac:dyDescent="0.25">
      <c r="I598" s="37"/>
      <c r="J598" s="35"/>
    </row>
    <row r="599" spans="9:10" x14ac:dyDescent="0.25">
      <c r="I599" s="37"/>
      <c r="J599" s="35"/>
    </row>
    <row r="600" spans="9:10" x14ac:dyDescent="0.25">
      <c r="I600" s="37"/>
      <c r="J600" s="35"/>
    </row>
    <row r="601" spans="9:10" x14ac:dyDescent="0.25">
      <c r="I601" s="37"/>
      <c r="J601" s="35"/>
    </row>
    <row r="602" spans="9:10" x14ac:dyDescent="0.25">
      <c r="I602" s="37"/>
      <c r="J602" s="35"/>
    </row>
    <row r="603" spans="9:10" x14ac:dyDescent="0.25">
      <c r="I603" s="37"/>
      <c r="J603" s="35"/>
    </row>
    <row r="604" spans="9:10" x14ac:dyDescent="0.25">
      <c r="I604" s="37"/>
      <c r="J604" s="35"/>
    </row>
    <row r="605" spans="9:10" x14ac:dyDescent="0.25">
      <c r="I605" s="37"/>
      <c r="J605" s="35"/>
    </row>
    <row r="606" spans="9:10" x14ac:dyDescent="0.25">
      <c r="I606" s="37"/>
      <c r="J606" s="35"/>
    </row>
    <row r="607" spans="9:10" x14ac:dyDescent="0.25">
      <c r="I607" s="37"/>
      <c r="J607" s="35"/>
    </row>
    <row r="608" spans="9:10" x14ac:dyDescent="0.25">
      <c r="I608" s="37"/>
      <c r="J608" s="35"/>
    </row>
    <row r="609" spans="9:10" x14ac:dyDescent="0.25">
      <c r="I609" s="37"/>
      <c r="J609" s="35"/>
    </row>
    <row r="610" spans="9:10" x14ac:dyDescent="0.25">
      <c r="I610" s="37"/>
      <c r="J610" s="35"/>
    </row>
    <row r="611" spans="9:10" x14ac:dyDescent="0.25">
      <c r="I611" s="37"/>
      <c r="J611" s="35"/>
    </row>
    <row r="612" spans="9:10" x14ac:dyDescent="0.25">
      <c r="I612" s="37"/>
      <c r="J612" s="35"/>
    </row>
    <row r="613" spans="9:10" x14ac:dyDescent="0.25">
      <c r="I613" s="37"/>
      <c r="J613" s="35"/>
    </row>
    <row r="614" spans="9:10" x14ac:dyDescent="0.25">
      <c r="I614" s="37"/>
      <c r="J614" s="35"/>
    </row>
    <row r="615" spans="9:10" x14ac:dyDescent="0.25">
      <c r="I615" s="37"/>
      <c r="J615" s="35"/>
    </row>
    <row r="616" spans="9:10" x14ac:dyDescent="0.25">
      <c r="I616" s="37"/>
      <c r="J616" s="35"/>
    </row>
    <row r="617" spans="9:10" x14ac:dyDescent="0.25">
      <c r="I617" s="37"/>
      <c r="J617" s="35"/>
    </row>
    <row r="618" spans="9:10" x14ac:dyDescent="0.25">
      <c r="I618" s="37"/>
      <c r="J618" s="35"/>
    </row>
    <row r="619" spans="9:10" x14ac:dyDescent="0.25">
      <c r="I619" s="37"/>
      <c r="J619" s="35"/>
    </row>
    <row r="620" spans="9:10" x14ac:dyDescent="0.25">
      <c r="I620" s="37"/>
      <c r="J620" s="35"/>
    </row>
    <row r="621" spans="9:10" x14ac:dyDescent="0.25">
      <c r="I621" s="37"/>
      <c r="J621" s="35"/>
    </row>
    <row r="622" spans="9:10" x14ac:dyDescent="0.25">
      <c r="I622" s="37"/>
      <c r="J622" s="35"/>
    </row>
    <row r="623" spans="9:10" x14ac:dyDescent="0.25">
      <c r="I623" s="37"/>
      <c r="J623" s="35"/>
    </row>
    <row r="624" spans="9:10" x14ac:dyDescent="0.25">
      <c r="I624" s="37"/>
      <c r="J624" s="35"/>
    </row>
    <row r="625" spans="9:10" x14ac:dyDescent="0.25">
      <c r="I625" s="37"/>
      <c r="J625" s="35"/>
    </row>
    <row r="626" spans="9:10" x14ac:dyDescent="0.25">
      <c r="I626" s="37"/>
      <c r="J626" s="35"/>
    </row>
    <row r="627" spans="9:10" x14ac:dyDescent="0.25">
      <c r="I627" s="37"/>
      <c r="J627" s="35"/>
    </row>
    <row r="628" spans="9:10" x14ac:dyDescent="0.25">
      <c r="I628" s="37"/>
      <c r="J628" s="35"/>
    </row>
    <row r="629" spans="9:10" x14ac:dyDescent="0.25">
      <c r="I629" s="37"/>
      <c r="J629" s="35"/>
    </row>
    <row r="630" spans="9:10" x14ac:dyDescent="0.25">
      <c r="I630" s="37"/>
      <c r="J630" s="35"/>
    </row>
    <row r="631" spans="9:10" x14ac:dyDescent="0.25">
      <c r="I631" s="37"/>
      <c r="J631" s="35"/>
    </row>
    <row r="632" spans="9:10" x14ac:dyDescent="0.25">
      <c r="I632" s="37"/>
      <c r="J632" s="35"/>
    </row>
    <row r="633" spans="9:10" x14ac:dyDescent="0.25">
      <c r="I633" s="37"/>
      <c r="J633" s="35"/>
    </row>
    <row r="634" spans="9:10" x14ac:dyDescent="0.25">
      <c r="I634" s="37"/>
      <c r="J634" s="35"/>
    </row>
    <row r="635" spans="9:10" x14ac:dyDescent="0.25">
      <c r="I635" s="37"/>
      <c r="J635" s="35"/>
    </row>
    <row r="636" spans="9:10" x14ac:dyDescent="0.25">
      <c r="I636" s="37"/>
      <c r="J636" s="35"/>
    </row>
    <row r="637" spans="9:10" x14ac:dyDescent="0.25">
      <c r="I637" s="37"/>
      <c r="J637" s="35"/>
    </row>
    <row r="638" spans="9:10" x14ac:dyDescent="0.25">
      <c r="I638" s="37"/>
      <c r="J638" s="35"/>
    </row>
    <row r="639" spans="9:10" x14ac:dyDescent="0.25">
      <c r="I639" s="37"/>
      <c r="J639" s="35"/>
    </row>
    <row r="640" spans="9:10" x14ac:dyDescent="0.25">
      <c r="I640" s="37"/>
      <c r="J640" s="35"/>
    </row>
    <row r="641" spans="9:10" x14ac:dyDescent="0.25">
      <c r="I641" s="37"/>
      <c r="J641" s="35"/>
    </row>
    <row r="642" spans="9:10" x14ac:dyDescent="0.25">
      <c r="I642" s="37"/>
      <c r="J642" s="35"/>
    </row>
    <row r="643" spans="9:10" x14ac:dyDescent="0.25">
      <c r="I643" s="37"/>
      <c r="J643" s="35"/>
    </row>
    <row r="644" spans="9:10" x14ac:dyDescent="0.25">
      <c r="I644" s="37"/>
      <c r="J644" s="35"/>
    </row>
    <row r="645" spans="9:10" x14ac:dyDescent="0.25">
      <c r="I645" s="37"/>
      <c r="J645" s="35"/>
    </row>
    <row r="646" spans="9:10" x14ac:dyDescent="0.25">
      <c r="I646" s="37"/>
      <c r="J646" s="35"/>
    </row>
    <row r="647" spans="9:10" x14ac:dyDescent="0.25">
      <c r="I647" s="37"/>
      <c r="J647" s="35"/>
    </row>
    <row r="648" spans="9:10" x14ac:dyDescent="0.25">
      <c r="I648" s="37"/>
      <c r="J648" s="35"/>
    </row>
    <row r="649" spans="9:10" x14ac:dyDescent="0.25">
      <c r="I649" s="37"/>
      <c r="J649" s="35"/>
    </row>
    <row r="650" spans="9:10" x14ac:dyDescent="0.25">
      <c r="I650" s="37"/>
      <c r="J650" s="35"/>
    </row>
    <row r="651" spans="9:10" x14ac:dyDescent="0.25">
      <c r="I651" s="37"/>
      <c r="J651" s="35"/>
    </row>
    <row r="652" spans="9:10" x14ac:dyDescent="0.25">
      <c r="I652" s="37"/>
      <c r="J652" s="35"/>
    </row>
    <row r="653" spans="9:10" x14ac:dyDescent="0.25">
      <c r="I653" s="37"/>
      <c r="J653" s="35"/>
    </row>
    <row r="654" spans="9:10" x14ac:dyDescent="0.25">
      <c r="I654" s="37"/>
      <c r="J654" s="35"/>
    </row>
    <row r="655" spans="9:10" x14ac:dyDescent="0.25">
      <c r="I655" s="37"/>
      <c r="J655" s="35"/>
    </row>
    <row r="656" spans="9:10" x14ac:dyDescent="0.25">
      <c r="I656" s="37"/>
      <c r="J656" s="35"/>
    </row>
    <row r="657" spans="9:10" x14ac:dyDescent="0.25">
      <c r="I657" s="37"/>
      <c r="J657" s="35"/>
    </row>
    <row r="658" spans="9:10" x14ac:dyDescent="0.25">
      <c r="I658" s="37"/>
      <c r="J658" s="35"/>
    </row>
    <row r="659" spans="9:10" x14ac:dyDescent="0.25">
      <c r="I659" s="37"/>
      <c r="J659" s="35"/>
    </row>
    <row r="660" spans="9:10" x14ac:dyDescent="0.25">
      <c r="I660" s="37"/>
      <c r="J660" s="35"/>
    </row>
    <row r="661" spans="9:10" x14ac:dyDescent="0.25">
      <c r="I661" s="37"/>
      <c r="J661" s="35"/>
    </row>
    <row r="662" spans="9:10" x14ac:dyDescent="0.25">
      <c r="I662" s="37"/>
      <c r="J662" s="35"/>
    </row>
    <row r="663" spans="9:10" x14ac:dyDescent="0.25">
      <c r="I663" s="37"/>
      <c r="J663" s="35"/>
    </row>
    <row r="664" spans="9:10" x14ac:dyDescent="0.25">
      <c r="I664" s="37"/>
      <c r="J664" s="35"/>
    </row>
    <row r="665" spans="9:10" x14ac:dyDescent="0.25">
      <c r="I665" s="37"/>
      <c r="J665" s="35"/>
    </row>
    <row r="666" spans="9:10" x14ac:dyDescent="0.25">
      <c r="I666" s="37"/>
      <c r="J666" s="35"/>
    </row>
    <row r="667" spans="9:10" x14ac:dyDescent="0.25">
      <c r="I667" s="37"/>
      <c r="J667" s="35"/>
    </row>
    <row r="668" spans="9:10" x14ac:dyDescent="0.25">
      <c r="I668" s="37"/>
      <c r="J668" s="35"/>
    </row>
    <row r="669" spans="9:10" x14ac:dyDescent="0.25">
      <c r="I669" s="37"/>
      <c r="J669" s="35"/>
    </row>
    <row r="670" spans="9:10" x14ac:dyDescent="0.25">
      <c r="I670" s="37"/>
      <c r="J670" s="35"/>
    </row>
    <row r="671" spans="9:10" x14ac:dyDescent="0.25">
      <c r="I671" s="37"/>
      <c r="J671" s="35"/>
    </row>
    <row r="672" spans="9:10" x14ac:dyDescent="0.25">
      <c r="I672" s="37"/>
      <c r="J672" s="35"/>
    </row>
    <row r="673" spans="9:10" x14ac:dyDescent="0.25">
      <c r="I673" s="37"/>
      <c r="J673" s="35"/>
    </row>
    <row r="674" spans="9:10" x14ac:dyDescent="0.25">
      <c r="I674" s="37"/>
      <c r="J674" s="35"/>
    </row>
    <row r="675" spans="9:10" x14ac:dyDescent="0.25">
      <c r="I675" s="37"/>
      <c r="J675" s="35"/>
    </row>
    <row r="676" spans="9:10" x14ac:dyDescent="0.25">
      <c r="I676" s="37"/>
      <c r="J676" s="35"/>
    </row>
    <row r="677" spans="9:10" x14ac:dyDescent="0.25">
      <c r="I677" s="37"/>
      <c r="J677" s="35"/>
    </row>
    <row r="678" spans="9:10" x14ac:dyDescent="0.25">
      <c r="I678" s="37"/>
      <c r="J678" s="35"/>
    </row>
    <row r="679" spans="9:10" x14ac:dyDescent="0.25">
      <c r="I679" s="37"/>
      <c r="J679" s="35"/>
    </row>
    <row r="680" spans="9:10" x14ac:dyDescent="0.25">
      <c r="I680" s="37"/>
      <c r="J680" s="35"/>
    </row>
    <row r="681" spans="9:10" x14ac:dyDescent="0.25">
      <c r="I681" s="37"/>
      <c r="J681" s="35"/>
    </row>
    <row r="682" spans="9:10" x14ac:dyDescent="0.25">
      <c r="I682" s="37"/>
      <c r="J682" s="35"/>
    </row>
    <row r="683" spans="9:10" x14ac:dyDescent="0.25">
      <c r="I683" s="37"/>
      <c r="J683" s="35"/>
    </row>
    <row r="684" spans="9:10" x14ac:dyDescent="0.25">
      <c r="I684" s="37"/>
      <c r="J684" s="35"/>
    </row>
    <row r="685" spans="9:10" x14ac:dyDescent="0.25">
      <c r="I685" s="37"/>
      <c r="J685" s="35"/>
    </row>
    <row r="686" spans="9:10" x14ac:dyDescent="0.25">
      <c r="I686" s="37"/>
      <c r="J686" s="35"/>
    </row>
    <row r="687" spans="9:10" x14ac:dyDescent="0.25">
      <c r="I687" s="37"/>
      <c r="J687" s="35"/>
    </row>
    <row r="688" spans="9:10" x14ac:dyDescent="0.25">
      <c r="I688" s="37"/>
      <c r="J688" s="35"/>
    </row>
    <row r="689" spans="9:10" x14ac:dyDescent="0.25">
      <c r="I689" s="37"/>
      <c r="J689" s="35"/>
    </row>
    <row r="690" spans="9:10" x14ac:dyDescent="0.25">
      <c r="I690" s="37"/>
      <c r="J690" s="35"/>
    </row>
    <row r="691" spans="9:10" x14ac:dyDescent="0.25">
      <c r="I691" s="37"/>
      <c r="J691" s="35"/>
    </row>
    <row r="692" spans="9:10" x14ac:dyDescent="0.25">
      <c r="I692" s="37"/>
      <c r="J692" s="35"/>
    </row>
    <row r="693" spans="9:10" x14ac:dyDescent="0.25">
      <c r="I693" s="37"/>
      <c r="J693" s="35"/>
    </row>
    <row r="694" spans="9:10" x14ac:dyDescent="0.25">
      <c r="I694" s="37"/>
      <c r="J694" s="35"/>
    </row>
    <row r="695" spans="9:10" x14ac:dyDescent="0.25">
      <c r="I695" s="37"/>
      <c r="J695" s="35"/>
    </row>
    <row r="696" spans="9:10" x14ac:dyDescent="0.25">
      <c r="I696" s="37"/>
      <c r="J696" s="35"/>
    </row>
    <row r="697" spans="9:10" x14ac:dyDescent="0.25">
      <c r="I697" s="37"/>
      <c r="J697" s="35"/>
    </row>
    <row r="698" spans="9:10" x14ac:dyDescent="0.25">
      <c r="I698" s="37"/>
      <c r="J698" s="35"/>
    </row>
    <row r="699" spans="9:10" x14ac:dyDescent="0.25">
      <c r="I699" s="37"/>
      <c r="J699" s="35"/>
    </row>
    <row r="700" spans="9:10" x14ac:dyDescent="0.25">
      <c r="I700" s="37"/>
      <c r="J700" s="35"/>
    </row>
    <row r="701" spans="9:10" x14ac:dyDescent="0.25">
      <c r="I701" s="37"/>
      <c r="J701" s="35"/>
    </row>
    <row r="702" spans="9:10" x14ac:dyDescent="0.25">
      <c r="I702" s="37"/>
      <c r="J702" s="35"/>
    </row>
    <row r="703" spans="9:10" x14ac:dyDescent="0.25">
      <c r="I703" s="37"/>
      <c r="J703" s="35"/>
    </row>
    <row r="704" spans="9:10" x14ac:dyDescent="0.25">
      <c r="I704" s="37"/>
      <c r="J704" s="35"/>
    </row>
    <row r="705" spans="9:10" x14ac:dyDescent="0.25">
      <c r="I705" s="37"/>
      <c r="J705" s="35"/>
    </row>
    <row r="706" spans="9:10" x14ac:dyDescent="0.25">
      <c r="I706" s="37"/>
      <c r="J706" s="35"/>
    </row>
    <row r="707" spans="9:10" x14ac:dyDescent="0.25">
      <c r="I707" s="37"/>
      <c r="J707" s="35"/>
    </row>
    <row r="708" spans="9:10" x14ac:dyDescent="0.25">
      <c r="I708" s="37"/>
      <c r="J708" s="35"/>
    </row>
    <row r="709" spans="9:10" x14ac:dyDescent="0.25">
      <c r="I709" s="37"/>
      <c r="J709" s="35"/>
    </row>
    <row r="710" spans="9:10" x14ac:dyDescent="0.25">
      <c r="I710" s="37"/>
      <c r="J710" s="35"/>
    </row>
    <row r="711" spans="9:10" x14ac:dyDescent="0.25">
      <c r="I711" s="37"/>
      <c r="J711" s="35"/>
    </row>
    <row r="712" spans="9:10" x14ac:dyDescent="0.25">
      <c r="I712" s="37"/>
      <c r="J712" s="35"/>
    </row>
    <row r="713" spans="9:10" x14ac:dyDescent="0.25">
      <c r="I713" s="37"/>
      <c r="J713" s="35"/>
    </row>
    <row r="714" spans="9:10" x14ac:dyDescent="0.25">
      <c r="I714" s="37"/>
      <c r="J714" s="35"/>
    </row>
    <row r="715" spans="9:10" x14ac:dyDescent="0.25">
      <c r="I715" s="37"/>
      <c r="J715" s="35"/>
    </row>
    <row r="716" spans="9:10" x14ac:dyDescent="0.25">
      <c r="I716" s="37"/>
      <c r="J716" s="35"/>
    </row>
    <row r="717" spans="9:10" x14ac:dyDescent="0.25">
      <c r="I717" s="37"/>
      <c r="J717" s="35"/>
    </row>
    <row r="718" spans="9:10" x14ac:dyDescent="0.25">
      <c r="I718" s="37"/>
      <c r="J718" s="35"/>
    </row>
    <row r="719" spans="9:10" x14ac:dyDescent="0.25">
      <c r="I719" s="37"/>
      <c r="J719" s="35"/>
    </row>
    <row r="720" spans="9:10" x14ac:dyDescent="0.25">
      <c r="I720" s="37"/>
      <c r="J720" s="35"/>
    </row>
    <row r="721" spans="9:10" x14ac:dyDescent="0.25">
      <c r="I721" s="37"/>
      <c r="J721" s="35"/>
    </row>
    <row r="722" spans="9:10" x14ac:dyDescent="0.25">
      <c r="I722" s="37"/>
      <c r="J722" s="35"/>
    </row>
    <row r="723" spans="9:10" x14ac:dyDescent="0.25">
      <c r="I723" s="37"/>
      <c r="J723" s="35"/>
    </row>
    <row r="724" spans="9:10" x14ac:dyDescent="0.25">
      <c r="I724" s="37"/>
      <c r="J724" s="35"/>
    </row>
    <row r="725" spans="9:10" x14ac:dyDescent="0.25">
      <c r="I725" s="37"/>
      <c r="J725" s="35"/>
    </row>
    <row r="726" spans="9:10" x14ac:dyDescent="0.25">
      <c r="I726" s="37"/>
      <c r="J726" s="35"/>
    </row>
    <row r="727" spans="9:10" x14ac:dyDescent="0.25">
      <c r="I727" s="37"/>
      <c r="J727" s="35"/>
    </row>
    <row r="728" spans="9:10" x14ac:dyDescent="0.25">
      <c r="I728" s="37"/>
      <c r="J728" s="35"/>
    </row>
    <row r="729" spans="9:10" x14ac:dyDescent="0.25">
      <c r="I729" s="37"/>
      <c r="J729" s="35"/>
    </row>
    <row r="730" spans="9:10" x14ac:dyDescent="0.25">
      <c r="I730" s="37"/>
      <c r="J730" s="35"/>
    </row>
    <row r="731" spans="9:10" x14ac:dyDescent="0.25">
      <c r="I731" s="37"/>
      <c r="J731" s="35"/>
    </row>
    <row r="732" spans="9:10" x14ac:dyDescent="0.25">
      <c r="I732" s="37"/>
      <c r="J732" s="35"/>
    </row>
    <row r="733" spans="9:10" x14ac:dyDescent="0.25">
      <c r="I733" s="37"/>
      <c r="J733" s="35"/>
    </row>
    <row r="734" spans="9:10" x14ac:dyDescent="0.25">
      <c r="I734" s="37"/>
      <c r="J734" s="35"/>
    </row>
    <row r="735" spans="9:10" x14ac:dyDescent="0.25">
      <c r="I735" s="37"/>
      <c r="J735" s="35"/>
    </row>
    <row r="736" spans="9:10" x14ac:dyDescent="0.25">
      <c r="I736" s="37"/>
      <c r="J736" s="35"/>
    </row>
    <row r="737" spans="9:10" x14ac:dyDescent="0.25">
      <c r="I737" s="37"/>
      <c r="J737" s="35"/>
    </row>
    <row r="738" spans="9:10" x14ac:dyDescent="0.25">
      <c r="I738" s="37"/>
      <c r="J738" s="35"/>
    </row>
    <row r="739" spans="9:10" x14ac:dyDescent="0.25">
      <c r="I739" s="37"/>
      <c r="J739" s="35"/>
    </row>
    <row r="740" spans="9:10" x14ac:dyDescent="0.25">
      <c r="I740" s="37"/>
      <c r="J740" s="35"/>
    </row>
    <row r="741" spans="9:10" x14ac:dyDescent="0.25">
      <c r="I741" s="37"/>
      <c r="J741" s="35"/>
    </row>
    <row r="742" spans="9:10" x14ac:dyDescent="0.25">
      <c r="I742" s="37"/>
      <c r="J742" s="35"/>
    </row>
    <row r="743" spans="9:10" x14ac:dyDescent="0.25">
      <c r="I743" s="37"/>
      <c r="J743" s="35"/>
    </row>
    <row r="744" spans="9:10" x14ac:dyDescent="0.25">
      <c r="I744" s="37"/>
      <c r="J744" s="35"/>
    </row>
    <row r="745" spans="9:10" x14ac:dyDescent="0.25">
      <c r="I745" s="37"/>
      <c r="J745" s="35"/>
    </row>
    <row r="746" spans="9:10" x14ac:dyDescent="0.25">
      <c r="I746" s="37"/>
      <c r="J746" s="35"/>
    </row>
    <row r="747" spans="9:10" x14ac:dyDescent="0.25">
      <c r="I747" s="37"/>
      <c r="J747" s="35"/>
    </row>
    <row r="748" spans="9:10" x14ac:dyDescent="0.25">
      <c r="I748" s="37"/>
      <c r="J748" s="35"/>
    </row>
    <row r="749" spans="9:10" x14ac:dyDescent="0.25">
      <c r="I749" s="37"/>
      <c r="J749" s="35"/>
    </row>
    <row r="750" spans="9:10" x14ac:dyDescent="0.25">
      <c r="I750" s="37"/>
      <c r="J750" s="35"/>
    </row>
    <row r="751" spans="9:10" x14ac:dyDescent="0.25">
      <c r="I751" s="37"/>
      <c r="J751" s="35"/>
    </row>
    <row r="752" spans="9:10" x14ac:dyDescent="0.25">
      <c r="I752" s="37"/>
      <c r="J752" s="35"/>
    </row>
    <row r="753" spans="9:10" x14ac:dyDescent="0.25">
      <c r="I753" s="37"/>
      <c r="J753" s="35"/>
    </row>
    <row r="754" spans="9:10" x14ac:dyDescent="0.25">
      <c r="I754" s="37"/>
      <c r="J754" s="35"/>
    </row>
    <row r="755" spans="9:10" x14ac:dyDescent="0.25">
      <c r="I755" s="37"/>
      <c r="J755" s="35"/>
    </row>
    <row r="756" spans="9:10" x14ac:dyDescent="0.25">
      <c r="I756" s="37"/>
      <c r="J756" s="35"/>
    </row>
    <row r="757" spans="9:10" x14ac:dyDescent="0.25">
      <c r="I757" s="37"/>
      <c r="J757" s="35"/>
    </row>
    <row r="758" spans="9:10" x14ac:dyDescent="0.25">
      <c r="I758" s="37"/>
      <c r="J758" s="35"/>
    </row>
    <row r="759" spans="9:10" x14ac:dyDescent="0.25">
      <c r="I759" s="37"/>
      <c r="J759" s="35"/>
    </row>
    <row r="760" spans="9:10" x14ac:dyDescent="0.25">
      <c r="I760" s="37"/>
      <c r="J760" s="35"/>
    </row>
    <row r="761" spans="9:10" x14ac:dyDescent="0.25">
      <c r="I761" s="37"/>
      <c r="J761" s="35"/>
    </row>
    <row r="762" spans="9:10" x14ac:dyDescent="0.25">
      <c r="I762" s="37"/>
      <c r="J762" s="35"/>
    </row>
    <row r="763" spans="9:10" x14ac:dyDescent="0.25">
      <c r="I763" s="37"/>
      <c r="J763" s="35"/>
    </row>
    <row r="764" spans="9:10" x14ac:dyDescent="0.25">
      <c r="I764" s="37"/>
      <c r="J764" s="35"/>
    </row>
    <row r="765" spans="9:10" x14ac:dyDescent="0.25">
      <c r="I765" s="37"/>
      <c r="J765" s="35"/>
    </row>
    <row r="766" spans="9:10" x14ac:dyDescent="0.25">
      <c r="I766" s="37"/>
      <c r="J766" s="35"/>
    </row>
    <row r="767" spans="9:10" x14ac:dyDescent="0.25">
      <c r="I767" s="37"/>
      <c r="J767" s="35"/>
    </row>
    <row r="768" spans="9:10" x14ac:dyDescent="0.25">
      <c r="I768" s="37"/>
      <c r="J768" s="35"/>
    </row>
    <row r="769" spans="9:10" x14ac:dyDescent="0.25">
      <c r="I769" s="37"/>
      <c r="J769" s="35"/>
    </row>
    <row r="770" spans="9:10" x14ac:dyDescent="0.25">
      <c r="I770" s="37"/>
      <c r="J770" s="35"/>
    </row>
    <row r="771" spans="9:10" x14ac:dyDescent="0.25">
      <c r="I771" s="37"/>
      <c r="J771" s="35"/>
    </row>
    <row r="772" spans="9:10" x14ac:dyDescent="0.25">
      <c r="I772" s="37"/>
      <c r="J772" s="35"/>
    </row>
    <row r="773" spans="9:10" x14ac:dyDescent="0.25">
      <c r="I773" s="37"/>
      <c r="J773" s="35"/>
    </row>
    <row r="774" spans="9:10" x14ac:dyDescent="0.25">
      <c r="I774" s="37"/>
      <c r="J774" s="35"/>
    </row>
    <row r="775" spans="9:10" x14ac:dyDescent="0.25">
      <c r="I775" s="37"/>
      <c r="J775" s="35"/>
    </row>
    <row r="776" spans="9:10" x14ac:dyDescent="0.25">
      <c r="I776" s="37"/>
      <c r="J776" s="35"/>
    </row>
    <row r="777" spans="9:10" x14ac:dyDescent="0.25">
      <c r="I777" s="37"/>
      <c r="J777" s="35"/>
    </row>
    <row r="778" spans="9:10" x14ac:dyDescent="0.25">
      <c r="I778" s="37"/>
      <c r="J778" s="35"/>
    </row>
    <row r="779" spans="9:10" x14ac:dyDescent="0.25">
      <c r="I779" s="37"/>
      <c r="J779" s="35"/>
    </row>
    <row r="780" spans="9:10" x14ac:dyDescent="0.25">
      <c r="I780" s="37"/>
      <c r="J780" s="35"/>
    </row>
    <row r="781" spans="9:10" x14ac:dyDescent="0.25">
      <c r="I781" s="37"/>
      <c r="J781" s="35"/>
    </row>
    <row r="782" spans="9:10" x14ac:dyDescent="0.25">
      <c r="I782" s="37"/>
      <c r="J782" s="35"/>
    </row>
    <row r="783" spans="9:10" x14ac:dyDescent="0.25">
      <c r="I783" s="37"/>
      <c r="J783" s="35"/>
    </row>
    <row r="784" spans="9:10" x14ac:dyDescent="0.25">
      <c r="I784" s="37"/>
      <c r="J784" s="35"/>
    </row>
    <row r="785" spans="9:10" x14ac:dyDescent="0.25">
      <c r="I785" s="37"/>
      <c r="J785" s="35"/>
    </row>
    <row r="786" spans="9:10" x14ac:dyDescent="0.25">
      <c r="I786" s="37"/>
      <c r="J786" s="35"/>
    </row>
    <row r="787" spans="9:10" x14ac:dyDescent="0.25">
      <c r="I787" s="37"/>
      <c r="J787" s="35"/>
    </row>
    <row r="788" spans="9:10" x14ac:dyDescent="0.25">
      <c r="I788" s="37"/>
      <c r="J788" s="35"/>
    </row>
    <row r="789" spans="9:10" x14ac:dyDescent="0.25">
      <c r="I789" s="37"/>
      <c r="J789" s="35"/>
    </row>
    <row r="790" spans="9:10" x14ac:dyDescent="0.25">
      <c r="I790" s="37"/>
      <c r="J790" s="35"/>
    </row>
    <row r="791" spans="9:10" x14ac:dyDescent="0.25">
      <c r="I791" s="37"/>
      <c r="J791" s="35"/>
    </row>
    <row r="792" spans="9:10" x14ac:dyDescent="0.25">
      <c r="I792" s="37"/>
      <c r="J792" s="35"/>
    </row>
    <row r="793" spans="9:10" x14ac:dyDescent="0.25">
      <c r="I793" s="37"/>
      <c r="J793" s="35"/>
    </row>
    <row r="794" spans="9:10" x14ac:dyDescent="0.25">
      <c r="I794" s="37"/>
      <c r="J794" s="35"/>
    </row>
    <row r="795" spans="9:10" x14ac:dyDescent="0.25">
      <c r="I795" s="37"/>
      <c r="J795" s="35"/>
    </row>
    <row r="796" spans="9:10" x14ac:dyDescent="0.25">
      <c r="I796" s="37"/>
      <c r="J796" s="35"/>
    </row>
    <row r="797" spans="9:10" x14ac:dyDescent="0.25">
      <c r="I797" s="37"/>
      <c r="J797" s="35"/>
    </row>
    <row r="798" spans="9:10" x14ac:dyDescent="0.25">
      <c r="I798" s="37"/>
      <c r="J798" s="35"/>
    </row>
    <row r="799" spans="9:10" x14ac:dyDescent="0.25">
      <c r="I799" s="37"/>
      <c r="J799" s="35"/>
    </row>
    <row r="800" spans="9:10" x14ac:dyDescent="0.25">
      <c r="I800" s="37"/>
      <c r="J800" s="35"/>
    </row>
    <row r="801" spans="9:10" x14ac:dyDescent="0.25">
      <c r="I801" s="37"/>
      <c r="J801" s="35"/>
    </row>
    <row r="802" spans="9:10" x14ac:dyDescent="0.25">
      <c r="I802" s="37"/>
      <c r="J802" s="35"/>
    </row>
    <row r="803" spans="9:10" x14ac:dyDescent="0.25">
      <c r="I803" s="37"/>
      <c r="J803" s="35"/>
    </row>
    <row r="804" spans="9:10" x14ac:dyDescent="0.25">
      <c r="I804" s="37"/>
      <c r="J804" s="35"/>
    </row>
    <row r="805" spans="9:10" x14ac:dyDescent="0.25">
      <c r="I805" s="37"/>
      <c r="J805" s="35"/>
    </row>
    <row r="806" spans="9:10" x14ac:dyDescent="0.25">
      <c r="I806" s="37"/>
      <c r="J806" s="35"/>
    </row>
    <row r="807" spans="9:10" x14ac:dyDescent="0.25">
      <c r="I807" s="37"/>
      <c r="J807" s="35"/>
    </row>
    <row r="808" spans="9:10" x14ac:dyDescent="0.25">
      <c r="I808" s="37"/>
      <c r="J808" s="35"/>
    </row>
    <row r="809" spans="9:10" x14ac:dyDescent="0.25">
      <c r="I809" s="37"/>
      <c r="J809" s="35"/>
    </row>
    <row r="810" spans="9:10" x14ac:dyDescent="0.25">
      <c r="I810" s="37"/>
      <c r="J810" s="35"/>
    </row>
    <row r="811" spans="9:10" x14ac:dyDescent="0.25">
      <c r="I811" s="37"/>
      <c r="J811" s="35"/>
    </row>
    <row r="812" spans="9:10" x14ac:dyDescent="0.25">
      <c r="I812" s="37"/>
      <c r="J812" s="35"/>
    </row>
    <row r="813" spans="9:10" x14ac:dyDescent="0.25">
      <c r="I813" s="37"/>
      <c r="J813" s="35"/>
    </row>
    <row r="814" spans="9:10" x14ac:dyDescent="0.25">
      <c r="I814" s="37"/>
      <c r="J814" s="35"/>
    </row>
    <row r="815" spans="9:10" x14ac:dyDescent="0.25">
      <c r="I815" s="37"/>
      <c r="J815" s="35"/>
    </row>
    <row r="816" spans="9:10" x14ac:dyDescent="0.25">
      <c r="I816" s="37"/>
      <c r="J816" s="35"/>
    </row>
    <row r="817" spans="9:10" x14ac:dyDescent="0.25">
      <c r="I817" s="37"/>
      <c r="J817" s="35"/>
    </row>
    <row r="818" spans="9:10" x14ac:dyDescent="0.25">
      <c r="I818" s="37"/>
      <c r="J818" s="35"/>
    </row>
    <row r="819" spans="9:10" x14ac:dyDescent="0.25">
      <c r="I819" s="37"/>
      <c r="J819" s="35"/>
    </row>
    <row r="820" spans="9:10" x14ac:dyDescent="0.25">
      <c r="I820" s="37"/>
      <c r="J820" s="35"/>
    </row>
    <row r="821" spans="9:10" x14ac:dyDescent="0.25">
      <c r="I821" s="37"/>
      <c r="J821" s="35"/>
    </row>
    <row r="822" spans="9:10" x14ac:dyDescent="0.25">
      <c r="I822" s="37"/>
      <c r="J822" s="35"/>
    </row>
    <row r="823" spans="9:10" x14ac:dyDescent="0.25">
      <c r="I823" s="37"/>
      <c r="J823" s="35"/>
    </row>
    <row r="824" spans="9:10" x14ac:dyDescent="0.25">
      <c r="I824" s="37"/>
      <c r="J824" s="35"/>
    </row>
    <row r="825" spans="9:10" x14ac:dyDescent="0.25">
      <c r="I825" s="37"/>
      <c r="J825" s="35"/>
    </row>
    <row r="826" spans="9:10" x14ac:dyDescent="0.25">
      <c r="I826" s="37"/>
      <c r="J826" s="35"/>
    </row>
    <row r="827" spans="9:10" x14ac:dyDescent="0.25">
      <c r="I827" s="37"/>
      <c r="J827" s="35"/>
    </row>
    <row r="828" spans="9:10" x14ac:dyDescent="0.25">
      <c r="I828" s="37"/>
      <c r="J828" s="35"/>
    </row>
    <row r="829" spans="9:10" x14ac:dyDescent="0.25">
      <c r="I829" s="37"/>
      <c r="J829" s="35"/>
    </row>
    <row r="830" spans="9:10" x14ac:dyDescent="0.25">
      <c r="I830" s="37"/>
      <c r="J830" s="35"/>
    </row>
    <row r="831" spans="9:10" x14ac:dyDescent="0.25">
      <c r="I831" s="37"/>
      <c r="J831" s="35"/>
    </row>
    <row r="832" spans="9:10" x14ac:dyDescent="0.25">
      <c r="I832" s="37"/>
      <c r="J832" s="35"/>
    </row>
    <row r="833" spans="9:10" x14ac:dyDescent="0.25">
      <c r="I833" s="37"/>
      <c r="J833" s="35"/>
    </row>
    <row r="834" spans="9:10" x14ac:dyDescent="0.25">
      <c r="I834" s="37"/>
      <c r="J834" s="35"/>
    </row>
    <row r="835" spans="9:10" x14ac:dyDescent="0.25">
      <c r="I835" s="37"/>
      <c r="J835" s="35"/>
    </row>
    <row r="836" spans="9:10" x14ac:dyDescent="0.25">
      <c r="I836" s="37"/>
      <c r="J836" s="35"/>
    </row>
    <row r="837" spans="9:10" x14ac:dyDescent="0.25">
      <c r="I837" s="37"/>
      <c r="J837" s="35"/>
    </row>
    <row r="838" spans="9:10" x14ac:dyDescent="0.25">
      <c r="I838" s="37"/>
      <c r="J838" s="35"/>
    </row>
    <row r="839" spans="9:10" x14ac:dyDescent="0.25">
      <c r="I839" s="37"/>
      <c r="J839" s="35"/>
    </row>
    <row r="840" spans="9:10" x14ac:dyDescent="0.25">
      <c r="I840" s="37"/>
      <c r="J840" s="35"/>
    </row>
    <row r="841" spans="9:10" x14ac:dyDescent="0.25">
      <c r="I841" s="37"/>
      <c r="J841" s="35"/>
    </row>
    <row r="842" spans="9:10" x14ac:dyDescent="0.25">
      <c r="I842" s="37"/>
      <c r="J842" s="35"/>
    </row>
    <row r="843" spans="9:10" x14ac:dyDescent="0.25">
      <c r="I843" s="37"/>
      <c r="J843" s="35"/>
    </row>
    <row r="844" spans="9:10" x14ac:dyDescent="0.25">
      <c r="I844" s="37"/>
      <c r="J844" s="35"/>
    </row>
    <row r="845" spans="9:10" x14ac:dyDescent="0.25">
      <c r="I845" s="37"/>
      <c r="J845" s="35"/>
    </row>
    <row r="846" spans="9:10" x14ac:dyDescent="0.25">
      <c r="I846" s="37"/>
      <c r="J846" s="35"/>
    </row>
    <row r="847" spans="9:10" x14ac:dyDescent="0.25">
      <c r="I847" s="37"/>
      <c r="J847" s="35"/>
    </row>
    <row r="848" spans="9:10" x14ac:dyDescent="0.25">
      <c r="I848" s="37"/>
      <c r="J848" s="35"/>
    </row>
    <row r="849" spans="9:10" x14ac:dyDescent="0.25">
      <c r="I849" s="37"/>
      <c r="J849" s="35"/>
    </row>
    <row r="850" spans="9:10" x14ac:dyDescent="0.25">
      <c r="I850" s="37"/>
      <c r="J850" s="35"/>
    </row>
    <row r="851" spans="9:10" x14ac:dyDescent="0.25">
      <c r="I851" s="37"/>
      <c r="J851" s="35"/>
    </row>
    <row r="852" spans="9:10" x14ac:dyDescent="0.25">
      <c r="I852" s="37"/>
      <c r="J852" s="35"/>
    </row>
    <row r="853" spans="9:10" x14ac:dyDescent="0.25">
      <c r="I853" s="37"/>
      <c r="J853" s="35"/>
    </row>
    <row r="854" spans="9:10" x14ac:dyDescent="0.25">
      <c r="I854" s="37"/>
      <c r="J854" s="35"/>
    </row>
    <row r="855" spans="9:10" x14ac:dyDescent="0.25">
      <c r="I855" s="37"/>
      <c r="J855" s="35"/>
    </row>
    <row r="856" spans="9:10" x14ac:dyDescent="0.25">
      <c r="I856" s="37"/>
      <c r="J856" s="35"/>
    </row>
    <row r="857" spans="9:10" x14ac:dyDescent="0.25">
      <c r="I857" s="37"/>
      <c r="J857" s="35"/>
    </row>
    <row r="858" spans="9:10" x14ac:dyDescent="0.25">
      <c r="I858" s="37"/>
      <c r="J858" s="35"/>
    </row>
    <row r="859" spans="9:10" x14ac:dyDescent="0.25">
      <c r="I859" s="37"/>
      <c r="J859" s="35"/>
    </row>
    <row r="860" spans="9:10" x14ac:dyDescent="0.25">
      <c r="I860" s="37"/>
      <c r="J860" s="35"/>
    </row>
    <row r="861" spans="9:10" x14ac:dyDescent="0.25">
      <c r="I861" s="37"/>
      <c r="J861" s="35"/>
    </row>
    <row r="862" spans="9:10" x14ac:dyDescent="0.25">
      <c r="I862" s="37"/>
      <c r="J862" s="35"/>
    </row>
    <row r="863" spans="9:10" x14ac:dyDescent="0.25">
      <c r="I863" s="37"/>
      <c r="J863" s="35"/>
    </row>
    <row r="864" spans="9:10" x14ac:dyDescent="0.25">
      <c r="I864" s="37"/>
      <c r="J864" s="35"/>
    </row>
    <row r="865" spans="9:10" x14ac:dyDescent="0.25">
      <c r="I865" s="37"/>
      <c r="J865" s="35"/>
    </row>
    <row r="866" spans="9:10" x14ac:dyDescent="0.25">
      <c r="I866" s="37"/>
      <c r="J866" s="35"/>
    </row>
    <row r="867" spans="9:10" x14ac:dyDescent="0.25">
      <c r="I867" s="37"/>
      <c r="J867" s="35"/>
    </row>
    <row r="868" spans="9:10" x14ac:dyDescent="0.25">
      <c r="I868" s="37"/>
      <c r="J868" s="35"/>
    </row>
    <row r="869" spans="9:10" x14ac:dyDescent="0.25">
      <c r="I869" s="37"/>
      <c r="J869" s="35"/>
    </row>
    <row r="870" spans="9:10" x14ac:dyDescent="0.25">
      <c r="I870" s="37"/>
      <c r="J870" s="35"/>
    </row>
    <row r="871" spans="9:10" x14ac:dyDescent="0.25">
      <c r="I871" s="37"/>
      <c r="J871" s="35"/>
    </row>
    <row r="872" spans="9:10" x14ac:dyDescent="0.25">
      <c r="I872" s="37"/>
      <c r="J872" s="35"/>
    </row>
    <row r="873" spans="9:10" x14ac:dyDescent="0.25">
      <c r="I873" s="37"/>
      <c r="J873" s="35"/>
    </row>
    <row r="874" spans="9:10" x14ac:dyDescent="0.25">
      <c r="I874" s="37"/>
      <c r="J874" s="35"/>
    </row>
    <row r="875" spans="9:10" x14ac:dyDescent="0.25">
      <c r="I875" s="37"/>
      <c r="J875" s="35"/>
    </row>
    <row r="876" spans="9:10" x14ac:dyDescent="0.25">
      <c r="I876" s="37"/>
      <c r="J876" s="35"/>
    </row>
    <row r="877" spans="9:10" x14ac:dyDescent="0.25">
      <c r="I877" s="37"/>
      <c r="J877" s="35"/>
    </row>
    <row r="878" spans="9:10" x14ac:dyDescent="0.25">
      <c r="I878" s="37"/>
      <c r="J878" s="35"/>
    </row>
    <row r="879" spans="9:10" x14ac:dyDescent="0.25">
      <c r="I879" s="37"/>
      <c r="J879" s="35"/>
    </row>
    <row r="880" spans="9:10" x14ac:dyDescent="0.25">
      <c r="I880" s="37"/>
      <c r="J880" s="35"/>
    </row>
    <row r="881" spans="9:10" x14ac:dyDescent="0.25">
      <c r="I881" s="37"/>
      <c r="J881" s="35"/>
    </row>
    <row r="882" spans="9:10" x14ac:dyDescent="0.25">
      <c r="I882" s="37"/>
      <c r="J882" s="35"/>
    </row>
    <row r="883" spans="9:10" x14ac:dyDescent="0.25">
      <c r="I883" s="37"/>
      <c r="J883" s="35"/>
    </row>
    <row r="884" spans="9:10" x14ac:dyDescent="0.25">
      <c r="I884" s="37"/>
      <c r="J884" s="35"/>
    </row>
    <row r="885" spans="9:10" x14ac:dyDescent="0.25">
      <c r="I885" s="37"/>
      <c r="J885" s="35"/>
    </row>
    <row r="886" spans="9:10" x14ac:dyDescent="0.25">
      <c r="I886" s="37"/>
      <c r="J886" s="35"/>
    </row>
    <row r="887" spans="9:10" x14ac:dyDescent="0.25">
      <c r="I887" s="37"/>
      <c r="J887" s="35"/>
    </row>
    <row r="888" spans="9:10" x14ac:dyDescent="0.25">
      <c r="I888" s="37"/>
      <c r="J888" s="35"/>
    </row>
    <row r="889" spans="9:10" x14ac:dyDescent="0.25">
      <c r="I889" s="37"/>
      <c r="J889" s="35"/>
    </row>
    <row r="890" spans="9:10" x14ac:dyDescent="0.25">
      <c r="I890" s="37"/>
      <c r="J890" s="35"/>
    </row>
    <row r="891" spans="9:10" x14ac:dyDescent="0.25">
      <c r="I891" s="37"/>
      <c r="J891" s="35"/>
    </row>
    <row r="892" spans="9:10" x14ac:dyDescent="0.25">
      <c r="I892" s="37"/>
      <c r="J892" s="35"/>
    </row>
    <row r="893" spans="9:10" x14ac:dyDescent="0.25">
      <c r="I893" s="37"/>
      <c r="J893" s="35"/>
    </row>
    <row r="894" spans="9:10" x14ac:dyDescent="0.25">
      <c r="I894" s="37"/>
      <c r="J894" s="35"/>
    </row>
    <row r="895" spans="9:10" x14ac:dyDescent="0.25">
      <c r="I895" s="37"/>
      <c r="J895" s="35"/>
    </row>
    <row r="896" spans="9:10" x14ac:dyDescent="0.25">
      <c r="I896" s="37"/>
      <c r="J896" s="35"/>
    </row>
    <row r="897" spans="9:10" x14ac:dyDescent="0.25">
      <c r="I897" s="37"/>
      <c r="J897" s="35"/>
    </row>
    <row r="898" spans="9:10" x14ac:dyDescent="0.25">
      <c r="I898" s="37"/>
      <c r="J898" s="35"/>
    </row>
    <row r="899" spans="9:10" x14ac:dyDescent="0.25">
      <c r="I899" s="37"/>
      <c r="J899" s="35"/>
    </row>
    <row r="900" spans="9:10" x14ac:dyDescent="0.25">
      <c r="I900" s="37"/>
      <c r="J900" s="35"/>
    </row>
    <row r="901" spans="9:10" x14ac:dyDescent="0.25">
      <c r="I901" s="37"/>
      <c r="J901" s="35"/>
    </row>
    <row r="902" spans="9:10" x14ac:dyDescent="0.25">
      <c r="I902" s="37"/>
      <c r="J902" s="35"/>
    </row>
    <row r="903" spans="9:10" x14ac:dyDescent="0.25">
      <c r="I903" s="37"/>
      <c r="J903" s="35"/>
    </row>
    <row r="904" spans="9:10" x14ac:dyDescent="0.25">
      <c r="I904" s="37"/>
      <c r="J904" s="35"/>
    </row>
    <row r="905" spans="9:10" x14ac:dyDescent="0.25">
      <c r="I905" s="37"/>
      <c r="J905" s="35"/>
    </row>
    <row r="906" spans="9:10" x14ac:dyDescent="0.25">
      <c r="I906" s="37"/>
      <c r="J906" s="35"/>
    </row>
    <row r="907" spans="9:10" x14ac:dyDescent="0.25">
      <c r="I907" s="37"/>
      <c r="J907" s="35"/>
    </row>
    <row r="908" spans="9:10" x14ac:dyDescent="0.25">
      <c r="I908" s="37"/>
      <c r="J908" s="35"/>
    </row>
    <row r="909" spans="9:10" x14ac:dyDescent="0.25">
      <c r="I909" s="37"/>
      <c r="J909" s="35"/>
    </row>
    <row r="910" spans="9:10" x14ac:dyDescent="0.25">
      <c r="I910" s="37"/>
      <c r="J910" s="35"/>
    </row>
    <row r="911" spans="9:10" x14ac:dyDescent="0.25">
      <c r="I911" s="37"/>
      <c r="J911" s="35"/>
    </row>
    <row r="912" spans="9:10" x14ac:dyDescent="0.25">
      <c r="I912" s="37"/>
      <c r="J912" s="35"/>
    </row>
    <row r="913" spans="9:10" x14ac:dyDescent="0.25">
      <c r="I913" s="37"/>
      <c r="J913" s="35"/>
    </row>
    <row r="914" spans="9:10" x14ac:dyDescent="0.25">
      <c r="I914" s="37"/>
      <c r="J914" s="35"/>
    </row>
    <row r="915" spans="9:10" x14ac:dyDescent="0.25">
      <c r="I915" s="37"/>
      <c r="J915" s="35"/>
    </row>
    <row r="916" spans="9:10" x14ac:dyDescent="0.25">
      <c r="I916" s="37"/>
      <c r="J916" s="35"/>
    </row>
    <row r="917" spans="9:10" x14ac:dyDescent="0.25">
      <c r="I917" s="37"/>
      <c r="J917" s="35"/>
    </row>
    <row r="918" spans="9:10" x14ac:dyDescent="0.25">
      <c r="I918" s="37"/>
      <c r="J918" s="35"/>
    </row>
    <row r="919" spans="9:10" x14ac:dyDescent="0.25">
      <c r="I919" s="37"/>
      <c r="J919" s="35"/>
    </row>
    <row r="920" spans="9:10" x14ac:dyDescent="0.25">
      <c r="I920" s="37"/>
      <c r="J920" s="35"/>
    </row>
    <row r="921" spans="9:10" x14ac:dyDescent="0.25">
      <c r="I921" s="37"/>
      <c r="J921" s="35"/>
    </row>
    <row r="922" spans="9:10" x14ac:dyDescent="0.25">
      <c r="I922" s="37"/>
      <c r="J922" s="35"/>
    </row>
    <row r="923" spans="9:10" x14ac:dyDescent="0.25">
      <c r="I923" s="37"/>
      <c r="J923" s="35"/>
    </row>
    <row r="924" spans="9:10" x14ac:dyDescent="0.25">
      <c r="I924" s="37"/>
      <c r="J924" s="35"/>
    </row>
    <row r="925" spans="9:10" x14ac:dyDescent="0.25">
      <c r="I925" s="37"/>
      <c r="J925" s="35"/>
    </row>
    <row r="926" spans="9:10" x14ac:dyDescent="0.25">
      <c r="I926" s="37"/>
      <c r="J926" s="35"/>
    </row>
    <row r="927" spans="9:10" x14ac:dyDescent="0.25">
      <c r="I927" s="37"/>
      <c r="J927" s="35"/>
    </row>
    <row r="928" spans="9:10" x14ac:dyDescent="0.25">
      <c r="I928" s="37"/>
      <c r="J928" s="35"/>
    </row>
    <row r="929" spans="9:10" x14ac:dyDescent="0.25">
      <c r="I929" s="37"/>
      <c r="J929" s="35"/>
    </row>
    <row r="930" spans="9:10" x14ac:dyDescent="0.25">
      <c r="I930" s="37"/>
      <c r="J930" s="35"/>
    </row>
    <row r="931" spans="9:10" x14ac:dyDescent="0.25">
      <c r="I931" s="37"/>
      <c r="J931" s="35"/>
    </row>
    <row r="932" spans="9:10" x14ac:dyDescent="0.25">
      <c r="I932" s="37"/>
      <c r="J932" s="35"/>
    </row>
    <row r="933" spans="9:10" x14ac:dyDescent="0.25">
      <c r="I933" s="37"/>
      <c r="J933" s="35"/>
    </row>
    <row r="934" spans="9:10" x14ac:dyDescent="0.25">
      <c r="I934" s="37"/>
      <c r="J934" s="35"/>
    </row>
    <row r="935" spans="9:10" x14ac:dyDescent="0.25">
      <c r="I935" s="37"/>
      <c r="J935" s="35"/>
    </row>
    <row r="936" spans="9:10" x14ac:dyDescent="0.25">
      <c r="I936" s="37"/>
      <c r="J936" s="35"/>
    </row>
    <row r="937" spans="9:10" x14ac:dyDescent="0.25">
      <c r="I937" s="37"/>
      <c r="J937" s="35"/>
    </row>
    <row r="938" spans="9:10" x14ac:dyDescent="0.25">
      <c r="I938" s="37"/>
      <c r="J938" s="35"/>
    </row>
    <row r="939" spans="9:10" x14ac:dyDescent="0.25">
      <c r="I939" s="37"/>
      <c r="J939" s="35"/>
    </row>
    <row r="940" spans="9:10" x14ac:dyDescent="0.25">
      <c r="I940" s="37"/>
      <c r="J940" s="35"/>
    </row>
    <row r="941" spans="9:10" x14ac:dyDescent="0.25">
      <c r="I941" s="37"/>
      <c r="J941" s="35"/>
    </row>
    <row r="942" spans="9:10" x14ac:dyDescent="0.25">
      <c r="I942" s="37"/>
      <c r="J942" s="35"/>
    </row>
    <row r="943" spans="9:10" x14ac:dyDescent="0.25">
      <c r="I943" s="37"/>
      <c r="J943" s="35"/>
    </row>
    <row r="944" spans="9:10" x14ac:dyDescent="0.25">
      <c r="I944" s="37"/>
      <c r="J944" s="35"/>
    </row>
    <row r="945" spans="9:10" x14ac:dyDescent="0.25">
      <c r="I945" s="37"/>
      <c r="J945" s="35"/>
    </row>
    <row r="946" spans="9:10" x14ac:dyDescent="0.25">
      <c r="I946" s="37"/>
      <c r="J946" s="35"/>
    </row>
    <row r="947" spans="9:10" x14ac:dyDescent="0.25">
      <c r="I947" s="37"/>
      <c r="J947" s="35"/>
    </row>
    <row r="948" spans="9:10" x14ac:dyDescent="0.25">
      <c r="I948" s="37"/>
      <c r="J948" s="35"/>
    </row>
    <row r="949" spans="9:10" x14ac:dyDescent="0.25">
      <c r="I949" s="37"/>
      <c r="J949" s="35"/>
    </row>
    <row r="950" spans="9:10" x14ac:dyDescent="0.25">
      <c r="I950" s="37"/>
      <c r="J950" s="35"/>
    </row>
    <row r="951" spans="9:10" x14ac:dyDescent="0.25">
      <c r="I951" s="37"/>
      <c r="J951" s="35"/>
    </row>
    <row r="952" spans="9:10" x14ac:dyDescent="0.25">
      <c r="I952" s="37"/>
      <c r="J952" s="35"/>
    </row>
    <row r="953" spans="9:10" x14ac:dyDescent="0.25">
      <c r="I953" s="37"/>
      <c r="J953" s="35"/>
    </row>
    <row r="954" spans="9:10" x14ac:dyDescent="0.25">
      <c r="I954" s="37"/>
      <c r="J954" s="35"/>
    </row>
    <row r="955" spans="9:10" x14ac:dyDescent="0.25">
      <c r="I955" s="37"/>
      <c r="J955" s="35"/>
    </row>
    <row r="956" spans="9:10" x14ac:dyDescent="0.25">
      <c r="I956" s="37"/>
      <c r="J956" s="35"/>
    </row>
    <row r="957" spans="9:10" x14ac:dyDescent="0.25">
      <c r="I957" s="37"/>
      <c r="J957" s="35"/>
    </row>
    <row r="958" spans="9:10" x14ac:dyDescent="0.25">
      <c r="I958" s="37"/>
      <c r="J958" s="35"/>
    </row>
    <row r="959" spans="9:10" x14ac:dyDescent="0.25">
      <c r="I959" s="37"/>
      <c r="J959" s="35"/>
    </row>
    <row r="960" spans="9:10" x14ac:dyDescent="0.25">
      <c r="I960" s="37"/>
      <c r="J960" s="35"/>
    </row>
    <row r="961" spans="9:10" x14ac:dyDescent="0.25">
      <c r="I961" s="37"/>
      <c r="J961" s="35"/>
    </row>
    <row r="962" spans="9:10" x14ac:dyDescent="0.25">
      <c r="I962" s="37"/>
      <c r="J962" s="35"/>
    </row>
    <row r="963" spans="9:10" x14ac:dyDescent="0.25">
      <c r="I963" s="37"/>
      <c r="J963" s="35"/>
    </row>
    <row r="964" spans="9:10" x14ac:dyDescent="0.25">
      <c r="I964" s="37"/>
      <c r="J964" s="35"/>
    </row>
    <row r="965" spans="9:10" x14ac:dyDescent="0.25">
      <c r="I965" s="37"/>
      <c r="J965" s="35"/>
    </row>
    <row r="966" spans="9:10" x14ac:dyDescent="0.25">
      <c r="I966" s="37"/>
      <c r="J966" s="35"/>
    </row>
    <row r="967" spans="9:10" x14ac:dyDescent="0.25">
      <c r="I967" s="37"/>
      <c r="J967" s="35"/>
    </row>
    <row r="968" spans="9:10" x14ac:dyDescent="0.25">
      <c r="I968" s="37"/>
      <c r="J968" s="35"/>
    </row>
    <row r="969" spans="9:10" x14ac:dyDescent="0.25">
      <c r="I969" s="37"/>
      <c r="J969" s="35"/>
    </row>
    <row r="970" spans="9:10" x14ac:dyDescent="0.25">
      <c r="I970" s="37"/>
      <c r="J970" s="35"/>
    </row>
    <row r="971" spans="9:10" x14ac:dyDescent="0.25">
      <c r="I971" s="37"/>
      <c r="J971" s="35"/>
    </row>
    <row r="972" spans="9:10" x14ac:dyDescent="0.25">
      <c r="I972" s="37"/>
      <c r="J972" s="35"/>
    </row>
    <row r="973" spans="9:10" x14ac:dyDescent="0.25">
      <c r="I973" s="37"/>
      <c r="J973" s="35"/>
    </row>
    <row r="974" spans="9:10" x14ac:dyDescent="0.25">
      <c r="I974" s="37"/>
      <c r="J974" s="35"/>
    </row>
    <row r="975" spans="9:10" x14ac:dyDescent="0.25">
      <c r="I975" s="37"/>
      <c r="J975" s="35"/>
    </row>
    <row r="976" spans="9:10" x14ac:dyDescent="0.25">
      <c r="I976" s="37"/>
      <c r="J976" s="35"/>
    </row>
    <row r="977" spans="9:10" x14ac:dyDescent="0.25">
      <c r="I977" s="37"/>
      <c r="J977" s="35"/>
    </row>
    <row r="978" spans="9:10" x14ac:dyDescent="0.25">
      <c r="I978" s="37"/>
      <c r="J978" s="35"/>
    </row>
    <row r="979" spans="9:10" x14ac:dyDescent="0.25">
      <c r="I979" s="37"/>
      <c r="J979" s="35"/>
    </row>
    <row r="980" spans="9:10" x14ac:dyDescent="0.25">
      <c r="I980" s="37"/>
      <c r="J980" s="35"/>
    </row>
    <row r="981" spans="9:10" x14ac:dyDescent="0.25">
      <c r="I981" s="37"/>
      <c r="J981" s="35"/>
    </row>
    <row r="982" spans="9:10" x14ac:dyDescent="0.25">
      <c r="I982" s="37"/>
      <c r="J982" s="35"/>
    </row>
    <row r="983" spans="9:10" x14ac:dyDescent="0.25">
      <c r="I983" s="37"/>
      <c r="J983" s="35"/>
    </row>
    <row r="984" spans="9:10" x14ac:dyDescent="0.25">
      <c r="I984" s="37"/>
      <c r="J984" s="35"/>
    </row>
    <row r="985" spans="9:10" x14ac:dyDescent="0.25">
      <c r="I985" s="37"/>
      <c r="J985" s="35"/>
    </row>
    <row r="986" spans="9:10" x14ac:dyDescent="0.25">
      <c r="I986" s="37"/>
      <c r="J986" s="35"/>
    </row>
    <row r="987" spans="9:10" x14ac:dyDescent="0.25">
      <c r="I987" s="37"/>
      <c r="J987" s="35"/>
    </row>
    <row r="988" spans="9:10" x14ac:dyDescent="0.25">
      <c r="I988" s="37"/>
      <c r="J988" s="35"/>
    </row>
    <row r="989" spans="9:10" x14ac:dyDescent="0.25">
      <c r="I989" s="37"/>
      <c r="J989" s="35"/>
    </row>
    <row r="990" spans="9:10" x14ac:dyDescent="0.25">
      <c r="I990" s="37"/>
      <c r="J990" s="35"/>
    </row>
    <row r="991" spans="9:10" x14ac:dyDescent="0.25">
      <c r="I991" s="37"/>
      <c r="J991" s="35"/>
    </row>
    <row r="992" spans="9:10" x14ac:dyDescent="0.25">
      <c r="I992" s="37"/>
      <c r="J992" s="35"/>
    </row>
    <row r="993" spans="9:10" x14ac:dyDescent="0.25">
      <c r="I993" s="37"/>
      <c r="J993" s="35"/>
    </row>
    <row r="994" spans="9:10" x14ac:dyDescent="0.25">
      <c r="I994" s="37"/>
      <c r="J994" s="35"/>
    </row>
    <row r="995" spans="9:10" x14ac:dyDescent="0.25">
      <c r="I995" s="37"/>
      <c r="J995" s="35"/>
    </row>
    <row r="996" spans="9:10" x14ac:dyDescent="0.25">
      <c r="I996" s="37"/>
      <c r="J996" s="35"/>
    </row>
    <row r="997" spans="9:10" x14ac:dyDescent="0.25">
      <c r="I997" s="37"/>
      <c r="J997" s="35"/>
    </row>
    <row r="998" spans="9:10" x14ac:dyDescent="0.25">
      <c r="I998" s="37"/>
      <c r="J998" s="35"/>
    </row>
    <row r="999" spans="9:10" x14ac:dyDescent="0.25">
      <c r="I999" s="37"/>
      <c r="J999" s="35"/>
    </row>
    <row r="1000" spans="9:10" x14ac:dyDescent="0.25">
      <c r="I1000" s="37"/>
      <c r="J1000" s="35"/>
    </row>
    <row r="1001" spans="9:10" x14ac:dyDescent="0.25">
      <c r="I1001" s="37"/>
      <c r="J1001" s="35"/>
    </row>
    <row r="1002" spans="9:10" x14ac:dyDescent="0.25">
      <c r="I1002" s="37"/>
      <c r="J1002" s="35"/>
    </row>
    <row r="1003" spans="9:10" x14ac:dyDescent="0.25">
      <c r="I1003" s="37"/>
      <c r="J1003" s="35"/>
    </row>
    <row r="1004" spans="9:10" x14ac:dyDescent="0.25">
      <c r="I1004" s="37"/>
      <c r="J1004" s="35"/>
    </row>
    <row r="1005" spans="9:10" x14ac:dyDescent="0.25">
      <c r="I1005" s="37"/>
      <c r="J1005" s="35"/>
    </row>
    <row r="1006" spans="9:10" x14ac:dyDescent="0.25">
      <c r="I1006" s="37"/>
      <c r="J1006" s="35"/>
    </row>
    <row r="1007" spans="9:10" x14ac:dyDescent="0.25">
      <c r="I1007" s="37"/>
      <c r="J1007" s="35"/>
    </row>
    <row r="1008" spans="9:10" x14ac:dyDescent="0.25">
      <c r="I1008" s="37"/>
      <c r="J1008" s="35"/>
    </row>
    <row r="1009" spans="9:10" x14ac:dyDescent="0.25">
      <c r="I1009" s="37"/>
      <c r="J1009" s="35"/>
    </row>
    <row r="1010" spans="9:10" x14ac:dyDescent="0.25">
      <c r="I1010" s="37"/>
      <c r="J1010" s="35"/>
    </row>
    <row r="1011" spans="9:10" x14ac:dyDescent="0.25">
      <c r="I1011" s="37"/>
      <c r="J1011" s="35"/>
    </row>
    <row r="1012" spans="9:10" x14ac:dyDescent="0.25">
      <c r="I1012" s="37"/>
      <c r="J1012" s="35"/>
    </row>
    <row r="1013" spans="9:10" x14ac:dyDescent="0.25">
      <c r="I1013" s="37"/>
      <c r="J1013" s="35"/>
    </row>
    <row r="1014" spans="9:10" x14ac:dyDescent="0.25">
      <c r="I1014" s="37"/>
      <c r="J1014" s="35"/>
    </row>
    <row r="1015" spans="9:10" x14ac:dyDescent="0.25">
      <c r="I1015" s="37"/>
      <c r="J1015" s="35"/>
    </row>
    <row r="1016" spans="9:10" x14ac:dyDescent="0.25">
      <c r="I1016" s="37"/>
      <c r="J1016" s="35"/>
    </row>
    <row r="1017" spans="9:10" x14ac:dyDescent="0.25">
      <c r="I1017" s="37"/>
      <c r="J1017" s="35"/>
    </row>
    <row r="1018" spans="9:10" x14ac:dyDescent="0.25">
      <c r="I1018" s="37"/>
      <c r="J1018" s="35"/>
    </row>
    <row r="1019" spans="9:10" x14ac:dyDescent="0.25">
      <c r="I1019" s="37"/>
      <c r="J1019" s="35"/>
    </row>
    <row r="1020" spans="9:10" x14ac:dyDescent="0.25">
      <c r="I1020" s="37"/>
      <c r="J1020" s="35"/>
    </row>
    <row r="1021" spans="9:10" x14ac:dyDescent="0.25">
      <c r="I1021" s="37"/>
      <c r="J1021" s="35"/>
    </row>
    <row r="1022" spans="9:10" x14ac:dyDescent="0.25">
      <c r="I1022" s="37"/>
      <c r="J1022" s="35"/>
    </row>
    <row r="1023" spans="9:10" x14ac:dyDescent="0.25">
      <c r="I1023" s="37"/>
      <c r="J1023" s="35"/>
    </row>
    <row r="1024" spans="9:10" x14ac:dyDescent="0.25">
      <c r="I1024" s="37"/>
      <c r="J1024" s="35"/>
    </row>
    <row r="1025" spans="9:10" x14ac:dyDescent="0.25">
      <c r="I1025" s="37"/>
      <c r="J1025" s="35"/>
    </row>
    <row r="1026" spans="9:10" x14ac:dyDescent="0.25">
      <c r="I1026" s="37"/>
      <c r="J1026" s="35"/>
    </row>
    <row r="1027" spans="9:10" x14ac:dyDescent="0.25">
      <c r="I1027" s="37"/>
      <c r="J1027" s="35"/>
    </row>
    <row r="1028" spans="9:10" x14ac:dyDescent="0.25">
      <c r="I1028" s="37"/>
      <c r="J1028" s="35"/>
    </row>
    <row r="1029" spans="9:10" x14ac:dyDescent="0.25">
      <c r="I1029" s="37"/>
      <c r="J1029" s="35"/>
    </row>
    <row r="1030" spans="9:10" x14ac:dyDescent="0.25">
      <c r="I1030" s="37"/>
      <c r="J1030" s="35"/>
    </row>
    <row r="1031" spans="9:10" x14ac:dyDescent="0.25">
      <c r="I1031" s="37"/>
      <c r="J1031" s="35"/>
    </row>
    <row r="1032" spans="9:10" x14ac:dyDescent="0.25">
      <c r="I1032" s="37"/>
      <c r="J1032" s="35"/>
    </row>
    <row r="1033" spans="9:10" x14ac:dyDescent="0.25">
      <c r="I1033" s="37"/>
      <c r="J1033" s="35"/>
    </row>
    <row r="1034" spans="9:10" x14ac:dyDescent="0.25">
      <c r="I1034" s="37"/>
      <c r="J1034" s="35"/>
    </row>
    <row r="1035" spans="9:10" x14ac:dyDescent="0.25">
      <c r="I1035" s="37"/>
      <c r="J1035" s="35"/>
    </row>
    <row r="1036" spans="9:10" x14ac:dyDescent="0.25">
      <c r="I1036" s="37"/>
      <c r="J1036" s="35"/>
    </row>
    <row r="1037" spans="9:10" x14ac:dyDescent="0.25">
      <c r="I1037" s="37"/>
      <c r="J1037" s="35"/>
    </row>
    <row r="1038" spans="9:10" x14ac:dyDescent="0.25">
      <c r="I1038" s="37"/>
      <c r="J1038" s="35"/>
    </row>
    <row r="1039" spans="9:10" x14ac:dyDescent="0.25">
      <c r="I1039" s="37"/>
      <c r="J1039" s="35"/>
    </row>
    <row r="1040" spans="9:10" x14ac:dyDescent="0.25">
      <c r="I1040" s="37"/>
      <c r="J1040" s="35"/>
    </row>
    <row r="1041" spans="9:10" x14ac:dyDescent="0.25">
      <c r="I1041" s="37"/>
      <c r="J1041" s="35"/>
    </row>
    <row r="1042" spans="9:10" x14ac:dyDescent="0.25">
      <c r="I1042" s="37"/>
      <c r="J1042" s="35"/>
    </row>
    <row r="1043" spans="9:10" x14ac:dyDescent="0.25">
      <c r="I1043" s="37"/>
      <c r="J1043" s="35"/>
    </row>
    <row r="1044" spans="9:10" x14ac:dyDescent="0.25">
      <c r="I1044" s="37"/>
      <c r="J1044" s="35"/>
    </row>
    <row r="1045" spans="9:10" x14ac:dyDescent="0.25">
      <c r="I1045" s="37"/>
      <c r="J1045" s="35"/>
    </row>
    <row r="1046" spans="9:10" x14ac:dyDescent="0.25">
      <c r="I1046" s="37"/>
      <c r="J1046" s="35"/>
    </row>
    <row r="1047" spans="9:10" x14ac:dyDescent="0.25">
      <c r="I1047" s="37"/>
      <c r="J1047" s="35"/>
    </row>
    <row r="1048" spans="9:10" x14ac:dyDescent="0.25">
      <c r="I1048" s="37"/>
      <c r="J1048" s="35"/>
    </row>
    <row r="1049" spans="9:10" x14ac:dyDescent="0.25">
      <c r="I1049" s="37"/>
      <c r="J1049" s="35"/>
    </row>
    <row r="1050" spans="9:10" x14ac:dyDescent="0.25">
      <c r="I1050" s="37"/>
      <c r="J1050" s="35"/>
    </row>
    <row r="1051" spans="9:10" x14ac:dyDescent="0.25">
      <c r="I1051" s="37"/>
      <c r="J1051" s="35"/>
    </row>
    <row r="1052" spans="9:10" x14ac:dyDescent="0.25">
      <c r="I1052" s="37"/>
      <c r="J1052" s="35"/>
    </row>
    <row r="1053" spans="9:10" x14ac:dyDescent="0.25">
      <c r="I1053" s="37"/>
      <c r="J1053" s="35"/>
    </row>
    <row r="1054" spans="9:10" x14ac:dyDescent="0.25">
      <c r="I1054" s="37"/>
      <c r="J1054" s="35"/>
    </row>
    <row r="1055" spans="9:10" x14ac:dyDescent="0.25">
      <c r="I1055" s="37"/>
      <c r="J1055" s="35"/>
    </row>
    <row r="1056" spans="9:10" x14ac:dyDescent="0.25">
      <c r="I1056" s="37"/>
      <c r="J1056" s="35"/>
    </row>
    <row r="1057" spans="9:10" x14ac:dyDescent="0.25">
      <c r="I1057" s="37"/>
      <c r="J1057" s="35"/>
    </row>
    <row r="1058" spans="9:10" x14ac:dyDescent="0.25">
      <c r="I1058" s="37"/>
      <c r="J1058" s="35"/>
    </row>
    <row r="1059" spans="9:10" x14ac:dyDescent="0.25">
      <c r="I1059" s="37"/>
      <c r="J1059" s="35"/>
    </row>
    <row r="1060" spans="9:10" x14ac:dyDescent="0.25">
      <c r="I1060" s="37"/>
      <c r="J1060" s="35"/>
    </row>
    <row r="1061" spans="9:10" x14ac:dyDescent="0.25">
      <c r="I1061" s="37"/>
      <c r="J1061" s="35"/>
    </row>
    <row r="1062" spans="9:10" x14ac:dyDescent="0.25">
      <c r="I1062" s="37"/>
      <c r="J1062" s="35"/>
    </row>
    <row r="1063" spans="9:10" x14ac:dyDescent="0.25">
      <c r="I1063" s="37"/>
      <c r="J1063" s="35"/>
    </row>
    <row r="1064" spans="9:10" x14ac:dyDescent="0.25">
      <c r="I1064" s="37"/>
      <c r="J1064" s="35"/>
    </row>
    <row r="1065" spans="9:10" x14ac:dyDescent="0.25">
      <c r="I1065" s="37"/>
      <c r="J1065" s="35"/>
    </row>
    <row r="1066" spans="9:10" x14ac:dyDescent="0.25">
      <c r="I1066" s="37"/>
      <c r="J1066" s="35"/>
    </row>
    <row r="1067" spans="9:10" x14ac:dyDescent="0.25">
      <c r="I1067" s="37"/>
      <c r="J1067" s="35"/>
    </row>
    <row r="1068" spans="9:10" x14ac:dyDescent="0.25">
      <c r="I1068" s="37"/>
      <c r="J1068" s="35"/>
    </row>
    <row r="1069" spans="9:10" x14ac:dyDescent="0.25">
      <c r="I1069" s="37"/>
      <c r="J1069" s="35"/>
    </row>
    <row r="1070" spans="9:10" x14ac:dyDescent="0.25">
      <c r="I1070" s="37"/>
      <c r="J1070" s="35"/>
    </row>
    <row r="1071" spans="9:10" x14ac:dyDescent="0.25">
      <c r="I1071" s="37"/>
      <c r="J1071" s="35"/>
    </row>
    <row r="1072" spans="9:10" x14ac:dyDescent="0.25">
      <c r="I1072" s="37"/>
      <c r="J1072" s="35"/>
    </row>
    <row r="1073" spans="9:10" x14ac:dyDescent="0.25">
      <c r="I1073" s="37"/>
      <c r="J1073" s="35"/>
    </row>
    <row r="1074" spans="9:10" x14ac:dyDescent="0.25">
      <c r="I1074" s="37"/>
      <c r="J1074" s="35"/>
    </row>
    <row r="1075" spans="9:10" x14ac:dyDescent="0.25">
      <c r="I1075" s="37"/>
      <c r="J1075" s="35"/>
    </row>
    <row r="1076" spans="9:10" x14ac:dyDescent="0.25">
      <c r="I1076" s="37"/>
      <c r="J1076" s="35"/>
    </row>
    <row r="1077" spans="9:10" x14ac:dyDescent="0.25">
      <c r="I1077" s="37"/>
      <c r="J1077" s="35"/>
    </row>
    <row r="1078" spans="9:10" x14ac:dyDescent="0.25">
      <c r="I1078" s="37"/>
      <c r="J1078" s="35"/>
    </row>
    <row r="1079" spans="9:10" x14ac:dyDescent="0.25">
      <c r="I1079" s="37"/>
      <c r="J1079" s="35"/>
    </row>
    <row r="1080" spans="9:10" x14ac:dyDescent="0.25">
      <c r="I1080" s="37"/>
      <c r="J1080" s="35"/>
    </row>
    <row r="1081" spans="9:10" x14ac:dyDescent="0.25">
      <c r="I1081" s="37"/>
      <c r="J1081" s="35"/>
    </row>
    <row r="1082" spans="9:10" x14ac:dyDescent="0.25">
      <c r="I1082" s="37"/>
      <c r="J1082" s="35"/>
    </row>
    <row r="1083" spans="9:10" x14ac:dyDescent="0.25">
      <c r="I1083" s="37"/>
      <c r="J1083" s="35"/>
    </row>
    <row r="1084" spans="9:10" x14ac:dyDescent="0.25">
      <c r="I1084" s="37"/>
      <c r="J1084" s="35"/>
    </row>
    <row r="1085" spans="9:10" x14ac:dyDescent="0.25">
      <c r="I1085" s="37"/>
      <c r="J1085" s="35"/>
    </row>
    <row r="1086" spans="9:10" x14ac:dyDescent="0.25">
      <c r="I1086" s="37"/>
      <c r="J1086" s="35"/>
    </row>
    <row r="1087" spans="9:10" x14ac:dyDescent="0.25">
      <c r="I1087" s="37"/>
      <c r="J1087" s="35"/>
    </row>
    <row r="1088" spans="9:10" x14ac:dyDescent="0.25">
      <c r="I1088" s="37"/>
      <c r="J1088" s="35"/>
    </row>
    <row r="1089" spans="9:10" x14ac:dyDescent="0.25">
      <c r="I1089" s="37"/>
      <c r="J1089" s="35"/>
    </row>
    <row r="1090" spans="9:10" x14ac:dyDescent="0.25">
      <c r="I1090" s="37"/>
      <c r="J1090" s="35"/>
    </row>
    <row r="1091" spans="9:10" x14ac:dyDescent="0.25">
      <c r="I1091" s="37"/>
      <c r="J1091" s="35"/>
    </row>
    <row r="1092" spans="9:10" x14ac:dyDescent="0.25">
      <c r="I1092" s="37"/>
      <c r="J1092" s="35"/>
    </row>
    <row r="1093" spans="9:10" x14ac:dyDescent="0.25">
      <c r="I1093" s="37"/>
      <c r="J1093" s="35"/>
    </row>
    <row r="1094" spans="9:10" x14ac:dyDescent="0.25">
      <c r="I1094" s="37"/>
      <c r="J1094" s="35"/>
    </row>
    <row r="1095" spans="9:10" x14ac:dyDescent="0.25">
      <c r="I1095" s="37"/>
      <c r="J1095" s="35"/>
    </row>
    <row r="1096" spans="9:10" x14ac:dyDescent="0.25">
      <c r="I1096" s="37"/>
      <c r="J1096" s="35"/>
    </row>
    <row r="1097" spans="9:10" x14ac:dyDescent="0.25">
      <c r="I1097" s="37"/>
      <c r="J1097" s="35"/>
    </row>
    <row r="1098" spans="9:10" x14ac:dyDescent="0.25">
      <c r="I1098" s="37"/>
      <c r="J1098" s="35"/>
    </row>
    <row r="1099" spans="9:10" x14ac:dyDescent="0.25">
      <c r="I1099" s="37"/>
      <c r="J1099" s="35"/>
    </row>
    <row r="1100" spans="9:10" x14ac:dyDescent="0.25">
      <c r="I1100" s="37"/>
      <c r="J1100" s="35"/>
    </row>
    <row r="1101" spans="9:10" x14ac:dyDescent="0.25">
      <c r="I1101" s="37"/>
      <c r="J1101" s="35"/>
    </row>
    <row r="1102" spans="9:10" x14ac:dyDescent="0.25">
      <c r="I1102" s="37"/>
      <c r="J1102" s="35"/>
    </row>
    <row r="1103" spans="9:10" x14ac:dyDescent="0.25">
      <c r="I1103" s="37"/>
      <c r="J1103" s="35"/>
    </row>
    <row r="1104" spans="9:10" x14ac:dyDescent="0.25">
      <c r="I1104" s="37"/>
      <c r="J1104" s="35"/>
    </row>
    <row r="1105" spans="9:10" x14ac:dyDescent="0.25">
      <c r="I1105" s="37"/>
      <c r="J1105" s="35"/>
    </row>
    <row r="1106" spans="9:10" x14ac:dyDescent="0.25">
      <c r="I1106" s="37"/>
      <c r="J1106" s="35"/>
    </row>
    <row r="1107" spans="9:10" x14ac:dyDescent="0.25">
      <c r="I1107" s="37"/>
      <c r="J1107" s="35"/>
    </row>
    <row r="1108" spans="9:10" x14ac:dyDescent="0.25">
      <c r="I1108" s="37"/>
      <c r="J1108" s="35"/>
    </row>
    <row r="1109" spans="9:10" x14ac:dyDescent="0.25">
      <c r="I1109" s="37"/>
      <c r="J1109" s="35"/>
    </row>
    <row r="1110" spans="9:10" x14ac:dyDescent="0.25">
      <c r="I1110" s="37"/>
      <c r="J1110" s="35"/>
    </row>
    <row r="1111" spans="9:10" x14ac:dyDescent="0.25">
      <c r="I1111" s="37"/>
      <c r="J1111" s="35"/>
    </row>
    <row r="1112" spans="9:10" x14ac:dyDescent="0.25">
      <c r="I1112" s="37"/>
      <c r="J1112" s="35"/>
    </row>
    <row r="1113" spans="9:10" x14ac:dyDescent="0.25">
      <c r="I1113" s="37"/>
      <c r="J1113" s="35"/>
    </row>
    <row r="1114" spans="9:10" x14ac:dyDescent="0.25">
      <c r="I1114" s="37"/>
      <c r="J1114" s="35"/>
    </row>
    <row r="1115" spans="9:10" x14ac:dyDescent="0.25">
      <c r="I1115" s="37"/>
      <c r="J1115" s="35"/>
    </row>
    <row r="1116" spans="9:10" x14ac:dyDescent="0.25">
      <c r="I1116" s="37"/>
      <c r="J1116" s="35"/>
    </row>
    <row r="1117" spans="9:10" x14ac:dyDescent="0.25">
      <c r="I1117" s="37"/>
      <c r="J1117" s="35"/>
    </row>
    <row r="1118" spans="9:10" x14ac:dyDescent="0.25">
      <c r="I1118" s="37"/>
      <c r="J1118" s="35"/>
    </row>
    <row r="1119" spans="9:10" x14ac:dyDescent="0.25">
      <c r="I1119" s="37"/>
      <c r="J1119" s="35"/>
    </row>
    <row r="1120" spans="9:10" x14ac:dyDescent="0.25">
      <c r="I1120" s="37"/>
      <c r="J1120" s="35"/>
    </row>
    <row r="1121" spans="9:10" x14ac:dyDescent="0.25">
      <c r="I1121" s="37"/>
      <c r="J1121" s="35"/>
    </row>
    <row r="1122" spans="9:10" x14ac:dyDescent="0.25">
      <c r="I1122" s="37"/>
      <c r="J1122" s="35"/>
    </row>
    <row r="1123" spans="9:10" x14ac:dyDescent="0.25">
      <c r="I1123" s="37"/>
      <c r="J1123" s="35"/>
    </row>
    <row r="1124" spans="9:10" x14ac:dyDescent="0.25">
      <c r="I1124" s="37"/>
      <c r="J1124" s="35"/>
    </row>
    <row r="1125" spans="9:10" x14ac:dyDescent="0.25">
      <c r="I1125" s="37"/>
      <c r="J1125" s="35"/>
    </row>
    <row r="1126" spans="9:10" x14ac:dyDescent="0.25">
      <c r="I1126" s="37"/>
      <c r="J1126" s="35"/>
    </row>
    <row r="1127" spans="9:10" x14ac:dyDescent="0.25">
      <c r="I1127" s="37"/>
      <c r="J1127" s="35"/>
    </row>
    <row r="1128" spans="9:10" x14ac:dyDescent="0.25">
      <c r="I1128" s="37"/>
      <c r="J1128" s="35"/>
    </row>
    <row r="1129" spans="9:10" x14ac:dyDescent="0.25">
      <c r="I1129" s="37"/>
      <c r="J1129" s="35"/>
    </row>
    <row r="1130" spans="9:10" x14ac:dyDescent="0.25">
      <c r="I1130" s="37"/>
      <c r="J1130" s="35"/>
    </row>
    <row r="1131" spans="9:10" x14ac:dyDescent="0.25">
      <c r="I1131" s="37"/>
      <c r="J1131" s="35"/>
    </row>
    <row r="1132" spans="9:10" x14ac:dyDescent="0.25">
      <c r="I1132" s="37"/>
      <c r="J1132" s="35"/>
    </row>
    <row r="1133" spans="9:10" x14ac:dyDescent="0.25">
      <c r="I1133" s="37"/>
      <c r="J1133" s="35"/>
    </row>
    <row r="1134" spans="9:10" x14ac:dyDescent="0.25">
      <c r="I1134" s="37"/>
      <c r="J1134" s="35"/>
    </row>
    <row r="1135" spans="9:10" x14ac:dyDescent="0.25">
      <c r="I1135" s="37"/>
      <c r="J1135" s="35"/>
    </row>
    <row r="1136" spans="9:10" x14ac:dyDescent="0.25">
      <c r="I1136" s="37"/>
      <c r="J1136" s="35"/>
    </row>
    <row r="1137" spans="9:10" x14ac:dyDescent="0.25">
      <c r="I1137" s="37"/>
      <c r="J1137" s="35"/>
    </row>
    <row r="1138" spans="9:10" x14ac:dyDescent="0.25">
      <c r="I1138" s="37"/>
      <c r="J1138" s="35"/>
    </row>
    <row r="1139" spans="9:10" x14ac:dyDescent="0.25">
      <c r="I1139" s="37"/>
      <c r="J1139" s="35"/>
    </row>
    <row r="1140" spans="9:10" x14ac:dyDescent="0.25">
      <c r="I1140" s="37"/>
      <c r="J1140" s="35"/>
    </row>
    <row r="1141" spans="9:10" x14ac:dyDescent="0.25">
      <c r="I1141" s="37"/>
      <c r="J1141" s="35"/>
    </row>
    <row r="1142" spans="9:10" x14ac:dyDescent="0.25">
      <c r="I1142" s="37"/>
      <c r="J1142" s="35"/>
    </row>
    <row r="1143" spans="9:10" x14ac:dyDescent="0.25">
      <c r="I1143" s="37"/>
      <c r="J1143" s="35"/>
    </row>
    <row r="1144" spans="9:10" x14ac:dyDescent="0.25">
      <c r="I1144" s="37"/>
      <c r="J1144" s="35"/>
    </row>
    <row r="1145" spans="9:10" x14ac:dyDescent="0.25">
      <c r="I1145" s="37"/>
      <c r="J1145" s="35"/>
    </row>
    <row r="1146" spans="9:10" x14ac:dyDescent="0.25">
      <c r="I1146" s="37"/>
      <c r="J1146" s="35"/>
    </row>
    <row r="1147" spans="9:10" x14ac:dyDescent="0.25">
      <c r="I1147" s="37"/>
      <c r="J1147" s="35"/>
    </row>
    <row r="1148" spans="9:10" x14ac:dyDescent="0.25">
      <c r="I1148" s="37"/>
      <c r="J1148" s="35"/>
    </row>
    <row r="1149" spans="9:10" x14ac:dyDescent="0.25">
      <c r="I1149" s="37"/>
      <c r="J1149" s="35"/>
    </row>
    <row r="1150" spans="9:10" x14ac:dyDescent="0.25">
      <c r="I1150" s="37"/>
      <c r="J1150" s="35"/>
    </row>
    <row r="1151" spans="9:10" x14ac:dyDescent="0.25">
      <c r="I1151" s="37"/>
      <c r="J1151" s="35"/>
    </row>
    <row r="1152" spans="9:10" x14ac:dyDescent="0.25">
      <c r="I1152" s="37"/>
      <c r="J1152" s="35"/>
    </row>
    <row r="1153" spans="9:10" x14ac:dyDescent="0.25">
      <c r="I1153" s="37"/>
      <c r="J1153" s="35"/>
    </row>
    <row r="1154" spans="9:10" x14ac:dyDescent="0.25">
      <c r="I1154" s="37"/>
      <c r="J1154" s="35"/>
    </row>
    <row r="1155" spans="9:10" x14ac:dyDescent="0.25">
      <c r="I1155" s="37"/>
      <c r="J1155" s="35"/>
    </row>
    <row r="1156" spans="9:10" x14ac:dyDescent="0.25">
      <c r="I1156" s="37"/>
      <c r="J1156" s="35"/>
    </row>
    <row r="1157" spans="9:10" x14ac:dyDescent="0.25">
      <c r="I1157" s="37"/>
      <c r="J1157" s="35"/>
    </row>
    <row r="1158" spans="9:10" x14ac:dyDescent="0.25">
      <c r="I1158" s="37"/>
      <c r="J1158" s="35"/>
    </row>
    <row r="1159" spans="9:10" x14ac:dyDescent="0.25">
      <c r="I1159" s="37"/>
      <c r="J1159" s="35"/>
    </row>
    <row r="1160" spans="9:10" x14ac:dyDescent="0.25">
      <c r="I1160" s="37"/>
      <c r="J1160" s="35"/>
    </row>
    <row r="1161" spans="9:10" x14ac:dyDescent="0.25">
      <c r="I1161" s="37"/>
      <c r="J1161" s="35"/>
    </row>
    <row r="1162" spans="9:10" x14ac:dyDescent="0.25">
      <c r="I1162" s="37"/>
      <c r="J1162" s="35"/>
    </row>
    <row r="1163" spans="9:10" x14ac:dyDescent="0.25">
      <c r="I1163" s="37"/>
      <c r="J1163" s="35"/>
    </row>
    <row r="1164" spans="9:10" x14ac:dyDescent="0.25">
      <c r="I1164" s="37"/>
      <c r="J1164" s="35"/>
    </row>
    <row r="1165" spans="9:10" x14ac:dyDescent="0.25">
      <c r="I1165" s="37"/>
      <c r="J1165" s="35"/>
    </row>
    <row r="1166" spans="9:10" x14ac:dyDescent="0.25">
      <c r="I1166" s="37"/>
      <c r="J1166" s="35"/>
    </row>
    <row r="1167" spans="9:10" x14ac:dyDescent="0.25">
      <c r="I1167" s="37"/>
      <c r="J1167" s="35"/>
    </row>
    <row r="1168" spans="9:10" x14ac:dyDescent="0.25">
      <c r="I1168" s="37"/>
      <c r="J1168" s="35"/>
    </row>
    <row r="1169" spans="9:10" x14ac:dyDescent="0.25">
      <c r="I1169" s="37"/>
      <c r="J1169" s="35"/>
    </row>
    <row r="1170" spans="9:10" x14ac:dyDescent="0.25">
      <c r="I1170" s="37"/>
      <c r="J1170" s="35"/>
    </row>
    <row r="1171" spans="9:10" x14ac:dyDescent="0.25">
      <c r="I1171" s="37"/>
      <c r="J1171" s="35"/>
    </row>
    <row r="1172" spans="9:10" x14ac:dyDescent="0.25">
      <c r="I1172" s="37"/>
      <c r="J1172" s="35"/>
    </row>
    <row r="1173" spans="9:10" x14ac:dyDescent="0.25">
      <c r="I1173" s="37"/>
      <c r="J1173" s="35"/>
    </row>
    <row r="1174" spans="9:10" x14ac:dyDescent="0.25">
      <c r="I1174" s="37"/>
      <c r="J1174" s="35"/>
    </row>
    <row r="1175" spans="9:10" x14ac:dyDescent="0.25">
      <c r="I1175" s="37"/>
      <c r="J1175" s="35"/>
    </row>
    <row r="1176" spans="9:10" x14ac:dyDescent="0.25">
      <c r="I1176" s="37"/>
      <c r="J1176" s="35"/>
    </row>
    <row r="1177" spans="9:10" x14ac:dyDescent="0.25">
      <c r="I1177" s="37"/>
      <c r="J1177" s="35"/>
    </row>
    <row r="1178" spans="9:10" x14ac:dyDescent="0.25">
      <c r="I1178" s="37"/>
      <c r="J1178" s="35"/>
    </row>
    <row r="1179" spans="9:10" x14ac:dyDescent="0.25">
      <c r="I1179" s="37"/>
      <c r="J1179" s="35"/>
    </row>
    <row r="1180" spans="9:10" x14ac:dyDescent="0.25">
      <c r="I1180" s="37"/>
      <c r="J1180" s="35"/>
    </row>
    <row r="1181" spans="9:10" x14ac:dyDescent="0.25">
      <c r="I1181" s="37"/>
      <c r="J1181" s="35"/>
    </row>
    <row r="1182" spans="9:10" x14ac:dyDescent="0.25">
      <c r="I1182" s="37"/>
      <c r="J1182" s="35"/>
    </row>
    <row r="1183" spans="9:10" x14ac:dyDescent="0.25">
      <c r="I1183" s="37"/>
      <c r="J1183" s="35"/>
    </row>
    <row r="1184" spans="9:10" x14ac:dyDescent="0.25">
      <c r="I1184" s="37"/>
      <c r="J1184" s="35"/>
    </row>
    <row r="1185" spans="9:10" x14ac:dyDescent="0.25">
      <c r="I1185" s="37"/>
      <c r="J1185" s="35"/>
    </row>
    <row r="1186" spans="9:10" x14ac:dyDescent="0.25">
      <c r="I1186" s="37"/>
      <c r="J1186" s="35"/>
    </row>
    <row r="1187" spans="9:10" x14ac:dyDescent="0.25">
      <c r="I1187" s="37"/>
      <c r="J1187" s="35"/>
    </row>
    <row r="1188" spans="9:10" x14ac:dyDescent="0.25">
      <c r="I1188" s="37"/>
      <c r="J1188" s="35"/>
    </row>
    <row r="1189" spans="9:10" x14ac:dyDescent="0.25">
      <c r="I1189" s="37"/>
      <c r="J1189" s="35"/>
    </row>
    <row r="1190" spans="9:10" x14ac:dyDescent="0.25">
      <c r="I1190" s="37"/>
      <c r="J1190" s="35"/>
    </row>
    <row r="1191" spans="9:10" x14ac:dyDescent="0.25">
      <c r="I1191" s="37"/>
      <c r="J1191" s="35"/>
    </row>
    <row r="1192" spans="9:10" x14ac:dyDescent="0.25">
      <c r="I1192" s="37"/>
      <c r="J1192" s="35"/>
    </row>
    <row r="1193" spans="9:10" x14ac:dyDescent="0.25">
      <c r="I1193" s="37"/>
      <c r="J1193" s="35"/>
    </row>
    <row r="1194" spans="9:10" x14ac:dyDescent="0.25">
      <c r="I1194" s="37"/>
      <c r="J1194" s="35"/>
    </row>
    <row r="1195" spans="9:10" x14ac:dyDescent="0.25">
      <c r="I1195" s="37"/>
      <c r="J1195" s="35"/>
    </row>
    <row r="1196" spans="9:10" x14ac:dyDescent="0.25">
      <c r="I1196" s="37"/>
      <c r="J1196" s="35"/>
    </row>
    <row r="1197" spans="9:10" x14ac:dyDescent="0.25">
      <c r="I1197" s="37"/>
      <c r="J1197" s="35"/>
    </row>
    <row r="1198" spans="9:10" x14ac:dyDescent="0.25">
      <c r="I1198" s="37"/>
      <c r="J1198" s="35"/>
    </row>
    <row r="1199" spans="9:10" x14ac:dyDescent="0.25">
      <c r="I1199" s="37"/>
      <c r="J1199" s="35"/>
    </row>
    <row r="1200" spans="9:10" x14ac:dyDescent="0.25">
      <c r="I1200" s="37"/>
      <c r="J1200" s="35"/>
    </row>
    <row r="1201" spans="9:10" x14ac:dyDescent="0.25">
      <c r="I1201" s="37"/>
      <c r="J1201" s="35"/>
    </row>
    <row r="1202" spans="9:10" x14ac:dyDescent="0.25">
      <c r="I1202" s="37"/>
      <c r="J1202" s="35"/>
    </row>
    <row r="1203" spans="9:10" x14ac:dyDescent="0.25">
      <c r="I1203" s="37"/>
      <c r="J1203" s="35"/>
    </row>
    <row r="1204" spans="9:10" x14ac:dyDescent="0.25">
      <c r="I1204" s="37"/>
      <c r="J1204" s="35"/>
    </row>
    <row r="1205" spans="9:10" x14ac:dyDescent="0.25">
      <c r="I1205" s="37"/>
      <c r="J1205" s="35"/>
    </row>
    <row r="1206" spans="9:10" x14ac:dyDescent="0.25">
      <c r="I1206" s="37"/>
      <c r="J1206" s="35"/>
    </row>
    <row r="1207" spans="9:10" x14ac:dyDescent="0.25">
      <c r="I1207" s="37"/>
      <c r="J1207" s="35"/>
    </row>
    <row r="1208" spans="9:10" x14ac:dyDescent="0.25">
      <c r="I1208" s="37"/>
      <c r="J1208" s="35"/>
    </row>
    <row r="1209" spans="9:10" x14ac:dyDescent="0.25">
      <c r="I1209" s="37"/>
      <c r="J1209" s="35"/>
    </row>
    <row r="1210" spans="9:10" x14ac:dyDescent="0.25">
      <c r="I1210" s="37"/>
      <c r="J1210" s="35"/>
    </row>
    <row r="1211" spans="9:10" x14ac:dyDescent="0.25">
      <c r="I1211" s="37"/>
      <c r="J1211" s="35"/>
    </row>
    <row r="1212" spans="9:10" x14ac:dyDescent="0.25">
      <c r="I1212" s="37"/>
      <c r="J1212" s="35"/>
    </row>
    <row r="1213" spans="9:10" x14ac:dyDescent="0.25">
      <c r="I1213" s="37"/>
      <c r="J1213" s="35"/>
    </row>
    <row r="1214" spans="9:10" x14ac:dyDescent="0.25">
      <c r="I1214" s="37"/>
      <c r="J1214" s="35"/>
    </row>
    <row r="1215" spans="9:10" x14ac:dyDescent="0.25">
      <c r="I1215" s="37"/>
      <c r="J1215" s="35"/>
    </row>
    <row r="1216" spans="9:10" x14ac:dyDescent="0.25">
      <c r="I1216" s="37"/>
      <c r="J1216" s="35"/>
    </row>
    <row r="1217" spans="9:10" x14ac:dyDescent="0.25">
      <c r="I1217" s="37"/>
      <c r="J1217" s="35"/>
    </row>
    <row r="1218" spans="9:10" x14ac:dyDescent="0.25">
      <c r="I1218" s="37"/>
      <c r="J1218" s="35"/>
    </row>
    <row r="1219" spans="9:10" x14ac:dyDescent="0.25">
      <c r="I1219" s="37"/>
      <c r="J1219" s="35"/>
    </row>
    <row r="1220" spans="9:10" x14ac:dyDescent="0.25">
      <c r="I1220" s="37"/>
      <c r="J1220" s="35"/>
    </row>
    <row r="1221" spans="9:10" x14ac:dyDescent="0.25">
      <c r="I1221" s="37"/>
      <c r="J1221" s="35"/>
    </row>
    <row r="1222" spans="9:10" x14ac:dyDescent="0.25">
      <c r="I1222" s="37"/>
      <c r="J1222" s="35"/>
    </row>
    <row r="1223" spans="9:10" x14ac:dyDescent="0.25">
      <c r="I1223" s="37"/>
      <c r="J1223" s="35"/>
    </row>
    <row r="1224" spans="9:10" x14ac:dyDescent="0.25">
      <c r="I1224" s="37"/>
      <c r="J1224" s="35"/>
    </row>
    <row r="1225" spans="9:10" x14ac:dyDescent="0.25">
      <c r="I1225" s="37"/>
      <c r="J1225" s="35"/>
    </row>
    <row r="1226" spans="9:10" x14ac:dyDescent="0.25">
      <c r="I1226" s="37"/>
      <c r="J1226" s="35"/>
    </row>
    <row r="1227" spans="9:10" x14ac:dyDescent="0.25">
      <c r="I1227" s="37"/>
      <c r="J1227" s="35"/>
    </row>
    <row r="1228" spans="9:10" x14ac:dyDescent="0.25">
      <c r="I1228" s="37"/>
      <c r="J1228" s="35"/>
    </row>
    <row r="1229" spans="9:10" x14ac:dyDescent="0.25">
      <c r="I1229" s="37"/>
      <c r="J1229" s="35"/>
    </row>
    <row r="1230" spans="9:10" x14ac:dyDescent="0.25">
      <c r="I1230" s="37"/>
      <c r="J1230" s="35"/>
    </row>
    <row r="1231" spans="9:10" x14ac:dyDescent="0.25">
      <c r="I1231" s="37"/>
      <c r="J1231" s="35"/>
    </row>
    <row r="1232" spans="9:10" x14ac:dyDescent="0.25">
      <c r="I1232" s="37"/>
      <c r="J1232" s="35"/>
    </row>
    <row r="1233" spans="9:10" x14ac:dyDescent="0.25">
      <c r="I1233" s="37"/>
      <c r="J1233" s="35"/>
    </row>
    <row r="1234" spans="9:10" x14ac:dyDescent="0.25">
      <c r="I1234" s="37"/>
      <c r="J1234" s="35"/>
    </row>
    <row r="1235" spans="9:10" x14ac:dyDescent="0.25">
      <c r="I1235" s="37"/>
      <c r="J1235" s="35"/>
    </row>
    <row r="1236" spans="9:10" x14ac:dyDescent="0.25">
      <c r="I1236" s="37"/>
      <c r="J1236" s="35"/>
    </row>
    <row r="1237" spans="9:10" x14ac:dyDescent="0.25">
      <c r="I1237" s="37"/>
      <c r="J1237" s="35"/>
    </row>
    <row r="1238" spans="9:10" x14ac:dyDescent="0.25">
      <c r="I1238" s="37"/>
      <c r="J1238" s="35"/>
    </row>
    <row r="1239" spans="9:10" x14ac:dyDescent="0.25">
      <c r="I1239" s="37"/>
      <c r="J1239" s="35"/>
    </row>
    <row r="1240" spans="9:10" x14ac:dyDescent="0.25">
      <c r="I1240" s="37"/>
      <c r="J1240" s="35"/>
    </row>
    <row r="1241" spans="9:10" x14ac:dyDescent="0.25">
      <c r="I1241" s="37"/>
      <c r="J1241" s="35"/>
    </row>
    <row r="1242" spans="9:10" x14ac:dyDescent="0.25">
      <c r="I1242" s="37"/>
      <c r="J1242" s="35"/>
    </row>
    <row r="1243" spans="9:10" x14ac:dyDescent="0.25">
      <c r="I1243" s="37"/>
      <c r="J1243" s="35"/>
    </row>
    <row r="1244" spans="9:10" x14ac:dyDescent="0.25">
      <c r="I1244" s="37"/>
      <c r="J1244" s="35"/>
    </row>
    <row r="1245" spans="9:10" x14ac:dyDescent="0.25">
      <c r="I1245" s="37"/>
      <c r="J1245" s="35"/>
    </row>
    <row r="1246" spans="9:10" x14ac:dyDescent="0.25">
      <c r="I1246" s="37"/>
      <c r="J1246" s="35"/>
    </row>
    <row r="1247" spans="9:10" x14ac:dyDescent="0.25">
      <c r="I1247" s="37"/>
      <c r="J1247" s="35"/>
    </row>
    <row r="1248" spans="9:10" x14ac:dyDescent="0.25">
      <c r="I1248" s="37"/>
      <c r="J1248" s="35"/>
    </row>
    <row r="1249" spans="9:10" x14ac:dyDescent="0.25">
      <c r="I1249" s="37"/>
      <c r="J1249" s="35"/>
    </row>
    <row r="1250" spans="9:10" x14ac:dyDescent="0.25">
      <c r="I1250" s="37"/>
      <c r="J1250" s="35"/>
    </row>
    <row r="1251" spans="9:10" x14ac:dyDescent="0.25">
      <c r="I1251" s="37"/>
      <c r="J1251" s="35"/>
    </row>
    <row r="1252" spans="9:10" x14ac:dyDescent="0.25">
      <c r="I1252" s="37"/>
      <c r="J1252" s="35"/>
    </row>
    <row r="1253" spans="9:10" x14ac:dyDescent="0.25">
      <c r="I1253" s="37"/>
      <c r="J1253" s="35"/>
    </row>
    <row r="1254" spans="9:10" x14ac:dyDescent="0.25">
      <c r="I1254" s="37"/>
      <c r="J1254" s="35"/>
    </row>
    <row r="1255" spans="9:10" x14ac:dyDescent="0.25">
      <c r="I1255" s="37"/>
      <c r="J1255" s="35"/>
    </row>
    <row r="1256" spans="9:10" x14ac:dyDescent="0.25">
      <c r="I1256" s="37"/>
      <c r="J1256" s="35"/>
    </row>
    <row r="1257" spans="9:10" x14ac:dyDescent="0.25">
      <c r="I1257" s="37"/>
      <c r="J1257" s="35"/>
    </row>
    <row r="1258" spans="9:10" x14ac:dyDescent="0.25">
      <c r="I1258" s="37"/>
      <c r="J1258" s="35"/>
    </row>
    <row r="1259" spans="9:10" x14ac:dyDescent="0.25">
      <c r="I1259" s="37"/>
      <c r="J1259" s="35"/>
    </row>
    <row r="1260" spans="9:10" x14ac:dyDescent="0.25">
      <c r="I1260" s="37"/>
      <c r="J1260" s="35"/>
    </row>
    <row r="1261" spans="9:10" x14ac:dyDescent="0.25">
      <c r="I1261" s="37"/>
      <c r="J1261" s="35"/>
    </row>
    <row r="1262" spans="9:10" x14ac:dyDescent="0.25">
      <c r="I1262" s="37"/>
      <c r="J1262" s="35"/>
    </row>
    <row r="1263" spans="9:10" x14ac:dyDescent="0.25">
      <c r="I1263" s="37"/>
      <c r="J1263" s="35"/>
    </row>
    <row r="1264" spans="9:10" x14ac:dyDescent="0.25">
      <c r="I1264" s="37"/>
      <c r="J1264" s="35"/>
    </row>
    <row r="1265" spans="9:10" x14ac:dyDescent="0.25">
      <c r="I1265" s="37"/>
      <c r="J1265" s="35"/>
    </row>
    <row r="1266" spans="9:10" x14ac:dyDescent="0.25">
      <c r="I1266" s="37"/>
      <c r="J1266" s="35"/>
    </row>
    <row r="1267" spans="9:10" x14ac:dyDescent="0.25">
      <c r="I1267" s="37"/>
      <c r="J1267" s="35"/>
    </row>
    <row r="1268" spans="9:10" x14ac:dyDescent="0.25">
      <c r="I1268" s="37"/>
      <c r="J1268" s="35"/>
    </row>
    <row r="1269" spans="9:10" x14ac:dyDescent="0.25">
      <c r="I1269" s="37"/>
      <c r="J1269" s="35"/>
    </row>
    <row r="1270" spans="9:10" x14ac:dyDescent="0.25">
      <c r="I1270" s="37"/>
      <c r="J1270" s="35"/>
    </row>
    <row r="1271" spans="9:10" x14ac:dyDescent="0.25">
      <c r="I1271" s="37"/>
      <c r="J1271" s="35"/>
    </row>
    <row r="1272" spans="9:10" x14ac:dyDescent="0.25">
      <c r="I1272" s="37"/>
      <c r="J1272" s="35"/>
    </row>
    <row r="1273" spans="9:10" x14ac:dyDescent="0.25">
      <c r="I1273" s="37"/>
      <c r="J1273" s="35"/>
    </row>
    <row r="1274" spans="9:10" x14ac:dyDescent="0.25">
      <c r="I1274" s="37"/>
      <c r="J1274" s="35"/>
    </row>
    <row r="1275" spans="9:10" x14ac:dyDescent="0.25">
      <c r="I1275" s="37"/>
      <c r="J1275" s="35"/>
    </row>
    <row r="1276" spans="9:10" x14ac:dyDescent="0.25">
      <c r="I1276" s="37"/>
      <c r="J1276" s="35"/>
    </row>
    <row r="1277" spans="9:10" x14ac:dyDescent="0.25">
      <c r="I1277" s="37"/>
      <c r="J1277" s="35"/>
    </row>
    <row r="1278" spans="9:10" x14ac:dyDescent="0.25">
      <c r="I1278" s="37"/>
      <c r="J1278" s="35"/>
    </row>
    <row r="1279" spans="9:10" x14ac:dyDescent="0.25">
      <c r="I1279" s="37"/>
      <c r="J1279" s="35"/>
    </row>
    <row r="1280" spans="9:10" x14ac:dyDescent="0.25">
      <c r="I1280" s="37"/>
      <c r="J1280" s="35"/>
    </row>
    <row r="1281" spans="9:10" x14ac:dyDescent="0.25">
      <c r="I1281" s="37"/>
      <c r="J1281" s="35"/>
    </row>
    <row r="1282" spans="9:10" x14ac:dyDescent="0.25">
      <c r="I1282" s="37"/>
      <c r="J1282" s="35"/>
    </row>
    <row r="1283" spans="9:10" x14ac:dyDescent="0.25">
      <c r="I1283" s="37"/>
      <c r="J1283" s="35"/>
    </row>
    <row r="1284" spans="9:10" x14ac:dyDescent="0.25">
      <c r="I1284" s="37"/>
      <c r="J1284" s="35"/>
    </row>
    <row r="1285" spans="9:10" x14ac:dyDescent="0.25">
      <c r="I1285" s="37"/>
      <c r="J1285" s="35"/>
    </row>
    <row r="1286" spans="9:10" x14ac:dyDescent="0.25">
      <c r="I1286" s="37"/>
      <c r="J1286" s="35"/>
    </row>
    <row r="1287" spans="9:10" x14ac:dyDescent="0.25">
      <c r="I1287" s="37"/>
      <c r="J1287" s="35"/>
    </row>
    <row r="1288" spans="9:10" x14ac:dyDescent="0.25">
      <c r="I1288" s="37"/>
      <c r="J1288" s="35"/>
    </row>
    <row r="1289" spans="9:10" x14ac:dyDescent="0.25">
      <c r="I1289" s="37"/>
      <c r="J1289" s="35"/>
    </row>
    <row r="1290" spans="9:10" x14ac:dyDescent="0.25">
      <c r="I1290" s="37"/>
      <c r="J1290" s="35"/>
    </row>
    <row r="1291" spans="9:10" x14ac:dyDescent="0.25">
      <c r="I1291" s="37"/>
      <c r="J1291" s="35"/>
    </row>
    <row r="1292" spans="9:10" x14ac:dyDescent="0.25">
      <c r="I1292" s="37"/>
      <c r="J1292" s="35"/>
    </row>
    <row r="1293" spans="9:10" x14ac:dyDescent="0.25">
      <c r="I1293" s="37"/>
      <c r="J1293" s="35"/>
    </row>
    <row r="1294" spans="9:10" x14ac:dyDescent="0.25">
      <c r="I1294" s="37"/>
      <c r="J1294" s="35"/>
    </row>
    <row r="1295" spans="9:10" x14ac:dyDescent="0.25">
      <c r="I1295" s="37"/>
      <c r="J1295" s="35"/>
    </row>
    <row r="1296" spans="9:10" x14ac:dyDescent="0.25">
      <c r="I1296" s="37"/>
      <c r="J1296" s="35"/>
    </row>
    <row r="1297" spans="9:10" x14ac:dyDescent="0.25">
      <c r="I1297" s="37"/>
      <c r="J1297" s="35"/>
    </row>
    <row r="1298" spans="9:10" x14ac:dyDescent="0.25">
      <c r="I1298" s="37"/>
      <c r="J1298" s="35"/>
    </row>
    <row r="1299" spans="9:10" x14ac:dyDescent="0.25">
      <c r="I1299" s="37"/>
      <c r="J1299" s="35"/>
    </row>
    <row r="1300" spans="9:10" x14ac:dyDescent="0.25">
      <c r="I1300" s="37"/>
      <c r="J1300" s="35"/>
    </row>
    <row r="1301" spans="9:10" x14ac:dyDescent="0.25">
      <c r="I1301" s="37"/>
      <c r="J1301" s="35"/>
    </row>
    <row r="1302" spans="9:10" x14ac:dyDescent="0.25">
      <c r="I1302" s="37"/>
      <c r="J1302" s="35"/>
    </row>
    <row r="1303" spans="9:10" x14ac:dyDescent="0.25">
      <c r="I1303" s="37"/>
      <c r="J1303" s="35"/>
    </row>
    <row r="1304" spans="9:10" x14ac:dyDescent="0.25">
      <c r="I1304" s="37"/>
      <c r="J1304" s="35"/>
    </row>
    <row r="1305" spans="9:10" x14ac:dyDescent="0.25">
      <c r="I1305" s="37"/>
      <c r="J1305" s="35"/>
    </row>
    <row r="1306" spans="9:10" x14ac:dyDescent="0.25">
      <c r="I1306" s="37"/>
      <c r="J1306" s="35"/>
    </row>
    <row r="1307" spans="9:10" x14ac:dyDescent="0.25">
      <c r="I1307" s="37"/>
      <c r="J1307" s="35"/>
    </row>
    <row r="1308" spans="9:10" x14ac:dyDescent="0.25">
      <c r="I1308" s="37"/>
      <c r="J1308" s="35"/>
    </row>
    <row r="1309" spans="9:10" x14ac:dyDescent="0.25">
      <c r="I1309" s="37"/>
      <c r="J1309" s="35"/>
    </row>
    <row r="1310" spans="9:10" x14ac:dyDescent="0.25">
      <c r="I1310" s="37"/>
      <c r="J1310" s="35"/>
    </row>
    <row r="1311" spans="9:10" x14ac:dyDescent="0.25">
      <c r="I1311" s="37"/>
      <c r="J1311" s="35"/>
    </row>
    <row r="1312" spans="9:10" x14ac:dyDescent="0.25">
      <c r="I1312" s="37"/>
      <c r="J1312" s="35"/>
    </row>
    <row r="1313" spans="9:10" x14ac:dyDescent="0.25">
      <c r="I1313" s="37"/>
      <c r="J1313" s="35"/>
    </row>
    <row r="1314" spans="9:10" x14ac:dyDescent="0.25">
      <c r="I1314" s="37"/>
      <c r="J1314" s="35"/>
    </row>
    <row r="1315" spans="9:10" x14ac:dyDescent="0.25">
      <c r="I1315" s="37"/>
      <c r="J1315" s="35"/>
    </row>
    <row r="1316" spans="9:10" x14ac:dyDescent="0.25">
      <c r="I1316" s="37"/>
      <c r="J1316" s="35"/>
    </row>
    <row r="1317" spans="9:10" x14ac:dyDescent="0.25">
      <c r="I1317" s="37"/>
      <c r="J1317" s="35"/>
    </row>
    <row r="1318" spans="9:10" x14ac:dyDescent="0.25">
      <c r="I1318" s="37"/>
      <c r="J1318" s="35"/>
    </row>
    <row r="1319" spans="9:10" x14ac:dyDescent="0.25">
      <c r="I1319" s="37"/>
      <c r="J1319" s="35"/>
    </row>
    <row r="1320" spans="9:10" x14ac:dyDescent="0.25">
      <c r="I1320" s="37"/>
      <c r="J1320" s="35"/>
    </row>
    <row r="1321" spans="9:10" x14ac:dyDescent="0.25">
      <c r="I1321" s="37"/>
      <c r="J1321" s="35"/>
    </row>
    <row r="1322" spans="9:10" x14ac:dyDescent="0.25">
      <c r="I1322" s="37"/>
      <c r="J1322" s="35"/>
    </row>
    <row r="1323" spans="9:10" x14ac:dyDescent="0.25">
      <c r="I1323" s="37"/>
      <c r="J1323" s="35"/>
    </row>
    <row r="1324" spans="9:10" x14ac:dyDescent="0.25">
      <c r="I1324" s="37"/>
      <c r="J1324" s="35"/>
    </row>
    <row r="1325" spans="9:10" x14ac:dyDescent="0.25">
      <c r="I1325" s="37"/>
      <c r="J1325" s="35"/>
    </row>
    <row r="1326" spans="9:10" x14ac:dyDescent="0.25">
      <c r="I1326" s="37"/>
      <c r="J1326" s="35"/>
    </row>
    <row r="1327" spans="9:10" x14ac:dyDescent="0.25">
      <c r="I1327" s="37"/>
      <c r="J1327" s="35"/>
    </row>
    <row r="1328" spans="9:10" x14ac:dyDescent="0.25">
      <c r="I1328" s="37"/>
      <c r="J1328" s="35"/>
    </row>
    <row r="1329" spans="9:10" x14ac:dyDescent="0.25">
      <c r="I1329" s="37"/>
      <c r="J1329" s="35"/>
    </row>
    <row r="1330" spans="9:10" x14ac:dyDescent="0.25">
      <c r="I1330" s="37"/>
      <c r="J1330" s="35"/>
    </row>
    <row r="1331" spans="9:10" x14ac:dyDescent="0.25">
      <c r="I1331" s="37"/>
      <c r="J1331" s="35"/>
    </row>
    <row r="1332" spans="9:10" x14ac:dyDescent="0.25">
      <c r="I1332" s="37"/>
      <c r="J1332" s="35"/>
    </row>
    <row r="1333" spans="9:10" x14ac:dyDescent="0.25">
      <c r="I1333" s="37"/>
      <c r="J1333" s="35"/>
    </row>
    <row r="1334" spans="9:10" x14ac:dyDescent="0.25">
      <c r="I1334" s="37"/>
      <c r="J1334" s="35"/>
    </row>
  </sheetData>
  <mergeCells count="18">
    <mergeCell ref="T29:U29"/>
    <mergeCell ref="J16:K16"/>
    <mergeCell ref="L16:M16"/>
    <mergeCell ref="N16:O16"/>
    <mergeCell ref="P16:Q16"/>
    <mergeCell ref="R16:S16"/>
    <mergeCell ref="T16:U16"/>
    <mergeCell ref="J29:K29"/>
    <mergeCell ref="L29:M29"/>
    <mergeCell ref="N29:O29"/>
    <mergeCell ref="P29:Q29"/>
    <mergeCell ref="R29:S29"/>
    <mergeCell ref="T2:U2"/>
    <mergeCell ref="J2:K2"/>
    <mergeCell ref="L2:M2"/>
    <mergeCell ref="N2:O2"/>
    <mergeCell ref="P2:Q2"/>
    <mergeCell ref="R2:S2"/>
  </mergeCells>
  <conditionalFormatting sqref="AE3:AI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:AI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0:AI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ED9A-32AE-40A4-93AB-D9B73D9EEB45}">
  <dimension ref="B1:AQ1334"/>
  <sheetViews>
    <sheetView showGridLines="0" topLeftCell="D1" zoomScale="85" zoomScaleNormal="85" workbookViewId="0">
      <selection activeCell="J34" sqref="J34:T34"/>
    </sheetView>
  </sheetViews>
  <sheetFormatPr defaultRowHeight="15" outlineLevelRow="1" outlineLevelCol="1" x14ac:dyDescent="0.25"/>
  <cols>
    <col min="1" max="1" width="2.5703125" customWidth="1"/>
    <col min="2" max="2" width="9.140625" customWidth="1"/>
    <col min="3" max="3" width="16.28515625" bestFit="1" customWidth="1"/>
    <col min="4" max="4" width="15.28515625" bestFit="1" customWidth="1"/>
    <col min="5" max="5" width="2.5703125" customWidth="1"/>
    <col min="6" max="6" width="18.140625" bestFit="1" customWidth="1"/>
    <col min="7" max="7" width="2.5703125" customWidth="1"/>
    <col min="8" max="8" width="25.140625" bestFit="1" customWidth="1"/>
    <col min="9" max="9" width="24.28515625" style="11" customWidth="1" outlineLevel="1"/>
    <col min="10" max="10" width="9.42578125" style="6" customWidth="1"/>
    <col min="11" max="11" width="19" style="11" hidden="1" customWidth="1" outlineLevel="1"/>
    <col min="12" max="12" width="12.5703125" style="6" customWidth="1" collapsed="1"/>
    <col min="13" max="13" width="19.5703125" style="11" hidden="1" customWidth="1" outlineLevel="1"/>
    <col min="14" max="14" width="14.140625" style="6" customWidth="1" collapsed="1"/>
    <col min="15" max="15" width="17" style="11" hidden="1" customWidth="1" outlineLevel="1"/>
    <col min="16" max="16" width="8.5703125" style="6" bestFit="1" customWidth="1" collapsed="1"/>
    <col min="17" max="17" width="18" style="11" hidden="1" customWidth="1" outlineLevel="1"/>
    <col min="18" max="18" width="11.42578125" style="5" customWidth="1" collapsed="1"/>
    <col min="19" max="19" width="19.5703125" style="10" hidden="1" customWidth="1" outlineLevel="1"/>
    <col min="20" max="20" width="9.85546875" style="10" bestFit="1" customWidth="1" collapsed="1"/>
    <col min="21" max="21" width="19.5703125" style="10" hidden="1" customWidth="1" outlineLevel="1"/>
    <col min="22" max="22" width="2.5703125" customWidth="1" collapsed="1"/>
    <col min="23" max="24" width="7.140625" hidden="1" customWidth="1" outlineLevel="1"/>
    <col min="25" max="25" width="17.85546875" bestFit="1" customWidth="1" collapsed="1"/>
    <col min="26" max="27" width="17.85546875" bestFit="1" customWidth="1"/>
    <col min="28" max="28" width="17" bestFit="1" customWidth="1"/>
    <col min="29" max="29" width="15.140625" bestFit="1" customWidth="1"/>
    <col min="30" max="30" width="2.5703125" customWidth="1"/>
    <col min="31" max="31" width="7.85546875" bestFit="1" customWidth="1"/>
    <col min="32" max="32" width="11.140625" bestFit="1" customWidth="1"/>
    <col min="33" max="33" width="13.28515625" bestFit="1" customWidth="1"/>
    <col min="34" max="34" width="7.85546875" bestFit="1" customWidth="1"/>
    <col min="35" max="35" width="8.140625" bestFit="1" customWidth="1"/>
    <col min="36" max="36" width="2.5703125" customWidth="1"/>
    <col min="37" max="37" width="17.85546875" bestFit="1" customWidth="1"/>
    <col min="38" max="38" width="8.140625" bestFit="1" customWidth="1"/>
    <col min="39" max="39" width="2.5703125" customWidth="1"/>
    <col min="41" max="41" width="16.28515625" bestFit="1" customWidth="1"/>
  </cols>
  <sheetData>
    <row r="1" spans="2:43" ht="9" customHeight="1" x14ac:dyDescent="0.25"/>
    <row r="2" spans="2:43" x14ac:dyDescent="0.25">
      <c r="B2" s="1"/>
      <c r="C2" s="1" t="s">
        <v>20</v>
      </c>
      <c r="D2" s="1"/>
      <c r="H2" s="4" t="s">
        <v>1</v>
      </c>
      <c r="I2" s="9" t="s">
        <v>4</v>
      </c>
      <c r="J2" s="112" t="s">
        <v>7</v>
      </c>
      <c r="K2" s="112"/>
      <c r="L2" s="112" t="s">
        <v>8</v>
      </c>
      <c r="M2" s="112"/>
      <c r="N2" s="112" t="s">
        <v>10</v>
      </c>
      <c r="O2" s="112"/>
      <c r="P2" s="112" t="s">
        <v>9</v>
      </c>
      <c r="Q2" s="112"/>
      <c r="R2" s="112" t="s">
        <v>21</v>
      </c>
      <c r="S2" s="112"/>
      <c r="T2" s="112" t="s">
        <v>55</v>
      </c>
      <c r="U2" s="112"/>
      <c r="W2" s="1" t="s">
        <v>46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27" t="s">
        <v>49</v>
      </c>
      <c r="AF2" s="27" t="s">
        <v>50</v>
      </c>
      <c r="AG2" s="27" t="s">
        <v>51</v>
      </c>
      <c r="AH2" s="27" t="s">
        <v>52</v>
      </c>
      <c r="AI2" s="27" t="s">
        <v>53</v>
      </c>
      <c r="AK2" s="75" t="s">
        <v>60</v>
      </c>
      <c r="AL2" s="75" t="s">
        <v>61</v>
      </c>
      <c r="AN2" s="1"/>
      <c r="AO2" s="1" t="s">
        <v>20</v>
      </c>
      <c r="AP2" s="1"/>
    </row>
    <row r="3" spans="2:43" x14ac:dyDescent="0.25">
      <c r="B3" s="105" t="s">
        <v>77</v>
      </c>
      <c r="C3" s="106" t="s">
        <v>10</v>
      </c>
      <c r="D3" s="105" t="s">
        <v>7</v>
      </c>
      <c r="F3" s="7">
        <f>J3+L3+N3+P3+R3+T3</f>
        <v>1</v>
      </c>
      <c r="H3" s="97" t="s">
        <v>5</v>
      </c>
      <c r="I3" s="80">
        <v>626050508.83000004</v>
      </c>
      <c r="J3" s="81">
        <v>0.62460000000000004</v>
      </c>
      <c r="K3" s="80">
        <f t="shared" ref="K3:Q13" si="0">+J3*$I3</f>
        <v>391031147.81521803</v>
      </c>
      <c r="L3" s="81">
        <v>0.18630000000000002</v>
      </c>
      <c r="M3" s="80">
        <f t="shared" si="0"/>
        <v>116633209.79502901</v>
      </c>
      <c r="N3" s="81">
        <v>0.15759999999999999</v>
      </c>
      <c r="O3" s="80">
        <f t="shared" si="0"/>
        <v>98665560.191607997</v>
      </c>
      <c r="P3" s="81">
        <v>3.7699999999999997E-2</v>
      </c>
      <c r="Q3" s="80">
        <f t="shared" si="0"/>
        <v>23602104.182891</v>
      </c>
      <c r="R3" s="82">
        <v>0</v>
      </c>
      <c r="S3" s="80">
        <f t="shared" ref="S3:S13" si="1">+R3*$I3</f>
        <v>0</v>
      </c>
      <c r="T3" s="81">
        <v>-6.1999999999999998E-3</v>
      </c>
      <c r="U3" s="65">
        <f t="shared" ref="U3:U4" si="2">+T3*$I3</f>
        <v>-3881513.1547460002</v>
      </c>
      <c r="Y3" s="12">
        <f>K3-'Out25'!K3</f>
        <v>105589556.44527006</v>
      </c>
      <c r="Z3" s="12">
        <f>M3-'Out25'!M3</f>
        <v>-6795230.3865989894</v>
      </c>
      <c r="AA3" s="12">
        <f>O3-'Out25'!O3</f>
        <v>-3978298.0941499919</v>
      </c>
      <c r="AB3" s="12">
        <f>Q3-'Out25'!Q3</f>
        <v>1645058.6928949989</v>
      </c>
      <c r="AC3" s="12">
        <f>+S3-'Out25'!S3</f>
        <v>0</v>
      </c>
      <c r="AD3" s="98"/>
      <c r="AE3" s="28">
        <f>J3-'Out25'!J3</f>
        <v>8.9000000000000079E-2</v>
      </c>
      <c r="AF3" s="28">
        <f>L3-'Out25'!L3</f>
        <v>-4.5299999999999979E-2</v>
      </c>
      <c r="AG3" s="28">
        <f>N3-'Out25'!N3</f>
        <v>-3.5000000000000003E-2</v>
      </c>
      <c r="AH3" s="28">
        <f>P3-'Out25'!P3</f>
        <v>-3.5000000000000031E-3</v>
      </c>
      <c r="AI3" s="28">
        <f>R3-'Out25'!R3</f>
        <v>0</v>
      </c>
      <c r="AJ3" s="8"/>
      <c r="AK3" s="10">
        <f>I3-'Out25'!I3</f>
        <v>93112511.50000006</v>
      </c>
      <c r="AL3" s="76">
        <f>I3/'Out25'!I3-1</f>
        <v>0.17471546777765967</v>
      </c>
      <c r="AM3" s="8"/>
      <c r="AN3" t="s">
        <v>11</v>
      </c>
      <c r="AO3" s="2" t="s">
        <v>10</v>
      </c>
      <c r="AP3" t="s">
        <v>7</v>
      </c>
      <c r="AQ3" s="8"/>
    </row>
    <row r="4" spans="2:43" x14ac:dyDescent="0.25">
      <c r="B4" s="103" t="s">
        <v>12</v>
      </c>
      <c r="C4" s="104" t="s">
        <v>16</v>
      </c>
      <c r="D4" s="103" t="s">
        <v>58</v>
      </c>
      <c r="F4" s="7">
        <f>J4+L4+N4+P4+R4+T4</f>
        <v>0.99999999999999989</v>
      </c>
      <c r="H4" s="3" t="s">
        <v>0</v>
      </c>
      <c r="I4" s="78">
        <v>1754193247</v>
      </c>
      <c r="J4" s="77">
        <v>0.41299999999999998</v>
      </c>
      <c r="K4" s="78">
        <f t="shared" si="0"/>
        <v>724481811.01099992</v>
      </c>
      <c r="L4" s="77">
        <v>0.28699999999999998</v>
      </c>
      <c r="M4" s="78">
        <f t="shared" si="0"/>
        <v>503453461.88899994</v>
      </c>
      <c r="N4" s="77">
        <v>0.19</v>
      </c>
      <c r="O4" s="78">
        <f t="shared" si="0"/>
        <v>333296716.93000001</v>
      </c>
      <c r="P4" s="77">
        <v>0.11</v>
      </c>
      <c r="Q4" s="78">
        <f t="shared" si="0"/>
        <v>192961257.16999999</v>
      </c>
      <c r="R4" s="77">
        <v>0</v>
      </c>
      <c r="S4" s="78">
        <f t="shared" si="1"/>
        <v>0</v>
      </c>
      <c r="T4" s="77">
        <v>0</v>
      </c>
      <c r="U4" s="57">
        <f t="shared" si="2"/>
        <v>0</v>
      </c>
      <c r="Y4" s="12">
        <f>K4-'Out25'!K4</f>
        <v>-21581375.809000015</v>
      </c>
      <c r="Z4" s="12">
        <f>M4-'Out25'!M4</f>
        <v>130421868.47899997</v>
      </c>
      <c r="AA4" s="12">
        <f>O4-'Out25'!O4</f>
        <v>-93025104.109999955</v>
      </c>
      <c r="AB4" s="12">
        <f>Q4-'Out25'!Q4</f>
        <v>-2436244.1400000155</v>
      </c>
      <c r="AC4" s="12">
        <f>+S4-'Out25'!S4</f>
        <v>0</v>
      </c>
      <c r="AE4" s="28">
        <f>J4-'Out25'!J4</f>
        <v>-7.0000000000000062E-3</v>
      </c>
      <c r="AF4" s="28">
        <f>L4-'Out25'!L4</f>
        <v>7.6999999999999985E-2</v>
      </c>
      <c r="AG4" s="28">
        <f>N4-'Out25'!N4</f>
        <v>-4.9999999999999989E-2</v>
      </c>
      <c r="AH4" s="28">
        <f>P4-'Out25'!P4</f>
        <v>0</v>
      </c>
      <c r="AI4" s="28">
        <f>R4-'Out25'!R4</f>
        <v>0</v>
      </c>
      <c r="AK4" s="10">
        <f>I4-'Out25'!I4</f>
        <v>-22147674</v>
      </c>
      <c r="AL4" s="76">
        <f>I4/'Out25'!I4-1</f>
        <v>-1.2468143777001894E-2</v>
      </c>
      <c r="AN4" t="s">
        <v>12</v>
      </c>
      <c r="AO4" s="2" t="s">
        <v>16</v>
      </c>
      <c r="AP4" t="s">
        <v>58</v>
      </c>
    </row>
    <row r="5" spans="2:43" x14ac:dyDescent="0.25">
      <c r="B5" s="103" t="s">
        <v>13</v>
      </c>
      <c r="C5" s="104" t="s">
        <v>17</v>
      </c>
      <c r="D5" s="103" t="s">
        <v>59</v>
      </c>
      <c r="F5" s="7">
        <f t="shared" ref="F5:F6" si="3">J5+L5+N5+P5+R5+T5</f>
        <v>1</v>
      </c>
      <c r="H5" s="3" t="s">
        <v>3</v>
      </c>
      <c r="I5" s="78">
        <v>247652254.37</v>
      </c>
      <c r="J5" s="77">
        <v>0.24</v>
      </c>
      <c r="K5" s="78">
        <f t="shared" si="0"/>
        <v>59436541.048799999</v>
      </c>
      <c r="L5" s="77">
        <v>0</v>
      </c>
      <c r="M5" s="78">
        <f t="shared" si="0"/>
        <v>0</v>
      </c>
      <c r="N5" s="77">
        <v>0.38</v>
      </c>
      <c r="O5" s="78">
        <f t="shared" si="0"/>
        <v>94107856.660600007</v>
      </c>
      <c r="P5" s="77">
        <v>0.05</v>
      </c>
      <c r="Q5" s="78">
        <f t="shared" si="0"/>
        <v>12382612.718500001</v>
      </c>
      <c r="R5" s="77">
        <v>0.31</v>
      </c>
      <c r="S5" s="78">
        <f t="shared" si="1"/>
        <v>76772198.854699999</v>
      </c>
      <c r="T5" s="77">
        <v>0.02</v>
      </c>
      <c r="U5" s="57">
        <f t="shared" ref="U5:U13" si="4">+T5*$I5</f>
        <v>4953045.0874000005</v>
      </c>
      <c r="Y5" s="12">
        <f>K5-'Out25'!K5</f>
        <v>-49039053.119400002</v>
      </c>
      <c r="Z5" s="12">
        <f>M5-'Out25'!M5</f>
        <v>0</v>
      </c>
      <c r="AA5" s="12">
        <f>O5-'Out25'!O5</f>
        <v>6294280.4291999936</v>
      </c>
      <c r="AB5" s="12">
        <f>Q5-'Out25'!Q5</f>
        <v>-531148.49200000055</v>
      </c>
      <c r="AC5" s="12">
        <f>+S5-'Out25'!S5</f>
        <v>38030915.223200001</v>
      </c>
      <c r="AE5" s="28">
        <f>J5-'Out25'!J5</f>
        <v>-0.18</v>
      </c>
      <c r="AF5" s="28">
        <f>L5-'Out25'!L5</f>
        <v>0</v>
      </c>
      <c r="AG5" s="28">
        <f>N5-'Out25'!N5</f>
        <v>3.999999999999998E-2</v>
      </c>
      <c r="AH5" s="28">
        <f>P5-'Out25'!P5</f>
        <v>0</v>
      </c>
      <c r="AI5" s="28">
        <f>R5-'Out25'!R5</f>
        <v>0.16</v>
      </c>
      <c r="AK5" s="10">
        <f>I5-'Out25'!I5</f>
        <v>-10622969.840000004</v>
      </c>
      <c r="AL5" s="76">
        <f>I5/'Out25'!I5-1</f>
        <v>-4.1130425392110426E-2</v>
      </c>
      <c r="AN5" t="s">
        <v>13</v>
      </c>
      <c r="AO5" s="2" t="s">
        <v>17</v>
      </c>
      <c r="AP5" t="s">
        <v>59</v>
      </c>
    </row>
    <row r="6" spans="2:43" x14ac:dyDescent="0.25">
      <c r="B6" s="103" t="s">
        <v>14</v>
      </c>
      <c r="C6" s="104" t="s">
        <v>18</v>
      </c>
      <c r="F6" s="7">
        <f t="shared" si="3"/>
        <v>1</v>
      </c>
      <c r="H6" s="3" t="s">
        <v>62</v>
      </c>
      <c r="I6" s="78">
        <v>4149174710</v>
      </c>
      <c r="J6" s="77">
        <v>0.26600000000000001</v>
      </c>
      <c r="K6" s="78">
        <f t="shared" si="0"/>
        <v>1103680472.8600001</v>
      </c>
      <c r="L6" s="77">
        <v>0.24299999999999999</v>
      </c>
      <c r="M6" s="78">
        <f t="shared" si="0"/>
        <v>1008249454.53</v>
      </c>
      <c r="N6" s="77">
        <v>0.35799999999999998</v>
      </c>
      <c r="O6" s="78">
        <f t="shared" si="0"/>
        <v>1485404546.1799998</v>
      </c>
      <c r="P6" s="77">
        <v>4.7E-2</v>
      </c>
      <c r="Q6" s="78">
        <f t="shared" si="0"/>
        <v>195011211.37</v>
      </c>
      <c r="R6" s="77">
        <v>0</v>
      </c>
      <c r="S6" s="78">
        <f t="shared" si="1"/>
        <v>0</v>
      </c>
      <c r="T6" s="77">
        <v>8.5999999999999993E-2</v>
      </c>
      <c r="U6" s="57">
        <f t="shared" si="4"/>
        <v>356829025.05999994</v>
      </c>
      <c r="Y6" s="12">
        <f>K6-'Out25'!K6</f>
        <v>19984542.668000221</v>
      </c>
      <c r="Z6" s="12">
        <f>M6-'Out25'!M6</f>
        <v>-57967509.046000004</v>
      </c>
      <c r="AA6" s="12">
        <f>O6-'Out25'!O6</f>
        <v>-397954106.69400024</v>
      </c>
      <c r="AB6" s="12">
        <f>Q6-'Out25'!Q6</f>
        <v>-23475871.330000013</v>
      </c>
      <c r="AC6" s="12">
        <f>+S6-'Out25'!S6</f>
        <v>0</v>
      </c>
      <c r="AE6" s="28">
        <f>J6-'Out25'!J6</f>
        <v>1.8000000000000016E-2</v>
      </c>
      <c r="AF6" s="28">
        <f>L6-'Out25'!L6</f>
        <v>-1.0000000000000009E-3</v>
      </c>
      <c r="AG6" s="28">
        <f>N6-'Out25'!N6</f>
        <v>-7.3000000000000009E-2</v>
      </c>
      <c r="AH6" s="28">
        <f>P6-'Out25'!P6</f>
        <v>-3.0000000000000027E-3</v>
      </c>
      <c r="AI6" s="28">
        <f>R6-'Out25'!R6</f>
        <v>0</v>
      </c>
      <c r="AK6" s="10">
        <f>I6-'Out25'!I6</f>
        <v>-220566944</v>
      </c>
      <c r="AL6" s="76">
        <f>I6/'Out25'!I6-1</f>
        <v>-5.0475968939284077E-2</v>
      </c>
      <c r="AN6" t="s">
        <v>14</v>
      </c>
      <c r="AO6" s="2" t="s">
        <v>18</v>
      </c>
    </row>
    <row r="7" spans="2:43" x14ac:dyDescent="0.25">
      <c r="B7" s="103" t="s">
        <v>15</v>
      </c>
      <c r="C7" s="104" t="s">
        <v>19</v>
      </c>
      <c r="F7" s="7">
        <f t="shared" ref="F7:F36" si="5">J7+L7+N7+P7+R7+T7</f>
        <v>1</v>
      </c>
      <c r="H7" s="3" t="s">
        <v>22</v>
      </c>
      <c r="I7" s="78">
        <v>3308460000</v>
      </c>
      <c r="J7" s="77">
        <v>0.28399999999999997</v>
      </c>
      <c r="K7" s="78">
        <f t="shared" si="0"/>
        <v>939602639.99999988</v>
      </c>
      <c r="L7" s="77">
        <v>0.33</v>
      </c>
      <c r="M7" s="78">
        <f t="shared" si="0"/>
        <v>1091791800</v>
      </c>
      <c r="N7" s="77">
        <v>0.311</v>
      </c>
      <c r="O7" s="78">
        <f t="shared" si="0"/>
        <v>1028931060</v>
      </c>
      <c r="P7" s="77">
        <v>7.4999999999999997E-2</v>
      </c>
      <c r="Q7" s="78">
        <f t="shared" si="0"/>
        <v>248134500</v>
      </c>
      <c r="R7" s="77">
        <v>0</v>
      </c>
      <c r="S7" s="78">
        <f t="shared" si="1"/>
        <v>0</v>
      </c>
      <c r="T7" s="77">
        <v>0</v>
      </c>
      <c r="U7" s="57">
        <f t="shared" si="4"/>
        <v>0</v>
      </c>
      <c r="Y7" s="12">
        <f>K7-'Out25'!K7</f>
        <v>251885239.99999988</v>
      </c>
      <c r="Z7" s="12">
        <f>M7-'Out25'!M7</f>
        <v>-17639100</v>
      </c>
      <c r="AA7" s="12">
        <f>O7-'Out25'!O7</f>
        <v>-161598590</v>
      </c>
      <c r="AB7" s="12">
        <f>Q7-'Out25'!Q7</f>
        <v>-8137550</v>
      </c>
      <c r="AC7" s="12">
        <f>+S7-'Out25'!S7</f>
        <v>0</v>
      </c>
      <c r="AE7" s="28">
        <f>J7-'Out25'!J7</f>
        <v>7.1999999999999981E-2</v>
      </c>
      <c r="AF7" s="28">
        <f>L7-'Out25'!L7</f>
        <v>-1.2000000000000011E-2</v>
      </c>
      <c r="AG7" s="28">
        <f>N7-'Out25'!N7</f>
        <v>-5.5999999999999994E-2</v>
      </c>
      <c r="AH7" s="28">
        <f>P7-'Out25'!P7</f>
        <v>-4.0000000000000036E-3</v>
      </c>
      <c r="AI7" s="28">
        <f>R7-'Out25'!R7</f>
        <v>0</v>
      </c>
      <c r="AK7" s="10">
        <f>I7-'Out25'!I7</f>
        <v>64510000</v>
      </c>
      <c r="AL7" s="76">
        <f>I7/'Out25'!I7-1</f>
        <v>1.9886249788066968E-2</v>
      </c>
      <c r="AN7" t="s">
        <v>15</v>
      </c>
      <c r="AO7" s="2" t="s">
        <v>19</v>
      </c>
    </row>
    <row r="8" spans="2:43" x14ac:dyDescent="0.25">
      <c r="B8" s="103" t="s">
        <v>57</v>
      </c>
      <c r="F8" s="7">
        <f t="shared" si="5"/>
        <v>0.99999999999999989</v>
      </c>
      <c r="H8" s="3" t="s">
        <v>23</v>
      </c>
      <c r="I8" s="78">
        <v>194151909.96000001</v>
      </c>
      <c r="J8" s="77">
        <v>0.16</v>
      </c>
      <c r="K8" s="78">
        <f t="shared" si="0"/>
        <v>31064305.593600001</v>
      </c>
      <c r="L8" s="77">
        <v>0.41</v>
      </c>
      <c r="M8" s="78">
        <f t="shared" si="0"/>
        <v>79602283.0836</v>
      </c>
      <c r="N8" s="77">
        <v>0.24</v>
      </c>
      <c r="O8" s="78">
        <f t="shared" si="0"/>
        <v>46596458.3904</v>
      </c>
      <c r="P8" s="77">
        <v>0.08</v>
      </c>
      <c r="Q8" s="78">
        <f t="shared" si="0"/>
        <v>15532152.796800001</v>
      </c>
      <c r="R8" s="77">
        <v>0</v>
      </c>
      <c r="S8" s="78">
        <f t="shared" si="1"/>
        <v>0</v>
      </c>
      <c r="T8" s="77">
        <v>0.11</v>
      </c>
      <c r="U8" s="57">
        <f t="shared" si="4"/>
        <v>21356710.095600002</v>
      </c>
      <c r="Y8" s="12">
        <f>K8-'Out25'!K8</f>
        <v>6503580.6535999998</v>
      </c>
      <c r="Z8" s="12">
        <f>M8-'Out25'!M8</f>
        <v>-3904181.7124000043</v>
      </c>
      <c r="AA8" s="12">
        <f>O8-'Out25'!O8</f>
        <v>-560133.49440000206</v>
      </c>
      <c r="AB8" s="12">
        <f>Q8-'Out25'!Q8</f>
        <v>-186711.16480000131</v>
      </c>
      <c r="AC8" s="12">
        <f>+S8-'Out25'!S8</f>
        <v>0</v>
      </c>
      <c r="AE8" s="28">
        <f>J8-'Out25'!J8</f>
        <v>3.5000000000000003E-2</v>
      </c>
      <c r="AF8" s="28">
        <f>L8-'Out25'!L8</f>
        <v>-1.5000000000000013E-2</v>
      </c>
      <c r="AG8" s="28">
        <f>N8-'Out25'!N8</f>
        <v>0</v>
      </c>
      <c r="AH8" s="28">
        <f>P8-'Out25'!P8</f>
        <v>0</v>
      </c>
      <c r="AI8" s="28">
        <f>R8-'Out25'!R8</f>
        <v>0</v>
      </c>
      <c r="AK8" s="10">
        <f>I8-'Out25'!I8</f>
        <v>-2333889.5600000024</v>
      </c>
      <c r="AL8" s="76">
        <f>I8/'Out25'!I8-1</f>
        <v>-1.1878158959586438E-2</v>
      </c>
      <c r="AN8" t="s">
        <v>57</v>
      </c>
    </row>
    <row r="9" spans="2:43" x14ac:dyDescent="0.25">
      <c r="F9" s="7">
        <f t="shared" si="5"/>
        <v>1</v>
      </c>
      <c r="H9" s="3" t="s">
        <v>24</v>
      </c>
      <c r="I9" s="78">
        <v>1616601762</v>
      </c>
      <c r="J9" s="77">
        <v>0.6502</v>
      </c>
      <c r="K9" s="78">
        <f t="shared" si="0"/>
        <v>1051114465.6524</v>
      </c>
      <c r="L9" s="77">
        <v>0.1333</v>
      </c>
      <c r="M9" s="78">
        <f t="shared" si="0"/>
        <v>215493014.87459999</v>
      </c>
      <c r="N9" s="77">
        <v>0.1739</v>
      </c>
      <c r="O9" s="78">
        <f t="shared" si="0"/>
        <v>281127046.41180003</v>
      </c>
      <c r="P9" s="77">
        <v>0.04</v>
      </c>
      <c r="Q9" s="78">
        <f t="shared" si="0"/>
        <v>64664070.480000004</v>
      </c>
      <c r="R9" s="77">
        <v>0</v>
      </c>
      <c r="S9" s="78">
        <f t="shared" si="1"/>
        <v>0</v>
      </c>
      <c r="T9" s="77">
        <v>2.5999999999999999E-3</v>
      </c>
      <c r="U9" s="57">
        <f t="shared" si="4"/>
        <v>4203164.5811999999</v>
      </c>
      <c r="Y9" s="12">
        <f>K9-'Out25'!K9</f>
        <v>-2468023.0382000208</v>
      </c>
      <c r="Z9" s="12">
        <f>M9-'Out25'!M9</f>
        <v>-1845908.6128000021</v>
      </c>
      <c r="AA9" s="12">
        <f>O9-'Out25'!O9</f>
        <v>1459409.9900000095</v>
      </c>
      <c r="AB9" s="12">
        <f>Q9-'Out25'!Q9</f>
        <v>-3670273.6485999972</v>
      </c>
      <c r="AC9" s="12">
        <f>+S9-'Out25'!S9</f>
        <v>0</v>
      </c>
      <c r="AE9" s="28">
        <f>J9-'Out25'!J9</f>
        <v>1.0999999999999899E-3</v>
      </c>
      <c r="AF9" s="28">
        <f>L9-'Out25'!L9</f>
        <v>-5.9999999999998943E-4</v>
      </c>
      <c r="AG9" s="28">
        <f>N9-'Out25'!N9</f>
        <v>1.5999999999999903E-3</v>
      </c>
      <c r="AH9" s="28">
        <f>P9-'Out25'!P9</f>
        <v>-2.0999999999999977E-3</v>
      </c>
      <c r="AI9" s="28">
        <f>R9-'Out25'!R9</f>
        <v>0</v>
      </c>
      <c r="AK9" s="10">
        <f>I9-'Out25'!I9</f>
        <v>-6541804</v>
      </c>
      <c r="AL9" s="76">
        <f>I9/'Out25'!I9-1</f>
        <v>-4.0303298716337643E-3</v>
      </c>
    </row>
    <row r="10" spans="2:43" x14ac:dyDescent="0.25">
      <c r="F10" s="7">
        <f t="shared" si="5"/>
        <v>1</v>
      </c>
      <c r="H10" s="3" t="s">
        <v>73</v>
      </c>
      <c r="I10" s="78">
        <v>7767068543.1000004</v>
      </c>
      <c r="J10" s="77">
        <v>0.38100000000000001</v>
      </c>
      <c r="K10" s="78">
        <f t="shared" si="0"/>
        <v>2959253114.9211001</v>
      </c>
      <c r="L10" s="77">
        <v>0.378</v>
      </c>
      <c r="M10" s="78">
        <f t="shared" si="0"/>
        <v>2935951909.2918</v>
      </c>
      <c r="N10" s="77">
        <v>0.19900000000000001</v>
      </c>
      <c r="O10" s="78">
        <f t="shared" si="0"/>
        <v>1545646640.0769002</v>
      </c>
      <c r="P10" s="77">
        <v>4.2000000000000003E-2</v>
      </c>
      <c r="Q10" s="78">
        <f t="shared" si="0"/>
        <v>326216878.81020004</v>
      </c>
      <c r="R10" s="77">
        <v>0</v>
      </c>
      <c r="S10" s="78">
        <f t="shared" si="1"/>
        <v>0</v>
      </c>
      <c r="T10" s="77">
        <v>0</v>
      </c>
      <c r="U10" s="57">
        <f t="shared" si="4"/>
        <v>0</v>
      </c>
      <c r="Y10" s="12">
        <f>K10-'Out25'!K10</f>
        <v>-183048117.99281979</v>
      </c>
      <c r="Z10" s="12">
        <f>M10-'Out25'!M10</f>
        <v>-262319065.68419981</v>
      </c>
      <c r="AA10" s="12">
        <f>O10-'Out25'!O10</f>
        <v>210368508.02442026</v>
      </c>
      <c r="AB10" s="12">
        <f>Q10-'Out25'!Q10</f>
        <v>6389781.3126000166</v>
      </c>
      <c r="AC10" s="12">
        <f>+S10-'Out25'!S10</f>
        <v>0</v>
      </c>
      <c r="AE10" s="28">
        <f>J10-'Out25'!J10</f>
        <v>-1.2000000000000011E-2</v>
      </c>
      <c r="AF10" s="28">
        <f>L10-'Out25'!L10</f>
        <v>-2.200000000000002E-2</v>
      </c>
      <c r="AG10" s="28">
        <f>N10-'Out25'!N10</f>
        <v>3.2000000000000001E-2</v>
      </c>
      <c r="AH10" s="28">
        <f>P10-'Out25'!P10</f>
        <v>2.0000000000000018E-3</v>
      </c>
      <c r="AI10" s="28">
        <f>R10-'Out25'!R10</f>
        <v>0</v>
      </c>
      <c r="AK10" s="10">
        <f>I10-'Out25'!I10</f>
        <v>-228608894.3399992</v>
      </c>
      <c r="AL10" s="76">
        <f>I10/'Out25'!I10-1</f>
        <v>-2.8591560393561033E-2</v>
      </c>
    </row>
    <row r="11" spans="2:43" x14ac:dyDescent="0.25">
      <c r="F11" s="7">
        <f t="shared" si="5"/>
        <v>1</v>
      </c>
      <c r="H11" s="3" t="s">
        <v>47</v>
      </c>
      <c r="I11" s="78">
        <v>2995631689.23</v>
      </c>
      <c r="J11" s="77">
        <v>0.64</v>
      </c>
      <c r="K11" s="78">
        <f t="shared" si="0"/>
        <v>1917204281.1072001</v>
      </c>
      <c r="L11" s="77">
        <v>0.21</v>
      </c>
      <c r="M11" s="78">
        <f t="shared" si="0"/>
        <v>629082654.73829997</v>
      </c>
      <c r="N11" s="77">
        <v>0.15</v>
      </c>
      <c r="O11" s="78">
        <f t="shared" si="0"/>
        <v>449344753.38449997</v>
      </c>
      <c r="P11" s="77">
        <v>0</v>
      </c>
      <c r="Q11" s="78">
        <f t="shared" si="0"/>
        <v>0</v>
      </c>
      <c r="R11" s="77">
        <v>0</v>
      </c>
      <c r="S11" s="78">
        <f t="shared" si="1"/>
        <v>0</v>
      </c>
      <c r="T11" s="77">
        <v>0</v>
      </c>
      <c r="U11" s="57">
        <f t="shared" si="4"/>
        <v>0</v>
      </c>
      <c r="Y11" s="12">
        <f>K11-'Out25'!K11</f>
        <v>-46493140.812799931</v>
      </c>
      <c r="Z11" s="12">
        <f>M11-'Out25'!M11</f>
        <v>-45938334.046700001</v>
      </c>
      <c r="AA11" s="12">
        <f>O11-'Out25'!O11</f>
        <v>19785942.33949995</v>
      </c>
      <c r="AB11" s="12">
        <f>Q11-'Out25'!Q11</f>
        <v>0</v>
      </c>
      <c r="AC11" s="12">
        <f>+S11-'Out25'!S11</f>
        <v>0</v>
      </c>
      <c r="AE11" s="28">
        <f>J11-'Out25'!J11</f>
        <v>0</v>
      </c>
      <c r="AF11" s="28">
        <f>L11-'Out25'!L11</f>
        <v>-1.0000000000000009E-2</v>
      </c>
      <c r="AG11" s="28">
        <f>N11-'Out25'!N11</f>
        <v>9.9999999999999811E-3</v>
      </c>
      <c r="AH11" s="28">
        <f>P11-'Out25'!P11</f>
        <v>0</v>
      </c>
      <c r="AI11" s="28">
        <f>R11-'Out25'!R11</f>
        <v>0</v>
      </c>
      <c r="AK11" s="10">
        <f>I11-'Out25'!I11</f>
        <v>-72645532.519999981</v>
      </c>
      <c r="AL11" s="76">
        <f>I11/'Out25'!I11-1</f>
        <v>-2.3676326247524138E-2</v>
      </c>
    </row>
    <row r="12" spans="2:43" x14ac:dyDescent="0.25">
      <c r="B12" t="s">
        <v>70</v>
      </c>
      <c r="F12" s="7">
        <f t="shared" si="5"/>
        <v>1</v>
      </c>
      <c r="H12" s="3" t="s">
        <v>30</v>
      </c>
      <c r="I12" s="78">
        <v>1490640000</v>
      </c>
      <c r="J12" s="77">
        <v>0.3</v>
      </c>
      <c r="K12" s="78">
        <f t="shared" si="0"/>
        <v>447192000</v>
      </c>
      <c r="L12" s="77">
        <v>0.42399999999999999</v>
      </c>
      <c r="M12" s="78">
        <f t="shared" si="0"/>
        <v>632031360</v>
      </c>
      <c r="N12" s="77">
        <v>0.251</v>
      </c>
      <c r="O12" s="78">
        <f t="shared" si="0"/>
        <v>374150640</v>
      </c>
      <c r="P12" s="77">
        <v>2.5000000000000001E-2</v>
      </c>
      <c r="Q12" s="78">
        <f t="shared" si="0"/>
        <v>37266000</v>
      </c>
      <c r="R12" s="77">
        <v>0</v>
      </c>
      <c r="S12" s="78">
        <f t="shared" si="1"/>
        <v>0</v>
      </c>
      <c r="T12" s="77">
        <v>0</v>
      </c>
      <c r="U12" s="57">
        <f t="shared" si="4"/>
        <v>0</v>
      </c>
      <c r="Y12" s="12">
        <f>K12-'Out25'!K12</f>
        <v>85114480</v>
      </c>
      <c r="Z12" s="12">
        <f>M12-'Out25'!M12</f>
        <v>-33724080</v>
      </c>
      <c r="AA12" s="12">
        <f>O12-'Out25'!O12</f>
        <v>-20046660</v>
      </c>
      <c r="AB12" s="12">
        <f>Q12-'Out25'!Q12</f>
        <v>766250</v>
      </c>
      <c r="AC12" s="12">
        <f>+S12-'Out25'!S12</f>
        <v>0</v>
      </c>
      <c r="AE12" s="28">
        <f>J12-'Out25'!J12</f>
        <v>5.1999999999999991E-2</v>
      </c>
      <c r="AF12" s="28">
        <f>L12-'Out25'!L12</f>
        <v>-3.2000000000000028E-2</v>
      </c>
      <c r="AG12" s="28">
        <f>N12-'Out25'!N12</f>
        <v>-1.9000000000000017E-2</v>
      </c>
      <c r="AH12" s="28">
        <f>P12-'Out25'!P12</f>
        <v>0</v>
      </c>
      <c r="AI12" s="28">
        <f>R12-'Out25'!R12</f>
        <v>0</v>
      </c>
      <c r="AK12" s="10">
        <f>I12-'Out25'!I12</f>
        <v>30650000</v>
      </c>
      <c r="AL12" s="76">
        <f>I12/'Out25'!I12-1</f>
        <v>2.0993294474619617E-2</v>
      </c>
    </row>
    <row r="13" spans="2:43" x14ac:dyDescent="0.25">
      <c r="B13" t="s">
        <v>74</v>
      </c>
      <c r="F13" s="7">
        <f t="shared" si="5"/>
        <v>1</v>
      </c>
      <c r="H13" s="3" t="s">
        <v>64</v>
      </c>
      <c r="I13" s="102">
        <v>1085200000</v>
      </c>
      <c r="J13" s="77">
        <v>0.5</v>
      </c>
      <c r="K13" s="78">
        <f t="shared" si="0"/>
        <v>542600000</v>
      </c>
      <c r="L13" s="77">
        <v>0.28000000000000003</v>
      </c>
      <c r="M13" s="78">
        <f t="shared" si="0"/>
        <v>303856000</v>
      </c>
      <c r="N13" s="77">
        <v>0.16</v>
      </c>
      <c r="O13" s="78">
        <f t="shared" si="0"/>
        <v>173632000</v>
      </c>
      <c r="P13" s="77">
        <v>0.06</v>
      </c>
      <c r="Q13" s="78">
        <f t="shared" si="0"/>
        <v>65112000</v>
      </c>
      <c r="R13" s="77">
        <v>0</v>
      </c>
      <c r="S13" s="78">
        <f t="shared" si="1"/>
        <v>0</v>
      </c>
      <c r="T13" s="77">
        <v>0</v>
      </c>
      <c r="U13" s="57">
        <f t="shared" si="4"/>
        <v>0</v>
      </c>
      <c r="Y13" s="12">
        <f>K13-'Out25'!K13</f>
        <v>-10642000</v>
      </c>
      <c r="Z13" s="12">
        <f>M13-'Out25'!M13</f>
        <v>-56954000</v>
      </c>
      <c r="AA13" s="12">
        <f>O13-'Out25'!O13</f>
        <v>-42854000</v>
      </c>
      <c r="AB13" s="12">
        <f>Q13-'Out25'!Q13</f>
        <v>-7050000</v>
      </c>
      <c r="AC13" s="12">
        <f>+S13-'Out25'!S13</f>
        <v>0</v>
      </c>
      <c r="AE13" s="28">
        <f>J13-'Out25'!J13</f>
        <v>3.999999999999998E-2</v>
      </c>
      <c r="AF13" s="28">
        <f>L13-'Out25'!L13</f>
        <v>-1.9999999999999962E-2</v>
      </c>
      <c r="AG13" s="28">
        <f>N13-'Out25'!N13</f>
        <v>-1.999999999999999E-2</v>
      </c>
      <c r="AH13" s="28">
        <f>P13-'Out25'!P13</f>
        <v>0</v>
      </c>
      <c r="AI13" s="28">
        <f>R13-'Out25'!R13</f>
        <v>0</v>
      </c>
      <c r="AK13" s="10">
        <f>I13-'Out25'!I13</f>
        <v>-117500000</v>
      </c>
      <c r="AL13" s="76">
        <f>I13/'Out25'!I13-1</f>
        <v>-9.7696848756963495E-2</v>
      </c>
    </row>
    <row r="14" spans="2:43" s="8" customFormat="1" x14ac:dyDescent="0.25">
      <c r="B14" t="s">
        <v>42</v>
      </c>
      <c r="E14"/>
      <c r="F14" s="7">
        <f>J14+L14+N14+P14+R14+T14</f>
        <v>0.99999999999999989</v>
      </c>
      <c r="G14"/>
      <c r="H14" s="21" t="s">
        <v>45</v>
      </c>
      <c r="I14" s="20">
        <f>SUM(I3:I13)</f>
        <v>25234824624.490002</v>
      </c>
      <c r="J14" s="15">
        <f>K14/$I$14</f>
        <v>0.40288216507527197</v>
      </c>
      <c r="K14" s="17">
        <f>SUM(K3:K13)</f>
        <v>10166660780.009319</v>
      </c>
      <c r="L14" s="15">
        <f>M14/$I$14</f>
        <v>0.29784812298271446</v>
      </c>
      <c r="M14" s="20">
        <f>SUM(M3:M13)</f>
        <v>7516145148.2023296</v>
      </c>
      <c r="N14" s="15">
        <f>O14/$I$14</f>
        <v>0.23423595630973271</v>
      </c>
      <c r="O14" s="17">
        <f>SUM(O3:O13)</f>
        <v>5910903278.2258072</v>
      </c>
      <c r="P14" s="15">
        <f>Q14/$I$14</f>
        <v>4.6795759633786516E-2</v>
      </c>
      <c r="Q14" s="17">
        <f>SUM(Q3:Q13)</f>
        <v>1180882787.5283911</v>
      </c>
      <c r="R14" s="15">
        <f>S14/$I$14</f>
        <v>3.0423115673327795E-3</v>
      </c>
      <c r="S14" s="17">
        <f>SUM(S3:S13)</f>
        <v>76772198.854699999</v>
      </c>
      <c r="T14" s="15">
        <f>U14/$I$14</f>
        <v>1.5195684431161517E-2</v>
      </c>
      <c r="U14" s="63">
        <f>SUM(U3:U13)</f>
        <v>383460431.66945398</v>
      </c>
      <c r="Y14" s="12">
        <f>K14-'Out25'!K14</f>
        <v>155805688.99465179</v>
      </c>
      <c r="Z14" s="12">
        <f>M14-'Out25'!M14</f>
        <v>-356665541.00969791</v>
      </c>
      <c r="AA14" s="12">
        <f>O14-'Out25'!O14</f>
        <v>-482108751.60943127</v>
      </c>
      <c r="AB14" s="12">
        <f>Q14-'Out25'!Q14</f>
        <v>-36686708.769904852</v>
      </c>
      <c r="AC14" s="12">
        <f>+S14-'Out25'!S14</f>
        <v>38030915.223200001</v>
      </c>
      <c r="AE14" s="28">
        <f>J14-'Out25'!J14</f>
        <v>1.3771393396998344E-2</v>
      </c>
      <c r="AF14" s="28">
        <f>L14-'Out25'!L14</f>
        <v>-8.1592474871499121E-3</v>
      </c>
      <c r="AG14" s="28">
        <f>N14-'Out25'!N14</f>
        <v>-1.425329077870377E-2</v>
      </c>
      <c r="AH14" s="28">
        <f>P14-'Out25'!P14</f>
        <v>-5.2980865875552896E-4</v>
      </c>
      <c r="AI14" s="28">
        <f>R14-'Out25'!R14</f>
        <v>1.5364810830627372E-3</v>
      </c>
      <c r="AK14" s="92">
        <f>I14-'Out25'!I14</f>
        <v>-492695196.75999832</v>
      </c>
      <c r="AL14" s="76">
        <f>I14/'Out25'!I14-1</f>
        <v>-1.9150512765441552E-2</v>
      </c>
    </row>
    <row r="15" spans="2:43" x14ac:dyDescent="0.25">
      <c r="B15" t="s">
        <v>66</v>
      </c>
      <c r="F15" s="7"/>
      <c r="I15" s="10"/>
      <c r="J15" s="10"/>
      <c r="K15" s="10"/>
      <c r="L15" s="5"/>
      <c r="M15" s="10"/>
      <c r="N15" s="10"/>
      <c r="O15" s="10"/>
      <c r="P15" s="5"/>
      <c r="Q15" s="10"/>
    </row>
    <row r="16" spans="2:43" x14ac:dyDescent="0.25">
      <c r="F16" s="7"/>
      <c r="H16" s="4" t="s">
        <v>2</v>
      </c>
      <c r="I16" s="9" t="s">
        <v>4</v>
      </c>
      <c r="J16" s="112" t="s">
        <v>7</v>
      </c>
      <c r="K16" s="112"/>
      <c r="L16" s="112" t="s">
        <v>8</v>
      </c>
      <c r="M16" s="112"/>
      <c r="N16" s="112" t="s">
        <v>10</v>
      </c>
      <c r="O16" s="112"/>
      <c r="P16" s="112" t="s">
        <v>9</v>
      </c>
      <c r="Q16" s="112"/>
      <c r="R16" s="112" t="s">
        <v>21</v>
      </c>
      <c r="S16" s="112"/>
      <c r="T16" s="112" t="s">
        <v>55</v>
      </c>
      <c r="U16" s="112"/>
      <c r="Y16" s="27" t="s">
        <v>49</v>
      </c>
      <c r="Z16" s="27" t="s">
        <v>50</v>
      </c>
      <c r="AA16" s="27" t="s">
        <v>51</v>
      </c>
      <c r="AB16" s="27" t="s">
        <v>52</v>
      </c>
      <c r="AC16" s="27" t="s">
        <v>53</v>
      </c>
      <c r="AE16" s="27" t="s">
        <v>49</v>
      </c>
      <c r="AF16" s="27" t="s">
        <v>50</v>
      </c>
      <c r="AG16" s="27" t="s">
        <v>51</v>
      </c>
      <c r="AH16" s="27" t="s">
        <v>52</v>
      </c>
      <c r="AI16" s="27" t="s">
        <v>53</v>
      </c>
    </row>
    <row r="17" spans="2:39" x14ac:dyDescent="0.25">
      <c r="F17" s="7">
        <f t="shared" si="5"/>
        <v>1.0000000000000002</v>
      </c>
      <c r="H17" s="21" t="s">
        <v>6</v>
      </c>
      <c r="I17" s="80">
        <v>363144930.25</v>
      </c>
      <c r="J17" s="81">
        <v>0.44119999999999998</v>
      </c>
      <c r="K17" s="80">
        <f t="shared" ref="K17:K26" si="6">+J17*$I17</f>
        <v>160219543.2263</v>
      </c>
      <c r="L17" s="81">
        <v>0.21360000000000001</v>
      </c>
      <c r="M17" s="80">
        <f t="shared" ref="M17:M26" si="7">+L17*$I17</f>
        <v>77567757.101400003</v>
      </c>
      <c r="N17" s="81">
        <v>0.24130000000000001</v>
      </c>
      <c r="O17" s="80">
        <f t="shared" ref="O17:O26" si="8">+N17*$I17</f>
        <v>87626871.669325009</v>
      </c>
      <c r="P17" s="81">
        <v>5.5300000000000002E-2</v>
      </c>
      <c r="Q17" s="80">
        <f t="shared" ref="Q17:Q26" si="9">+P17*$I17</f>
        <v>20081914.642825</v>
      </c>
      <c r="R17" s="81">
        <v>0</v>
      </c>
      <c r="S17" s="80">
        <f t="shared" ref="S17:S26" si="10">+R17*$I17</f>
        <v>0</v>
      </c>
      <c r="T17" s="81">
        <v>4.8599999999999997E-2</v>
      </c>
      <c r="U17" s="80">
        <f t="shared" ref="U17:U26" si="11">+T17*$I17</f>
        <v>17648843.610149998</v>
      </c>
      <c r="Y17" s="12">
        <f>K17-'Out25'!K17</f>
        <v>44763306.730330005</v>
      </c>
      <c r="Z17" s="12">
        <f>M17-'Out25'!M17</f>
        <v>-4886965.9032289982</v>
      </c>
      <c r="AA17" s="12">
        <f>O17-'Out25'!O17</f>
        <v>-3266295.8157459944</v>
      </c>
      <c r="AB17" s="12">
        <f>Q17-'Out25'!Q17</f>
        <v>1765911.1193850003</v>
      </c>
      <c r="AC17" s="12">
        <f>+S17-'Out25'!S17</f>
        <v>0</v>
      </c>
      <c r="AD17" s="98"/>
      <c r="AE17" s="28">
        <f>J17-'Out25'!J17</f>
        <v>8.8200000000000001E-2</v>
      </c>
      <c r="AF17" s="28">
        <f>L17-'Out25'!L17</f>
        <v>-3.8499999999999979E-2</v>
      </c>
      <c r="AG17" s="28">
        <f>N17-'Out25'!N17</f>
        <v>-3.6599999999999966E-2</v>
      </c>
      <c r="AH17" s="28">
        <f>P17-'Out25'!P17</f>
        <v>-6.9999999999999923E-4</v>
      </c>
      <c r="AI17" s="28">
        <f>R17-'Out25'!R17</f>
        <v>0</v>
      </c>
      <c r="AJ17" s="8"/>
      <c r="AK17" s="10">
        <f>I17-'Out25'!I17</f>
        <v>36073438.75999999</v>
      </c>
      <c r="AL17" s="76">
        <f>I17/'Out25'!I17-1</f>
        <v>0.11029221347193729</v>
      </c>
      <c r="AM17" s="8"/>
    </row>
    <row r="18" spans="2:39" x14ac:dyDescent="0.25">
      <c r="F18" s="7">
        <f t="shared" si="5"/>
        <v>1</v>
      </c>
      <c r="H18" s="3" t="s">
        <v>26</v>
      </c>
      <c r="I18" s="78">
        <v>849075146.73000002</v>
      </c>
      <c r="J18" s="77">
        <v>0.1</v>
      </c>
      <c r="K18" s="78">
        <f t="shared" si="6"/>
        <v>84907514.673000008</v>
      </c>
      <c r="L18" s="77">
        <v>0.23</v>
      </c>
      <c r="M18" s="78">
        <f t="shared" si="7"/>
        <v>195287283.74790001</v>
      </c>
      <c r="N18" s="77">
        <v>0.39</v>
      </c>
      <c r="O18" s="78">
        <f t="shared" si="8"/>
        <v>331139307.22470003</v>
      </c>
      <c r="P18" s="77">
        <v>0.17</v>
      </c>
      <c r="Q18" s="78">
        <f t="shared" si="9"/>
        <v>144342774.94410002</v>
      </c>
      <c r="R18" s="77">
        <v>0</v>
      </c>
      <c r="S18" s="78">
        <f t="shared" si="10"/>
        <v>0</v>
      </c>
      <c r="T18" s="77">
        <v>0.11</v>
      </c>
      <c r="U18" s="78">
        <f t="shared" si="11"/>
        <v>93398266.140300006</v>
      </c>
      <c r="Y18" s="12">
        <f>K18-'Out25'!K18</f>
        <v>-13921045.865349993</v>
      </c>
      <c r="Z18" s="12">
        <f>M18-'Out25'!M18</f>
        <v>1927056.6076500118</v>
      </c>
      <c r="AA18" s="12">
        <f>O18-'Out25'!O18</f>
        <v>8872261.990950048</v>
      </c>
      <c r="AB18" s="12">
        <f>Q18-'Out25'!Q18</f>
        <v>-6048512.8316499591</v>
      </c>
      <c r="AC18" s="12">
        <f>+S18-'Out25'!S18</f>
        <v>0</v>
      </c>
      <c r="AE18" s="28">
        <f>J18-'Out25'!J18</f>
        <v>-1.4999999999999999E-2</v>
      </c>
      <c r="AF18" s="28">
        <f>L18-'Out25'!L18</f>
        <v>5.0000000000000044E-3</v>
      </c>
      <c r="AG18" s="28">
        <f>N18-'Out25'!N18</f>
        <v>1.5000000000000013E-2</v>
      </c>
      <c r="AH18" s="28">
        <f>P18-'Out25'!P18</f>
        <v>-4.9999999999999767E-3</v>
      </c>
      <c r="AI18" s="28">
        <f>R18-'Out25'!R18</f>
        <v>0</v>
      </c>
      <c r="AK18" s="10">
        <f>I18-'Out25'!I18</f>
        <v>-10303640.559999943</v>
      </c>
      <c r="AL18" s="76">
        <f>I18/'Out25'!I18-1</f>
        <v>-1.1989637994779812E-2</v>
      </c>
    </row>
    <row r="19" spans="2:39" x14ac:dyDescent="0.25">
      <c r="F19" s="7">
        <f t="shared" si="5"/>
        <v>0.99999999999999989</v>
      </c>
      <c r="H19" s="3" t="s">
        <v>27</v>
      </c>
      <c r="I19" s="78">
        <v>604506192</v>
      </c>
      <c r="J19" s="77">
        <v>0.14399999999999999</v>
      </c>
      <c r="K19" s="78">
        <f t="shared" si="6"/>
        <v>87048891.647999987</v>
      </c>
      <c r="L19" s="77">
        <v>0.26300000000000001</v>
      </c>
      <c r="M19" s="78">
        <f t="shared" si="7"/>
        <v>158985128.49600002</v>
      </c>
      <c r="N19" s="77">
        <v>0.42599999999999999</v>
      </c>
      <c r="O19" s="78">
        <f t="shared" si="8"/>
        <v>257519637.792</v>
      </c>
      <c r="P19" s="77">
        <v>7.3999999999999996E-2</v>
      </c>
      <c r="Q19" s="78">
        <f t="shared" si="9"/>
        <v>44733458.207999997</v>
      </c>
      <c r="R19" s="77">
        <v>0</v>
      </c>
      <c r="S19" s="78">
        <f t="shared" si="10"/>
        <v>0</v>
      </c>
      <c r="T19" s="77">
        <v>9.2999999999999999E-2</v>
      </c>
      <c r="U19" s="78">
        <f t="shared" si="11"/>
        <v>56219075.855999999</v>
      </c>
      <c r="Y19" s="12">
        <f>K19-'Out25'!K19</f>
        <v>47935641.467999987</v>
      </c>
      <c r="Z19" s="12">
        <f>M19-'Out25'!M19</f>
        <v>-78953810.098999977</v>
      </c>
      <c r="AA19" s="12">
        <f>O19-'Out25'!O19</f>
        <v>-34525963.551999986</v>
      </c>
      <c r="AB19" s="12">
        <f>Q19-'Out25'!Q19</f>
        <v>405108.00399999321</v>
      </c>
      <c r="AC19" s="12">
        <f>+S19-'Out25'!S19</f>
        <v>0</v>
      </c>
      <c r="AE19" s="28">
        <f>J19-'Out25'!J19</f>
        <v>8.3999999999999991E-2</v>
      </c>
      <c r="AF19" s="28">
        <f>L19-'Out25'!L19</f>
        <v>-0.10199999999999998</v>
      </c>
      <c r="AG19" s="28">
        <f>N19-'Out25'!N19</f>
        <v>-2.200000000000002E-2</v>
      </c>
      <c r="AH19" s="28">
        <f>P19-'Out25'!P19</f>
        <v>5.9999999999999915E-3</v>
      </c>
      <c r="AI19" s="28">
        <f>R19-'Out25'!R19</f>
        <v>0</v>
      </c>
      <c r="AK19" s="10">
        <f>I19-'Out25'!I19</f>
        <v>-47381311</v>
      </c>
      <c r="AL19" s="76">
        <f>I19/'Out25'!I19-1</f>
        <v>-7.2683263265441056E-2</v>
      </c>
    </row>
    <row r="20" spans="2:39" x14ac:dyDescent="0.25">
      <c r="B20" s="1"/>
      <c r="C20" s="1" t="s">
        <v>20</v>
      </c>
      <c r="D20" s="1"/>
      <c r="F20" s="7">
        <f t="shared" si="5"/>
        <v>1</v>
      </c>
      <c r="H20" s="3" t="s">
        <v>67</v>
      </c>
      <c r="I20" s="78">
        <v>1289042962</v>
      </c>
      <c r="J20" s="77">
        <v>0.25</v>
      </c>
      <c r="K20" s="78">
        <f t="shared" si="6"/>
        <v>322260740.5</v>
      </c>
      <c r="L20" s="77">
        <v>0.28999999999999998</v>
      </c>
      <c r="M20" s="78">
        <f t="shared" si="7"/>
        <v>373822458.97999996</v>
      </c>
      <c r="N20" s="77">
        <v>0.3</v>
      </c>
      <c r="O20" s="78">
        <f t="shared" si="8"/>
        <v>386712888.59999996</v>
      </c>
      <c r="P20" s="77">
        <v>0.16</v>
      </c>
      <c r="Q20" s="78">
        <f t="shared" si="9"/>
        <v>206246873.92000002</v>
      </c>
      <c r="R20" s="77">
        <v>0</v>
      </c>
      <c r="S20" s="78">
        <f t="shared" si="10"/>
        <v>0</v>
      </c>
      <c r="T20" s="77">
        <v>0</v>
      </c>
      <c r="U20" s="78">
        <f t="shared" si="11"/>
        <v>0</v>
      </c>
      <c r="Y20" s="12">
        <f>K20-'Out25'!K20</f>
        <v>25578613.569999993</v>
      </c>
      <c r="Z20" s="12">
        <f>M20-'Out25'!M20</f>
        <v>-38952674.140000045</v>
      </c>
      <c r="AA20" s="12">
        <f>O20-'Out25'!O20</f>
        <v>12635424.209999979</v>
      </c>
      <c r="AB20" s="12">
        <f>Q20-'Out25'!Q20</f>
        <v>-140692.63999998569</v>
      </c>
      <c r="AC20" s="12">
        <f>+S20-'Out25'!S20</f>
        <v>0</v>
      </c>
      <c r="AE20" s="28">
        <f>J20-'Out25'!J20</f>
        <v>1.999999999999999E-2</v>
      </c>
      <c r="AF20" s="28">
        <f>L20-'Out25'!L20</f>
        <v>-3.0000000000000027E-2</v>
      </c>
      <c r="AG20" s="28">
        <f>N20-'Out25'!N20</f>
        <v>1.0000000000000009E-2</v>
      </c>
      <c r="AH20" s="28">
        <f>P20-'Out25'!P20</f>
        <v>0</v>
      </c>
      <c r="AI20" s="28">
        <f>R20-'Out25'!R20</f>
        <v>0</v>
      </c>
      <c r="AK20" s="10">
        <f>I20-'Out25'!I20</f>
        <v>-879329</v>
      </c>
      <c r="AL20" s="76">
        <f>I20/'Out25'!I20-1</f>
        <v>-6.816914523729567E-4</v>
      </c>
    </row>
    <row r="21" spans="2:39" x14ac:dyDescent="0.25">
      <c r="B21" t="s">
        <v>11</v>
      </c>
      <c r="C21" s="2" t="s">
        <v>10</v>
      </c>
      <c r="D21" t="s">
        <v>7</v>
      </c>
      <c r="F21" s="7">
        <f t="shared" si="5"/>
        <v>1</v>
      </c>
      <c r="H21" s="3" t="s">
        <v>32</v>
      </c>
      <c r="I21" s="78">
        <v>162400000</v>
      </c>
      <c r="J21" s="77">
        <v>0.26</v>
      </c>
      <c r="K21" s="78">
        <f t="shared" si="6"/>
        <v>42224000</v>
      </c>
      <c r="L21" s="77">
        <v>0.15</v>
      </c>
      <c r="M21" s="78">
        <f t="shared" si="7"/>
        <v>24360000</v>
      </c>
      <c r="N21" s="77">
        <v>0.47</v>
      </c>
      <c r="O21" s="78">
        <f t="shared" si="8"/>
        <v>76328000</v>
      </c>
      <c r="P21" s="77">
        <v>0.12</v>
      </c>
      <c r="Q21" s="78">
        <f t="shared" si="9"/>
        <v>19488000</v>
      </c>
      <c r="R21" s="77">
        <v>0</v>
      </c>
      <c r="S21" s="78">
        <f t="shared" si="10"/>
        <v>0</v>
      </c>
      <c r="T21" s="77">
        <v>0</v>
      </c>
      <c r="U21" s="78">
        <f t="shared" si="11"/>
        <v>0</v>
      </c>
      <c r="Y21" s="12">
        <f>K21-'Out25'!K21</f>
        <v>-6552000.0000000075</v>
      </c>
      <c r="Z21" s="12">
        <f>M21-'Out25'!M21</f>
        <v>-28000.000000003725</v>
      </c>
      <c r="AA21" s="12">
        <f>O21-'Out25'!O21</f>
        <v>-5546000</v>
      </c>
      <c r="AB21" s="12">
        <f>Q21-'Out25'!Q21</f>
        <v>326000</v>
      </c>
      <c r="AC21" s="12">
        <f>+S21-'Out25'!S21</f>
        <v>0</v>
      </c>
      <c r="AE21" s="28">
        <f>J21-'Out25'!J21</f>
        <v>-2.0000000000000018E-2</v>
      </c>
      <c r="AF21" s="28">
        <f>L21-'Out25'!L21</f>
        <v>9.9999999999999811E-3</v>
      </c>
      <c r="AG21" s="28">
        <f>N21-'Out25'!N21</f>
        <v>0</v>
      </c>
      <c r="AH21" s="28">
        <f>P21-'Out25'!P21</f>
        <v>9.999999999999995E-3</v>
      </c>
      <c r="AI21" s="28">
        <f>R21-'Out25'!R21</f>
        <v>0</v>
      </c>
      <c r="AK21" s="10">
        <f>I21-'Out25'!I21</f>
        <v>-11800000</v>
      </c>
      <c r="AL21" s="76">
        <f>I21/'Out25'!I21-1</f>
        <v>-6.7738231917336411E-2</v>
      </c>
    </row>
    <row r="22" spans="2:39" x14ac:dyDescent="0.25">
      <c r="B22" t="s">
        <v>12</v>
      </c>
      <c r="C22" s="2" t="s">
        <v>16</v>
      </c>
      <c r="D22" t="s">
        <v>58</v>
      </c>
      <c r="F22" s="7">
        <f t="shared" si="5"/>
        <v>1</v>
      </c>
      <c r="H22" s="3" t="s">
        <v>33</v>
      </c>
      <c r="I22" s="78">
        <v>1266500000</v>
      </c>
      <c r="J22" s="77">
        <v>0.24</v>
      </c>
      <c r="K22" s="78">
        <f t="shared" si="6"/>
        <v>303960000</v>
      </c>
      <c r="L22" s="77">
        <v>0.26</v>
      </c>
      <c r="M22" s="78">
        <f t="shared" si="7"/>
        <v>329290000</v>
      </c>
      <c r="N22" s="77">
        <v>0.48</v>
      </c>
      <c r="O22" s="78">
        <f t="shared" si="8"/>
        <v>607920000</v>
      </c>
      <c r="P22" s="77">
        <v>0.02</v>
      </c>
      <c r="Q22" s="78">
        <f t="shared" si="9"/>
        <v>25330000</v>
      </c>
      <c r="R22" s="77">
        <v>0</v>
      </c>
      <c r="S22" s="78">
        <f t="shared" si="10"/>
        <v>0</v>
      </c>
      <c r="T22" s="77">
        <v>0</v>
      </c>
      <c r="U22" s="78">
        <f t="shared" si="11"/>
        <v>0</v>
      </c>
      <c r="Y22" s="12">
        <f>K22-'Out25'!K22</f>
        <v>14275000</v>
      </c>
      <c r="Z22" s="12">
        <f>M22-'Out25'!M22</f>
        <v>14415000</v>
      </c>
      <c r="AA22" s="12">
        <f>O22-'Out25'!O22</f>
        <v>-21830000</v>
      </c>
      <c r="AB22" s="12">
        <f>Q22-'Out25'!Q22</f>
        <v>140000</v>
      </c>
      <c r="AC22" s="12">
        <f>+S22-'Out25'!S22</f>
        <v>0</v>
      </c>
      <c r="AE22" s="28">
        <f>J22-'Out25'!J22</f>
        <v>9.9999999999999811E-3</v>
      </c>
      <c r="AF22" s="28">
        <f>L22-'Out25'!L22</f>
        <v>1.0000000000000009E-2</v>
      </c>
      <c r="AG22" s="28">
        <f>N22-'Out25'!N22</f>
        <v>-2.0000000000000018E-2</v>
      </c>
      <c r="AH22" s="28">
        <f>P22-'Out25'!P22</f>
        <v>0</v>
      </c>
      <c r="AI22" s="28">
        <f>R22-'Out25'!R22</f>
        <v>0</v>
      </c>
      <c r="AK22" s="10">
        <f>I22-'Out25'!I22</f>
        <v>7000000</v>
      </c>
      <c r="AL22" s="76">
        <f>I22/'Out25'!I22-1</f>
        <v>5.5577610162762525E-3</v>
      </c>
    </row>
    <row r="23" spans="2:39" x14ac:dyDescent="0.25">
      <c r="B23" t="s">
        <v>13</v>
      </c>
      <c r="C23" s="2" t="s">
        <v>17</v>
      </c>
      <c r="D23" t="s">
        <v>59</v>
      </c>
      <c r="F23" s="7">
        <f t="shared" si="5"/>
        <v>1</v>
      </c>
      <c r="H23" s="3" t="s">
        <v>68</v>
      </c>
      <c r="I23" s="78">
        <v>228824483</v>
      </c>
      <c r="J23" s="77">
        <v>0.56230000000000002</v>
      </c>
      <c r="K23" s="78">
        <f t="shared" si="6"/>
        <v>128668006.79090001</v>
      </c>
      <c r="L23" s="77">
        <v>0.1084</v>
      </c>
      <c r="M23" s="78">
        <f t="shared" si="7"/>
        <v>24804573.957199998</v>
      </c>
      <c r="N23" s="77">
        <v>0.25440000000000002</v>
      </c>
      <c r="O23" s="78">
        <f t="shared" si="8"/>
        <v>58212948.475200005</v>
      </c>
      <c r="P23" s="77">
        <v>7.0199999999999999E-2</v>
      </c>
      <c r="Q23" s="78">
        <f t="shared" si="9"/>
        <v>16063478.706599999</v>
      </c>
      <c r="R23" s="77">
        <v>0</v>
      </c>
      <c r="S23" s="78">
        <f t="shared" si="10"/>
        <v>0</v>
      </c>
      <c r="T23" s="77">
        <v>4.7000000000000002E-3</v>
      </c>
      <c r="U23" s="78">
        <f t="shared" si="11"/>
        <v>1075475.0701000001</v>
      </c>
      <c r="Y23" s="12">
        <f>K23-'Out25'!K23</f>
        <v>-6024820.145299986</v>
      </c>
      <c r="Z23" s="12">
        <f>M23-'Out25'!M23</f>
        <v>-665210.47300000116</v>
      </c>
      <c r="AA23" s="12">
        <f>O23-'Out25'!O23</f>
        <v>2198133.3142000064</v>
      </c>
      <c r="AB23" s="12">
        <f>Q23-'Out25'!Q23</f>
        <v>-425224.71239999868</v>
      </c>
      <c r="AC23" s="12">
        <f>+S23-'Out25'!S23</f>
        <v>0</v>
      </c>
      <c r="AE23" s="28">
        <f>J23-'Out25'!J23</f>
        <v>-1.3599999999999945E-2</v>
      </c>
      <c r="AF23" s="28">
        <f>L23-'Out25'!L23</f>
        <v>-5.0000000000000044E-4</v>
      </c>
      <c r="AG23" s="28">
        <f>N23-'Out25'!N23</f>
        <v>1.4900000000000024E-2</v>
      </c>
      <c r="AH23" s="28">
        <f>P23-'Out25'!P23</f>
        <v>-2.9999999999999472E-4</v>
      </c>
      <c r="AI23" s="28">
        <f>R23-'Out25'!R23</f>
        <v>0</v>
      </c>
      <c r="AK23" s="10">
        <f>I23-'Out25'!I23</f>
        <v>-5057835</v>
      </c>
      <c r="AL23" s="76">
        <f>I23/'Out25'!I23-1</f>
        <v>-2.1625555293153909E-2</v>
      </c>
    </row>
    <row r="24" spans="2:39" x14ac:dyDescent="0.25">
      <c r="B24" t="s">
        <v>14</v>
      </c>
      <c r="C24" s="2" t="s">
        <v>18</v>
      </c>
      <c r="F24" s="7">
        <f t="shared" si="5"/>
        <v>1.0000000000000002</v>
      </c>
      <c r="H24" s="3" t="s">
        <v>35</v>
      </c>
      <c r="I24" s="78">
        <v>522267358.31999999</v>
      </c>
      <c r="J24" s="77">
        <v>0.13100000000000001</v>
      </c>
      <c r="K24" s="78">
        <f t="shared" si="6"/>
        <v>68417023.939920008</v>
      </c>
      <c r="L24" s="77">
        <v>0.435</v>
      </c>
      <c r="M24" s="78">
        <f t="shared" si="7"/>
        <v>227186300.86919999</v>
      </c>
      <c r="N24" s="77">
        <v>0.34</v>
      </c>
      <c r="O24" s="78">
        <f t="shared" si="8"/>
        <v>177570901.82880002</v>
      </c>
      <c r="P24" s="77">
        <v>9.4E-2</v>
      </c>
      <c r="Q24" s="78">
        <f t="shared" si="9"/>
        <v>49093131.682080001</v>
      </c>
      <c r="R24" s="77">
        <v>0</v>
      </c>
      <c r="S24" s="78">
        <f t="shared" si="10"/>
        <v>0</v>
      </c>
      <c r="T24" s="77">
        <v>0</v>
      </c>
      <c r="U24" s="78">
        <f t="shared" si="11"/>
        <v>0</v>
      </c>
      <c r="Y24" s="12">
        <f>K24-'Out25'!K24</f>
        <v>-22495301.027579978</v>
      </c>
      <c r="Z24" s="12">
        <f>M24-'Out25'!M24</f>
        <v>-11589173.32705003</v>
      </c>
      <c r="AA24" s="12">
        <f>O24-'Out25'!O24</f>
        <v>29707752.600050032</v>
      </c>
      <c r="AB24" s="12">
        <f>Q24-'Out25'!Q24</f>
        <v>4159453.8245800063</v>
      </c>
      <c r="AC24" s="12">
        <f>+S24-'Out25'!S24</f>
        <v>0</v>
      </c>
      <c r="AE24" s="28">
        <f>J24-'Out25'!J24</f>
        <v>-4.2999999999999983E-2</v>
      </c>
      <c r="AF24" s="28">
        <f>L24-'Out25'!L24</f>
        <v>-2.200000000000002E-2</v>
      </c>
      <c r="AG24" s="28">
        <f>N24-'Out25'!N24</f>
        <v>5.7000000000000051E-2</v>
      </c>
      <c r="AH24" s="28">
        <f>P24-'Out25'!P24</f>
        <v>8.0000000000000071E-3</v>
      </c>
      <c r="AI24" s="28">
        <f>R24-'Out25'!R24</f>
        <v>0</v>
      </c>
      <c r="AK24" s="10">
        <f>I24-'Out25'!I24</f>
        <v>-217267.93000000715</v>
      </c>
      <c r="AL24" s="76">
        <f>I24/'Out25'!I24-1</f>
        <v>-4.1583602480210757E-4</v>
      </c>
    </row>
    <row r="25" spans="2:39" x14ac:dyDescent="0.25">
      <c r="B25" t="s">
        <v>15</v>
      </c>
      <c r="C25" s="2" t="s">
        <v>19</v>
      </c>
      <c r="F25" s="7">
        <f t="shared" si="5"/>
        <v>0.99999999999999989</v>
      </c>
      <c r="H25" s="3" t="s">
        <v>36</v>
      </c>
      <c r="I25" s="78">
        <v>675000000</v>
      </c>
      <c r="J25" s="77">
        <v>0.25</v>
      </c>
      <c r="K25" s="78">
        <f t="shared" si="6"/>
        <v>168750000</v>
      </c>
      <c r="L25" s="77">
        <v>0.23</v>
      </c>
      <c r="M25" s="78">
        <f t="shared" si="7"/>
        <v>155250000</v>
      </c>
      <c r="N25" s="77">
        <v>0.43</v>
      </c>
      <c r="O25" s="78">
        <f t="shared" si="8"/>
        <v>290250000</v>
      </c>
      <c r="P25" s="77">
        <v>0.09</v>
      </c>
      <c r="Q25" s="78">
        <f t="shared" si="9"/>
        <v>60750000</v>
      </c>
      <c r="R25" s="77">
        <v>0</v>
      </c>
      <c r="S25" s="78">
        <f t="shared" si="10"/>
        <v>0</v>
      </c>
      <c r="T25" s="77">
        <v>0</v>
      </c>
      <c r="U25" s="78">
        <f t="shared" si="11"/>
        <v>0</v>
      </c>
      <c r="Y25" s="12">
        <f>K25-'Out25'!K25</f>
        <v>-13779000</v>
      </c>
      <c r="Z25" s="12">
        <f>M25-'Out25'!M25</f>
        <v>-5805000</v>
      </c>
      <c r="AA25" s="12">
        <f>O25-'Out25'!O25</f>
        <v>-17544000</v>
      </c>
      <c r="AB25" s="12">
        <f>Q25-'Out25'!Q25</f>
        <v>-3672000</v>
      </c>
      <c r="AC25" s="12">
        <f>+S25-'Out25'!S25</f>
        <v>0</v>
      </c>
      <c r="AE25" s="28">
        <f>J25-'Out25'!J25</f>
        <v>-5.0000000000000044E-3</v>
      </c>
      <c r="AF25" s="28">
        <f>L25-'Out25'!L25</f>
        <v>5.0000000000000044E-3</v>
      </c>
      <c r="AG25" s="28">
        <f>N25-'Out25'!N25</f>
        <v>0</v>
      </c>
      <c r="AH25" s="28">
        <f>P25-'Out25'!P25</f>
        <v>0</v>
      </c>
      <c r="AI25" s="28">
        <f>R25-'Out25'!R25</f>
        <v>0</v>
      </c>
      <c r="AK25" s="10">
        <f>I25-'Out25'!I25</f>
        <v>-40800000</v>
      </c>
      <c r="AL25" s="76">
        <f>I25/'Out25'!I25-1</f>
        <v>-5.6999161777032681E-2</v>
      </c>
    </row>
    <row r="26" spans="2:39" x14ac:dyDescent="0.25">
      <c r="B26" t="s">
        <v>57</v>
      </c>
      <c r="F26" s="7">
        <f>J26+L26+N26+P26+R26+T26</f>
        <v>1</v>
      </c>
      <c r="H26" s="3" t="s">
        <v>65</v>
      </c>
      <c r="I26" s="78">
        <v>2140700000</v>
      </c>
      <c r="J26" s="77">
        <v>0.38</v>
      </c>
      <c r="K26" s="78">
        <f t="shared" si="6"/>
        <v>813466000</v>
      </c>
      <c r="L26" s="77">
        <v>0.17</v>
      </c>
      <c r="M26" s="78">
        <f t="shared" si="7"/>
        <v>363919000</v>
      </c>
      <c r="N26" s="77">
        <v>0.38</v>
      </c>
      <c r="O26" s="78">
        <f t="shared" si="8"/>
        <v>813466000</v>
      </c>
      <c r="P26" s="77">
        <v>7.0000000000000007E-2</v>
      </c>
      <c r="Q26" s="78">
        <f t="shared" si="9"/>
        <v>149849000</v>
      </c>
      <c r="R26" s="77">
        <v>0</v>
      </c>
      <c r="S26" s="78">
        <f t="shared" si="10"/>
        <v>0</v>
      </c>
      <c r="T26" s="77">
        <v>0</v>
      </c>
      <c r="U26" s="78">
        <f t="shared" si="11"/>
        <v>0</v>
      </c>
      <c r="Y26" s="12">
        <f>K26-'Out25'!K26</f>
        <v>21851000</v>
      </c>
      <c r="Z26" s="12">
        <f>M26-'Out25'!M26</f>
        <v>204000</v>
      </c>
      <c r="AA26" s="12">
        <f>O26-'Out25'!O26</f>
        <v>456000</v>
      </c>
      <c r="AB26" s="12">
        <f>Q26-'Out25'!Q26</f>
        <v>-21311000</v>
      </c>
      <c r="AC26" s="12">
        <f>+S26-'Out25'!S26</f>
        <v>0</v>
      </c>
      <c r="AE26" s="28">
        <f>J26-'Out25'!J26</f>
        <v>1.0000000000000009E-2</v>
      </c>
      <c r="AF26" s="28">
        <f>L26-'Out25'!L26</f>
        <v>0</v>
      </c>
      <c r="AG26" s="28">
        <f>N26-'Out25'!N26</f>
        <v>0</v>
      </c>
      <c r="AH26" s="28">
        <f>P26-'Out25'!P26</f>
        <v>-9.999999999999995E-3</v>
      </c>
      <c r="AI26" s="28">
        <f>R26-'Out25'!R26</f>
        <v>0</v>
      </c>
      <c r="AK26" s="10">
        <f>I26-'Out25'!I26</f>
        <v>1200000</v>
      </c>
      <c r="AL26" s="76">
        <f>I26/'Out25'!I26-1</f>
        <v>5.6087870997889588E-4</v>
      </c>
    </row>
    <row r="27" spans="2:39" s="8" customFormat="1" x14ac:dyDescent="0.25">
      <c r="B27"/>
      <c r="C27"/>
      <c r="E27"/>
      <c r="F27" s="7">
        <f t="shared" si="5"/>
        <v>1</v>
      </c>
      <c r="G27"/>
      <c r="H27" s="21" t="s">
        <v>45</v>
      </c>
      <c r="I27" s="20">
        <f>SUM(I17:I26)</f>
        <v>8101461072.2999992</v>
      </c>
      <c r="J27" s="15">
        <f>K27/$I$27</f>
        <v>0.26907760233911016</v>
      </c>
      <c r="K27" s="63">
        <f>SUM(K17:K26)</f>
        <v>2179921720.77812</v>
      </c>
      <c r="L27" s="15">
        <f>M27/$I$27</f>
        <v>0.23828695662715074</v>
      </c>
      <c r="M27" s="62">
        <f>SUM(M17:M26)</f>
        <v>1930472503.1517</v>
      </c>
      <c r="N27" s="15">
        <f>O27/$I$27</f>
        <v>0.381011095164554</v>
      </c>
      <c r="O27" s="63">
        <f>SUM(O17:O26)</f>
        <v>3086746555.5900249</v>
      </c>
      <c r="P27" s="15">
        <f>Q27/$I$27</f>
        <v>9.0845172930598461E-2</v>
      </c>
      <c r="Q27" s="63">
        <f>SUM(Q17:Q26)</f>
        <v>735978632.10360503</v>
      </c>
      <c r="R27" s="15">
        <f>S27/$I$27</f>
        <v>0</v>
      </c>
      <c r="S27" s="63">
        <f>SUM(S17:S26)</f>
        <v>0</v>
      </c>
      <c r="T27" s="15">
        <f>U27/$I$27</f>
        <v>2.0779172938586735E-2</v>
      </c>
      <c r="U27" s="17">
        <f>SUM(U17:U26)</f>
        <v>168341660.67655</v>
      </c>
      <c r="Y27" s="12">
        <f>K27-'Out25'!K27</f>
        <v>91631394.730099916</v>
      </c>
      <c r="Z27" s="12">
        <f>M27-'Out25'!M27</f>
        <v>-124334777.33462906</v>
      </c>
      <c r="AA27" s="12">
        <f>O27-'Out25'!O27</f>
        <v>-28842687.252545834</v>
      </c>
      <c r="AB27" s="12">
        <f>Q27-'Out25'!Q27</f>
        <v>-24800957.236084938</v>
      </c>
      <c r="AC27" s="12">
        <f>+S27-'Out25'!S27</f>
        <v>0</v>
      </c>
      <c r="AE27" s="28">
        <f>J27-'Out25'!J27</f>
        <v>1.3586334913155473E-2</v>
      </c>
      <c r="AF27" s="28">
        <f>L27-'Out25'!L27</f>
        <v>-1.3107837410438167E-2</v>
      </c>
      <c r="AG27" s="28">
        <f>N27-'Out25'!N27</f>
        <v>-1.6475692059081393E-4</v>
      </c>
      <c r="AH27" s="28">
        <f>P27-'Out25'!P27</f>
        <v>-2.2321827836496444E-3</v>
      </c>
      <c r="AI27" s="28">
        <f>R27-'Out25'!R27</f>
        <v>0</v>
      </c>
      <c r="AK27" s="92">
        <f>I27-'Out25'!I27</f>
        <v>-72165944.730000496</v>
      </c>
      <c r="AL27" s="76">
        <f>I27/'Out25'!I27-1</f>
        <v>-8.8291213410693903E-3</v>
      </c>
    </row>
    <row r="28" spans="2:39" x14ac:dyDescent="0.25">
      <c r="F28" s="7"/>
      <c r="I28" s="10"/>
      <c r="J28" s="10"/>
      <c r="K28" s="10"/>
      <c r="L28" s="5"/>
      <c r="M28" s="10"/>
      <c r="N28" s="10"/>
      <c r="O28" s="10"/>
      <c r="P28" s="5"/>
      <c r="Q28" s="10"/>
    </row>
    <row r="29" spans="2:39" x14ac:dyDescent="0.25">
      <c r="F29" s="7"/>
      <c r="H29" s="4" t="s">
        <v>38</v>
      </c>
      <c r="I29" s="9" t="s">
        <v>4</v>
      </c>
      <c r="J29" s="113" t="s">
        <v>7</v>
      </c>
      <c r="K29" s="113"/>
      <c r="L29" s="112" t="s">
        <v>8</v>
      </c>
      <c r="M29" s="112"/>
      <c r="N29" s="112" t="s">
        <v>10</v>
      </c>
      <c r="O29" s="112"/>
      <c r="P29" s="112" t="s">
        <v>9</v>
      </c>
      <c r="Q29" s="112"/>
      <c r="R29" s="112" t="s">
        <v>40</v>
      </c>
      <c r="S29" s="112"/>
      <c r="T29" s="112" t="s">
        <v>55</v>
      </c>
      <c r="U29" s="112"/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  <c r="AE29" s="27" t="s">
        <v>49</v>
      </c>
      <c r="AF29" s="27" t="s">
        <v>50</v>
      </c>
      <c r="AG29" s="27" t="s">
        <v>51</v>
      </c>
      <c r="AH29" s="27" t="s">
        <v>52</v>
      </c>
      <c r="AI29" s="27" t="s">
        <v>54</v>
      </c>
    </row>
    <row r="30" spans="2:39" x14ac:dyDescent="0.25">
      <c r="F30" s="7">
        <f>J30+L30+N30+P30+R30+T30</f>
        <v>1.0000000000000002</v>
      </c>
      <c r="H30" s="21" t="s">
        <v>39</v>
      </c>
      <c r="I30" s="94">
        <v>223630950.94</v>
      </c>
      <c r="J30" s="81">
        <f>0.132+0.0137</f>
        <v>0.1457</v>
      </c>
      <c r="K30" s="80">
        <f t="shared" ref="K30:K35" si="12">+J30*$I30</f>
        <v>32583029.551957998</v>
      </c>
      <c r="L30" s="81">
        <v>0.20490000000000003</v>
      </c>
      <c r="M30" s="80">
        <f t="shared" ref="M30:M35" si="13">+L30*$I30</f>
        <v>45821981.847606003</v>
      </c>
      <c r="N30" s="81">
        <v>0.42899999999999999</v>
      </c>
      <c r="O30" s="80">
        <f t="shared" ref="O30:O35" si="14">+N30*$I30</f>
        <v>95937677.953260005</v>
      </c>
      <c r="P30" s="81">
        <v>0.1406</v>
      </c>
      <c r="Q30" s="80">
        <f t="shared" ref="Q30:Q35" si="15">+P30*$I30</f>
        <v>31442511.702164002</v>
      </c>
      <c r="R30" s="88">
        <v>5.8500000000000003E-2</v>
      </c>
      <c r="S30" s="80">
        <f t="shared" ref="S30:S35" si="16">+R30*$I30</f>
        <v>13082410.62999</v>
      </c>
      <c r="T30" s="81">
        <v>2.1299999999999999E-2</v>
      </c>
      <c r="U30" s="80">
        <f t="shared" ref="U30:U35" si="17">+T30*$I30</f>
        <v>4763339.2550219996</v>
      </c>
      <c r="V30" s="8"/>
      <c r="Y30" s="12">
        <f>K30-'Out25'!K30</f>
        <v>15670400.587849997</v>
      </c>
      <c r="Z30" s="12">
        <f>M30-'Out25'!M30</f>
        <v>-10908568.850898005</v>
      </c>
      <c r="AA30" s="12">
        <f>O30-'Out25'!O30</f>
        <v>-3607126.3827299923</v>
      </c>
      <c r="AB30" s="12">
        <f>Q30-'Out25'!Q30</f>
        <v>2500165.0234280042</v>
      </c>
      <c r="AC30" s="12">
        <f>+S30-'Out25'!S30</f>
        <v>-12669.539069999009</v>
      </c>
      <c r="AD30" s="98"/>
      <c r="AE30" s="28">
        <f>J30-'Out25'!J30</f>
        <v>6.9499999999999992E-2</v>
      </c>
      <c r="AF30" s="28">
        <f>L30-'Out25'!L30</f>
        <v>-5.0700000000000023E-2</v>
      </c>
      <c r="AG30" s="28">
        <f>N30-'Out25'!N30</f>
        <v>-1.9500000000000017E-2</v>
      </c>
      <c r="AH30" s="28">
        <f>P30-'Out25'!P30</f>
        <v>1.0200000000000015E-2</v>
      </c>
      <c r="AI30" s="28">
        <f>R30-'Out25'!R30</f>
        <v>-4.9999999999999351E-4</v>
      </c>
      <c r="AJ30" s="8"/>
      <c r="AK30" s="10">
        <f>I30-'Out25'!I30</f>
        <v>1680439.599999994</v>
      </c>
      <c r="AL30" s="76">
        <f>I30/'Out25'!I30-1</f>
        <v>7.5712355418986466E-3</v>
      </c>
      <c r="AM30" s="8"/>
    </row>
    <row r="31" spans="2:39" hidden="1" outlineLevel="1" x14ac:dyDescent="0.25">
      <c r="F31" s="7">
        <f t="shared" si="5"/>
        <v>0</v>
      </c>
      <c r="H31" s="3" t="s">
        <v>56</v>
      </c>
      <c r="I31" s="78"/>
      <c r="J31" s="77"/>
      <c r="K31" s="78">
        <f t="shared" si="12"/>
        <v>0</v>
      </c>
      <c r="L31" s="77"/>
      <c r="M31" s="78">
        <f t="shared" si="13"/>
        <v>0</v>
      </c>
      <c r="N31" s="77"/>
      <c r="O31" s="78">
        <f t="shared" si="14"/>
        <v>0</v>
      </c>
      <c r="P31" s="77"/>
      <c r="Q31" s="78">
        <f t="shared" si="15"/>
        <v>0</v>
      </c>
      <c r="R31" s="77"/>
      <c r="S31" s="78">
        <f t="shared" si="16"/>
        <v>0</v>
      </c>
      <c r="T31" s="77"/>
      <c r="U31" s="78">
        <f t="shared" si="17"/>
        <v>0</v>
      </c>
      <c r="Y31" s="12">
        <f>K31-'Out25'!K31</f>
        <v>0</v>
      </c>
      <c r="Z31" s="12">
        <f>M31-'Out25'!M31</f>
        <v>0</v>
      </c>
      <c r="AA31" s="12">
        <f>O31-'Out25'!O31</f>
        <v>0</v>
      </c>
      <c r="AB31" s="12">
        <f>Q31-'Out25'!Q31</f>
        <v>0</v>
      </c>
      <c r="AC31" s="12">
        <f>+S31-'Out25'!S31</f>
        <v>0</v>
      </c>
      <c r="AE31" s="28">
        <f>J31-'Out25'!J31</f>
        <v>0</v>
      </c>
      <c r="AF31" s="28">
        <f>L31-'Out25'!L31</f>
        <v>0</v>
      </c>
      <c r="AG31" s="28">
        <f>N31-'Out25'!N31</f>
        <v>0</v>
      </c>
      <c r="AH31" s="28">
        <f>P31-'Out25'!P31</f>
        <v>0</v>
      </c>
      <c r="AI31" s="28">
        <f>R31-'Out25'!R31</f>
        <v>0</v>
      </c>
      <c r="AK31" s="10">
        <f>I31-'Out25'!I31</f>
        <v>0</v>
      </c>
      <c r="AL31" s="76" t="e">
        <f>I31/'Out25'!I31-1</f>
        <v>#DIV/0!</v>
      </c>
    </row>
    <row r="32" spans="2:39" collapsed="1" x14ac:dyDescent="0.25">
      <c r="F32" s="7">
        <f t="shared" si="5"/>
        <v>0.99999999999999989</v>
      </c>
      <c r="H32" s="3" t="s">
        <v>42</v>
      </c>
      <c r="I32" s="84">
        <v>243712563</v>
      </c>
      <c r="J32" s="77">
        <v>0.05</v>
      </c>
      <c r="K32" s="78">
        <f t="shared" si="12"/>
        <v>12185628.15</v>
      </c>
      <c r="L32" s="77">
        <v>0.12</v>
      </c>
      <c r="M32" s="78">
        <f t="shared" si="13"/>
        <v>29245507.559999999</v>
      </c>
      <c r="N32" s="77">
        <v>0.47</v>
      </c>
      <c r="O32" s="78">
        <f t="shared" si="14"/>
        <v>114544904.61</v>
      </c>
      <c r="P32" s="77">
        <v>0.08</v>
      </c>
      <c r="Q32" s="78">
        <f t="shared" si="15"/>
        <v>19497005.039999999</v>
      </c>
      <c r="R32" s="77">
        <v>0.2</v>
      </c>
      <c r="S32" s="78">
        <f t="shared" si="16"/>
        <v>48742512.600000001</v>
      </c>
      <c r="T32" s="77">
        <v>0.08</v>
      </c>
      <c r="U32" s="78">
        <f t="shared" si="17"/>
        <v>19497005.039999999</v>
      </c>
      <c r="Y32" s="12">
        <f>K32-'Out25'!K32</f>
        <v>-6867626.5699999984</v>
      </c>
      <c r="Z32" s="12">
        <f>M32-'Out25'!M32</f>
        <v>665625.48000000045</v>
      </c>
      <c r="AA32" s="12">
        <f>O32-'Out25'!O32</f>
        <v>-14064564.750000015</v>
      </c>
      <c r="AB32" s="12">
        <f>Q32-'Out25'!Q32</f>
        <v>443750.3200000003</v>
      </c>
      <c r="AC32" s="12">
        <f>+S32-'Out25'!S32</f>
        <v>5872689.4800000042</v>
      </c>
      <c r="AE32" s="28">
        <f>J32-'Out25'!J32</f>
        <v>-0.03</v>
      </c>
      <c r="AF32" s="28">
        <f>L32-'Out25'!L32</f>
        <v>0</v>
      </c>
      <c r="AG32" s="28">
        <f>N32-'Out25'!N32</f>
        <v>-7.0000000000000062E-2</v>
      </c>
      <c r="AH32" s="28">
        <f>P32-'Out25'!P32</f>
        <v>0</v>
      </c>
      <c r="AI32" s="28">
        <f>R32-'Out25'!R32</f>
        <v>2.0000000000000018E-2</v>
      </c>
      <c r="AK32" s="10">
        <f>I32-'Out25'!I32</f>
        <v>5546879</v>
      </c>
      <c r="AL32" s="76">
        <f>I32/'Out25'!I32-1</f>
        <v>2.3290000922215226E-2</v>
      </c>
    </row>
    <row r="33" spans="5:38" x14ac:dyDescent="0.25">
      <c r="F33" s="7">
        <f t="shared" si="5"/>
        <v>1</v>
      </c>
      <c r="H33" s="3" t="s">
        <v>69</v>
      </c>
      <c r="I33" s="84">
        <v>469538720</v>
      </c>
      <c r="J33" s="77">
        <v>0.16</v>
      </c>
      <c r="K33" s="78">
        <f t="shared" si="12"/>
        <v>75126195.200000003</v>
      </c>
      <c r="L33" s="77">
        <v>0.2</v>
      </c>
      <c r="M33" s="78">
        <f t="shared" si="13"/>
        <v>93907744</v>
      </c>
      <c r="N33" s="77">
        <v>0.46</v>
      </c>
      <c r="O33" s="78">
        <f t="shared" si="14"/>
        <v>215987811.20000002</v>
      </c>
      <c r="P33" s="77">
        <v>0.18</v>
      </c>
      <c r="Q33" s="78">
        <f t="shared" si="15"/>
        <v>84516969.599999994</v>
      </c>
      <c r="R33" s="77">
        <v>0</v>
      </c>
      <c r="S33" s="78">
        <f t="shared" si="16"/>
        <v>0</v>
      </c>
      <c r="T33" s="77">
        <v>0</v>
      </c>
      <c r="U33" s="78">
        <f t="shared" si="17"/>
        <v>0</v>
      </c>
      <c r="Y33" s="12">
        <f>K33-'Out25'!K33</f>
        <v>13596933.119999997</v>
      </c>
      <c r="Z33" s="12">
        <f>M33-'Out25'!M33</f>
        <v>-24417760</v>
      </c>
      <c r="AA33" s="12">
        <f>O33-'Out25'!O33</f>
        <v>7734924.1600000262</v>
      </c>
      <c r="AB33" s="12">
        <f>Q33-'Out25'!Q33</f>
        <v>-677393.28000000119</v>
      </c>
      <c r="AC33" s="12">
        <f>+S33-'Out25'!S33</f>
        <v>0</v>
      </c>
      <c r="AE33" s="28">
        <f>J33-'Out25'!J33</f>
        <v>0.03</v>
      </c>
      <c r="AF33" s="28">
        <f>L33-'Out25'!L33</f>
        <v>-4.9999999999999989E-2</v>
      </c>
      <c r="AG33" s="28">
        <f>N33-'Out25'!N33</f>
        <v>2.0000000000000018E-2</v>
      </c>
      <c r="AH33" s="28">
        <f>P33-'Out25'!P33</f>
        <v>0</v>
      </c>
      <c r="AI33" s="28">
        <f>R33-'Out25'!R33</f>
        <v>0</v>
      </c>
      <c r="AK33" s="10">
        <f>I33-'Out25'!I33</f>
        <v>-3763296</v>
      </c>
      <c r="AL33" s="76">
        <f>I33/'Out25'!I33-1</f>
        <v>-7.9511514271681794E-3</v>
      </c>
    </row>
    <row r="34" spans="5:38" x14ac:dyDescent="0.25">
      <c r="F34" s="7">
        <f t="shared" si="5"/>
        <v>1</v>
      </c>
      <c r="H34" s="3" t="s">
        <v>44</v>
      </c>
      <c r="I34" s="84">
        <v>73700000</v>
      </c>
      <c r="J34" s="77">
        <v>0.05</v>
      </c>
      <c r="K34" s="78">
        <f t="shared" si="12"/>
        <v>3685000</v>
      </c>
      <c r="L34" s="77">
        <v>0.16</v>
      </c>
      <c r="M34" s="78">
        <f t="shared" si="13"/>
        <v>11792000</v>
      </c>
      <c r="N34" s="77">
        <v>0.57999999999999996</v>
      </c>
      <c r="O34" s="78">
        <f t="shared" si="14"/>
        <v>42746000</v>
      </c>
      <c r="P34" s="77">
        <v>0.02</v>
      </c>
      <c r="Q34" s="78">
        <f t="shared" si="15"/>
        <v>1474000</v>
      </c>
      <c r="R34" s="77">
        <v>0.17</v>
      </c>
      <c r="S34" s="78">
        <f t="shared" si="16"/>
        <v>12529000</v>
      </c>
      <c r="T34" s="77">
        <v>0.02</v>
      </c>
      <c r="U34" s="78">
        <f t="shared" si="17"/>
        <v>1474000</v>
      </c>
      <c r="Y34" s="12">
        <f>K34-'Out25'!K34</f>
        <v>-100000</v>
      </c>
      <c r="Z34" s="12">
        <f>M34-'Out25'!M34</f>
        <v>-4862000</v>
      </c>
      <c r="AA34" s="12">
        <f>O34-'Out25'!O34</f>
        <v>2625000</v>
      </c>
      <c r="AB34" s="12">
        <f>Q34-'Out25'!Q34</f>
        <v>-40000</v>
      </c>
      <c r="AC34" s="12">
        <f>+S34-'Out25'!S34</f>
        <v>-1097000</v>
      </c>
      <c r="AE34" s="28">
        <f>J34-'Out25'!J34</f>
        <v>0</v>
      </c>
      <c r="AF34" s="28">
        <f>L34-'Out25'!L34</f>
        <v>-0.06</v>
      </c>
      <c r="AG34" s="28">
        <f>N34-'Out25'!N34</f>
        <v>4.9999999999999933E-2</v>
      </c>
      <c r="AH34" s="28">
        <f>P34-'Out25'!P34</f>
        <v>0</v>
      </c>
      <c r="AI34" s="28">
        <f>R34-'Out25'!R34</f>
        <v>-9.9999999999999811E-3</v>
      </c>
      <c r="AK34" s="10">
        <f>I34-'Out25'!I34</f>
        <v>-2000000</v>
      </c>
      <c r="AL34" s="76">
        <f>I34/'Out25'!I34-1</f>
        <v>-2.6420079260237816E-2</v>
      </c>
    </row>
    <row r="35" spans="5:38" x14ac:dyDescent="0.25">
      <c r="F35" s="7">
        <f t="shared" si="5"/>
        <v>1</v>
      </c>
      <c r="H35" s="3" t="s">
        <v>66</v>
      </c>
      <c r="I35" s="84">
        <v>340600000</v>
      </c>
      <c r="J35" s="77">
        <v>0.04</v>
      </c>
      <c r="K35" s="78">
        <f t="shared" si="12"/>
        <v>13624000</v>
      </c>
      <c r="L35" s="77">
        <v>0.02</v>
      </c>
      <c r="M35" s="78">
        <f t="shared" si="13"/>
        <v>6812000</v>
      </c>
      <c r="N35" s="77">
        <v>0.43</v>
      </c>
      <c r="O35" s="78">
        <f t="shared" si="14"/>
        <v>146458000</v>
      </c>
      <c r="P35" s="77">
        <v>0.39</v>
      </c>
      <c r="Q35" s="78">
        <f t="shared" si="15"/>
        <v>132834000</v>
      </c>
      <c r="R35" s="77">
        <v>0.12</v>
      </c>
      <c r="S35" s="78">
        <f t="shared" si="16"/>
        <v>40872000</v>
      </c>
      <c r="T35" s="77">
        <v>0</v>
      </c>
      <c r="U35" s="78">
        <f t="shared" si="17"/>
        <v>0</v>
      </c>
      <c r="Y35" s="12">
        <f>K35-'Out25'!K35</f>
        <v>3385000</v>
      </c>
      <c r="Z35" s="12">
        <f>M35-'Out25'!M35</f>
        <v>-3427000</v>
      </c>
      <c r="AA35" s="12">
        <f>O35-'Out25'!O35</f>
        <v>3112000</v>
      </c>
      <c r="AB35" s="12">
        <f>Q35-'Out25'!Q35</f>
        <v>13379000.000000015</v>
      </c>
      <c r="AC35" s="12">
        <f>+S35-'Out25'!S35</f>
        <v>-17149000.000000007</v>
      </c>
      <c r="AE35" s="28">
        <f>J35-'Out25'!J35</f>
        <v>1.0000000000000002E-2</v>
      </c>
      <c r="AF35" s="28">
        <f>L35-'Out25'!L35</f>
        <v>-9.9999999999999985E-3</v>
      </c>
      <c r="AG35" s="28">
        <f>N35-'Out25'!N35</f>
        <v>1.0000000000000009E-2</v>
      </c>
      <c r="AH35" s="28">
        <f>P35-'Out25'!P35</f>
        <v>4.0000000000000036E-2</v>
      </c>
      <c r="AI35" s="28">
        <f>R35-'Out25'!R35</f>
        <v>-5.0000000000000017E-2</v>
      </c>
      <c r="AK35" s="10">
        <f>I35-'Out25'!I35</f>
        <v>-700000</v>
      </c>
      <c r="AL35" s="76">
        <f>I35/'Out25'!I35-1</f>
        <v>-2.0509815411661192E-3</v>
      </c>
    </row>
    <row r="36" spans="5:38" s="8" customFormat="1" x14ac:dyDescent="0.25">
      <c r="E36"/>
      <c r="F36" s="7">
        <f t="shared" si="5"/>
        <v>0.99999999999999989</v>
      </c>
      <c r="G36"/>
      <c r="H36" s="3" t="s">
        <v>45</v>
      </c>
      <c r="I36" s="17">
        <f>SUM(I30:I35)</f>
        <v>1351182233.9400001</v>
      </c>
      <c r="J36" s="15">
        <f>+K36/$I$36</f>
        <v>0.10154355900748958</v>
      </c>
      <c r="K36" s="17">
        <f>SUM(K30:K35)</f>
        <v>137203852.90195799</v>
      </c>
      <c r="L36" s="15">
        <f>+M36/$I$36</f>
        <v>0.13882600636379855</v>
      </c>
      <c r="M36" s="17">
        <f>SUM(M30:M35)</f>
        <v>187579233.40760601</v>
      </c>
      <c r="N36" s="15">
        <f>+O36/$I$36</f>
        <v>0.45565607532299701</v>
      </c>
      <c r="O36" s="17">
        <f>SUM(O30:O35)</f>
        <v>615674393.76326001</v>
      </c>
      <c r="P36" s="15">
        <f>+Q36/$I$36</f>
        <v>0.19965070555697007</v>
      </c>
      <c r="Q36" s="17">
        <f>SUM(Q30:Q35)</f>
        <v>269764486.34216398</v>
      </c>
      <c r="R36" s="15">
        <f>+S36/$I$36</f>
        <v>8.5277855448110243E-2</v>
      </c>
      <c r="S36" s="17">
        <f>SUM(S30:S35)</f>
        <v>115225923.22999001</v>
      </c>
      <c r="T36" s="15">
        <f>+U36/$I$36</f>
        <v>1.9045798300634513E-2</v>
      </c>
      <c r="U36" s="63">
        <f>SUM(U30:U35)</f>
        <v>25734344.295022</v>
      </c>
      <c r="Y36" s="12">
        <f>K36-'Out25'!K36</f>
        <v>25684707.137849987</v>
      </c>
      <c r="Z36" s="12">
        <f>M36-'Out25'!M36</f>
        <v>-42949703.370898008</v>
      </c>
      <c r="AA36" s="12">
        <f>O36-'Out25'!O36</f>
        <v>-4199766.9727300406</v>
      </c>
      <c r="AB36" s="12">
        <f>Q36-'Out25'!Q36</f>
        <v>15605522.063427985</v>
      </c>
      <c r="AC36" s="12">
        <f>+S36-'Out25'!S36</f>
        <v>-12385980.059069991</v>
      </c>
      <c r="AE36" s="28">
        <f>J36-'Out25'!J36</f>
        <v>1.8962366879275327E-2</v>
      </c>
      <c r="AF36" s="28">
        <f>L36-'Out25'!L36</f>
        <v>-3.1883285648602211E-2</v>
      </c>
      <c r="AG36" s="28">
        <f>N36-'Out25'!N36</f>
        <v>-3.3677704239423734E-3</v>
      </c>
      <c r="AH36" s="28">
        <f>P36-'Out25'!P36</f>
        <v>1.1443110202833229E-2</v>
      </c>
      <c r="AI36" s="28">
        <f>R36-'Out25'!R36</f>
        <v>-9.2202061282606607E-3</v>
      </c>
      <c r="AK36" s="92">
        <f>I36-'Out25'!I36</f>
        <v>764022.59999990463</v>
      </c>
      <c r="AL36" s="76">
        <f>I36/'Out25'!I36-1</f>
        <v>5.6576739974634194E-4</v>
      </c>
    </row>
    <row r="37" spans="5:38" x14ac:dyDescent="0.25">
      <c r="F37" s="7"/>
    </row>
    <row r="38" spans="5:38" x14ac:dyDescent="0.25">
      <c r="F38" s="7"/>
      <c r="K38"/>
    </row>
    <row r="39" spans="5:38" x14ac:dyDescent="0.25">
      <c r="F39" s="7"/>
      <c r="J39" s="38"/>
    </row>
    <row r="40" spans="5:38" x14ac:dyDescent="0.25">
      <c r="F40" s="7"/>
      <c r="I40" s="30"/>
      <c r="J40" s="35"/>
    </row>
    <row r="41" spans="5:38" x14ac:dyDescent="0.25">
      <c r="F41" s="7"/>
      <c r="I41" s="37"/>
      <c r="J41" s="35"/>
    </row>
    <row r="42" spans="5:38" x14ac:dyDescent="0.25">
      <c r="F42" s="7"/>
      <c r="I42" s="37"/>
      <c r="J42" s="35"/>
    </row>
    <row r="43" spans="5:38" x14ac:dyDescent="0.25">
      <c r="F43" s="7"/>
      <c r="I43" s="37"/>
      <c r="J43" s="35"/>
    </row>
    <row r="44" spans="5:38" x14ac:dyDescent="0.25">
      <c r="F44" s="7"/>
      <c r="I44" s="37"/>
      <c r="J44" s="35"/>
    </row>
    <row r="45" spans="5:38" x14ac:dyDescent="0.25">
      <c r="F45" s="7"/>
      <c r="I45" s="37"/>
      <c r="J45" s="35"/>
      <c r="K45" s="37"/>
    </row>
    <row r="46" spans="5:38" x14ac:dyDescent="0.25">
      <c r="F46" s="7"/>
      <c r="I46" s="37"/>
      <c r="J46" s="35"/>
    </row>
    <row r="47" spans="5:38" x14ac:dyDescent="0.25">
      <c r="F47" s="7"/>
      <c r="I47" s="37"/>
      <c r="J47" s="35"/>
    </row>
    <row r="48" spans="5:38" x14ac:dyDescent="0.25">
      <c r="F48" s="7"/>
      <c r="I48" s="37"/>
      <c r="J48" s="35"/>
    </row>
    <row r="49" spans="9:10" x14ac:dyDescent="0.25">
      <c r="I49" s="37"/>
      <c r="J49" s="35"/>
    </row>
    <row r="50" spans="9:10" x14ac:dyDescent="0.25">
      <c r="I50" s="37"/>
      <c r="J50" s="35"/>
    </row>
    <row r="51" spans="9:10" x14ac:dyDescent="0.25">
      <c r="I51" s="37"/>
      <c r="J51" s="35"/>
    </row>
    <row r="52" spans="9:10" x14ac:dyDescent="0.25">
      <c r="I52" s="37"/>
      <c r="J52" s="35"/>
    </row>
    <row r="53" spans="9:10" x14ac:dyDescent="0.25">
      <c r="I53" s="37"/>
      <c r="J53" s="35"/>
    </row>
    <row r="54" spans="9:10" x14ac:dyDescent="0.25">
      <c r="I54" s="37"/>
      <c r="J54" s="35"/>
    </row>
    <row r="55" spans="9:10" x14ac:dyDescent="0.25">
      <c r="I55" s="37"/>
      <c r="J55" s="35"/>
    </row>
    <row r="56" spans="9:10" x14ac:dyDescent="0.25">
      <c r="I56" s="37"/>
      <c r="J56" s="35"/>
    </row>
    <row r="57" spans="9:10" x14ac:dyDescent="0.25">
      <c r="I57" s="37"/>
      <c r="J57" s="35"/>
    </row>
    <row r="58" spans="9:10" x14ac:dyDescent="0.25">
      <c r="I58" s="37"/>
      <c r="J58" s="35"/>
    </row>
    <row r="59" spans="9:10" x14ac:dyDescent="0.25">
      <c r="I59" s="37"/>
      <c r="J59" s="35"/>
    </row>
    <row r="60" spans="9:10" x14ac:dyDescent="0.25">
      <c r="I60" s="37"/>
      <c r="J60" s="35"/>
    </row>
    <row r="61" spans="9:10" x14ac:dyDescent="0.25">
      <c r="I61" s="37"/>
      <c r="J61" s="35"/>
    </row>
    <row r="62" spans="9:10" x14ac:dyDescent="0.25">
      <c r="I62" s="37"/>
      <c r="J62" s="35"/>
    </row>
    <row r="63" spans="9:10" x14ac:dyDescent="0.25">
      <c r="I63" s="37"/>
      <c r="J63" s="35"/>
    </row>
    <row r="64" spans="9:10" x14ac:dyDescent="0.25">
      <c r="I64" s="37"/>
      <c r="J64" s="35"/>
    </row>
    <row r="65" spans="9:10" x14ac:dyDescent="0.25">
      <c r="I65" s="37"/>
      <c r="J65" s="35"/>
    </row>
    <row r="66" spans="9:10" x14ac:dyDescent="0.25">
      <c r="I66" s="37"/>
      <c r="J66" s="35"/>
    </row>
    <row r="67" spans="9:10" x14ac:dyDescent="0.25">
      <c r="I67" s="37"/>
      <c r="J67" s="35"/>
    </row>
    <row r="68" spans="9:10" x14ac:dyDescent="0.25">
      <c r="I68" s="37"/>
      <c r="J68" s="35"/>
    </row>
    <row r="69" spans="9:10" x14ac:dyDescent="0.25">
      <c r="I69" s="37"/>
      <c r="J69" s="35"/>
    </row>
    <row r="70" spans="9:10" x14ac:dyDescent="0.25">
      <c r="I70" s="37"/>
      <c r="J70" s="35"/>
    </row>
    <row r="71" spans="9:10" x14ac:dyDescent="0.25">
      <c r="I71" s="37"/>
      <c r="J71" s="35"/>
    </row>
    <row r="72" spans="9:10" x14ac:dyDescent="0.25">
      <c r="I72" s="37"/>
      <c r="J72" s="35"/>
    </row>
    <row r="73" spans="9:10" x14ac:dyDescent="0.25">
      <c r="I73" s="37"/>
      <c r="J73" s="35"/>
    </row>
    <row r="74" spans="9:10" x14ac:dyDescent="0.25">
      <c r="I74" s="37"/>
      <c r="J74" s="35"/>
    </row>
    <row r="75" spans="9:10" x14ac:dyDescent="0.25">
      <c r="I75" s="37"/>
      <c r="J75" s="35"/>
    </row>
    <row r="76" spans="9:10" x14ac:dyDescent="0.25">
      <c r="I76" s="37"/>
      <c r="J76" s="35"/>
    </row>
    <row r="77" spans="9:10" x14ac:dyDescent="0.25">
      <c r="I77" s="37"/>
      <c r="J77" s="35"/>
    </row>
    <row r="78" spans="9:10" x14ac:dyDescent="0.25">
      <c r="I78" s="37"/>
      <c r="J78" s="35"/>
    </row>
    <row r="79" spans="9:10" x14ac:dyDescent="0.25">
      <c r="I79" s="37"/>
      <c r="J79" s="35"/>
    </row>
    <row r="80" spans="9:10" x14ac:dyDescent="0.25">
      <c r="I80" s="37"/>
      <c r="J80" s="35"/>
    </row>
    <row r="81" spans="9:10" x14ac:dyDescent="0.25">
      <c r="I81" s="37"/>
      <c r="J81" s="35"/>
    </row>
    <row r="82" spans="9:10" x14ac:dyDescent="0.25">
      <c r="I82" s="37"/>
      <c r="J82" s="35"/>
    </row>
    <row r="83" spans="9:10" x14ac:dyDescent="0.25">
      <c r="I83" s="37"/>
      <c r="J83" s="35"/>
    </row>
    <row r="84" spans="9:10" x14ac:dyDescent="0.25">
      <c r="I84" s="37"/>
      <c r="J84" s="35"/>
    </row>
    <row r="85" spans="9:10" x14ac:dyDescent="0.25">
      <c r="I85" s="37"/>
      <c r="J85" s="35"/>
    </row>
    <row r="86" spans="9:10" x14ac:dyDescent="0.25">
      <c r="I86" s="37"/>
      <c r="J86" s="35"/>
    </row>
    <row r="87" spans="9:10" x14ac:dyDescent="0.25">
      <c r="I87" s="37"/>
      <c r="J87" s="35"/>
    </row>
    <row r="88" spans="9:10" x14ac:dyDescent="0.25">
      <c r="I88" s="37"/>
      <c r="J88" s="35"/>
    </row>
    <row r="89" spans="9:10" x14ac:dyDescent="0.25">
      <c r="I89" s="37"/>
      <c r="J89" s="35"/>
    </row>
    <row r="90" spans="9:10" x14ac:dyDescent="0.25">
      <c r="I90" s="37"/>
      <c r="J90" s="35"/>
    </row>
    <row r="91" spans="9:10" x14ac:dyDescent="0.25">
      <c r="I91" s="37"/>
      <c r="J91" s="35"/>
    </row>
    <row r="92" spans="9:10" x14ac:dyDescent="0.25">
      <c r="I92" s="37"/>
      <c r="J92" s="35"/>
    </row>
    <row r="93" spans="9:10" x14ac:dyDescent="0.25">
      <c r="I93" s="37"/>
      <c r="J93" s="35"/>
    </row>
    <row r="94" spans="9:10" x14ac:dyDescent="0.25">
      <c r="I94" s="37"/>
      <c r="J94" s="35"/>
    </row>
    <row r="95" spans="9:10" x14ac:dyDescent="0.25">
      <c r="I95" s="37"/>
      <c r="J95" s="35"/>
    </row>
    <row r="96" spans="9:10" x14ac:dyDescent="0.25">
      <c r="I96" s="37"/>
      <c r="J96" s="35"/>
    </row>
    <row r="97" spans="9:10" x14ac:dyDescent="0.25">
      <c r="I97" s="37"/>
      <c r="J97" s="35"/>
    </row>
    <row r="98" spans="9:10" x14ac:dyDescent="0.25">
      <c r="I98" s="37"/>
      <c r="J98" s="35"/>
    </row>
    <row r="99" spans="9:10" x14ac:dyDescent="0.25">
      <c r="I99" s="37"/>
      <c r="J99" s="35"/>
    </row>
    <row r="100" spans="9:10" x14ac:dyDescent="0.25">
      <c r="I100" s="37"/>
      <c r="J100" s="35"/>
    </row>
    <row r="101" spans="9:10" x14ac:dyDescent="0.25">
      <c r="I101" s="37"/>
      <c r="J101" s="35"/>
    </row>
    <row r="102" spans="9:10" x14ac:dyDescent="0.25">
      <c r="I102" s="37"/>
      <c r="J102" s="35"/>
    </row>
    <row r="103" spans="9:10" x14ac:dyDescent="0.25">
      <c r="I103" s="37"/>
      <c r="J103" s="35"/>
    </row>
    <row r="104" spans="9:10" x14ac:dyDescent="0.25">
      <c r="I104" s="37"/>
      <c r="J104" s="35"/>
    </row>
    <row r="105" spans="9:10" x14ac:dyDescent="0.25">
      <c r="I105" s="37"/>
      <c r="J105" s="35"/>
    </row>
    <row r="106" spans="9:10" x14ac:dyDescent="0.25">
      <c r="I106" s="37"/>
      <c r="J106" s="35"/>
    </row>
    <row r="107" spans="9:10" x14ac:dyDescent="0.25">
      <c r="I107" s="37"/>
      <c r="J107" s="35"/>
    </row>
    <row r="108" spans="9:10" x14ac:dyDescent="0.25">
      <c r="I108" s="37"/>
      <c r="J108" s="35"/>
    </row>
    <row r="109" spans="9:10" x14ac:dyDescent="0.25">
      <c r="I109" s="37"/>
      <c r="J109" s="35"/>
    </row>
    <row r="110" spans="9:10" x14ac:dyDescent="0.25">
      <c r="I110" s="37"/>
      <c r="J110" s="35"/>
    </row>
    <row r="111" spans="9:10" x14ac:dyDescent="0.25">
      <c r="I111" s="37"/>
      <c r="J111" s="35"/>
    </row>
    <row r="112" spans="9:10" x14ac:dyDescent="0.25">
      <c r="I112" s="37"/>
      <c r="J112" s="35"/>
    </row>
    <row r="113" spans="9:10" x14ac:dyDescent="0.25">
      <c r="I113" s="37"/>
      <c r="J113" s="35"/>
    </row>
    <row r="114" spans="9:10" x14ac:dyDescent="0.25">
      <c r="I114" s="37"/>
      <c r="J114" s="35"/>
    </row>
    <row r="115" spans="9:10" x14ac:dyDescent="0.25">
      <c r="I115" s="37"/>
      <c r="J115" s="35"/>
    </row>
    <row r="116" spans="9:10" x14ac:dyDescent="0.25">
      <c r="I116" s="37"/>
      <c r="J116" s="35"/>
    </row>
    <row r="117" spans="9:10" x14ac:dyDescent="0.25">
      <c r="I117" s="37"/>
      <c r="J117" s="35"/>
    </row>
    <row r="118" spans="9:10" x14ac:dyDescent="0.25">
      <c r="I118" s="37"/>
      <c r="J118" s="35"/>
    </row>
    <row r="119" spans="9:10" x14ac:dyDescent="0.25">
      <c r="I119" s="37"/>
      <c r="J119" s="35"/>
    </row>
    <row r="120" spans="9:10" x14ac:dyDescent="0.25">
      <c r="I120" s="37"/>
      <c r="J120" s="35"/>
    </row>
    <row r="121" spans="9:10" x14ac:dyDescent="0.25">
      <c r="I121" s="37"/>
      <c r="J121" s="35"/>
    </row>
    <row r="122" spans="9:10" x14ac:dyDescent="0.25">
      <c r="I122" s="37"/>
      <c r="J122" s="35"/>
    </row>
    <row r="123" spans="9:10" x14ac:dyDescent="0.25">
      <c r="I123" s="37"/>
      <c r="J123" s="35"/>
    </row>
    <row r="124" spans="9:10" x14ac:dyDescent="0.25">
      <c r="I124" s="37"/>
      <c r="J124" s="35"/>
    </row>
    <row r="125" spans="9:10" x14ac:dyDescent="0.25">
      <c r="I125" s="37"/>
      <c r="J125" s="35"/>
    </row>
    <row r="126" spans="9:10" x14ac:dyDescent="0.25">
      <c r="I126" s="37"/>
      <c r="J126" s="35"/>
    </row>
    <row r="127" spans="9:10" x14ac:dyDescent="0.25">
      <c r="I127" s="37"/>
      <c r="J127" s="35"/>
    </row>
    <row r="128" spans="9:10" x14ac:dyDescent="0.25">
      <c r="I128" s="37"/>
      <c r="J128" s="35"/>
    </row>
    <row r="129" spans="9:10" x14ac:dyDescent="0.25">
      <c r="I129" s="37"/>
      <c r="J129" s="35"/>
    </row>
    <row r="130" spans="9:10" x14ac:dyDescent="0.25">
      <c r="I130" s="37"/>
      <c r="J130" s="35"/>
    </row>
    <row r="131" spans="9:10" x14ac:dyDescent="0.25">
      <c r="I131" s="37"/>
      <c r="J131" s="35"/>
    </row>
    <row r="132" spans="9:10" x14ac:dyDescent="0.25">
      <c r="I132" s="37"/>
      <c r="J132" s="35"/>
    </row>
    <row r="133" spans="9:10" x14ac:dyDescent="0.25">
      <c r="I133" s="37"/>
      <c r="J133" s="35"/>
    </row>
    <row r="134" spans="9:10" x14ac:dyDescent="0.25">
      <c r="I134" s="37"/>
      <c r="J134" s="35"/>
    </row>
    <row r="135" spans="9:10" x14ac:dyDescent="0.25">
      <c r="I135" s="37"/>
      <c r="J135" s="35"/>
    </row>
    <row r="136" spans="9:10" x14ac:dyDescent="0.25">
      <c r="I136" s="37"/>
      <c r="J136" s="35"/>
    </row>
    <row r="137" spans="9:10" x14ac:dyDescent="0.25">
      <c r="I137" s="37"/>
      <c r="J137" s="35"/>
    </row>
    <row r="138" spans="9:10" x14ac:dyDescent="0.25">
      <c r="I138" s="37"/>
      <c r="J138" s="35"/>
    </row>
    <row r="139" spans="9:10" x14ac:dyDescent="0.25">
      <c r="I139" s="37"/>
      <c r="J139" s="35"/>
    </row>
    <row r="140" spans="9:10" x14ac:dyDescent="0.25">
      <c r="I140" s="37"/>
      <c r="J140" s="35"/>
    </row>
    <row r="141" spans="9:10" x14ac:dyDescent="0.25">
      <c r="I141" s="37"/>
      <c r="J141" s="35"/>
    </row>
    <row r="142" spans="9:10" x14ac:dyDescent="0.25">
      <c r="I142" s="37"/>
      <c r="J142" s="35"/>
    </row>
    <row r="143" spans="9:10" x14ac:dyDescent="0.25">
      <c r="I143" s="37"/>
      <c r="J143" s="35"/>
    </row>
    <row r="144" spans="9:10" x14ac:dyDescent="0.25">
      <c r="I144" s="37"/>
      <c r="J144" s="35"/>
    </row>
    <row r="145" spans="9:10" x14ac:dyDescent="0.25">
      <c r="I145" s="37"/>
      <c r="J145" s="35"/>
    </row>
    <row r="146" spans="9:10" x14ac:dyDescent="0.25">
      <c r="I146" s="37"/>
      <c r="J146" s="35"/>
    </row>
    <row r="147" spans="9:10" x14ac:dyDescent="0.25">
      <c r="I147" s="37"/>
      <c r="J147" s="35"/>
    </row>
    <row r="148" spans="9:10" x14ac:dyDescent="0.25">
      <c r="I148" s="37"/>
      <c r="J148" s="35"/>
    </row>
    <row r="149" spans="9:10" x14ac:dyDescent="0.25">
      <c r="I149" s="37"/>
      <c r="J149" s="35"/>
    </row>
    <row r="150" spans="9:10" x14ac:dyDescent="0.25">
      <c r="I150" s="37"/>
      <c r="J150" s="35"/>
    </row>
    <row r="151" spans="9:10" x14ac:dyDescent="0.25">
      <c r="I151" s="37"/>
      <c r="J151" s="35"/>
    </row>
    <row r="152" spans="9:10" x14ac:dyDescent="0.25">
      <c r="I152" s="37"/>
      <c r="J152" s="35"/>
    </row>
    <row r="153" spans="9:10" x14ac:dyDescent="0.25">
      <c r="I153" s="37"/>
      <c r="J153" s="35"/>
    </row>
    <row r="154" spans="9:10" x14ac:dyDescent="0.25">
      <c r="I154" s="37"/>
      <c r="J154" s="35"/>
    </row>
    <row r="155" spans="9:10" x14ac:dyDescent="0.25">
      <c r="I155" s="37"/>
      <c r="J155" s="35"/>
    </row>
    <row r="156" spans="9:10" x14ac:dyDescent="0.25">
      <c r="I156" s="37"/>
      <c r="J156" s="35"/>
    </row>
    <row r="157" spans="9:10" x14ac:dyDescent="0.25">
      <c r="I157" s="37"/>
      <c r="J157" s="35"/>
    </row>
    <row r="158" spans="9:10" x14ac:dyDescent="0.25">
      <c r="I158" s="37"/>
      <c r="J158" s="35"/>
    </row>
    <row r="159" spans="9:10" x14ac:dyDescent="0.25">
      <c r="I159" s="37"/>
      <c r="J159" s="35"/>
    </row>
    <row r="160" spans="9:10" x14ac:dyDescent="0.25">
      <c r="I160" s="37"/>
      <c r="J160" s="35"/>
    </row>
    <row r="161" spans="9:10" x14ac:dyDescent="0.25">
      <c r="I161" s="37"/>
      <c r="J161" s="35"/>
    </row>
    <row r="162" spans="9:10" x14ac:dyDescent="0.25">
      <c r="I162" s="37"/>
      <c r="J162" s="35"/>
    </row>
    <row r="163" spans="9:10" x14ac:dyDescent="0.25">
      <c r="I163" s="37"/>
      <c r="J163" s="35"/>
    </row>
    <row r="164" spans="9:10" x14ac:dyDescent="0.25">
      <c r="I164" s="37"/>
      <c r="J164" s="35"/>
    </row>
    <row r="165" spans="9:10" x14ac:dyDescent="0.25">
      <c r="I165" s="37"/>
      <c r="J165" s="35"/>
    </row>
    <row r="166" spans="9:10" x14ac:dyDescent="0.25">
      <c r="I166" s="37"/>
      <c r="J166" s="35"/>
    </row>
    <row r="167" spans="9:10" x14ac:dyDescent="0.25">
      <c r="I167" s="37"/>
      <c r="J167" s="35"/>
    </row>
    <row r="168" spans="9:10" x14ac:dyDescent="0.25">
      <c r="I168" s="37"/>
      <c r="J168" s="35"/>
    </row>
    <row r="169" spans="9:10" x14ac:dyDescent="0.25">
      <c r="I169" s="37"/>
      <c r="J169" s="35"/>
    </row>
    <row r="170" spans="9:10" x14ac:dyDescent="0.25">
      <c r="I170" s="37"/>
      <c r="J170" s="35"/>
    </row>
    <row r="171" spans="9:10" x14ac:dyDescent="0.25">
      <c r="I171" s="37"/>
      <c r="J171" s="35"/>
    </row>
    <row r="172" spans="9:10" x14ac:dyDescent="0.25">
      <c r="I172" s="37"/>
      <c r="J172" s="35"/>
    </row>
    <row r="173" spans="9:10" x14ac:dyDescent="0.25">
      <c r="I173" s="37"/>
      <c r="J173" s="35"/>
    </row>
    <row r="174" spans="9:10" x14ac:dyDescent="0.25">
      <c r="I174" s="37"/>
      <c r="J174" s="35"/>
    </row>
    <row r="175" spans="9:10" x14ac:dyDescent="0.25">
      <c r="I175" s="37"/>
      <c r="J175" s="35"/>
    </row>
    <row r="176" spans="9:10" x14ac:dyDescent="0.25">
      <c r="I176" s="37"/>
      <c r="J176" s="35"/>
    </row>
    <row r="177" spans="9:10" x14ac:dyDescent="0.25">
      <c r="I177" s="37"/>
      <c r="J177" s="35"/>
    </row>
    <row r="178" spans="9:10" x14ac:dyDescent="0.25">
      <c r="I178" s="37"/>
      <c r="J178" s="35"/>
    </row>
    <row r="179" spans="9:10" x14ac:dyDescent="0.25">
      <c r="I179" s="37"/>
      <c r="J179" s="35"/>
    </row>
    <row r="180" spans="9:10" x14ac:dyDescent="0.25">
      <c r="I180" s="37"/>
      <c r="J180" s="35"/>
    </row>
    <row r="181" spans="9:10" x14ac:dyDescent="0.25">
      <c r="I181" s="37"/>
      <c r="J181" s="35"/>
    </row>
    <row r="182" spans="9:10" x14ac:dyDescent="0.25">
      <c r="I182" s="37"/>
      <c r="J182" s="35"/>
    </row>
    <row r="183" spans="9:10" x14ac:dyDescent="0.25">
      <c r="I183" s="37"/>
      <c r="J183" s="35"/>
    </row>
    <row r="184" spans="9:10" x14ac:dyDescent="0.25">
      <c r="I184" s="37"/>
      <c r="J184" s="35"/>
    </row>
    <row r="185" spans="9:10" x14ac:dyDescent="0.25">
      <c r="I185" s="37"/>
      <c r="J185" s="35"/>
    </row>
    <row r="186" spans="9:10" x14ac:dyDescent="0.25">
      <c r="I186" s="37"/>
      <c r="J186" s="35"/>
    </row>
    <row r="187" spans="9:10" x14ac:dyDescent="0.25">
      <c r="I187" s="37"/>
      <c r="J187" s="35"/>
    </row>
    <row r="188" spans="9:10" x14ac:dyDescent="0.25">
      <c r="I188" s="37"/>
      <c r="J188" s="35"/>
    </row>
    <row r="189" spans="9:10" x14ac:dyDescent="0.25">
      <c r="I189" s="37"/>
      <c r="J189" s="35"/>
    </row>
    <row r="190" spans="9:10" x14ac:dyDescent="0.25">
      <c r="I190" s="37"/>
      <c r="J190" s="35"/>
    </row>
    <row r="191" spans="9:10" x14ac:dyDescent="0.25">
      <c r="I191" s="37"/>
      <c r="J191" s="35"/>
    </row>
    <row r="192" spans="9:10" x14ac:dyDescent="0.25">
      <c r="I192" s="37"/>
      <c r="J192" s="35"/>
    </row>
    <row r="193" spans="9:10" x14ac:dyDescent="0.25">
      <c r="I193" s="37"/>
      <c r="J193" s="35"/>
    </row>
    <row r="194" spans="9:10" x14ac:dyDescent="0.25">
      <c r="I194" s="37"/>
      <c r="J194" s="35"/>
    </row>
    <row r="195" spans="9:10" x14ac:dyDescent="0.25">
      <c r="I195" s="37"/>
      <c r="J195" s="35"/>
    </row>
    <row r="196" spans="9:10" x14ac:dyDescent="0.25">
      <c r="I196" s="37"/>
      <c r="J196" s="35"/>
    </row>
    <row r="197" spans="9:10" x14ac:dyDescent="0.25">
      <c r="I197" s="37"/>
      <c r="J197" s="35"/>
    </row>
    <row r="198" spans="9:10" x14ac:dyDescent="0.25">
      <c r="I198" s="37"/>
      <c r="J198" s="35"/>
    </row>
    <row r="199" spans="9:10" x14ac:dyDescent="0.25">
      <c r="I199" s="37"/>
      <c r="J199" s="35"/>
    </row>
    <row r="200" spans="9:10" x14ac:dyDescent="0.25">
      <c r="I200" s="37"/>
      <c r="J200" s="35"/>
    </row>
    <row r="201" spans="9:10" x14ac:dyDescent="0.25">
      <c r="I201" s="37"/>
      <c r="J201" s="35"/>
    </row>
    <row r="202" spans="9:10" x14ac:dyDescent="0.25">
      <c r="I202" s="37"/>
      <c r="J202" s="35"/>
    </row>
    <row r="203" spans="9:10" x14ac:dyDescent="0.25">
      <c r="I203" s="37"/>
      <c r="J203" s="35"/>
    </row>
    <row r="204" spans="9:10" x14ac:dyDescent="0.25">
      <c r="I204" s="37"/>
      <c r="J204" s="35"/>
    </row>
    <row r="205" spans="9:10" x14ac:dyDescent="0.25">
      <c r="I205" s="37"/>
      <c r="J205" s="35"/>
    </row>
    <row r="206" spans="9:10" x14ac:dyDescent="0.25">
      <c r="I206" s="37"/>
      <c r="J206" s="35"/>
    </row>
    <row r="207" spans="9:10" x14ac:dyDescent="0.25">
      <c r="I207" s="37"/>
      <c r="J207" s="35"/>
    </row>
    <row r="208" spans="9:10" x14ac:dyDescent="0.25">
      <c r="I208" s="37"/>
      <c r="J208" s="35"/>
    </row>
    <row r="209" spans="9:10" x14ac:dyDescent="0.25">
      <c r="I209" s="37"/>
      <c r="J209" s="35"/>
    </row>
    <row r="210" spans="9:10" x14ac:dyDescent="0.25">
      <c r="I210" s="37"/>
      <c r="J210" s="35"/>
    </row>
    <row r="211" spans="9:10" x14ac:dyDescent="0.25">
      <c r="I211" s="37"/>
      <c r="J211" s="35"/>
    </row>
    <row r="212" spans="9:10" x14ac:dyDescent="0.25">
      <c r="I212" s="37"/>
      <c r="J212" s="35"/>
    </row>
    <row r="213" spans="9:10" x14ac:dyDescent="0.25">
      <c r="I213" s="37"/>
      <c r="J213" s="35"/>
    </row>
    <row r="214" spans="9:10" x14ac:dyDescent="0.25">
      <c r="I214" s="37"/>
      <c r="J214" s="35"/>
    </row>
    <row r="215" spans="9:10" x14ac:dyDescent="0.25">
      <c r="I215" s="37"/>
      <c r="J215" s="35"/>
    </row>
    <row r="216" spans="9:10" x14ac:dyDescent="0.25">
      <c r="I216" s="37"/>
      <c r="J216" s="35"/>
    </row>
    <row r="217" spans="9:10" x14ac:dyDescent="0.25">
      <c r="I217" s="37"/>
      <c r="J217" s="35"/>
    </row>
    <row r="218" spans="9:10" x14ac:dyDescent="0.25">
      <c r="I218" s="37"/>
      <c r="J218" s="35"/>
    </row>
    <row r="219" spans="9:10" x14ac:dyDescent="0.25">
      <c r="I219" s="37"/>
      <c r="J219" s="35"/>
    </row>
    <row r="220" spans="9:10" x14ac:dyDescent="0.25">
      <c r="I220" s="37"/>
      <c r="J220" s="35"/>
    </row>
    <row r="221" spans="9:10" x14ac:dyDescent="0.25">
      <c r="I221" s="37"/>
      <c r="J221" s="35"/>
    </row>
    <row r="222" spans="9:10" x14ac:dyDescent="0.25">
      <c r="I222" s="37"/>
      <c r="J222" s="35"/>
    </row>
    <row r="223" spans="9:10" x14ac:dyDescent="0.25">
      <c r="I223" s="37"/>
      <c r="J223" s="35"/>
    </row>
    <row r="224" spans="9:10" x14ac:dyDescent="0.25">
      <c r="I224" s="37"/>
      <c r="J224" s="35"/>
    </row>
    <row r="225" spans="9:10" x14ac:dyDescent="0.25">
      <c r="I225" s="37"/>
      <c r="J225" s="35"/>
    </row>
    <row r="226" spans="9:10" x14ac:dyDescent="0.25">
      <c r="I226" s="37"/>
      <c r="J226" s="35"/>
    </row>
    <row r="227" spans="9:10" x14ac:dyDescent="0.25">
      <c r="I227" s="37"/>
      <c r="J227" s="35"/>
    </row>
    <row r="228" spans="9:10" x14ac:dyDescent="0.25">
      <c r="I228" s="37"/>
      <c r="J228" s="35"/>
    </row>
    <row r="229" spans="9:10" x14ac:dyDescent="0.25">
      <c r="I229" s="37"/>
      <c r="J229" s="35"/>
    </row>
    <row r="230" spans="9:10" x14ac:dyDescent="0.25">
      <c r="I230" s="37"/>
      <c r="J230" s="35"/>
    </row>
    <row r="231" spans="9:10" x14ac:dyDescent="0.25">
      <c r="I231" s="37"/>
      <c r="J231" s="35"/>
    </row>
    <row r="232" spans="9:10" x14ac:dyDescent="0.25">
      <c r="I232" s="37"/>
      <c r="J232" s="35"/>
    </row>
    <row r="233" spans="9:10" x14ac:dyDescent="0.25">
      <c r="I233" s="37"/>
      <c r="J233" s="35"/>
    </row>
    <row r="234" spans="9:10" x14ac:dyDescent="0.25">
      <c r="I234" s="37"/>
      <c r="J234" s="35"/>
    </row>
    <row r="235" spans="9:10" x14ac:dyDescent="0.25">
      <c r="I235" s="37"/>
      <c r="J235" s="35"/>
    </row>
    <row r="236" spans="9:10" x14ac:dyDescent="0.25">
      <c r="I236" s="37"/>
      <c r="J236" s="35"/>
    </row>
    <row r="237" spans="9:10" x14ac:dyDescent="0.25">
      <c r="I237" s="37"/>
      <c r="J237" s="35"/>
    </row>
    <row r="238" spans="9:10" x14ac:dyDescent="0.25">
      <c r="I238" s="37"/>
      <c r="J238" s="35"/>
    </row>
    <row r="239" spans="9:10" x14ac:dyDescent="0.25">
      <c r="I239" s="37"/>
      <c r="J239" s="35"/>
    </row>
    <row r="240" spans="9:10" x14ac:dyDescent="0.25">
      <c r="I240" s="37"/>
      <c r="J240" s="35"/>
    </row>
    <row r="241" spans="9:10" x14ac:dyDescent="0.25">
      <c r="I241" s="37"/>
      <c r="J241" s="35"/>
    </row>
    <row r="242" spans="9:10" x14ac:dyDescent="0.25">
      <c r="I242" s="37"/>
      <c r="J242" s="35"/>
    </row>
    <row r="243" spans="9:10" x14ac:dyDescent="0.25">
      <c r="I243" s="37"/>
      <c r="J243" s="35"/>
    </row>
    <row r="244" spans="9:10" x14ac:dyDescent="0.25">
      <c r="I244" s="37"/>
      <c r="J244" s="35"/>
    </row>
    <row r="245" spans="9:10" x14ac:dyDescent="0.25">
      <c r="I245" s="37"/>
      <c r="J245" s="35"/>
    </row>
    <row r="246" spans="9:10" x14ac:dyDescent="0.25">
      <c r="I246" s="37"/>
      <c r="J246" s="35"/>
    </row>
    <row r="247" spans="9:10" x14ac:dyDescent="0.25">
      <c r="I247" s="37"/>
      <c r="J247" s="35"/>
    </row>
    <row r="248" spans="9:10" x14ac:dyDescent="0.25">
      <c r="I248" s="37"/>
      <c r="J248" s="35"/>
    </row>
    <row r="249" spans="9:10" x14ac:dyDescent="0.25">
      <c r="I249" s="37"/>
      <c r="J249" s="35"/>
    </row>
    <row r="250" spans="9:10" x14ac:dyDescent="0.25">
      <c r="I250" s="37"/>
      <c r="J250" s="35"/>
    </row>
    <row r="251" spans="9:10" x14ac:dyDescent="0.25">
      <c r="I251" s="37"/>
      <c r="J251" s="35"/>
    </row>
    <row r="252" spans="9:10" x14ac:dyDescent="0.25">
      <c r="I252" s="37"/>
      <c r="J252" s="35"/>
    </row>
    <row r="253" spans="9:10" x14ac:dyDescent="0.25">
      <c r="I253" s="37"/>
      <c r="J253" s="35"/>
    </row>
    <row r="254" spans="9:10" x14ac:dyDescent="0.25">
      <c r="I254" s="37"/>
      <c r="J254" s="35"/>
    </row>
    <row r="255" spans="9:10" x14ac:dyDescent="0.25">
      <c r="I255" s="37"/>
      <c r="J255" s="35"/>
    </row>
    <row r="256" spans="9:10" x14ac:dyDescent="0.25">
      <c r="I256" s="37"/>
      <c r="J256" s="35"/>
    </row>
    <row r="257" spans="9:10" x14ac:dyDescent="0.25">
      <c r="I257" s="37"/>
      <c r="J257" s="35"/>
    </row>
    <row r="258" spans="9:10" x14ac:dyDescent="0.25">
      <c r="I258" s="37"/>
      <c r="J258" s="35"/>
    </row>
    <row r="259" spans="9:10" x14ac:dyDescent="0.25">
      <c r="I259" s="37"/>
      <c r="J259" s="35"/>
    </row>
    <row r="260" spans="9:10" x14ac:dyDescent="0.25">
      <c r="I260" s="37"/>
      <c r="J260" s="35"/>
    </row>
    <row r="261" spans="9:10" x14ac:dyDescent="0.25">
      <c r="I261" s="37"/>
      <c r="J261" s="35"/>
    </row>
    <row r="262" spans="9:10" x14ac:dyDescent="0.25">
      <c r="I262" s="37"/>
      <c r="J262" s="35"/>
    </row>
    <row r="263" spans="9:10" x14ac:dyDescent="0.25">
      <c r="I263" s="37"/>
      <c r="J263" s="35"/>
    </row>
    <row r="264" spans="9:10" x14ac:dyDescent="0.25">
      <c r="I264" s="37"/>
      <c r="J264" s="35"/>
    </row>
    <row r="265" spans="9:10" x14ac:dyDescent="0.25">
      <c r="I265" s="37"/>
      <c r="J265" s="35"/>
    </row>
    <row r="266" spans="9:10" x14ac:dyDescent="0.25">
      <c r="I266" s="37"/>
      <c r="J266" s="35"/>
    </row>
    <row r="267" spans="9:10" x14ac:dyDescent="0.25">
      <c r="I267" s="37"/>
      <c r="J267" s="35"/>
    </row>
    <row r="268" spans="9:10" x14ac:dyDescent="0.25">
      <c r="I268" s="37"/>
      <c r="J268" s="35"/>
    </row>
    <row r="269" spans="9:10" x14ac:dyDescent="0.25">
      <c r="I269" s="37"/>
      <c r="J269" s="35"/>
    </row>
    <row r="270" spans="9:10" x14ac:dyDescent="0.25">
      <c r="I270" s="37"/>
      <c r="J270" s="35"/>
    </row>
    <row r="271" spans="9:10" x14ac:dyDescent="0.25">
      <c r="I271" s="37"/>
      <c r="J271" s="35"/>
    </row>
    <row r="272" spans="9:10" x14ac:dyDescent="0.25">
      <c r="I272" s="37"/>
      <c r="J272" s="35"/>
    </row>
    <row r="273" spans="9:10" x14ac:dyDescent="0.25">
      <c r="I273" s="37"/>
      <c r="J273" s="35"/>
    </row>
    <row r="274" spans="9:10" x14ac:dyDescent="0.25">
      <c r="I274" s="37"/>
      <c r="J274" s="35"/>
    </row>
    <row r="275" spans="9:10" x14ac:dyDescent="0.25">
      <c r="I275" s="37"/>
      <c r="J275" s="35"/>
    </row>
    <row r="276" spans="9:10" x14ac:dyDescent="0.25">
      <c r="I276" s="37"/>
      <c r="J276" s="35"/>
    </row>
    <row r="277" spans="9:10" x14ac:dyDescent="0.25">
      <c r="I277" s="37"/>
      <c r="J277" s="35"/>
    </row>
    <row r="278" spans="9:10" x14ac:dyDescent="0.25">
      <c r="I278" s="37"/>
      <c r="J278" s="35"/>
    </row>
    <row r="279" spans="9:10" x14ac:dyDescent="0.25">
      <c r="I279" s="37"/>
      <c r="J279" s="35"/>
    </row>
    <row r="280" spans="9:10" x14ac:dyDescent="0.25">
      <c r="I280" s="37"/>
      <c r="J280" s="35"/>
    </row>
    <row r="281" spans="9:10" x14ac:dyDescent="0.25">
      <c r="I281" s="37"/>
      <c r="J281" s="35"/>
    </row>
    <row r="282" spans="9:10" x14ac:dyDescent="0.25">
      <c r="I282" s="37"/>
      <c r="J282" s="35"/>
    </row>
    <row r="283" spans="9:10" x14ac:dyDescent="0.25">
      <c r="I283" s="37"/>
      <c r="J283" s="35"/>
    </row>
    <row r="284" spans="9:10" x14ac:dyDescent="0.25">
      <c r="I284" s="37"/>
      <c r="J284" s="35"/>
    </row>
    <row r="285" spans="9:10" x14ac:dyDescent="0.25">
      <c r="I285" s="37"/>
      <c r="J285" s="35"/>
    </row>
    <row r="286" spans="9:10" x14ac:dyDescent="0.25">
      <c r="I286" s="37"/>
      <c r="J286" s="35"/>
    </row>
    <row r="287" spans="9:10" x14ac:dyDescent="0.25">
      <c r="I287" s="37"/>
      <c r="J287" s="35"/>
    </row>
    <row r="288" spans="9:10" x14ac:dyDescent="0.25">
      <c r="I288" s="37"/>
      <c r="J288" s="35"/>
    </row>
    <row r="289" spans="9:10" x14ac:dyDescent="0.25">
      <c r="I289" s="37"/>
      <c r="J289" s="35"/>
    </row>
    <row r="290" spans="9:10" x14ac:dyDescent="0.25">
      <c r="I290" s="37"/>
      <c r="J290" s="35"/>
    </row>
    <row r="291" spans="9:10" x14ac:dyDescent="0.25">
      <c r="I291" s="37"/>
      <c r="J291" s="35"/>
    </row>
    <row r="292" spans="9:10" x14ac:dyDescent="0.25">
      <c r="I292" s="37"/>
      <c r="J292" s="35"/>
    </row>
    <row r="293" spans="9:10" x14ac:dyDescent="0.25">
      <c r="I293" s="37"/>
      <c r="J293" s="35"/>
    </row>
    <row r="294" spans="9:10" x14ac:dyDescent="0.25">
      <c r="I294" s="37"/>
      <c r="J294" s="35"/>
    </row>
    <row r="295" spans="9:10" x14ac:dyDescent="0.25">
      <c r="I295" s="37"/>
      <c r="J295" s="35"/>
    </row>
    <row r="296" spans="9:10" x14ac:dyDescent="0.25">
      <c r="I296" s="37"/>
      <c r="J296" s="35"/>
    </row>
    <row r="297" spans="9:10" x14ac:dyDescent="0.25">
      <c r="I297" s="37"/>
      <c r="J297" s="35"/>
    </row>
    <row r="298" spans="9:10" x14ac:dyDescent="0.25">
      <c r="I298" s="37"/>
      <c r="J298" s="35"/>
    </row>
    <row r="299" spans="9:10" x14ac:dyDescent="0.25">
      <c r="I299" s="37"/>
      <c r="J299" s="35"/>
    </row>
    <row r="300" spans="9:10" x14ac:dyDescent="0.25">
      <c r="I300" s="37"/>
      <c r="J300" s="35"/>
    </row>
    <row r="301" spans="9:10" x14ac:dyDescent="0.25">
      <c r="I301" s="37"/>
      <c r="J301" s="35"/>
    </row>
    <row r="302" spans="9:10" x14ac:dyDescent="0.25">
      <c r="I302" s="37"/>
      <c r="J302" s="35"/>
    </row>
    <row r="303" spans="9:10" x14ac:dyDescent="0.25">
      <c r="I303" s="37"/>
      <c r="J303" s="35"/>
    </row>
    <row r="304" spans="9:10" x14ac:dyDescent="0.25">
      <c r="I304" s="37"/>
      <c r="J304" s="35"/>
    </row>
    <row r="305" spans="9:12" x14ac:dyDescent="0.25">
      <c r="I305" s="37"/>
      <c r="J305" s="35"/>
    </row>
    <row r="306" spans="9:12" x14ac:dyDescent="0.25">
      <c r="I306" s="37"/>
      <c r="J306" s="35"/>
    </row>
    <row r="307" spans="9:12" x14ac:dyDescent="0.25">
      <c r="I307" s="37"/>
      <c r="J307" s="35"/>
    </row>
    <row r="308" spans="9:12" x14ac:dyDescent="0.25">
      <c r="I308" s="37"/>
      <c r="J308" s="35"/>
    </row>
    <row r="309" spans="9:12" x14ac:dyDescent="0.25">
      <c r="I309" s="37"/>
      <c r="J309" s="35"/>
    </row>
    <row r="310" spans="9:12" x14ac:dyDescent="0.25">
      <c r="I310" s="37"/>
      <c r="J310" s="35"/>
    </row>
    <row r="311" spans="9:12" x14ac:dyDescent="0.25">
      <c r="I311" s="37"/>
      <c r="J311" s="35"/>
    </row>
    <row r="312" spans="9:12" x14ac:dyDescent="0.25">
      <c r="I312" s="37"/>
      <c r="J312" s="35"/>
      <c r="L312" s="36"/>
    </row>
    <row r="313" spans="9:12" x14ac:dyDescent="0.25">
      <c r="I313" s="37"/>
      <c r="J313" s="35"/>
    </row>
    <row r="314" spans="9:12" x14ac:dyDescent="0.25">
      <c r="I314" s="37"/>
      <c r="J314" s="35"/>
    </row>
    <row r="315" spans="9:12" x14ac:dyDescent="0.25">
      <c r="I315" s="37"/>
      <c r="J315" s="35"/>
    </row>
    <row r="316" spans="9:12" x14ac:dyDescent="0.25">
      <c r="I316" s="37"/>
      <c r="J316" s="35"/>
    </row>
    <row r="317" spans="9:12" x14ac:dyDescent="0.25">
      <c r="I317" s="37"/>
      <c r="J317" s="35"/>
    </row>
    <row r="318" spans="9:12" x14ac:dyDescent="0.25">
      <c r="I318" s="37"/>
      <c r="J318" s="35"/>
    </row>
    <row r="319" spans="9:12" x14ac:dyDescent="0.25">
      <c r="I319" s="37"/>
      <c r="J319" s="35"/>
    </row>
    <row r="320" spans="9:12" x14ac:dyDescent="0.25">
      <c r="I320" s="37"/>
      <c r="J320" s="35"/>
    </row>
    <row r="321" spans="9:10" x14ac:dyDescent="0.25">
      <c r="I321" s="37"/>
      <c r="J321" s="35"/>
    </row>
    <row r="322" spans="9:10" x14ac:dyDescent="0.25">
      <c r="I322" s="37"/>
      <c r="J322" s="35"/>
    </row>
    <row r="323" spans="9:10" x14ac:dyDescent="0.25">
      <c r="I323" s="37"/>
      <c r="J323" s="35"/>
    </row>
    <row r="324" spans="9:10" x14ac:dyDescent="0.25">
      <c r="I324" s="37"/>
      <c r="J324" s="35"/>
    </row>
    <row r="325" spans="9:10" x14ac:dyDescent="0.25">
      <c r="I325" s="37"/>
      <c r="J325" s="35"/>
    </row>
    <row r="326" spans="9:10" x14ac:dyDescent="0.25">
      <c r="I326" s="37"/>
      <c r="J326" s="35"/>
    </row>
    <row r="327" spans="9:10" x14ac:dyDescent="0.25">
      <c r="I327" s="37"/>
      <c r="J327" s="35"/>
    </row>
    <row r="328" spans="9:10" x14ac:dyDescent="0.25">
      <c r="I328" s="37"/>
      <c r="J328" s="35"/>
    </row>
    <row r="329" spans="9:10" x14ac:dyDescent="0.25">
      <c r="I329" s="37"/>
      <c r="J329" s="35"/>
    </row>
    <row r="330" spans="9:10" x14ac:dyDescent="0.25">
      <c r="I330" s="37"/>
      <c r="J330" s="35"/>
    </row>
    <row r="331" spans="9:10" x14ac:dyDescent="0.25">
      <c r="I331" s="37"/>
      <c r="J331" s="35"/>
    </row>
    <row r="332" spans="9:10" x14ac:dyDescent="0.25">
      <c r="I332" s="37"/>
      <c r="J332" s="35"/>
    </row>
    <row r="333" spans="9:10" x14ac:dyDescent="0.25">
      <c r="I333" s="37"/>
      <c r="J333" s="35"/>
    </row>
    <row r="334" spans="9:10" x14ac:dyDescent="0.25">
      <c r="I334" s="37"/>
      <c r="J334" s="35"/>
    </row>
    <row r="335" spans="9:10" x14ac:dyDescent="0.25">
      <c r="I335" s="37"/>
      <c r="J335" s="35"/>
    </row>
    <row r="336" spans="9:10" x14ac:dyDescent="0.25">
      <c r="I336" s="37"/>
      <c r="J336" s="35"/>
    </row>
    <row r="337" spans="9:10" x14ac:dyDescent="0.25">
      <c r="I337" s="37"/>
      <c r="J337" s="35"/>
    </row>
    <row r="338" spans="9:10" x14ac:dyDescent="0.25">
      <c r="I338" s="37"/>
      <c r="J338" s="35"/>
    </row>
    <row r="339" spans="9:10" x14ac:dyDescent="0.25">
      <c r="I339" s="37"/>
      <c r="J339" s="35"/>
    </row>
    <row r="340" spans="9:10" x14ac:dyDescent="0.25">
      <c r="I340" s="37"/>
      <c r="J340" s="35"/>
    </row>
    <row r="341" spans="9:10" x14ac:dyDescent="0.25">
      <c r="I341" s="37"/>
      <c r="J341" s="35"/>
    </row>
    <row r="342" spans="9:10" x14ac:dyDescent="0.25">
      <c r="I342" s="37"/>
      <c r="J342" s="35"/>
    </row>
    <row r="343" spans="9:10" x14ac:dyDescent="0.25">
      <c r="I343" s="37"/>
      <c r="J343" s="35"/>
    </row>
    <row r="344" spans="9:10" x14ac:dyDescent="0.25">
      <c r="I344" s="37"/>
      <c r="J344" s="35"/>
    </row>
    <row r="345" spans="9:10" x14ac:dyDescent="0.25">
      <c r="I345" s="37"/>
      <c r="J345" s="35"/>
    </row>
    <row r="346" spans="9:10" x14ac:dyDescent="0.25">
      <c r="I346" s="37"/>
      <c r="J346" s="35"/>
    </row>
    <row r="347" spans="9:10" x14ac:dyDescent="0.25">
      <c r="I347" s="37"/>
      <c r="J347" s="35"/>
    </row>
    <row r="348" spans="9:10" x14ac:dyDescent="0.25">
      <c r="I348" s="37"/>
      <c r="J348" s="35"/>
    </row>
    <row r="349" spans="9:10" x14ac:dyDescent="0.25">
      <c r="I349" s="37"/>
      <c r="J349" s="35"/>
    </row>
    <row r="350" spans="9:10" x14ac:dyDescent="0.25">
      <c r="I350" s="37"/>
      <c r="J350" s="35"/>
    </row>
    <row r="351" spans="9:10" x14ac:dyDescent="0.25">
      <c r="I351" s="37"/>
      <c r="J351" s="35"/>
    </row>
    <row r="352" spans="9:10" x14ac:dyDescent="0.25">
      <c r="I352" s="37"/>
      <c r="J352" s="35"/>
    </row>
    <row r="353" spans="9:10" x14ac:dyDescent="0.25">
      <c r="I353" s="37"/>
      <c r="J353" s="35"/>
    </row>
    <row r="354" spans="9:10" x14ac:dyDescent="0.25">
      <c r="I354" s="37"/>
      <c r="J354" s="35"/>
    </row>
    <row r="355" spans="9:10" x14ac:dyDescent="0.25">
      <c r="I355" s="37"/>
      <c r="J355" s="35"/>
    </row>
    <row r="356" spans="9:10" x14ac:dyDescent="0.25">
      <c r="I356" s="37"/>
      <c r="J356" s="35"/>
    </row>
    <row r="357" spans="9:10" x14ac:dyDescent="0.25">
      <c r="I357" s="37"/>
      <c r="J357" s="35"/>
    </row>
    <row r="358" spans="9:10" x14ac:dyDescent="0.25">
      <c r="I358" s="37"/>
      <c r="J358" s="35"/>
    </row>
    <row r="359" spans="9:10" x14ac:dyDescent="0.25">
      <c r="I359" s="37"/>
      <c r="J359" s="35"/>
    </row>
    <row r="360" spans="9:10" x14ac:dyDescent="0.25">
      <c r="I360" s="37"/>
      <c r="J360" s="35"/>
    </row>
    <row r="361" spans="9:10" x14ac:dyDescent="0.25">
      <c r="I361" s="37"/>
      <c r="J361" s="35"/>
    </row>
    <row r="362" spans="9:10" x14ac:dyDescent="0.25">
      <c r="I362" s="37"/>
      <c r="J362" s="35"/>
    </row>
    <row r="363" spans="9:10" x14ac:dyDescent="0.25">
      <c r="I363" s="37"/>
      <c r="J363" s="35"/>
    </row>
    <row r="364" spans="9:10" x14ac:dyDescent="0.25">
      <c r="I364" s="37"/>
      <c r="J364" s="35"/>
    </row>
    <row r="365" spans="9:10" x14ac:dyDescent="0.25">
      <c r="I365" s="37"/>
      <c r="J365" s="35"/>
    </row>
    <row r="366" spans="9:10" x14ac:dyDescent="0.25">
      <c r="I366" s="37"/>
      <c r="J366" s="35"/>
    </row>
    <row r="367" spans="9:10" x14ac:dyDescent="0.25">
      <c r="I367" s="37"/>
      <c r="J367" s="35"/>
    </row>
    <row r="368" spans="9:10" x14ac:dyDescent="0.25">
      <c r="I368" s="37"/>
      <c r="J368" s="35"/>
    </row>
    <row r="369" spans="9:10" x14ac:dyDescent="0.25">
      <c r="I369" s="37"/>
      <c r="J369" s="35"/>
    </row>
    <row r="370" spans="9:10" x14ac:dyDescent="0.25">
      <c r="I370" s="37"/>
      <c r="J370" s="35"/>
    </row>
    <row r="371" spans="9:10" x14ac:dyDescent="0.25">
      <c r="I371" s="37"/>
      <c r="J371" s="35"/>
    </row>
    <row r="372" spans="9:10" x14ac:dyDescent="0.25">
      <c r="I372" s="37"/>
      <c r="J372" s="35"/>
    </row>
    <row r="373" spans="9:10" x14ac:dyDescent="0.25">
      <c r="I373" s="37"/>
      <c r="J373" s="35"/>
    </row>
    <row r="374" spans="9:10" x14ac:dyDescent="0.25">
      <c r="I374" s="37"/>
      <c r="J374" s="35"/>
    </row>
    <row r="375" spans="9:10" x14ac:dyDescent="0.25">
      <c r="I375" s="37"/>
      <c r="J375" s="35"/>
    </row>
    <row r="376" spans="9:10" x14ac:dyDescent="0.25">
      <c r="I376" s="37"/>
      <c r="J376" s="35"/>
    </row>
    <row r="377" spans="9:10" x14ac:dyDescent="0.25">
      <c r="I377" s="37"/>
      <c r="J377" s="35"/>
    </row>
    <row r="378" spans="9:10" x14ac:dyDescent="0.25">
      <c r="I378" s="37"/>
      <c r="J378" s="35"/>
    </row>
    <row r="379" spans="9:10" x14ac:dyDescent="0.25">
      <c r="I379" s="37"/>
      <c r="J379" s="35"/>
    </row>
    <row r="380" spans="9:10" x14ac:dyDescent="0.25">
      <c r="I380" s="37"/>
      <c r="J380" s="35"/>
    </row>
    <row r="381" spans="9:10" x14ac:dyDescent="0.25">
      <c r="I381" s="37"/>
      <c r="J381" s="35"/>
    </row>
    <row r="382" spans="9:10" x14ac:dyDescent="0.25">
      <c r="I382" s="37"/>
      <c r="J382" s="35"/>
    </row>
    <row r="383" spans="9:10" x14ac:dyDescent="0.25">
      <c r="I383" s="37"/>
      <c r="J383" s="35"/>
    </row>
    <row r="384" spans="9:10" x14ac:dyDescent="0.25">
      <c r="I384" s="37"/>
      <c r="J384" s="35"/>
    </row>
    <row r="385" spans="9:10" x14ac:dyDescent="0.25">
      <c r="I385" s="37"/>
      <c r="J385" s="35"/>
    </row>
    <row r="386" spans="9:10" x14ac:dyDescent="0.25">
      <c r="I386" s="37"/>
      <c r="J386" s="35"/>
    </row>
    <row r="387" spans="9:10" x14ac:dyDescent="0.25">
      <c r="I387" s="37"/>
      <c r="J387" s="35"/>
    </row>
    <row r="388" spans="9:10" x14ac:dyDescent="0.25">
      <c r="I388" s="37"/>
      <c r="J388" s="35"/>
    </row>
    <row r="389" spans="9:10" x14ac:dyDescent="0.25">
      <c r="I389" s="37"/>
      <c r="J389" s="35"/>
    </row>
    <row r="390" spans="9:10" x14ac:dyDescent="0.25">
      <c r="I390" s="37"/>
      <c r="J390" s="35"/>
    </row>
    <row r="391" spans="9:10" x14ac:dyDescent="0.25">
      <c r="I391" s="37"/>
      <c r="J391" s="35"/>
    </row>
    <row r="392" spans="9:10" x14ac:dyDescent="0.25">
      <c r="I392" s="37"/>
      <c r="J392" s="35"/>
    </row>
    <row r="393" spans="9:10" x14ac:dyDescent="0.25">
      <c r="I393" s="37"/>
      <c r="J393" s="35"/>
    </row>
    <row r="394" spans="9:10" x14ac:dyDescent="0.25">
      <c r="I394" s="37"/>
      <c r="J394" s="35"/>
    </row>
    <row r="395" spans="9:10" x14ac:dyDescent="0.25">
      <c r="I395" s="37"/>
      <c r="J395" s="35"/>
    </row>
    <row r="396" spans="9:10" x14ac:dyDescent="0.25">
      <c r="I396" s="37"/>
      <c r="J396" s="35"/>
    </row>
    <row r="397" spans="9:10" x14ac:dyDescent="0.25">
      <c r="I397" s="37"/>
      <c r="J397" s="35"/>
    </row>
    <row r="398" spans="9:10" x14ac:dyDescent="0.25">
      <c r="I398" s="37"/>
      <c r="J398" s="35"/>
    </row>
    <row r="399" spans="9:10" x14ac:dyDescent="0.25">
      <c r="I399" s="37"/>
      <c r="J399" s="35"/>
    </row>
    <row r="400" spans="9:10" x14ac:dyDescent="0.25">
      <c r="I400" s="37"/>
      <c r="J400" s="35"/>
    </row>
    <row r="401" spans="9:10" x14ac:dyDescent="0.25">
      <c r="I401" s="37"/>
      <c r="J401" s="35"/>
    </row>
    <row r="402" spans="9:10" x14ac:dyDescent="0.25">
      <c r="I402" s="37"/>
      <c r="J402" s="35"/>
    </row>
    <row r="403" spans="9:10" x14ac:dyDescent="0.25">
      <c r="I403" s="37"/>
      <c r="J403" s="35"/>
    </row>
    <row r="404" spans="9:10" x14ac:dyDescent="0.25">
      <c r="I404" s="37"/>
      <c r="J404" s="35"/>
    </row>
    <row r="405" spans="9:10" x14ac:dyDescent="0.25">
      <c r="I405" s="37"/>
      <c r="J405" s="35"/>
    </row>
    <row r="406" spans="9:10" x14ac:dyDescent="0.25">
      <c r="I406" s="37"/>
      <c r="J406" s="35"/>
    </row>
    <row r="407" spans="9:10" x14ac:dyDescent="0.25">
      <c r="I407" s="37"/>
      <c r="J407" s="35"/>
    </row>
    <row r="408" spans="9:10" x14ac:dyDescent="0.25">
      <c r="I408" s="37"/>
      <c r="J408" s="35"/>
    </row>
    <row r="409" spans="9:10" x14ac:dyDescent="0.25">
      <c r="I409" s="37"/>
      <c r="J409" s="35"/>
    </row>
    <row r="410" spans="9:10" x14ac:dyDescent="0.25">
      <c r="I410" s="37"/>
      <c r="J410" s="35"/>
    </row>
    <row r="411" spans="9:10" x14ac:dyDescent="0.25">
      <c r="I411" s="37"/>
      <c r="J411" s="35"/>
    </row>
    <row r="412" spans="9:10" x14ac:dyDescent="0.25">
      <c r="I412" s="37"/>
      <c r="J412" s="35"/>
    </row>
    <row r="413" spans="9:10" x14ac:dyDescent="0.25">
      <c r="I413" s="37"/>
      <c r="J413" s="35"/>
    </row>
    <row r="414" spans="9:10" x14ac:dyDescent="0.25">
      <c r="I414" s="37"/>
      <c r="J414" s="35"/>
    </row>
    <row r="415" spans="9:10" x14ac:dyDescent="0.25">
      <c r="I415" s="37"/>
      <c r="J415" s="35"/>
    </row>
    <row r="416" spans="9:10" x14ac:dyDescent="0.25">
      <c r="I416" s="37"/>
      <c r="J416" s="35"/>
    </row>
    <row r="417" spans="9:10" x14ac:dyDescent="0.25">
      <c r="I417" s="37"/>
      <c r="J417" s="35"/>
    </row>
    <row r="418" spans="9:10" x14ac:dyDescent="0.25">
      <c r="I418" s="37"/>
      <c r="J418" s="35"/>
    </row>
    <row r="419" spans="9:10" x14ac:dyDescent="0.25">
      <c r="I419" s="37"/>
      <c r="J419" s="35"/>
    </row>
    <row r="420" spans="9:10" x14ac:dyDescent="0.25">
      <c r="I420" s="37"/>
      <c r="J420" s="35"/>
    </row>
    <row r="421" spans="9:10" x14ac:dyDescent="0.25">
      <c r="I421" s="37"/>
      <c r="J421" s="35"/>
    </row>
    <row r="422" spans="9:10" x14ac:dyDescent="0.25">
      <c r="I422" s="37"/>
      <c r="J422" s="35"/>
    </row>
    <row r="423" spans="9:10" x14ac:dyDescent="0.25">
      <c r="I423" s="37"/>
      <c r="J423" s="35"/>
    </row>
    <row r="424" spans="9:10" x14ac:dyDescent="0.25">
      <c r="I424" s="37"/>
      <c r="J424" s="35"/>
    </row>
    <row r="425" spans="9:10" x14ac:dyDescent="0.25">
      <c r="I425" s="37"/>
      <c r="J425" s="35"/>
    </row>
    <row r="426" spans="9:10" x14ac:dyDescent="0.25">
      <c r="I426" s="37"/>
      <c r="J426" s="35"/>
    </row>
    <row r="427" spans="9:10" x14ac:dyDescent="0.25">
      <c r="I427" s="37"/>
      <c r="J427" s="35"/>
    </row>
    <row r="428" spans="9:10" x14ac:dyDescent="0.25">
      <c r="I428" s="37"/>
      <c r="J428" s="35"/>
    </row>
    <row r="429" spans="9:10" x14ac:dyDescent="0.25">
      <c r="I429" s="37"/>
      <c r="J429" s="35"/>
    </row>
    <row r="430" spans="9:10" x14ac:dyDescent="0.25">
      <c r="I430" s="37"/>
      <c r="J430" s="35"/>
    </row>
    <row r="431" spans="9:10" x14ac:dyDescent="0.25">
      <c r="I431" s="37"/>
      <c r="J431" s="35"/>
    </row>
    <row r="432" spans="9:10" x14ac:dyDescent="0.25">
      <c r="I432" s="37"/>
      <c r="J432" s="35"/>
    </row>
    <row r="433" spans="9:10" x14ac:dyDescent="0.25">
      <c r="I433" s="37"/>
      <c r="J433" s="35"/>
    </row>
    <row r="434" spans="9:10" x14ac:dyDescent="0.25">
      <c r="I434" s="37"/>
      <c r="J434" s="35"/>
    </row>
    <row r="435" spans="9:10" x14ac:dyDescent="0.25">
      <c r="I435" s="37"/>
      <c r="J435" s="35"/>
    </row>
    <row r="436" spans="9:10" x14ac:dyDescent="0.25">
      <c r="I436" s="37"/>
      <c r="J436" s="35"/>
    </row>
    <row r="437" spans="9:10" x14ac:dyDescent="0.25">
      <c r="I437" s="37"/>
      <c r="J437" s="35"/>
    </row>
    <row r="438" spans="9:10" x14ac:dyDescent="0.25">
      <c r="I438" s="37"/>
      <c r="J438" s="35"/>
    </row>
    <row r="439" spans="9:10" x14ac:dyDescent="0.25">
      <c r="I439" s="37"/>
      <c r="J439" s="35"/>
    </row>
    <row r="440" spans="9:10" x14ac:dyDescent="0.25">
      <c r="I440" s="37"/>
      <c r="J440" s="35"/>
    </row>
    <row r="441" spans="9:10" x14ac:dyDescent="0.25">
      <c r="I441" s="37"/>
      <c r="J441" s="35"/>
    </row>
    <row r="442" spans="9:10" x14ac:dyDescent="0.25">
      <c r="I442" s="37"/>
      <c r="J442" s="35"/>
    </row>
    <row r="443" spans="9:10" x14ac:dyDescent="0.25">
      <c r="I443" s="37"/>
      <c r="J443" s="35"/>
    </row>
    <row r="444" spans="9:10" x14ac:dyDescent="0.25">
      <c r="I444" s="37"/>
      <c r="J444" s="35"/>
    </row>
    <row r="445" spans="9:10" x14ac:dyDescent="0.25">
      <c r="I445" s="37"/>
      <c r="J445" s="35"/>
    </row>
    <row r="446" spans="9:10" x14ac:dyDescent="0.25">
      <c r="I446" s="37"/>
      <c r="J446" s="35"/>
    </row>
    <row r="447" spans="9:10" x14ac:dyDescent="0.25">
      <c r="I447" s="37"/>
      <c r="J447" s="35"/>
    </row>
    <row r="448" spans="9:10" x14ac:dyDescent="0.25">
      <c r="I448" s="37"/>
      <c r="J448" s="35"/>
    </row>
    <row r="449" spans="9:10" x14ac:dyDescent="0.25">
      <c r="I449" s="37"/>
      <c r="J449" s="35"/>
    </row>
    <row r="450" spans="9:10" x14ac:dyDescent="0.25">
      <c r="I450" s="37"/>
      <c r="J450" s="35"/>
    </row>
    <row r="451" spans="9:10" x14ac:dyDescent="0.25">
      <c r="I451" s="37"/>
      <c r="J451" s="35"/>
    </row>
    <row r="452" spans="9:10" x14ac:dyDescent="0.25">
      <c r="I452" s="37"/>
      <c r="J452" s="35"/>
    </row>
    <row r="453" spans="9:10" x14ac:dyDescent="0.25">
      <c r="I453" s="37"/>
      <c r="J453" s="35"/>
    </row>
    <row r="454" spans="9:10" x14ac:dyDescent="0.25">
      <c r="I454" s="37"/>
      <c r="J454" s="35"/>
    </row>
    <row r="455" spans="9:10" x14ac:dyDescent="0.25">
      <c r="I455" s="37"/>
      <c r="J455" s="35"/>
    </row>
    <row r="456" spans="9:10" x14ac:dyDescent="0.25">
      <c r="I456" s="37"/>
      <c r="J456" s="35"/>
    </row>
    <row r="457" spans="9:10" x14ac:dyDescent="0.25">
      <c r="I457" s="37"/>
      <c r="J457" s="35"/>
    </row>
    <row r="458" spans="9:10" x14ac:dyDescent="0.25">
      <c r="I458" s="37"/>
      <c r="J458" s="35"/>
    </row>
    <row r="459" spans="9:10" x14ac:dyDescent="0.25">
      <c r="I459" s="37"/>
      <c r="J459" s="35"/>
    </row>
    <row r="460" spans="9:10" x14ac:dyDescent="0.25">
      <c r="I460" s="37"/>
      <c r="J460" s="35"/>
    </row>
    <row r="461" spans="9:10" x14ac:dyDescent="0.25">
      <c r="I461" s="37"/>
      <c r="J461" s="35"/>
    </row>
    <row r="462" spans="9:10" x14ac:dyDescent="0.25">
      <c r="I462" s="37"/>
      <c r="J462" s="35"/>
    </row>
    <row r="463" spans="9:10" x14ac:dyDescent="0.25">
      <c r="I463" s="37"/>
      <c r="J463" s="35"/>
    </row>
    <row r="464" spans="9:10" x14ac:dyDescent="0.25">
      <c r="I464" s="37"/>
      <c r="J464" s="35"/>
    </row>
    <row r="465" spans="9:10" x14ac:dyDescent="0.25">
      <c r="I465" s="37"/>
      <c r="J465" s="35"/>
    </row>
    <row r="466" spans="9:10" x14ac:dyDescent="0.25">
      <c r="I466" s="37"/>
      <c r="J466" s="35"/>
    </row>
    <row r="467" spans="9:10" x14ac:dyDescent="0.25">
      <c r="I467" s="37"/>
      <c r="J467" s="35"/>
    </row>
    <row r="468" spans="9:10" x14ac:dyDescent="0.25">
      <c r="I468" s="37"/>
      <c r="J468" s="35"/>
    </row>
    <row r="469" spans="9:10" x14ac:dyDescent="0.25">
      <c r="I469" s="37"/>
      <c r="J469" s="35"/>
    </row>
    <row r="470" spans="9:10" x14ac:dyDescent="0.25">
      <c r="I470" s="37"/>
      <c r="J470" s="35"/>
    </row>
    <row r="471" spans="9:10" x14ac:dyDescent="0.25">
      <c r="I471" s="37"/>
      <c r="J471" s="35"/>
    </row>
    <row r="472" spans="9:10" x14ac:dyDescent="0.25">
      <c r="I472" s="37"/>
      <c r="J472" s="35"/>
    </row>
    <row r="473" spans="9:10" x14ac:dyDescent="0.25">
      <c r="I473" s="37"/>
      <c r="J473" s="35"/>
    </row>
    <row r="474" spans="9:10" x14ac:dyDescent="0.25">
      <c r="I474" s="37"/>
      <c r="J474" s="35"/>
    </row>
    <row r="475" spans="9:10" x14ac:dyDescent="0.25">
      <c r="I475" s="37"/>
      <c r="J475" s="35"/>
    </row>
    <row r="476" spans="9:10" x14ac:dyDescent="0.25">
      <c r="I476" s="37"/>
      <c r="J476" s="35"/>
    </row>
    <row r="477" spans="9:10" x14ac:dyDescent="0.25">
      <c r="I477" s="37"/>
      <c r="J477" s="35"/>
    </row>
    <row r="478" spans="9:10" x14ac:dyDescent="0.25">
      <c r="I478" s="37"/>
      <c r="J478" s="35"/>
    </row>
    <row r="479" spans="9:10" x14ac:dyDescent="0.25">
      <c r="I479" s="37"/>
      <c r="J479" s="35"/>
    </row>
    <row r="480" spans="9:10" x14ac:dyDescent="0.25">
      <c r="I480" s="37"/>
      <c r="J480" s="35"/>
    </row>
    <row r="481" spans="9:10" x14ac:dyDescent="0.25">
      <c r="I481" s="37"/>
      <c r="J481" s="35"/>
    </row>
    <row r="482" spans="9:10" x14ac:dyDescent="0.25">
      <c r="I482" s="37"/>
      <c r="J482" s="35"/>
    </row>
    <row r="483" spans="9:10" x14ac:dyDescent="0.25">
      <c r="I483" s="37"/>
      <c r="J483" s="35"/>
    </row>
    <row r="484" spans="9:10" x14ac:dyDescent="0.25">
      <c r="I484" s="37"/>
      <c r="J484" s="35"/>
    </row>
    <row r="485" spans="9:10" x14ac:dyDescent="0.25">
      <c r="I485" s="37"/>
      <c r="J485" s="35"/>
    </row>
    <row r="486" spans="9:10" x14ac:dyDescent="0.25">
      <c r="I486" s="37"/>
      <c r="J486" s="35"/>
    </row>
    <row r="487" spans="9:10" x14ac:dyDescent="0.25">
      <c r="I487" s="37"/>
      <c r="J487" s="35"/>
    </row>
    <row r="488" spans="9:10" x14ac:dyDescent="0.25">
      <c r="I488" s="37"/>
      <c r="J488" s="35"/>
    </row>
    <row r="489" spans="9:10" x14ac:dyDescent="0.25">
      <c r="I489" s="37"/>
      <c r="J489" s="35"/>
    </row>
    <row r="490" spans="9:10" x14ac:dyDescent="0.25">
      <c r="I490" s="37"/>
      <c r="J490" s="35"/>
    </row>
    <row r="491" spans="9:10" x14ac:dyDescent="0.25">
      <c r="I491" s="37"/>
      <c r="J491" s="35"/>
    </row>
    <row r="492" spans="9:10" x14ac:dyDescent="0.25">
      <c r="I492" s="37"/>
      <c r="J492" s="35"/>
    </row>
    <row r="493" spans="9:10" x14ac:dyDescent="0.25">
      <c r="I493" s="37"/>
      <c r="J493" s="35"/>
    </row>
    <row r="494" spans="9:10" x14ac:dyDescent="0.25">
      <c r="I494" s="37"/>
      <c r="J494" s="35"/>
    </row>
    <row r="495" spans="9:10" x14ac:dyDescent="0.25">
      <c r="I495" s="37"/>
      <c r="J495" s="35"/>
    </row>
    <row r="496" spans="9:10" x14ac:dyDescent="0.25">
      <c r="I496" s="37"/>
      <c r="J496" s="35"/>
    </row>
    <row r="497" spans="9:10" x14ac:dyDescent="0.25">
      <c r="I497" s="37"/>
      <c r="J497" s="35"/>
    </row>
    <row r="498" spans="9:10" x14ac:dyDescent="0.25">
      <c r="I498" s="37"/>
      <c r="J498" s="35"/>
    </row>
    <row r="499" spans="9:10" x14ac:dyDescent="0.25">
      <c r="I499" s="37"/>
      <c r="J499" s="35"/>
    </row>
    <row r="500" spans="9:10" x14ac:dyDescent="0.25">
      <c r="I500" s="37"/>
      <c r="J500" s="35"/>
    </row>
    <row r="501" spans="9:10" x14ac:dyDescent="0.25">
      <c r="I501" s="37"/>
      <c r="J501" s="35"/>
    </row>
    <row r="502" spans="9:10" x14ac:dyDescent="0.25">
      <c r="I502" s="37"/>
      <c r="J502" s="35"/>
    </row>
    <row r="503" spans="9:10" x14ac:dyDescent="0.25">
      <c r="I503" s="37"/>
      <c r="J503" s="35"/>
    </row>
    <row r="504" spans="9:10" x14ac:dyDescent="0.25">
      <c r="I504" s="37"/>
      <c r="J504" s="35"/>
    </row>
    <row r="505" spans="9:10" x14ac:dyDescent="0.25">
      <c r="I505" s="37"/>
      <c r="J505" s="35"/>
    </row>
    <row r="506" spans="9:10" x14ac:dyDescent="0.25">
      <c r="I506" s="37"/>
      <c r="J506" s="35"/>
    </row>
    <row r="507" spans="9:10" x14ac:dyDescent="0.25">
      <c r="I507" s="37"/>
      <c r="J507" s="35"/>
    </row>
    <row r="508" spans="9:10" x14ac:dyDescent="0.25">
      <c r="I508" s="37"/>
      <c r="J508" s="35"/>
    </row>
    <row r="509" spans="9:10" x14ac:dyDescent="0.25">
      <c r="I509" s="37"/>
      <c r="J509" s="35"/>
    </row>
    <row r="510" spans="9:10" x14ac:dyDescent="0.25">
      <c r="I510" s="37"/>
      <c r="J510" s="35"/>
    </row>
    <row r="511" spans="9:10" x14ac:dyDescent="0.25">
      <c r="I511" s="37"/>
      <c r="J511" s="35"/>
    </row>
    <row r="512" spans="9:10" x14ac:dyDescent="0.25">
      <c r="I512" s="37"/>
      <c r="J512" s="35"/>
    </row>
    <row r="513" spans="9:10" x14ac:dyDescent="0.25">
      <c r="I513" s="37"/>
      <c r="J513" s="35"/>
    </row>
    <row r="514" spans="9:10" x14ac:dyDescent="0.25">
      <c r="I514" s="37"/>
      <c r="J514" s="35"/>
    </row>
    <row r="515" spans="9:10" x14ac:dyDescent="0.25">
      <c r="I515" s="37"/>
      <c r="J515" s="35"/>
    </row>
    <row r="516" spans="9:10" x14ac:dyDescent="0.25">
      <c r="I516" s="37"/>
      <c r="J516" s="35"/>
    </row>
    <row r="517" spans="9:10" x14ac:dyDescent="0.25">
      <c r="I517" s="37"/>
      <c r="J517" s="35"/>
    </row>
    <row r="518" spans="9:10" x14ac:dyDescent="0.25">
      <c r="I518" s="37"/>
      <c r="J518" s="35"/>
    </row>
    <row r="519" spans="9:10" x14ac:dyDescent="0.25">
      <c r="I519" s="37"/>
      <c r="J519" s="35"/>
    </row>
    <row r="520" spans="9:10" x14ac:dyDescent="0.25">
      <c r="I520" s="37"/>
      <c r="J520" s="35"/>
    </row>
    <row r="521" spans="9:10" x14ac:dyDescent="0.25">
      <c r="I521" s="37"/>
      <c r="J521" s="35"/>
    </row>
    <row r="522" spans="9:10" x14ac:dyDescent="0.25">
      <c r="I522" s="37"/>
      <c r="J522" s="35"/>
    </row>
    <row r="523" spans="9:10" x14ac:dyDescent="0.25">
      <c r="I523" s="37"/>
      <c r="J523" s="35"/>
    </row>
    <row r="524" spans="9:10" x14ac:dyDescent="0.25">
      <c r="I524" s="37"/>
      <c r="J524" s="35"/>
    </row>
    <row r="525" spans="9:10" x14ac:dyDescent="0.25">
      <c r="I525" s="37"/>
      <c r="J525" s="35"/>
    </row>
    <row r="526" spans="9:10" x14ac:dyDescent="0.25">
      <c r="I526" s="37"/>
      <c r="J526" s="35"/>
    </row>
    <row r="527" spans="9:10" x14ac:dyDescent="0.25">
      <c r="I527" s="37"/>
      <c r="J527" s="35"/>
    </row>
    <row r="528" spans="9:10" x14ac:dyDescent="0.25">
      <c r="I528" s="37"/>
      <c r="J528" s="35"/>
    </row>
    <row r="529" spans="9:10" x14ac:dyDescent="0.25">
      <c r="I529" s="37"/>
      <c r="J529" s="35"/>
    </row>
    <row r="530" spans="9:10" x14ac:dyDescent="0.25">
      <c r="I530" s="37"/>
      <c r="J530" s="35"/>
    </row>
    <row r="531" spans="9:10" x14ac:dyDescent="0.25">
      <c r="I531" s="37"/>
      <c r="J531" s="35"/>
    </row>
    <row r="532" spans="9:10" x14ac:dyDescent="0.25">
      <c r="I532" s="37"/>
      <c r="J532" s="35"/>
    </row>
    <row r="533" spans="9:10" x14ac:dyDescent="0.25">
      <c r="I533" s="37"/>
      <c r="J533" s="35"/>
    </row>
    <row r="534" spans="9:10" x14ac:dyDescent="0.25">
      <c r="I534" s="37"/>
      <c r="J534" s="35"/>
    </row>
    <row r="535" spans="9:10" x14ac:dyDescent="0.25">
      <c r="I535" s="37"/>
      <c r="J535" s="35"/>
    </row>
    <row r="536" spans="9:10" x14ac:dyDescent="0.25">
      <c r="I536" s="37"/>
      <c r="J536" s="35"/>
    </row>
    <row r="537" spans="9:10" x14ac:dyDescent="0.25">
      <c r="I537" s="37"/>
      <c r="J537" s="35"/>
    </row>
    <row r="538" spans="9:10" x14ac:dyDescent="0.25">
      <c r="I538" s="37"/>
      <c r="J538" s="35"/>
    </row>
    <row r="539" spans="9:10" x14ac:dyDescent="0.25">
      <c r="I539" s="37"/>
      <c r="J539" s="35"/>
    </row>
    <row r="540" spans="9:10" x14ac:dyDescent="0.25">
      <c r="I540" s="37"/>
      <c r="J540" s="35"/>
    </row>
    <row r="541" spans="9:10" x14ac:dyDescent="0.25">
      <c r="I541" s="37"/>
      <c r="J541" s="35"/>
    </row>
    <row r="542" spans="9:10" x14ac:dyDescent="0.25">
      <c r="I542" s="37"/>
      <c r="J542" s="35"/>
    </row>
    <row r="543" spans="9:10" x14ac:dyDescent="0.25">
      <c r="I543" s="37"/>
      <c r="J543" s="35"/>
    </row>
    <row r="544" spans="9:10" x14ac:dyDescent="0.25">
      <c r="I544" s="37"/>
      <c r="J544" s="35"/>
    </row>
    <row r="545" spans="9:10" x14ac:dyDescent="0.25">
      <c r="I545" s="37"/>
      <c r="J545" s="35"/>
    </row>
    <row r="546" spans="9:10" x14ac:dyDescent="0.25">
      <c r="I546" s="37"/>
      <c r="J546" s="35"/>
    </row>
    <row r="547" spans="9:10" x14ac:dyDescent="0.25">
      <c r="I547" s="37"/>
      <c r="J547" s="35"/>
    </row>
    <row r="548" spans="9:10" x14ac:dyDescent="0.25">
      <c r="I548" s="37"/>
      <c r="J548" s="35"/>
    </row>
    <row r="549" spans="9:10" x14ac:dyDescent="0.25">
      <c r="I549" s="37"/>
      <c r="J549" s="35"/>
    </row>
    <row r="550" spans="9:10" x14ac:dyDescent="0.25">
      <c r="I550" s="37"/>
      <c r="J550" s="35"/>
    </row>
    <row r="551" spans="9:10" x14ac:dyDescent="0.25">
      <c r="I551" s="37"/>
      <c r="J551" s="35"/>
    </row>
    <row r="552" spans="9:10" x14ac:dyDescent="0.25">
      <c r="I552" s="37"/>
      <c r="J552" s="35"/>
    </row>
    <row r="553" spans="9:10" x14ac:dyDescent="0.25">
      <c r="I553" s="37"/>
      <c r="J553" s="35"/>
    </row>
    <row r="554" spans="9:10" x14ac:dyDescent="0.25">
      <c r="I554" s="37"/>
      <c r="J554" s="35"/>
    </row>
    <row r="555" spans="9:10" x14ac:dyDescent="0.25">
      <c r="I555" s="37"/>
      <c r="J555" s="35"/>
    </row>
    <row r="556" spans="9:10" x14ac:dyDescent="0.25">
      <c r="I556" s="37"/>
      <c r="J556" s="35"/>
    </row>
    <row r="557" spans="9:10" x14ac:dyDescent="0.25">
      <c r="I557" s="37"/>
      <c r="J557" s="35"/>
    </row>
    <row r="558" spans="9:10" x14ac:dyDescent="0.25">
      <c r="I558" s="37"/>
      <c r="J558" s="35"/>
    </row>
    <row r="559" spans="9:10" x14ac:dyDescent="0.25">
      <c r="I559" s="37"/>
      <c r="J559" s="35"/>
    </row>
    <row r="560" spans="9:10" x14ac:dyDescent="0.25">
      <c r="I560" s="37"/>
      <c r="J560" s="35"/>
    </row>
    <row r="561" spans="9:10" x14ac:dyDescent="0.25">
      <c r="I561" s="37"/>
      <c r="J561" s="35"/>
    </row>
    <row r="562" spans="9:10" x14ac:dyDescent="0.25">
      <c r="I562" s="37"/>
      <c r="J562" s="35"/>
    </row>
    <row r="563" spans="9:10" x14ac:dyDescent="0.25">
      <c r="I563" s="37"/>
      <c r="J563" s="35"/>
    </row>
    <row r="564" spans="9:10" x14ac:dyDescent="0.25">
      <c r="I564" s="37"/>
      <c r="J564" s="35"/>
    </row>
    <row r="565" spans="9:10" x14ac:dyDescent="0.25">
      <c r="I565" s="37"/>
      <c r="J565" s="35"/>
    </row>
    <row r="566" spans="9:10" x14ac:dyDescent="0.25">
      <c r="I566" s="37"/>
      <c r="J566" s="35"/>
    </row>
    <row r="567" spans="9:10" x14ac:dyDescent="0.25">
      <c r="I567" s="37"/>
      <c r="J567" s="35"/>
    </row>
    <row r="568" spans="9:10" x14ac:dyDescent="0.25">
      <c r="I568" s="37"/>
      <c r="J568" s="35"/>
    </row>
    <row r="569" spans="9:10" x14ac:dyDescent="0.25">
      <c r="I569" s="37"/>
      <c r="J569" s="35"/>
    </row>
    <row r="570" spans="9:10" x14ac:dyDescent="0.25">
      <c r="I570" s="37"/>
      <c r="J570" s="35"/>
    </row>
    <row r="571" spans="9:10" x14ac:dyDescent="0.25">
      <c r="I571" s="37"/>
      <c r="J571" s="35"/>
    </row>
    <row r="572" spans="9:10" x14ac:dyDescent="0.25">
      <c r="I572" s="37"/>
      <c r="J572" s="35"/>
    </row>
    <row r="573" spans="9:10" x14ac:dyDescent="0.25">
      <c r="I573" s="37"/>
      <c r="J573" s="35"/>
    </row>
    <row r="574" spans="9:10" x14ac:dyDescent="0.25">
      <c r="I574" s="37"/>
      <c r="J574" s="35"/>
    </row>
    <row r="575" spans="9:10" x14ac:dyDescent="0.25">
      <c r="I575" s="37"/>
      <c r="J575" s="35"/>
    </row>
    <row r="576" spans="9:10" x14ac:dyDescent="0.25">
      <c r="I576" s="37"/>
      <c r="J576" s="35"/>
    </row>
    <row r="577" spans="9:10" x14ac:dyDescent="0.25">
      <c r="I577" s="37"/>
      <c r="J577" s="35"/>
    </row>
    <row r="578" spans="9:10" x14ac:dyDescent="0.25">
      <c r="I578" s="37"/>
      <c r="J578" s="35"/>
    </row>
    <row r="579" spans="9:10" x14ac:dyDescent="0.25">
      <c r="I579" s="37"/>
      <c r="J579" s="35"/>
    </row>
    <row r="580" spans="9:10" x14ac:dyDescent="0.25">
      <c r="I580" s="37"/>
      <c r="J580" s="35"/>
    </row>
    <row r="581" spans="9:10" x14ac:dyDescent="0.25">
      <c r="I581" s="37"/>
      <c r="J581" s="35"/>
    </row>
    <row r="582" spans="9:10" x14ac:dyDescent="0.25">
      <c r="I582" s="37"/>
      <c r="J582" s="35"/>
    </row>
    <row r="583" spans="9:10" x14ac:dyDescent="0.25">
      <c r="I583" s="37"/>
      <c r="J583" s="35"/>
    </row>
    <row r="584" spans="9:10" x14ac:dyDescent="0.25">
      <c r="I584" s="37"/>
      <c r="J584" s="35"/>
    </row>
    <row r="585" spans="9:10" x14ac:dyDescent="0.25">
      <c r="I585" s="37"/>
      <c r="J585" s="35"/>
    </row>
    <row r="586" spans="9:10" x14ac:dyDescent="0.25">
      <c r="I586" s="37"/>
      <c r="J586" s="35"/>
    </row>
    <row r="587" spans="9:10" x14ac:dyDescent="0.25">
      <c r="I587" s="37"/>
      <c r="J587" s="35"/>
    </row>
    <row r="588" spans="9:10" x14ac:dyDescent="0.25">
      <c r="I588" s="37"/>
      <c r="J588" s="35"/>
    </row>
    <row r="589" spans="9:10" x14ac:dyDescent="0.25">
      <c r="I589" s="37"/>
      <c r="J589" s="35"/>
    </row>
    <row r="590" spans="9:10" x14ac:dyDescent="0.25">
      <c r="I590" s="37"/>
      <c r="J590" s="35"/>
    </row>
    <row r="591" spans="9:10" x14ac:dyDescent="0.25">
      <c r="I591" s="37"/>
      <c r="J591" s="35"/>
    </row>
    <row r="592" spans="9:10" x14ac:dyDescent="0.25">
      <c r="I592" s="37"/>
      <c r="J592" s="35"/>
    </row>
    <row r="593" spans="9:10" x14ac:dyDescent="0.25">
      <c r="I593" s="37"/>
      <c r="J593" s="35"/>
    </row>
    <row r="594" spans="9:10" x14ac:dyDescent="0.25">
      <c r="I594" s="37"/>
      <c r="J594" s="35"/>
    </row>
    <row r="595" spans="9:10" x14ac:dyDescent="0.25">
      <c r="I595" s="37"/>
      <c r="J595" s="35"/>
    </row>
    <row r="596" spans="9:10" x14ac:dyDescent="0.25">
      <c r="I596" s="37"/>
      <c r="J596" s="35"/>
    </row>
    <row r="597" spans="9:10" x14ac:dyDescent="0.25">
      <c r="I597" s="37"/>
      <c r="J597" s="35"/>
    </row>
    <row r="598" spans="9:10" x14ac:dyDescent="0.25">
      <c r="I598" s="37"/>
      <c r="J598" s="35"/>
    </row>
    <row r="599" spans="9:10" x14ac:dyDescent="0.25">
      <c r="I599" s="37"/>
      <c r="J599" s="35"/>
    </row>
    <row r="600" spans="9:10" x14ac:dyDescent="0.25">
      <c r="I600" s="37"/>
      <c r="J600" s="35"/>
    </row>
    <row r="601" spans="9:10" x14ac:dyDescent="0.25">
      <c r="I601" s="37"/>
      <c r="J601" s="35"/>
    </row>
    <row r="602" spans="9:10" x14ac:dyDescent="0.25">
      <c r="I602" s="37"/>
      <c r="J602" s="35"/>
    </row>
    <row r="603" spans="9:10" x14ac:dyDescent="0.25">
      <c r="I603" s="37"/>
      <c r="J603" s="35"/>
    </row>
    <row r="604" spans="9:10" x14ac:dyDescent="0.25">
      <c r="I604" s="37"/>
      <c r="J604" s="35"/>
    </row>
    <row r="605" spans="9:10" x14ac:dyDescent="0.25">
      <c r="I605" s="37"/>
      <c r="J605" s="35"/>
    </row>
    <row r="606" spans="9:10" x14ac:dyDescent="0.25">
      <c r="I606" s="37"/>
      <c r="J606" s="35"/>
    </row>
    <row r="607" spans="9:10" x14ac:dyDescent="0.25">
      <c r="I607" s="37"/>
      <c r="J607" s="35"/>
    </row>
    <row r="608" spans="9:10" x14ac:dyDescent="0.25">
      <c r="I608" s="37"/>
      <c r="J608" s="35"/>
    </row>
    <row r="609" spans="9:10" x14ac:dyDescent="0.25">
      <c r="I609" s="37"/>
      <c r="J609" s="35"/>
    </row>
    <row r="610" spans="9:10" x14ac:dyDescent="0.25">
      <c r="I610" s="37"/>
      <c r="J610" s="35"/>
    </row>
    <row r="611" spans="9:10" x14ac:dyDescent="0.25">
      <c r="I611" s="37"/>
      <c r="J611" s="35"/>
    </row>
    <row r="612" spans="9:10" x14ac:dyDescent="0.25">
      <c r="I612" s="37"/>
      <c r="J612" s="35"/>
    </row>
    <row r="613" spans="9:10" x14ac:dyDescent="0.25">
      <c r="I613" s="37"/>
      <c r="J613" s="35"/>
    </row>
    <row r="614" spans="9:10" x14ac:dyDescent="0.25">
      <c r="I614" s="37"/>
      <c r="J614" s="35"/>
    </row>
    <row r="615" spans="9:10" x14ac:dyDescent="0.25">
      <c r="I615" s="37"/>
      <c r="J615" s="35"/>
    </row>
    <row r="616" spans="9:10" x14ac:dyDescent="0.25">
      <c r="I616" s="37"/>
      <c r="J616" s="35"/>
    </row>
    <row r="617" spans="9:10" x14ac:dyDescent="0.25">
      <c r="I617" s="37"/>
      <c r="J617" s="35"/>
    </row>
    <row r="618" spans="9:10" x14ac:dyDescent="0.25">
      <c r="I618" s="37"/>
      <c r="J618" s="35"/>
    </row>
    <row r="619" spans="9:10" x14ac:dyDescent="0.25">
      <c r="I619" s="37"/>
      <c r="J619" s="35"/>
    </row>
    <row r="620" spans="9:10" x14ac:dyDescent="0.25">
      <c r="I620" s="37"/>
      <c r="J620" s="35"/>
    </row>
    <row r="621" spans="9:10" x14ac:dyDescent="0.25">
      <c r="I621" s="37"/>
      <c r="J621" s="35"/>
    </row>
    <row r="622" spans="9:10" x14ac:dyDescent="0.25">
      <c r="I622" s="37"/>
      <c r="J622" s="35"/>
    </row>
    <row r="623" spans="9:10" x14ac:dyDescent="0.25">
      <c r="I623" s="37"/>
      <c r="J623" s="35"/>
    </row>
    <row r="624" spans="9:10" x14ac:dyDescent="0.25">
      <c r="I624" s="37"/>
      <c r="J624" s="35"/>
    </row>
    <row r="625" spans="9:10" x14ac:dyDescent="0.25">
      <c r="I625" s="37"/>
      <c r="J625" s="35"/>
    </row>
    <row r="626" spans="9:10" x14ac:dyDescent="0.25">
      <c r="I626" s="37"/>
      <c r="J626" s="35"/>
    </row>
    <row r="627" spans="9:10" x14ac:dyDescent="0.25">
      <c r="I627" s="37"/>
      <c r="J627" s="35"/>
    </row>
    <row r="628" spans="9:10" x14ac:dyDescent="0.25">
      <c r="I628" s="37"/>
      <c r="J628" s="35"/>
    </row>
    <row r="629" spans="9:10" x14ac:dyDescent="0.25">
      <c r="I629" s="37"/>
      <c r="J629" s="35"/>
    </row>
    <row r="630" spans="9:10" x14ac:dyDescent="0.25">
      <c r="I630" s="37"/>
      <c r="J630" s="35"/>
    </row>
    <row r="631" spans="9:10" x14ac:dyDescent="0.25">
      <c r="I631" s="37"/>
      <c r="J631" s="35"/>
    </row>
    <row r="632" spans="9:10" x14ac:dyDescent="0.25">
      <c r="I632" s="37"/>
      <c r="J632" s="35"/>
    </row>
    <row r="633" spans="9:10" x14ac:dyDescent="0.25">
      <c r="I633" s="37"/>
      <c r="J633" s="35"/>
    </row>
    <row r="634" spans="9:10" x14ac:dyDescent="0.25">
      <c r="I634" s="37"/>
      <c r="J634" s="35"/>
    </row>
    <row r="635" spans="9:10" x14ac:dyDescent="0.25">
      <c r="I635" s="37"/>
      <c r="J635" s="35"/>
    </row>
    <row r="636" spans="9:10" x14ac:dyDescent="0.25">
      <c r="I636" s="37"/>
      <c r="J636" s="35"/>
    </row>
    <row r="637" spans="9:10" x14ac:dyDescent="0.25">
      <c r="I637" s="37"/>
      <c r="J637" s="35"/>
    </row>
    <row r="638" spans="9:10" x14ac:dyDescent="0.25">
      <c r="I638" s="37"/>
      <c r="J638" s="35"/>
    </row>
    <row r="639" spans="9:10" x14ac:dyDescent="0.25">
      <c r="I639" s="37"/>
      <c r="J639" s="35"/>
    </row>
    <row r="640" spans="9:10" x14ac:dyDescent="0.25">
      <c r="I640" s="37"/>
      <c r="J640" s="35"/>
    </row>
    <row r="641" spans="9:10" x14ac:dyDescent="0.25">
      <c r="I641" s="37"/>
      <c r="J641" s="35"/>
    </row>
    <row r="642" spans="9:10" x14ac:dyDescent="0.25">
      <c r="I642" s="37"/>
      <c r="J642" s="35"/>
    </row>
    <row r="643" spans="9:10" x14ac:dyDescent="0.25">
      <c r="I643" s="37"/>
      <c r="J643" s="35"/>
    </row>
    <row r="644" spans="9:10" x14ac:dyDescent="0.25">
      <c r="I644" s="37"/>
      <c r="J644" s="35"/>
    </row>
    <row r="645" spans="9:10" x14ac:dyDescent="0.25">
      <c r="I645" s="37"/>
      <c r="J645" s="35"/>
    </row>
    <row r="646" spans="9:10" x14ac:dyDescent="0.25">
      <c r="I646" s="37"/>
      <c r="J646" s="35"/>
    </row>
    <row r="647" spans="9:10" x14ac:dyDescent="0.25">
      <c r="I647" s="37"/>
      <c r="J647" s="35"/>
    </row>
    <row r="648" spans="9:10" x14ac:dyDescent="0.25">
      <c r="I648" s="37"/>
      <c r="J648" s="35"/>
    </row>
    <row r="649" spans="9:10" x14ac:dyDescent="0.25">
      <c r="I649" s="37"/>
      <c r="J649" s="35"/>
    </row>
    <row r="650" spans="9:10" x14ac:dyDescent="0.25">
      <c r="I650" s="37"/>
      <c r="J650" s="35"/>
    </row>
    <row r="651" spans="9:10" x14ac:dyDescent="0.25">
      <c r="I651" s="37"/>
      <c r="J651" s="35"/>
    </row>
    <row r="652" spans="9:10" x14ac:dyDescent="0.25">
      <c r="I652" s="37"/>
      <c r="J652" s="35"/>
    </row>
    <row r="653" spans="9:10" x14ac:dyDescent="0.25">
      <c r="I653" s="37"/>
      <c r="J653" s="35"/>
    </row>
    <row r="654" spans="9:10" x14ac:dyDescent="0.25">
      <c r="I654" s="37"/>
      <c r="J654" s="35"/>
    </row>
    <row r="655" spans="9:10" x14ac:dyDescent="0.25">
      <c r="I655" s="37"/>
      <c r="J655" s="35"/>
    </row>
    <row r="656" spans="9:10" x14ac:dyDescent="0.25">
      <c r="I656" s="37"/>
      <c r="J656" s="35"/>
    </row>
    <row r="657" spans="9:10" x14ac:dyDescent="0.25">
      <c r="I657" s="37"/>
      <c r="J657" s="35"/>
    </row>
    <row r="658" spans="9:10" x14ac:dyDescent="0.25">
      <c r="I658" s="37"/>
      <c r="J658" s="35"/>
    </row>
    <row r="659" spans="9:10" x14ac:dyDescent="0.25">
      <c r="I659" s="37"/>
      <c r="J659" s="35"/>
    </row>
    <row r="660" spans="9:10" x14ac:dyDescent="0.25">
      <c r="I660" s="37"/>
      <c r="J660" s="35"/>
    </row>
    <row r="661" spans="9:10" x14ac:dyDescent="0.25">
      <c r="I661" s="37"/>
      <c r="J661" s="35"/>
    </row>
    <row r="662" spans="9:10" x14ac:dyDescent="0.25">
      <c r="I662" s="37"/>
      <c r="J662" s="35"/>
    </row>
    <row r="663" spans="9:10" x14ac:dyDescent="0.25">
      <c r="I663" s="37"/>
      <c r="J663" s="35"/>
    </row>
    <row r="664" spans="9:10" x14ac:dyDescent="0.25">
      <c r="I664" s="37"/>
      <c r="J664" s="35"/>
    </row>
    <row r="665" spans="9:10" x14ac:dyDescent="0.25">
      <c r="I665" s="37"/>
      <c r="J665" s="35"/>
    </row>
    <row r="666" spans="9:10" x14ac:dyDescent="0.25">
      <c r="I666" s="37"/>
      <c r="J666" s="35"/>
    </row>
    <row r="667" spans="9:10" x14ac:dyDescent="0.25">
      <c r="I667" s="37"/>
      <c r="J667" s="35"/>
    </row>
    <row r="668" spans="9:10" x14ac:dyDescent="0.25">
      <c r="I668" s="37"/>
      <c r="J668" s="35"/>
    </row>
    <row r="669" spans="9:10" x14ac:dyDescent="0.25">
      <c r="I669" s="37"/>
      <c r="J669" s="35"/>
    </row>
    <row r="670" spans="9:10" x14ac:dyDescent="0.25">
      <c r="I670" s="37"/>
      <c r="J670" s="35"/>
    </row>
    <row r="671" spans="9:10" x14ac:dyDescent="0.25">
      <c r="I671" s="37"/>
      <c r="J671" s="35"/>
    </row>
    <row r="672" spans="9:10" x14ac:dyDescent="0.25">
      <c r="I672" s="37"/>
      <c r="J672" s="35"/>
    </row>
    <row r="673" spans="9:10" x14ac:dyDescent="0.25">
      <c r="I673" s="37"/>
      <c r="J673" s="35"/>
    </row>
    <row r="674" spans="9:10" x14ac:dyDescent="0.25">
      <c r="I674" s="37"/>
      <c r="J674" s="35"/>
    </row>
    <row r="675" spans="9:10" x14ac:dyDescent="0.25">
      <c r="I675" s="37"/>
      <c r="J675" s="35"/>
    </row>
    <row r="676" spans="9:10" x14ac:dyDescent="0.25">
      <c r="I676" s="37"/>
      <c r="J676" s="35"/>
    </row>
    <row r="677" spans="9:10" x14ac:dyDescent="0.25">
      <c r="I677" s="37"/>
      <c r="J677" s="35"/>
    </row>
    <row r="678" spans="9:10" x14ac:dyDescent="0.25">
      <c r="I678" s="37"/>
      <c r="J678" s="35"/>
    </row>
    <row r="679" spans="9:10" x14ac:dyDescent="0.25">
      <c r="I679" s="37"/>
      <c r="J679" s="35"/>
    </row>
    <row r="680" spans="9:10" x14ac:dyDescent="0.25">
      <c r="I680" s="37"/>
      <c r="J680" s="35"/>
    </row>
    <row r="681" spans="9:10" x14ac:dyDescent="0.25">
      <c r="I681" s="37"/>
      <c r="J681" s="35"/>
    </row>
    <row r="682" spans="9:10" x14ac:dyDescent="0.25">
      <c r="I682" s="37"/>
      <c r="J682" s="35"/>
    </row>
    <row r="683" spans="9:10" x14ac:dyDescent="0.25">
      <c r="I683" s="37"/>
      <c r="J683" s="35"/>
    </row>
    <row r="684" spans="9:10" x14ac:dyDescent="0.25">
      <c r="I684" s="37"/>
      <c r="J684" s="35"/>
    </row>
    <row r="685" spans="9:10" x14ac:dyDescent="0.25">
      <c r="I685" s="37"/>
      <c r="J685" s="35"/>
    </row>
    <row r="686" spans="9:10" x14ac:dyDescent="0.25">
      <c r="I686" s="37"/>
      <c r="J686" s="35"/>
    </row>
    <row r="687" spans="9:10" x14ac:dyDescent="0.25">
      <c r="I687" s="37"/>
      <c r="J687" s="35"/>
    </row>
    <row r="688" spans="9:10" x14ac:dyDescent="0.25">
      <c r="I688" s="37"/>
      <c r="J688" s="35"/>
    </row>
    <row r="689" spans="9:10" x14ac:dyDescent="0.25">
      <c r="I689" s="37"/>
      <c r="J689" s="35"/>
    </row>
    <row r="690" spans="9:10" x14ac:dyDescent="0.25">
      <c r="I690" s="37"/>
      <c r="J690" s="35"/>
    </row>
    <row r="691" spans="9:10" x14ac:dyDescent="0.25">
      <c r="I691" s="37"/>
      <c r="J691" s="35"/>
    </row>
    <row r="692" spans="9:10" x14ac:dyDescent="0.25">
      <c r="I692" s="37"/>
      <c r="J692" s="35"/>
    </row>
    <row r="693" spans="9:10" x14ac:dyDescent="0.25">
      <c r="I693" s="37"/>
      <c r="J693" s="35"/>
    </row>
    <row r="694" spans="9:10" x14ac:dyDescent="0.25">
      <c r="I694" s="37"/>
      <c r="J694" s="35"/>
    </row>
    <row r="695" spans="9:10" x14ac:dyDescent="0.25">
      <c r="I695" s="37"/>
      <c r="J695" s="35"/>
    </row>
    <row r="696" spans="9:10" x14ac:dyDescent="0.25">
      <c r="I696" s="37"/>
      <c r="J696" s="35"/>
    </row>
    <row r="697" spans="9:10" x14ac:dyDescent="0.25">
      <c r="I697" s="37"/>
      <c r="J697" s="35"/>
    </row>
    <row r="698" spans="9:10" x14ac:dyDescent="0.25">
      <c r="I698" s="37"/>
      <c r="J698" s="35"/>
    </row>
    <row r="699" spans="9:10" x14ac:dyDescent="0.25">
      <c r="I699" s="37"/>
      <c r="J699" s="35"/>
    </row>
    <row r="700" spans="9:10" x14ac:dyDescent="0.25">
      <c r="I700" s="37"/>
      <c r="J700" s="35"/>
    </row>
    <row r="701" spans="9:10" x14ac:dyDescent="0.25">
      <c r="I701" s="37"/>
      <c r="J701" s="35"/>
    </row>
    <row r="702" spans="9:10" x14ac:dyDescent="0.25">
      <c r="I702" s="37"/>
      <c r="J702" s="35"/>
    </row>
    <row r="703" spans="9:10" x14ac:dyDescent="0.25">
      <c r="I703" s="37"/>
      <c r="J703" s="35"/>
    </row>
    <row r="704" spans="9:10" x14ac:dyDescent="0.25">
      <c r="I704" s="37"/>
      <c r="J704" s="35"/>
    </row>
    <row r="705" spans="9:10" x14ac:dyDescent="0.25">
      <c r="I705" s="37"/>
      <c r="J705" s="35"/>
    </row>
    <row r="706" spans="9:10" x14ac:dyDescent="0.25">
      <c r="I706" s="37"/>
      <c r="J706" s="35"/>
    </row>
    <row r="707" spans="9:10" x14ac:dyDescent="0.25">
      <c r="I707" s="37"/>
      <c r="J707" s="35"/>
    </row>
    <row r="708" spans="9:10" x14ac:dyDescent="0.25">
      <c r="I708" s="37"/>
      <c r="J708" s="35"/>
    </row>
    <row r="709" spans="9:10" x14ac:dyDescent="0.25">
      <c r="I709" s="37"/>
      <c r="J709" s="35"/>
    </row>
    <row r="710" spans="9:10" x14ac:dyDescent="0.25">
      <c r="I710" s="37"/>
      <c r="J710" s="35"/>
    </row>
    <row r="711" spans="9:10" x14ac:dyDescent="0.25">
      <c r="I711" s="37"/>
      <c r="J711" s="35"/>
    </row>
    <row r="712" spans="9:10" x14ac:dyDescent="0.25">
      <c r="I712" s="37"/>
      <c r="J712" s="35"/>
    </row>
    <row r="713" spans="9:10" x14ac:dyDescent="0.25">
      <c r="I713" s="37"/>
      <c r="J713" s="35"/>
    </row>
    <row r="714" spans="9:10" x14ac:dyDescent="0.25">
      <c r="I714" s="37"/>
      <c r="J714" s="35"/>
    </row>
    <row r="715" spans="9:10" x14ac:dyDescent="0.25">
      <c r="I715" s="37"/>
      <c r="J715" s="35"/>
    </row>
    <row r="716" spans="9:10" x14ac:dyDescent="0.25">
      <c r="I716" s="37"/>
      <c r="J716" s="35"/>
    </row>
    <row r="717" spans="9:10" x14ac:dyDescent="0.25">
      <c r="I717" s="37"/>
      <c r="J717" s="35"/>
    </row>
    <row r="718" spans="9:10" x14ac:dyDescent="0.25">
      <c r="I718" s="37"/>
      <c r="J718" s="35"/>
    </row>
    <row r="719" spans="9:10" x14ac:dyDescent="0.25">
      <c r="I719" s="37"/>
      <c r="J719" s="35"/>
    </row>
    <row r="720" spans="9:10" x14ac:dyDescent="0.25">
      <c r="I720" s="37"/>
      <c r="J720" s="35"/>
    </row>
    <row r="721" spans="9:10" x14ac:dyDescent="0.25">
      <c r="I721" s="37"/>
      <c r="J721" s="35"/>
    </row>
    <row r="722" spans="9:10" x14ac:dyDescent="0.25">
      <c r="I722" s="37"/>
      <c r="J722" s="35"/>
    </row>
    <row r="723" spans="9:10" x14ac:dyDescent="0.25">
      <c r="I723" s="37"/>
      <c r="J723" s="35"/>
    </row>
    <row r="724" spans="9:10" x14ac:dyDescent="0.25">
      <c r="I724" s="37"/>
      <c r="J724" s="35"/>
    </row>
    <row r="725" spans="9:10" x14ac:dyDescent="0.25">
      <c r="I725" s="37"/>
      <c r="J725" s="35"/>
    </row>
    <row r="726" spans="9:10" x14ac:dyDescent="0.25">
      <c r="I726" s="37"/>
      <c r="J726" s="35"/>
    </row>
    <row r="727" spans="9:10" x14ac:dyDescent="0.25">
      <c r="I727" s="37"/>
      <c r="J727" s="35"/>
    </row>
    <row r="728" spans="9:10" x14ac:dyDescent="0.25">
      <c r="I728" s="37"/>
      <c r="J728" s="35"/>
    </row>
    <row r="729" spans="9:10" x14ac:dyDescent="0.25">
      <c r="I729" s="37"/>
      <c r="J729" s="35"/>
    </row>
    <row r="730" spans="9:10" x14ac:dyDescent="0.25">
      <c r="I730" s="37"/>
      <c r="J730" s="35"/>
    </row>
    <row r="731" spans="9:10" x14ac:dyDescent="0.25">
      <c r="I731" s="37"/>
      <c r="J731" s="35"/>
    </row>
    <row r="732" spans="9:10" x14ac:dyDescent="0.25">
      <c r="I732" s="37"/>
      <c r="J732" s="35"/>
    </row>
    <row r="733" spans="9:10" x14ac:dyDescent="0.25">
      <c r="I733" s="37"/>
      <c r="J733" s="35"/>
    </row>
    <row r="734" spans="9:10" x14ac:dyDescent="0.25">
      <c r="I734" s="37"/>
      <c r="J734" s="35"/>
    </row>
    <row r="735" spans="9:10" x14ac:dyDescent="0.25">
      <c r="I735" s="37"/>
      <c r="J735" s="35"/>
    </row>
    <row r="736" spans="9:10" x14ac:dyDescent="0.25">
      <c r="I736" s="37"/>
      <c r="J736" s="35"/>
    </row>
    <row r="737" spans="9:10" x14ac:dyDescent="0.25">
      <c r="I737" s="37"/>
      <c r="J737" s="35"/>
    </row>
    <row r="738" spans="9:10" x14ac:dyDescent="0.25">
      <c r="I738" s="37"/>
      <c r="J738" s="35"/>
    </row>
    <row r="739" spans="9:10" x14ac:dyDescent="0.25">
      <c r="I739" s="37"/>
      <c r="J739" s="35"/>
    </row>
    <row r="740" spans="9:10" x14ac:dyDescent="0.25">
      <c r="I740" s="37"/>
      <c r="J740" s="35"/>
    </row>
    <row r="741" spans="9:10" x14ac:dyDescent="0.25">
      <c r="I741" s="37"/>
      <c r="J741" s="35"/>
    </row>
    <row r="742" spans="9:10" x14ac:dyDescent="0.25">
      <c r="I742" s="37"/>
      <c r="J742" s="35"/>
    </row>
    <row r="743" spans="9:10" x14ac:dyDescent="0.25">
      <c r="I743" s="37"/>
      <c r="J743" s="35"/>
    </row>
    <row r="744" spans="9:10" x14ac:dyDescent="0.25">
      <c r="I744" s="37"/>
      <c r="J744" s="35"/>
    </row>
    <row r="745" spans="9:10" x14ac:dyDescent="0.25">
      <c r="I745" s="37"/>
      <c r="J745" s="35"/>
    </row>
    <row r="746" spans="9:10" x14ac:dyDescent="0.25">
      <c r="I746" s="37"/>
      <c r="J746" s="35"/>
    </row>
    <row r="747" spans="9:10" x14ac:dyDescent="0.25">
      <c r="I747" s="37"/>
      <c r="J747" s="35"/>
    </row>
    <row r="748" spans="9:10" x14ac:dyDescent="0.25">
      <c r="I748" s="37"/>
      <c r="J748" s="35"/>
    </row>
    <row r="749" spans="9:10" x14ac:dyDescent="0.25">
      <c r="I749" s="37"/>
      <c r="J749" s="35"/>
    </row>
    <row r="750" spans="9:10" x14ac:dyDescent="0.25">
      <c r="I750" s="37"/>
      <c r="J750" s="35"/>
    </row>
    <row r="751" spans="9:10" x14ac:dyDescent="0.25">
      <c r="I751" s="37"/>
      <c r="J751" s="35"/>
    </row>
    <row r="752" spans="9:10" x14ac:dyDescent="0.25">
      <c r="I752" s="37"/>
      <c r="J752" s="35"/>
    </row>
    <row r="753" spans="9:10" x14ac:dyDescent="0.25">
      <c r="I753" s="37"/>
      <c r="J753" s="35"/>
    </row>
    <row r="754" spans="9:10" x14ac:dyDescent="0.25">
      <c r="I754" s="37"/>
      <c r="J754" s="35"/>
    </row>
    <row r="755" spans="9:10" x14ac:dyDescent="0.25">
      <c r="I755" s="37"/>
      <c r="J755" s="35"/>
    </row>
    <row r="756" spans="9:10" x14ac:dyDescent="0.25">
      <c r="I756" s="37"/>
      <c r="J756" s="35"/>
    </row>
    <row r="757" spans="9:10" x14ac:dyDescent="0.25">
      <c r="I757" s="37"/>
      <c r="J757" s="35"/>
    </row>
    <row r="758" spans="9:10" x14ac:dyDescent="0.25">
      <c r="I758" s="37"/>
      <c r="J758" s="35"/>
    </row>
    <row r="759" spans="9:10" x14ac:dyDescent="0.25">
      <c r="I759" s="37"/>
      <c r="J759" s="35"/>
    </row>
    <row r="760" spans="9:10" x14ac:dyDescent="0.25">
      <c r="I760" s="37"/>
      <c r="J760" s="35"/>
    </row>
    <row r="761" spans="9:10" x14ac:dyDescent="0.25">
      <c r="I761" s="37"/>
      <c r="J761" s="35"/>
    </row>
    <row r="762" spans="9:10" x14ac:dyDescent="0.25">
      <c r="I762" s="37"/>
      <c r="J762" s="35"/>
    </row>
    <row r="763" spans="9:10" x14ac:dyDescent="0.25">
      <c r="I763" s="37"/>
      <c r="J763" s="35"/>
    </row>
    <row r="764" spans="9:10" x14ac:dyDescent="0.25">
      <c r="I764" s="37"/>
      <c r="J764" s="35"/>
    </row>
    <row r="765" spans="9:10" x14ac:dyDescent="0.25">
      <c r="I765" s="37"/>
      <c r="J765" s="35"/>
    </row>
    <row r="766" spans="9:10" x14ac:dyDescent="0.25">
      <c r="I766" s="37"/>
      <c r="J766" s="35"/>
    </row>
    <row r="767" spans="9:10" x14ac:dyDescent="0.25">
      <c r="I767" s="37"/>
      <c r="J767" s="35"/>
    </row>
    <row r="768" spans="9:10" x14ac:dyDescent="0.25">
      <c r="I768" s="37"/>
      <c r="J768" s="35"/>
    </row>
    <row r="769" spans="9:10" x14ac:dyDescent="0.25">
      <c r="I769" s="37"/>
      <c r="J769" s="35"/>
    </row>
    <row r="770" spans="9:10" x14ac:dyDescent="0.25">
      <c r="I770" s="37"/>
      <c r="J770" s="35"/>
    </row>
    <row r="771" spans="9:10" x14ac:dyDescent="0.25">
      <c r="I771" s="37"/>
      <c r="J771" s="35"/>
    </row>
    <row r="772" spans="9:10" x14ac:dyDescent="0.25">
      <c r="I772" s="37"/>
      <c r="J772" s="35"/>
    </row>
    <row r="773" spans="9:10" x14ac:dyDescent="0.25">
      <c r="I773" s="37"/>
      <c r="J773" s="35"/>
    </row>
    <row r="774" spans="9:10" x14ac:dyDescent="0.25">
      <c r="I774" s="37"/>
      <c r="J774" s="35"/>
    </row>
    <row r="775" spans="9:10" x14ac:dyDescent="0.25">
      <c r="I775" s="37"/>
      <c r="J775" s="35"/>
    </row>
    <row r="776" spans="9:10" x14ac:dyDescent="0.25">
      <c r="I776" s="37"/>
      <c r="J776" s="35"/>
    </row>
    <row r="777" spans="9:10" x14ac:dyDescent="0.25">
      <c r="I777" s="37"/>
      <c r="J777" s="35"/>
    </row>
    <row r="778" spans="9:10" x14ac:dyDescent="0.25">
      <c r="I778" s="37"/>
      <c r="J778" s="35"/>
    </row>
    <row r="779" spans="9:10" x14ac:dyDescent="0.25">
      <c r="I779" s="37"/>
      <c r="J779" s="35"/>
    </row>
    <row r="780" spans="9:10" x14ac:dyDescent="0.25">
      <c r="I780" s="37"/>
      <c r="J780" s="35"/>
    </row>
    <row r="781" spans="9:10" x14ac:dyDescent="0.25">
      <c r="I781" s="37"/>
      <c r="J781" s="35"/>
    </row>
    <row r="782" spans="9:10" x14ac:dyDescent="0.25">
      <c r="I782" s="37"/>
      <c r="J782" s="35"/>
    </row>
    <row r="783" spans="9:10" x14ac:dyDescent="0.25">
      <c r="I783" s="37"/>
      <c r="J783" s="35"/>
    </row>
    <row r="784" spans="9:10" x14ac:dyDescent="0.25">
      <c r="I784" s="37"/>
      <c r="J784" s="35"/>
    </row>
    <row r="785" spans="9:10" x14ac:dyDescent="0.25">
      <c r="I785" s="37"/>
      <c r="J785" s="35"/>
    </row>
    <row r="786" spans="9:10" x14ac:dyDescent="0.25">
      <c r="I786" s="37"/>
      <c r="J786" s="35"/>
    </row>
    <row r="787" spans="9:10" x14ac:dyDescent="0.25">
      <c r="I787" s="37"/>
      <c r="J787" s="35"/>
    </row>
    <row r="788" spans="9:10" x14ac:dyDescent="0.25">
      <c r="I788" s="37"/>
      <c r="J788" s="35"/>
    </row>
    <row r="789" spans="9:10" x14ac:dyDescent="0.25">
      <c r="I789" s="37"/>
      <c r="J789" s="35"/>
    </row>
    <row r="790" spans="9:10" x14ac:dyDescent="0.25">
      <c r="I790" s="37"/>
      <c r="J790" s="35"/>
    </row>
    <row r="791" spans="9:10" x14ac:dyDescent="0.25">
      <c r="I791" s="37"/>
      <c r="J791" s="35"/>
    </row>
    <row r="792" spans="9:10" x14ac:dyDescent="0.25">
      <c r="I792" s="37"/>
      <c r="J792" s="35"/>
    </row>
    <row r="793" spans="9:10" x14ac:dyDescent="0.25">
      <c r="I793" s="37"/>
      <c r="J793" s="35"/>
    </row>
    <row r="794" spans="9:10" x14ac:dyDescent="0.25">
      <c r="I794" s="37"/>
      <c r="J794" s="35"/>
    </row>
    <row r="795" spans="9:10" x14ac:dyDescent="0.25">
      <c r="I795" s="37"/>
      <c r="J795" s="35"/>
    </row>
    <row r="796" spans="9:10" x14ac:dyDescent="0.25">
      <c r="I796" s="37"/>
      <c r="J796" s="35"/>
    </row>
    <row r="797" spans="9:10" x14ac:dyDescent="0.25">
      <c r="I797" s="37"/>
      <c r="J797" s="35"/>
    </row>
    <row r="798" spans="9:10" x14ac:dyDescent="0.25">
      <c r="I798" s="37"/>
      <c r="J798" s="35"/>
    </row>
    <row r="799" spans="9:10" x14ac:dyDescent="0.25">
      <c r="I799" s="37"/>
      <c r="J799" s="35"/>
    </row>
    <row r="800" spans="9:10" x14ac:dyDescent="0.25">
      <c r="I800" s="37"/>
      <c r="J800" s="35"/>
    </row>
    <row r="801" spans="9:10" x14ac:dyDescent="0.25">
      <c r="I801" s="37"/>
      <c r="J801" s="35"/>
    </row>
    <row r="802" spans="9:10" x14ac:dyDescent="0.25">
      <c r="I802" s="37"/>
      <c r="J802" s="35"/>
    </row>
    <row r="803" spans="9:10" x14ac:dyDescent="0.25">
      <c r="I803" s="37"/>
      <c r="J803" s="35"/>
    </row>
    <row r="804" spans="9:10" x14ac:dyDescent="0.25">
      <c r="I804" s="37"/>
      <c r="J804" s="35"/>
    </row>
    <row r="805" spans="9:10" x14ac:dyDescent="0.25">
      <c r="I805" s="37"/>
      <c r="J805" s="35"/>
    </row>
    <row r="806" spans="9:10" x14ac:dyDescent="0.25">
      <c r="I806" s="37"/>
      <c r="J806" s="35"/>
    </row>
    <row r="807" spans="9:10" x14ac:dyDescent="0.25">
      <c r="I807" s="37"/>
      <c r="J807" s="35"/>
    </row>
    <row r="808" spans="9:10" x14ac:dyDescent="0.25">
      <c r="I808" s="37"/>
      <c r="J808" s="35"/>
    </row>
    <row r="809" spans="9:10" x14ac:dyDescent="0.25">
      <c r="I809" s="37"/>
      <c r="J809" s="35"/>
    </row>
    <row r="810" spans="9:10" x14ac:dyDescent="0.25">
      <c r="I810" s="37"/>
      <c r="J810" s="35"/>
    </row>
    <row r="811" spans="9:10" x14ac:dyDescent="0.25">
      <c r="I811" s="37"/>
      <c r="J811" s="35"/>
    </row>
    <row r="812" spans="9:10" x14ac:dyDescent="0.25">
      <c r="I812" s="37"/>
      <c r="J812" s="35"/>
    </row>
    <row r="813" spans="9:10" x14ac:dyDescent="0.25">
      <c r="I813" s="37"/>
      <c r="J813" s="35"/>
    </row>
    <row r="814" spans="9:10" x14ac:dyDescent="0.25">
      <c r="I814" s="37"/>
      <c r="J814" s="35"/>
    </row>
    <row r="815" spans="9:10" x14ac:dyDescent="0.25">
      <c r="I815" s="37"/>
      <c r="J815" s="35"/>
    </row>
    <row r="816" spans="9:10" x14ac:dyDescent="0.25">
      <c r="I816" s="37"/>
      <c r="J816" s="35"/>
    </row>
    <row r="817" spans="9:10" x14ac:dyDescent="0.25">
      <c r="I817" s="37"/>
      <c r="J817" s="35"/>
    </row>
    <row r="818" spans="9:10" x14ac:dyDescent="0.25">
      <c r="I818" s="37"/>
      <c r="J818" s="35"/>
    </row>
    <row r="819" spans="9:10" x14ac:dyDescent="0.25">
      <c r="I819" s="37"/>
      <c r="J819" s="35"/>
    </row>
    <row r="820" spans="9:10" x14ac:dyDescent="0.25">
      <c r="I820" s="37"/>
      <c r="J820" s="35"/>
    </row>
    <row r="821" spans="9:10" x14ac:dyDescent="0.25">
      <c r="I821" s="37"/>
      <c r="J821" s="35"/>
    </row>
    <row r="822" spans="9:10" x14ac:dyDescent="0.25">
      <c r="I822" s="37"/>
      <c r="J822" s="35"/>
    </row>
    <row r="823" spans="9:10" x14ac:dyDescent="0.25">
      <c r="I823" s="37"/>
      <c r="J823" s="35"/>
    </row>
    <row r="824" spans="9:10" x14ac:dyDescent="0.25">
      <c r="I824" s="37"/>
      <c r="J824" s="35"/>
    </row>
    <row r="825" spans="9:10" x14ac:dyDescent="0.25">
      <c r="I825" s="37"/>
      <c r="J825" s="35"/>
    </row>
    <row r="826" spans="9:10" x14ac:dyDescent="0.25">
      <c r="I826" s="37"/>
      <c r="J826" s="35"/>
    </row>
    <row r="827" spans="9:10" x14ac:dyDescent="0.25">
      <c r="I827" s="37"/>
      <c r="J827" s="35"/>
    </row>
    <row r="828" spans="9:10" x14ac:dyDescent="0.25">
      <c r="I828" s="37"/>
      <c r="J828" s="35"/>
    </row>
    <row r="829" spans="9:10" x14ac:dyDescent="0.25">
      <c r="I829" s="37"/>
      <c r="J829" s="35"/>
    </row>
    <row r="830" spans="9:10" x14ac:dyDescent="0.25">
      <c r="I830" s="37"/>
      <c r="J830" s="35"/>
    </row>
    <row r="831" spans="9:10" x14ac:dyDescent="0.25">
      <c r="I831" s="37"/>
      <c r="J831" s="35"/>
    </row>
    <row r="832" spans="9:10" x14ac:dyDescent="0.25">
      <c r="I832" s="37"/>
      <c r="J832" s="35"/>
    </row>
    <row r="833" spans="9:10" x14ac:dyDescent="0.25">
      <c r="I833" s="37"/>
      <c r="J833" s="35"/>
    </row>
    <row r="834" spans="9:10" x14ac:dyDescent="0.25">
      <c r="I834" s="37"/>
      <c r="J834" s="35"/>
    </row>
    <row r="835" spans="9:10" x14ac:dyDescent="0.25">
      <c r="I835" s="37"/>
      <c r="J835" s="35"/>
    </row>
    <row r="836" spans="9:10" x14ac:dyDescent="0.25">
      <c r="I836" s="37"/>
      <c r="J836" s="35"/>
    </row>
    <row r="837" spans="9:10" x14ac:dyDescent="0.25">
      <c r="I837" s="37"/>
      <c r="J837" s="35"/>
    </row>
    <row r="838" spans="9:10" x14ac:dyDescent="0.25">
      <c r="I838" s="37"/>
      <c r="J838" s="35"/>
    </row>
    <row r="839" spans="9:10" x14ac:dyDescent="0.25">
      <c r="I839" s="37"/>
      <c r="J839" s="35"/>
    </row>
    <row r="840" spans="9:10" x14ac:dyDescent="0.25">
      <c r="I840" s="37"/>
      <c r="J840" s="35"/>
    </row>
    <row r="841" spans="9:10" x14ac:dyDescent="0.25">
      <c r="I841" s="37"/>
      <c r="J841" s="35"/>
    </row>
    <row r="842" spans="9:10" x14ac:dyDescent="0.25">
      <c r="I842" s="37"/>
      <c r="J842" s="35"/>
    </row>
    <row r="843" spans="9:10" x14ac:dyDescent="0.25">
      <c r="I843" s="37"/>
      <c r="J843" s="35"/>
    </row>
    <row r="844" spans="9:10" x14ac:dyDescent="0.25">
      <c r="I844" s="37"/>
      <c r="J844" s="35"/>
    </row>
    <row r="845" spans="9:10" x14ac:dyDescent="0.25">
      <c r="I845" s="37"/>
      <c r="J845" s="35"/>
    </row>
    <row r="846" spans="9:10" x14ac:dyDescent="0.25">
      <c r="I846" s="37"/>
      <c r="J846" s="35"/>
    </row>
    <row r="847" spans="9:10" x14ac:dyDescent="0.25">
      <c r="I847" s="37"/>
      <c r="J847" s="35"/>
    </row>
    <row r="848" spans="9:10" x14ac:dyDescent="0.25">
      <c r="I848" s="37"/>
      <c r="J848" s="35"/>
    </row>
    <row r="849" spans="9:10" x14ac:dyDescent="0.25">
      <c r="I849" s="37"/>
      <c r="J849" s="35"/>
    </row>
    <row r="850" spans="9:10" x14ac:dyDescent="0.25">
      <c r="I850" s="37"/>
      <c r="J850" s="35"/>
    </row>
    <row r="851" spans="9:10" x14ac:dyDescent="0.25">
      <c r="I851" s="37"/>
      <c r="J851" s="35"/>
    </row>
    <row r="852" spans="9:10" x14ac:dyDescent="0.25">
      <c r="I852" s="37"/>
      <c r="J852" s="35"/>
    </row>
    <row r="853" spans="9:10" x14ac:dyDescent="0.25">
      <c r="I853" s="37"/>
      <c r="J853" s="35"/>
    </row>
    <row r="854" spans="9:10" x14ac:dyDescent="0.25">
      <c r="I854" s="37"/>
      <c r="J854" s="35"/>
    </row>
    <row r="855" spans="9:10" x14ac:dyDescent="0.25">
      <c r="I855" s="37"/>
      <c r="J855" s="35"/>
    </row>
    <row r="856" spans="9:10" x14ac:dyDescent="0.25">
      <c r="I856" s="37"/>
      <c r="J856" s="35"/>
    </row>
    <row r="857" spans="9:10" x14ac:dyDescent="0.25">
      <c r="I857" s="37"/>
      <c r="J857" s="35"/>
    </row>
    <row r="858" spans="9:10" x14ac:dyDescent="0.25">
      <c r="I858" s="37"/>
      <c r="J858" s="35"/>
    </row>
    <row r="859" spans="9:10" x14ac:dyDescent="0.25">
      <c r="I859" s="37"/>
      <c r="J859" s="35"/>
    </row>
    <row r="860" spans="9:10" x14ac:dyDescent="0.25">
      <c r="I860" s="37"/>
      <c r="J860" s="35"/>
    </row>
    <row r="861" spans="9:10" x14ac:dyDescent="0.25">
      <c r="I861" s="37"/>
      <c r="J861" s="35"/>
    </row>
    <row r="862" spans="9:10" x14ac:dyDescent="0.25">
      <c r="I862" s="37"/>
      <c r="J862" s="35"/>
    </row>
    <row r="863" spans="9:10" x14ac:dyDescent="0.25">
      <c r="I863" s="37"/>
      <c r="J863" s="35"/>
    </row>
    <row r="864" spans="9:10" x14ac:dyDescent="0.25">
      <c r="I864" s="37"/>
      <c r="J864" s="35"/>
    </row>
    <row r="865" spans="9:10" x14ac:dyDescent="0.25">
      <c r="I865" s="37"/>
      <c r="J865" s="35"/>
    </row>
    <row r="866" spans="9:10" x14ac:dyDescent="0.25">
      <c r="I866" s="37"/>
      <c r="J866" s="35"/>
    </row>
    <row r="867" spans="9:10" x14ac:dyDescent="0.25">
      <c r="I867" s="37"/>
      <c r="J867" s="35"/>
    </row>
    <row r="868" spans="9:10" x14ac:dyDescent="0.25">
      <c r="I868" s="37"/>
      <c r="J868" s="35"/>
    </row>
    <row r="869" spans="9:10" x14ac:dyDescent="0.25">
      <c r="I869" s="37"/>
      <c r="J869" s="35"/>
    </row>
    <row r="870" spans="9:10" x14ac:dyDescent="0.25">
      <c r="I870" s="37"/>
      <c r="J870" s="35"/>
    </row>
    <row r="871" spans="9:10" x14ac:dyDescent="0.25">
      <c r="I871" s="37"/>
      <c r="J871" s="35"/>
    </row>
    <row r="872" spans="9:10" x14ac:dyDescent="0.25">
      <c r="I872" s="37"/>
      <c r="J872" s="35"/>
    </row>
    <row r="873" spans="9:10" x14ac:dyDescent="0.25">
      <c r="I873" s="37"/>
      <c r="J873" s="35"/>
    </row>
    <row r="874" spans="9:10" x14ac:dyDescent="0.25">
      <c r="I874" s="37"/>
      <c r="J874" s="35"/>
    </row>
    <row r="875" spans="9:10" x14ac:dyDescent="0.25">
      <c r="I875" s="37"/>
      <c r="J875" s="35"/>
    </row>
    <row r="876" spans="9:10" x14ac:dyDescent="0.25">
      <c r="I876" s="37"/>
      <c r="J876" s="35"/>
    </row>
    <row r="877" spans="9:10" x14ac:dyDescent="0.25">
      <c r="I877" s="37"/>
      <c r="J877" s="35"/>
    </row>
    <row r="878" spans="9:10" x14ac:dyDescent="0.25">
      <c r="I878" s="37"/>
      <c r="J878" s="35"/>
    </row>
    <row r="879" spans="9:10" x14ac:dyDescent="0.25">
      <c r="I879" s="37"/>
      <c r="J879" s="35"/>
    </row>
    <row r="880" spans="9:10" x14ac:dyDescent="0.25">
      <c r="I880" s="37"/>
      <c r="J880" s="35"/>
    </row>
    <row r="881" spans="9:10" x14ac:dyDescent="0.25">
      <c r="I881" s="37"/>
      <c r="J881" s="35"/>
    </row>
    <row r="882" spans="9:10" x14ac:dyDescent="0.25">
      <c r="I882" s="37"/>
      <c r="J882" s="35"/>
    </row>
    <row r="883" spans="9:10" x14ac:dyDescent="0.25">
      <c r="I883" s="37"/>
      <c r="J883" s="35"/>
    </row>
    <row r="884" spans="9:10" x14ac:dyDescent="0.25">
      <c r="I884" s="37"/>
      <c r="J884" s="35"/>
    </row>
    <row r="885" spans="9:10" x14ac:dyDescent="0.25">
      <c r="I885" s="37"/>
      <c r="J885" s="35"/>
    </row>
    <row r="886" spans="9:10" x14ac:dyDescent="0.25">
      <c r="I886" s="37"/>
      <c r="J886" s="35"/>
    </row>
    <row r="887" spans="9:10" x14ac:dyDescent="0.25">
      <c r="I887" s="37"/>
      <c r="J887" s="35"/>
    </row>
    <row r="888" spans="9:10" x14ac:dyDescent="0.25">
      <c r="I888" s="37"/>
      <c r="J888" s="35"/>
    </row>
    <row r="889" spans="9:10" x14ac:dyDescent="0.25">
      <c r="I889" s="37"/>
      <c r="J889" s="35"/>
    </row>
    <row r="890" spans="9:10" x14ac:dyDescent="0.25">
      <c r="I890" s="37"/>
      <c r="J890" s="35"/>
    </row>
    <row r="891" spans="9:10" x14ac:dyDescent="0.25">
      <c r="I891" s="37"/>
      <c r="J891" s="35"/>
    </row>
    <row r="892" spans="9:10" x14ac:dyDescent="0.25">
      <c r="I892" s="37"/>
      <c r="J892" s="35"/>
    </row>
    <row r="893" spans="9:10" x14ac:dyDescent="0.25">
      <c r="I893" s="37"/>
      <c r="J893" s="35"/>
    </row>
    <row r="894" spans="9:10" x14ac:dyDescent="0.25">
      <c r="I894" s="37"/>
      <c r="J894" s="35"/>
    </row>
    <row r="895" spans="9:10" x14ac:dyDescent="0.25">
      <c r="I895" s="37"/>
      <c r="J895" s="35"/>
    </row>
    <row r="896" spans="9:10" x14ac:dyDescent="0.25">
      <c r="I896" s="37"/>
      <c r="J896" s="35"/>
    </row>
    <row r="897" spans="9:10" x14ac:dyDescent="0.25">
      <c r="I897" s="37"/>
      <c r="J897" s="35"/>
    </row>
    <row r="898" spans="9:10" x14ac:dyDescent="0.25">
      <c r="I898" s="37"/>
      <c r="J898" s="35"/>
    </row>
    <row r="899" spans="9:10" x14ac:dyDescent="0.25">
      <c r="I899" s="37"/>
      <c r="J899" s="35"/>
    </row>
    <row r="900" spans="9:10" x14ac:dyDescent="0.25">
      <c r="I900" s="37"/>
      <c r="J900" s="35"/>
    </row>
    <row r="901" spans="9:10" x14ac:dyDescent="0.25">
      <c r="I901" s="37"/>
      <c r="J901" s="35"/>
    </row>
    <row r="902" spans="9:10" x14ac:dyDescent="0.25">
      <c r="I902" s="37"/>
      <c r="J902" s="35"/>
    </row>
    <row r="903" spans="9:10" x14ac:dyDescent="0.25">
      <c r="I903" s="37"/>
      <c r="J903" s="35"/>
    </row>
    <row r="904" spans="9:10" x14ac:dyDescent="0.25">
      <c r="I904" s="37"/>
      <c r="J904" s="35"/>
    </row>
    <row r="905" spans="9:10" x14ac:dyDescent="0.25">
      <c r="I905" s="37"/>
      <c r="J905" s="35"/>
    </row>
    <row r="906" spans="9:10" x14ac:dyDescent="0.25">
      <c r="I906" s="37"/>
      <c r="J906" s="35"/>
    </row>
    <row r="907" spans="9:10" x14ac:dyDescent="0.25">
      <c r="I907" s="37"/>
      <c r="J907" s="35"/>
    </row>
    <row r="908" spans="9:10" x14ac:dyDescent="0.25">
      <c r="I908" s="37"/>
      <c r="J908" s="35"/>
    </row>
    <row r="909" spans="9:10" x14ac:dyDescent="0.25">
      <c r="I909" s="37"/>
      <c r="J909" s="35"/>
    </row>
    <row r="910" spans="9:10" x14ac:dyDescent="0.25">
      <c r="I910" s="37"/>
      <c r="J910" s="35"/>
    </row>
    <row r="911" spans="9:10" x14ac:dyDescent="0.25">
      <c r="I911" s="37"/>
      <c r="J911" s="35"/>
    </row>
    <row r="912" spans="9:10" x14ac:dyDescent="0.25">
      <c r="I912" s="37"/>
      <c r="J912" s="35"/>
    </row>
    <row r="913" spans="9:10" x14ac:dyDescent="0.25">
      <c r="I913" s="37"/>
      <c r="J913" s="35"/>
    </row>
    <row r="914" spans="9:10" x14ac:dyDescent="0.25">
      <c r="I914" s="37"/>
      <c r="J914" s="35"/>
    </row>
    <row r="915" spans="9:10" x14ac:dyDescent="0.25">
      <c r="I915" s="37"/>
      <c r="J915" s="35"/>
    </row>
    <row r="916" spans="9:10" x14ac:dyDescent="0.25">
      <c r="I916" s="37"/>
      <c r="J916" s="35"/>
    </row>
    <row r="917" spans="9:10" x14ac:dyDescent="0.25">
      <c r="I917" s="37"/>
      <c r="J917" s="35"/>
    </row>
    <row r="918" spans="9:10" x14ac:dyDescent="0.25">
      <c r="I918" s="37"/>
      <c r="J918" s="35"/>
    </row>
    <row r="919" spans="9:10" x14ac:dyDescent="0.25">
      <c r="I919" s="37"/>
      <c r="J919" s="35"/>
    </row>
    <row r="920" spans="9:10" x14ac:dyDescent="0.25">
      <c r="I920" s="37"/>
      <c r="J920" s="35"/>
    </row>
    <row r="921" spans="9:10" x14ac:dyDescent="0.25">
      <c r="I921" s="37"/>
      <c r="J921" s="35"/>
    </row>
    <row r="922" spans="9:10" x14ac:dyDescent="0.25">
      <c r="I922" s="37"/>
      <c r="J922" s="35"/>
    </row>
    <row r="923" spans="9:10" x14ac:dyDescent="0.25">
      <c r="I923" s="37"/>
      <c r="J923" s="35"/>
    </row>
    <row r="924" spans="9:10" x14ac:dyDescent="0.25">
      <c r="I924" s="37"/>
      <c r="J924" s="35"/>
    </row>
    <row r="925" spans="9:10" x14ac:dyDescent="0.25">
      <c r="I925" s="37"/>
      <c r="J925" s="35"/>
    </row>
    <row r="926" spans="9:10" x14ac:dyDescent="0.25">
      <c r="I926" s="37"/>
      <c r="J926" s="35"/>
    </row>
    <row r="927" spans="9:10" x14ac:dyDescent="0.25">
      <c r="I927" s="37"/>
      <c r="J927" s="35"/>
    </row>
    <row r="928" spans="9:10" x14ac:dyDescent="0.25">
      <c r="I928" s="37"/>
      <c r="J928" s="35"/>
    </row>
    <row r="929" spans="9:10" x14ac:dyDescent="0.25">
      <c r="I929" s="37"/>
      <c r="J929" s="35"/>
    </row>
    <row r="930" spans="9:10" x14ac:dyDescent="0.25">
      <c r="I930" s="37"/>
      <c r="J930" s="35"/>
    </row>
    <row r="931" spans="9:10" x14ac:dyDescent="0.25">
      <c r="I931" s="37"/>
      <c r="J931" s="35"/>
    </row>
    <row r="932" spans="9:10" x14ac:dyDescent="0.25">
      <c r="I932" s="37"/>
      <c r="J932" s="35"/>
    </row>
    <row r="933" spans="9:10" x14ac:dyDescent="0.25">
      <c r="I933" s="37"/>
      <c r="J933" s="35"/>
    </row>
    <row r="934" spans="9:10" x14ac:dyDescent="0.25">
      <c r="I934" s="37"/>
      <c r="J934" s="35"/>
    </row>
    <row r="935" spans="9:10" x14ac:dyDescent="0.25">
      <c r="I935" s="37"/>
      <c r="J935" s="35"/>
    </row>
    <row r="936" spans="9:10" x14ac:dyDescent="0.25">
      <c r="I936" s="37"/>
      <c r="J936" s="35"/>
    </row>
    <row r="937" spans="9:10" x14ac:dyDescent="0.25">
      <c r="I937" s="37"/>
      <c r="J937" s="35"/>
    </row>
    <row r="938" spans="9:10" x14ac:dyDescent="0.25">
      <c r="I938" s="37"/>
      <c r="J938" s="35"/>
    </row>
    <row r="939" spans="9:10" x14ac:dyDescent="0.25">
      <c r="I939" s="37"/>
      <c r="J939" s="35"/>
    </row>
    <row r="940" spans="9:10" x14ac:dyDescent="0.25">
      <c r="I940" s="37"/>
      <c r="J940" s="35"/>
    </row>
    <row r="941" spans="9:10" x14ac:dyDescent="0.25">
      <c r="I941" s="37"/>
      <c r="J941" s="35"/>
    </row>
    <row r="942" spans="9:10" x14ac:dyDescent="0.25">
      <c r="I942" s="37"/>
      <c r="J942" s="35"/>
    </row>
    <row r="943" spans="9:10" x14ac:dyDescent="0.25">
      <c r="I943" s="37"/>
      <c r="J943" s="35"/>
    </row>
    <row r="944" spans="9:10" x14ac:dyDescent="0.25">
      <c r="I944" s="37"/>
      <c r="J944" s="35"/>
    </row>
    <row r="945" spans="9:10" x14ac:dyDescent="0.25">
      <c r="I945" s="37"/>
      <c r="J945" s="35"/>
    </row>
    <row r="946" spans="9:10" x14ac:dyDescent="0.25">
      <c r="I946" s="37"/>
      <c r="J946" s="35"/>
    </row>
    <row r="947" spans="9:10" x14ac:dyDescent="0.25">
      <c r="I947" s="37"/>
      <c r="J947" s="35"/>
    </row>
    <row r="948" spans="9:10" x14ac:dyDescent="0.25">
      <c r="I948" s="37"/>
      <c r="J948" s="35"/>
    </row>
    <row r="949" spans="9:10" x14ac:dyDescent="0.25">
      <c r="I949" s="37"/>
      <c r="J949" s="35"/>
    </row>
    <row r="950" spans="9:10" x14ac:dyDescent="0.25">
      <c r="I950" s="37"/>
      <c r="J950" s="35"/>
    </row>
    <row r="951" spans="9:10" x14ac:dyDescent="0.25">
      <c r="I951" s="37"/>
      <c r="J951" s="35"/>
    </row>
    <row r="952" spans="9:10" x14ac:dyDescent="0.25">
      <c r="I952" s="37"/>
      <c r="J952" s="35"/>
    </row>
    <row r="953" spans="9:10" x14ac:dyDescent="0.25">
      <c r="I953" s="37"/>
      <c r="J953" s="35"/>
    </row>
    <row r="954" spans="9:10" x14ac:dyDescent="0.25">
      <c r="I954" s="37"/>
      <c r="J954" s="35"/>
    </row>
    <row r="955" spans="9:10" x14ac:dyDescent="0.25">
      <c r="I955" s="37"/>
      <c r="J955" s="35"/>
    </row>
    <row r="956" spans="9:10" x14ac:dyDescent="0.25">
      <c r="I956" s="37"/>
      <c r="J956" s="35"/>
    </row>
    <row r="957" spans="9:10" x14ac:dyDescent="0.25">
      <c r="I957" s="37"/>
      <c r="J957" s="35"/>
    </row>
    <row r="958" spans="9:10" x14ac:dyDescent="0.25">
      <c r="I958" s="37"/>
      <c r="J958" s="35"/>
    </row>
    <row r="959" spans="9:10" x14ac:dyDescent="0.25">
      <c r="I959" s="37"/>
      <c r="J959" s="35"/>
    </row>
    <row r="960" spans="9:10" x14ac:dyDescent="0.25">
      <c r="I960" s="37"/>
      <c r="J960" s="35"/>
    </row>
    <row r="961" spans="9:10" x14ac:dyDescent="0.25">
      <c r="I961" s="37"/>
      <c r="J961" s="35"/>
    </row>
    <row r="962" spans="9:10" x14ac:dyDescent="0.25">
      <c r="I962" s="37"/>
      <c r="J962" s="35"/>
    </row>
    <row r="963" spans="9:10" x14ac:dyDescent="0.25">
      <c r="I963" s="37"/>
      <c r="J963" s="35"/>
    </row>
    <row r="964" spans="9:10" x14ac:dyDescent="0.25">
      <c r="I964" s="37"/>
      <c r="J964" s="35"/>
    </row>
    <row r="965" spans="9:10" x14ac:dyDescent="0.25">
      <c r="I965" s="37"/>
      <c r="J965" s="35"/>
    </row>
    <row r="966" spans="9:10" x14ac:dyDescent="0.25">
      <c r="I966" s="37"/>
      <c r="J966" s="35"/>
    </row>
    <row r="967" spans="9:10" x14ac:dyDescent="0.25">
      <c r="I967" s="37"/>
      <c r="J967" s="35"/>
    </row>
    <row r="968" spans="9:10" x14ac:dyDescent="0.25">
      <c r="I968" s="37"/>
      <c r="J968" s="35"/>
    </row>
    <row r="969" spans="9:10" x14ac:dyDescent="0.25">
      <c r="I969" s="37"/>
      <c r="J969" s="35"/>
    </row>
    <row r="970" spans="9:10" x14ac:dyDescent="0.25">
      <c r="I970" s="37"/>
      <c r="J970" s="35"/>
    </row>
    <row r="971" spans="9:10" x14ac:dyDescent="0.25">
      <c r="I971" s="37"/>
      <c r="J971" s="35"/>
    </row>
    <row r="972" spans="9:10" x14ac:dyDescent="0.25">
      <c r="I972" s="37"/>
      <c r="J972" s="35"/>
    </row>
    <row r="973" spans="9:10" x14ac:dyDescent="0.25">
      <c r="I973" s="37"/>
      <c r="J973" s="35"/>
    </row>
    <row r="974" spans="9:10" x14ac:dyDescent="0.25">
      <c r="I974" s="37"/>
      <c r="J974" s="35"/>
    </row>
    <row r="975" spans="9:10" x14ac:dyDescent="0.25">
      <c r="I975" s="37"/>
      <c r="J975" s="35"/>
    </row>
    <row r="976" spans="9:10" x14ac:dyDescent="0.25">
      <c r="I976" s="37"/>
      <c r="J976" s="35"/>
    </row>
    <row r="977" spans="9:10" x14ac:dyDescent="0.25">
      <c r="I977" s="37"/>
      <c r="J977" s="35"/>
    </row>
    <row r="978" spans="9:10" x14ac:dyDescent="0.25">
      <c r="I978" s="37"/>
      <c r="J978" s="35"/>
    </row>
    <row r="979" spans="9:10" x14ac:dyDescent="0.25">
      <c r="I979" s="37"/>
      <c r="J979" s="35"/>
    </row>
    <row r="980" spans="9:10" x14ac:dyDescent="0.25">
      <c r="I980" s="37"/>
      <c r="J980" s="35"/>
    </row>
    <row r="981" spans="9:10" x14ac:dyDescent="0.25">
      <c r="I981" s="37"/>
      <c r="J981" s="35"/>
    </row>
    <row r="982" spans="9:10" x14ac:dyDescent="0.25">
      <c r="I982" s="37"/>
      <c r="J982" s="35"/>
    </row>
    <row r="983" spans="9:10" x14ac:dyDescent="0.25">
      <c r="I983" s="37"/>
      <c r="J983" s="35"/>
    </row>
    <row r="984" spans="9:10" x14ac:dyDescent="0.25">
      <c r="I984" s="37"/>
      <c r="J984" s="35"/>
    </row>
    <row r="985" spans="9:10" x14ac:dyDescent="0.25">
      <c r="I985" s="37"/>
      <c r="J985" s="35"/>
    </row>
    <row r="986" spans="9:10" x14ac:dyDescent="0.25">
      <c r="I986" s="37"/>
      <c r="J986" s="35"/>
    </row>
    <row r="987" spans="9:10" x14ac:dyDescent="0.25">
      <c r="I987" s="37"/>
      <c r="J987" s="35"/>
    </row>
    <row r="988" spans="9:10" x14ac:dyDescent="0.25">
      <c r="I988" s="37"/>
      <c r="J988" s="35"/>
    </row>
    <row r="989" spans="9:10" x14ac:dyDescent="0.25">
      <c r="I989" s="37"/>
      <c r="J989" s="35"/>
    </row>
    <row r="990" spans="9:10" x14ac:dyDescent="0.25">
      <c r="I990" s="37"/>
      <c r="J990" s="35"/>
    </row>
    <row r="991" spans="9:10" x14ac:dyDescent="0.25">
      <c r="I991" s="37"/>
      <c r="J991" s="35"/>
    </row>
    <row r="992" spans="9:10" x14ac:dyDescent="0.25">
      <c r="I992" s="37"/>
      <c r="J992" s="35"/>
    </row>
    <row r="993" spans="9:10" x14ac:dyDescent="0.25">
      <c r="I993" s="37"/>
      <c r="J993" s="35"/>
    </row>
    <row r="994" spans="9:10" x14ac:dyDescent="0.25">
      <c r="I994" s="37"/>
      <c r="J994" s="35"/>
    </row>
    <row r="995" spans="9:10" x14ac:dyDescent="0.25">
      <c r="I995" s="37"/>
      <c r="J995" s="35"/>
    </row>
    <row r="996" spans="9:10" x14ac:dyDescent="0.25">
      <c r="I996" s="37"/>
      <c r="J996" s="35"/>
    </row>
    <row r="997" spans="9:10" x14ac:dyDescent="0.25">
      <c r="I997" s="37"/>
      <c r="J997" s="35"/>
    </row>
    <row r="998" spans="9:10" x14ac:dyDescent="0.25">
      <c r="I998" s="37"/>
      <c r="J998" s="35"/>
    </row>
    <row r="999" spans="9:10" x14ac:dyDescent="0.25">
      <c r="I999" s="37"/>
      <c r="J999" s="35"/>
    </row>
    <row r="1000" spans="9:10" x14ac:dyDescent="0.25">
      <c r="I1000" s="37"/>
      <c r="J1000" s="35"/>
    </row>
    <row r="1001" spans="9:10" x14ac:dyDescent="0.25">
      <c r="I1001" s="37"/>
      <c r="J1001" s="35"/>
    </row>
    <row r="1002" spans="9:10" x14ac:dyDescent="0.25">
      <c r="I1002" s="37"/>
      <c r="J1002" s="35"/>
    </row>
    <row r="1003" spans="9:10" x14ac:dyDescent="0.25">
      <c r="I1003" s="37"/>
      <c r="J1003" s="35"/>
    </row>
    <row r="1004" spans="9:10" x14ac:dyDescent="0.25">
      <c r="I1004" s="37"/>
      <c r="J1004" s="35"/>
    </row>
    <row r="1005" spans="9:10" x14ac:dyDescent="0.25">
      <c r="I1005" s="37"/>
      <c r="J1005" s="35"/>
    </row>
    <row r="1006" spans="9:10" x14ac:dyDescent="0.25">
      <c r="I1006" s="37"/>
      <c r="J1006" s="35"/>
    </row>
    <row r="1007" spans="9:10" x14ac:dyDescent="0.25">
      <c r="I1007" s="37"/>
      <c r="J1007" s="35"/>
    </row>
    <row r="1008" spans="9:10" x14ac:dyDescent="0.25">
      <c r="I1008" s="37"/>
      <c r="J1008" s="35"/>
    </row>
    <row r="1009" spans="9:10" x14ac:dyDescent="0.25">
      <c r="I1009" s="37"/>
      <c r="J1009" s="35"/>
    </row>
    <row r="1010" spans="9:10" x14ac:dyDescent="0.25">
      <c r="I1010" s="37"/>
      <c r="J1010" s="35"/>
    </row>
    <row r="1011" spans="9:10" x14ac:dyDescent="0.25">
      <c r="I1011" s="37"/>
      <c r="J1011" s="35"/>
    </row>
    <row r="1012" spans="9:10" x14ac:dyDescent="0.25">
      <c r="I1012" s="37"/>
      <c r="J1012" s="35"/>
    </row>
    <row r="1013" spans="9:10" x14ac:dyDescent="0.25">
      <c r="I1013" s="37"/>
      <c r="J1013" s="35"/>
    </row>
    <row r="1014" spans="9:10" x14ac:dyDescent="0.25">
      <c r="I1014" s="37"/>
      <c r="J1014" s="35"/>
    </row>
    <row r="1015" spans="9:10" x14ac:dyDescent="0.25">
      <c r="I1015" s="37"/>
      <c r="J1015" s="35"/>
    </row>
    <row r="1016" spans="9:10" x14ac:dyDescent="0.25">
      <c r="I1016" s="37"/>
      <c r="J1016" s="35"/>
    </row>
    <row r="1017" spans="9:10" x14ac:dyDescent="0.25">
      <c r="I1017" s="37"/>
      <c r="J1017" s="35"/>
    </row>
    <row r="1018" spans="9:10" x14ac:dyDescent="0.25">
      <c r="I1018" s="37"/>
      <c r="J1018" s="35"/>
    </row>
    <row r="1019" spans="9:10" x14ac:dyDescent="0.25">
      <c r="I1019" s="37"/>
      <c r="J1019" s="35"/>
    </row>
    <row r="1020" spans="9:10" x14ac:dyDescent="0.25">
      <c r="I1020" s="37"/>
      <c r="J1020" s="35"/>
    </row>
    <row r="1021" spans="9:10" x14ac:dyDescent="0.25">
      <c r="I1021" s="37"/>
      <c r="J1021" s="35"/>
    </row>
    <row r="1022" spans="9:10" x14ac:dyDescent="0.25">
      <c r="I1022" s="37"/>
      <c r="J1022" s="35"/>
    </row>
    <row r="1023" spans="9:10" x14ac:dyDescent="0.25">
      <c r="I1023" s="37"/>
      <c r="J1023" s="35"/>
    </row>
    <row r="1024" spans="9:10" x14ac:dyDescent="0.25">
      <c r="I1024" s="37"/>
      <c r="J1024" s="35"/>
    </row>
    <row r="1025" spans="9:10" x14ac:dyDescent="0.25">
      <c r="I1025" s="37"/>
      <c r="J1025" s="35"/>
    </row>
    <row r="1026" spans="9:10" x14ac:dyDescent="0.25">
      <c r="I1026" s="37"/>
      <c r="J1026" s="35"/>
    </row>
    <row r="1027" spans="9:10" x14ac:dyDescent="0.25">
      <c r="I1027" s="37"/>
      <c r="J1027" s="35"/>
    </row>
    <row r="1028" spans="9:10" x14ac:dyDescent="0.25">
      <c r="I1028" s="37"/>
      <c r="J1028" s="35"/>
    </row>
    <row r="1029" spans="9:10" x14ac:dyDescent="0.25">
      <c r="I1029" s="37"/>
      <c r="J1029" s="35"/>
    </row>
    <row r="1030" spans="9:10" x14ac:dyDescent="0.25">
      <c r="I1030" s="37"/>
      <c r="J1030" s="35"/>
    </row>
    <row r="1031" spans="9:10" x14ac:dyDescent="0.25">
      <c r="I1031" s="37"/>
      <c r="J1031" s="35"/>
    </row>
    <row r="1032" spans="9:10" x14ac:dyDescent="0.25">
      <c r="I1032" s="37"/>
      <c r="J1032" s="35"/>
    </row>
    <row r="1033" spans="9:10" x14ac:dyDescent="0.25">
      <c r="I1033" s="37"/>
      <c r="J1033" s="35"/>
    </row>
    <row r="1034" spans="9:10" x14ac:dyDescent="0.25">
      <c r="I1034" s="37"/>
      <c r="J1034" s="35"/>
    </row>
    <row r="1035" spans="9:10" x14ac:dyDescent="0.25">
      <c r="I1035" s="37"/>
      <c r="J1035" s="35"/>
    </row>
    <row r="1036" spans="9:10" x14ac:dyDescent="0.25">
      <c r="I1036" s="37"/>
      <c r="J1036" s="35"/>
    </row>
    <row r="1037" spans="9:10" x14ac:dyDescent="0.25">
      <c r="I1037" s="37"/>
      <c r="J1037" s="35"/>
    </row>
    <row r="1038" spans="9:10" x14ac:dyDescent="0.25">
      <c r="I1038" s="37"/>
      <c r="J1038" s="35"/>
    </row>
    <row r="1039" spans="9:10" x14ac:dyDescent="0.25">
      <c r="I1039" s="37"/>
      <c r="J1039" s="35"/>
    </row>
    <row r="1040" spans="9:10" x14ac:dyDescent="0.25">
      <c r="I1040" s="37"/>
      <c r="J1040" s="35"/>
    </row>
    <row r="1041" spans="9:10" x14ac:dyDescent="0.25">
      <c r="I1041" s="37"/>
      <c r="J1041" s="35"/>
    </row>
    <row r="1042" spans="9:10" x14ac:dyDescent="0.25">
      <c r="I1042" s="37"/>
      <c r="J1042" s="35"/>
    </row>
    <row r="1043" spans="9:10" x14ac:dyDescent="0.25">
      <c r="I1043" s="37"/>
      <c r="J1043" s="35"/>
    </row>
    <row r="1044" spans="9:10" x14ac:dyDescent="0.25">
      <c r="I1044" s="37"/>
      <c r="J1044" s="35"/>
    </row>
    <row r="1045" spans="9:10" x14ac:dyDescent="0.25">
      <c r="I1045" s="37"/>
      <c r="J1045" s="35"/>
    </row>
    <row r="1046" spans="9:10" x14ac:dyDescent="0.25">
      <c r="I1046" s="37"/>
      <c r="J1046" s="35"/>
    </row>
    <row r="1047" spans="9:10" x14ac:dyDescent="0.25">
      <c r="I1047" s="37"/>
      <c r="J1047" s="35"/>
    </row>
    <row r="1048" spans="9:10" x14ac:dyDescent="0.25">
      <c r="I1048" s="37"/>
      <c r="J1048" s="35"/>
    </row>
    <row r="1049" spans="9:10" x14ac:dyDescent="0.25">
      <c r="I1049" s="37"/>
      <c r="J1049" s="35"/>
    </row>
    <row r="1050" spans="9:10" x14ac:dyDescent="0.25">
      <c r="I1050" s="37"/>
      <c r="J1050" s="35"/>
    </row>
    <row r="1051" spans="9:10" x14ac:dyDescent="0.25">
      <c r="I1051" s="37"/>
      <c r="J1051" s="35"/>
    </row>
    <row r="1052" spans="9:10" x14ac:dyDescent="0.25">
      <c r="I1052" s="37"/>
      <c r="J1052" s="35"/>
    </row>
    <row r="1053" spans="9:10" x14ac:dyDescent="0.25">
      <c r="I1053" s="37"/>
      <c r="J1053" s="35"/>
    </row>
    <row r="1054" spans="9:10" x14ac:dyDescent="0.25">
      <c r="I1054" s="37"/>
      <c r="J1054" s="35"/>
    </row>
    <row r="1055" spans="9:10" x14ac:dyDescent="0.25">
      <c r="I1055" s="37"/>
      <c r="J1055" s="35"/>
    </row>
    <row r="1056" spans="9:10" x14ac:dyDescent="0.25">
      <c r="I1056" s="37"/>
      <c r="J1056" s="35"/>
    </row>
    <row r="1057" spans="9:10" x14ac:dyDescent="0.25">
      <c r="I1057" s="37"/>
      <c r="J1057" s="35"/>
    </row>
    <row r="1058" spans="9:10" x14ac:dyDescent="0.25">
      <c r="I1058" s="37"/>
      <c r="J1058" s="35"/>
    </row>
    <row r="1059" spans="9:10" x14ac:dyDescent="0.25">
      <c r="I1059" s="37"/>
      <c r="J1059" s="35"/>
    </row>
    <row r="1060" spans="9:10" x14ac:dyDescent="0.25">
      <c r="I1060" s="37"/>
      <c r="J1060" s="35"/>
    </row>
    <row r="1061" spans="9:10" x14ac:dyDescent="0.25">
      <c r="I1061" s="37"/>
      <c r="J1061" s="35"/>
    </row>
    <row r="1062" spans="9:10" x14ac:dyDescent="0.25">
      <c r="I1062" s="37"/>
      <c r="J1062" s="35"/>
    </row>
    <row r="1063" spans="9:10" x14ac:dyDescent="0.25">
      <c r="I1063" s="37"/>
      <c r="J1063" s="35"/>
    </row>
    <row r="1064" spans="9:10" x14ac:dyDescent="0.25">
      <c r="I1064" s="37"/>
      <c r="J1064" s="35"/>
    </row>
    <row r="1065" spans="9:10" x14ac:dyDescent="0.25">
      <c r="I1065" s="37"/>
      <c r="J1065" s="35"/>
    </row>
    <row r="1066" spans="9:10" x14ac:dyDescent="0.25">
      <c r="I1066" s="37"/>
      <c r="J1066" s="35"/>
    </row>
    <row r="1067" spans="9:10" x14ac:dyDescent="0.25">
      <c r="I1067" s="37"/>
      <c r="J1067" s="35"/>
    </row>
    <row r="1068" spans="9:10" x14ac:dyDescent="0.25">
      <c r="I1068" s="37"/>
      <c r="J1068" s="35"/>
    </row>
    <row r="1069" spans="9:10" x14ac:dyDescent="0.25">
      <c r="I1069" s="37"/>
      <c r="J1069" s="35"/>
    </row>
    <row r="1070" spans="9:10" x14ac:dyDescent="0.25">
      <c r="I1070" s="37"/>
      <c r="J1070" s="35"/>
    </row>
    <row r="1071" spans="9:10" x14ac:dyDescent="0.25">
      <c r="I1071" s="37"/>
      <c r="J1071" s="35"/>
    </row>
    <row r="1072" spans="9:10" x14ac:dyDescent="0.25">
      <c r="I1072" s="37"/>
      <c r="J1072" s="35"/>
    </row>
    <row r="1073" spans="9:10" x14ac:dyDescent="0.25">
      <c r="I1073" s="37"/>
      <c r="J1073" s="35"/>
    </row>
    <row r="1074" spans="9:10" x14ac:dyDescent="0.25">
      <c r="I1074" s="37"/>
      <c r="J1074" s="35"/>
    </row>
    <row r="1075" spans="9:10" x14ac:dyDescent="0.25">
      <c r="I1075" s="37"/>
      <c r="J1075" s="35"/>
    </row>
    <row r="1076" spans="9:10" x14ac:dyDescent="0.25">
      <c r="I1076" s="37"/>
      <c r="J1076" s="35"/>
    </row>
    <row r="1077" spans="9:10" x14ac:dyDescent="0.25">
      <c r="I1077" s="37"/>
      <c r="J1077" s="35"/>
    </row>
    <row r="1078" spans="9:10" x14ac:dyDescent="0.25">
      <c r="I1078" s="37"/>
      <c r="J1078" s="35"/>
    </row>
    <row r="1079" spans="9:10" x14ac:dyDescent="0.25">
      <c r="I1079" s="37"/>
      <c r="J1079" s="35"/>
    </row>
    <row r="1080" spans="9:10" x14ac:dyDescent="0.25">
      <c r="I1080" s="37"/>
      <c r="J1080" s="35"/>
    </row>
    <row r="1081" spans="9:10" x14ac:dyDescent="0.25">
      <c r="I1081" s="37"/>
      <c r="J1081" s="35"/>
    </row>
    <row r="1082" spans="9:10" x14ac:dyDescent="0.25">
      <c r="I1082" s="37"/>
      <c r="J1082" s="35"/>
    </row>
    <row r="1083" spans="9:10" x14ac:dyDescent="0.25">
      <c r="I1083" s="37"/>
      <c r="J1083" s="35"/>
    </row>
    <row r="1084" spans="9:10" x14ac:dyDescent="0.25">
      <c r="I1084" s="37"/>
      <c r="J1084" s="35"/>
    </row>
    <row r="1085" spans="9:10" x14ac:dyDescent="0.25">
      <c r="I1085" s="37"/>
      <c r="J1085" s="35"/>
    </row>
    <row r="1086" spans="9:10" x14ac:dyDescent="0.25">
      <c r="I1086" s="37"/>
      <c r="J1086" s="35"/>
    </row>
    <row r="1087" spans="9:10" x14ac:dyDescent="0.25">
      <c r="I1087" s="37"/>
      <c r="J1087" s="35"/>
    </row>
    <row r="1088" spans="9:10" x14ac:dyDescent="0.25">
      <c r="I1088" s="37"/>
      <c r="J1088" s="35"/>
    </row>
    <row r="1089" spans="9:10" x14ac:dyDescent="0.25">
      <c r="I1089" s="37"/>
      <c r="J1089" s="35"/>
    </row>
    <row r="1090" spans="9:10" x14ac:dyDescent="0.25">
      <c r="I1090" s="37"/>
      <c r="J1090" s="35"/>
    </row>
    <row r="1091" spans="9:10" x14ac:dyDescent="0.25">
      <c r="I1091" s="37"/>
      <c r="J1091" s="35"/>
    </row>
    <row r="1092" spans="9:10" x14ac:dyDescent="0.25">
      <c r="I1092" s="37"/>
      <c r="J1092" s="35"/>
    </row>
    <row r="1093" spans="9:10" x14ac:dyDescent="0.25">
      <c r="I1093" s="37"/>
      <c r="J1093" s="35"/>
    </row>
    <row r="1094" spans="9:10" x14ac:dyDescent="0.25">
      <c r="I1094" s="37"/>
      <c r="J1094" s="35"/>
    </row>
    <row r="1095" spans="9:10" x14ac:dyDescent="0.25">
      <c r="I1095" s="37"/>
      <c r="J1095" s="35"/>
    </row>
    <row r="1096" spans="9:10" x14ac:dyDescent="0.25">
      <c r="I1096" s="37"/>
      <c r="J1096" s="35"/>
    </row>
    <row r="1097" spans="9:10" x14ac:dyDescent="0.25">
      <c r="I1097" s="37"/>
      <c r="J1097" s="35"/>
    </row>
    <row r="1098" spans="9:10" x14ac:dyDescent="0.25">
      <c r="I1098" s="37"/>
      <c r="J1098" s="35"/>
    </row>
    <row r="1099" spans="9:10" x14ac:dyDescent="0.25">
      <c r="I1099" s="37"/>
      <c r="J1099" s="35"/>
    </row>
    <row r="1100" spans="9:10" x14ac:dyDescent="0.25">
      <c r="I1100" s="37"/>
      <c r="J1100" s="35"/>
    </row>
    <row r="1101" spans="9:10" x14ac:dyDescent="0.25">
      <c r="I1101" s="37"/>
      <c r="J1101" s="35"/>
    </row>
    <row r="1102" spans="9:10" x14ac:dyDescent="0.25">
      <c r="I1102" s="37"/>
      <c r="J1102" s="35"/>
    </row>
    <row r="1103" spans="9:10" x14ac:dyDescent="0.25">
      <c r="I1103" s="37"/>
      <c r="J1103" s="35"/>
    </row>
    <row r="1104" spans="9:10" x14ac:dyDescent="0.25">
      <c r="I1104" s="37"/>
      <c r="J1104" s="35"/>
    </row>
    <row r="1105" spans="9:10" x14ac:dyDescent="0.25">
      <c r="I1105" s="37"/>
      <c r="J1105" s="35"/>
    </row>
    <row r="1106" spans="9:10" x14ac:dyDescent="0.25">
      <c r="I1106" s="37"/>
      <c r="J1106" s="35"/>
    </row>
    <row r="1107" spans="9:10" x14ac:dyDescent="0.25">
      <c r="I1107" s="37"/>
      <c r="J1107" s="35"/>
    </row>
    <row r="1108" spans="9:10" x14ac:dyDescent="0.25">
      <c r="I1108" s="37"/>
      <c r="J1108" s="35"/>
    </row>
    <row r="1109" spans="9:10" x14ac:dyDescent="0.25">
      <c r="I1109" s="37"/>
      <c r="J1109" s="35"/>
    </row>
    <row r="1110" spans="9:10" x14ac:dyDescent="0.25">
      <c r="I1110" s="37"/>
      <c r="J1110" s="35"/>
    </row>
    <row r="1111" spans="9:10" x14ac:dyDescent="0.25">
      <c r="I1111" s="37"/>
      <c r="J1111" s="35"/>
    </row>
    <row r="1112" spans="9:10" x14ac:dyDescent="0.25">
      <c r="I1112" s="37"/>
      <c r="J1112" s="35"/>
    </row>
    <row r="1113" spans="9:10" x14ac:dyDescent="0.25">
      <c r="I1113" s="37"/>
      <c r="J1113" s="35"/>
    </row>
    <row r="1114" spans="9:10" x14ac:dyDescent="0.25">
      <c r="I1114" s="37"/>
      <c r="J1114" s="35"/>
    </row>
    <row r="1115" spans="9:10" x14ac:dyDescent="0.25">
      <c r="I1115" s="37"/>
      <c r="J1115" s="35"/>
    </row>
    <row r="1116" spans="9:10" x14ac:dyDescent="0.25">
      <c r="I1116" s="37"/>
      <c r="J1116" s="35"/>
    </row>
    <row r="1117" spans="9:10" x14ac:dyDescent="0.25">
      <c r="I1117" s="37"/>
      <c r="J1117" s="35"/>
    </row>
    <row r="1118" spans="9:10" x14ac:dyDescent="0.25">
      <c r="I1118" s="37"/>
      <c r="J1118" s="35"/>
    </row>
    <row r="1119" spans="9:10" x14ac:dyDescent="0.25">
      <c r="I1119" s="37"/>
      <c r="J1119" s="35"/>
    </row>
    <row r="1120" spans="9:10" x14ac:dyDescent="0.25">
      <c r="I1120" s="37"/>
      <c r="J1120" s="35"/>
    </row>
    <row r="1121" spans="9:10" x14ac:dyDescent="0.25">
      <c r="I1121" s="37"/>
      <c r="J1121" s="35"/>
    </row>
    <row r="1122" spans="9:10" x14ac:dyDescent="0.25">
      <c r="I1122" s="37"/>
      <c r="J1122" s="35"/>
    </row>
    <row r="1123" spans="9:10" x14ac:dyDescent="0.25">
      <c r="I1123" s="37"/>
      <c r="J1123" s="35"/>
    </row>
    <row r="1124" spans="9:10" x14ac:dyDescent="0.25">
      <c r="I1124" s="37"/>
      <c r="J1124" s="35"/>
    </row>
    <row r="1125" spans="9:10" x14ac:dyDescent="0.25">
      <c r="I1125" s="37"/>
      <c r="J1125" s="35"/>
    </row>
    <row r="1126" spans="9:10" x14ac:dyDescent="0.25">
      <c r="I1126" s="37"/>
      <c r="J1126" s="35"/>
    </row>
    <row r="1127" spans="9:10" x14ac:dyDescent="0.25">
      <c r="I1127" s="37"/>
      <c r="J1127" s="35"/>
    </row>
    <row r="1128" spans="9:10" x14ac:dyDescent="0.25">
      <c r="I1128" s="37"/>
      <c r="J1128" s="35"/>
    </row>
    <row r="1129" spans="9:10" x14ac:dyDescent="0.25">
      <c r="I1129" s="37"/>
      <c r="J1129" s="35"/>
    </row>
    <row r="1130" spans="9:10" x14ac:dyDescent="0.25">
      <c r="I1130" s="37"/>
      <c r="J1130" s="35"/>
    </row>
    <row r="1131" spans="9:10" x14ac:dyDescent="0.25">
      <c r="I1131" s="37"/>
      <c r="J1131" s="35"/>
    </row>
    <row r="1132" spans="9:10" x14ac:dyDescent="0.25">
      <c r="I1132" s="37"/>
      <c r="J1132" s="35"/>
    </row>
    <row r="1133" spans="9:10" x14ac:dyDescent="0.25">
      <c r="I1133" s="37"/>
      <c r="J1133" s="35"/>
    </row>
    <row r="1134" spans="9:10" x14ac:dyDescent="0.25">
      <c r="I1134" s="37"/>
      <c r="J1134" s="35"/>
    </row>
    <row r="1135" spans="9:10" x14ac:dyDescent="0.25">
      <c r="I1135" s="37"/>
      <c r="J1135" s="35"/>
    </row>
    <row r="1136" spans="9:10" x14ac:dyDescent="0.25">
      <c r="I1136" s="37"/>
      <c r="J1136" s="35"/>
    </row>
    <row r="1137" spans="9:10" x14ac:dyDescent="0.25">
      <c r="I1137" s="37"/>
      <c r="J1137" s="35"/>
    </row>
    <row r="1138" spans="9:10" x14ac:dyDescent="0.25">
      <c r="I1138" s="37"/>
      <c r="J1138" s="35"/>
    </row>
    <row r="1139" spans="9:10" x14ac:dyDescent="0.25">
      <c r="I1139" s="37"/>
      <c r="J1139" s="35"/>
    </row>
    <row r="1140" spans="9:10" x14ac:dyDescent="0.25">
      <c r="I1140" s="37"/>
      <c r="J1140" s="35"/>
    </row>
    <row r="1141" spans="9:10" x14ac:dyDescent="0.25">
      <c r="I1141" s="37"/>
      <c r="J1141" s="35"/>
    </row>
    <row r="1142" spans="9:10" x14ac:dyDescent="0.25">
      <c r="I1142" s="37"/>
      <c r="J1142" s="35"/>
    </row>
    <row r="1143" spans="9:10" x14ac:dyDescent="0.25">
      <c r="I1143" s="37"/>
      <c r="J1143" s="35"/>
    </row>
    <row r="1144" spans="9:10" x14ac:dyDescent="0.25">
      <c r="I1144" s="37"/>
      <c r="J1144" s="35"/>
    </row>
    <row r="1145" spans="9:10" x14ac:dyDescent="0.25">
      <c r="I1145" s="37"/>
      <c r="J1145" s="35"/>
    </row>
    <row r="1146" spans="9:10" x14ac:dyDescent="0.25">
      <c r="I1146" s="37"/>
      <c r="J1146" s="35"/>
    </row>
    <row r="1147" spans="9:10" x14ac:dyDescent="0.25">
      <c r="I1147" s="37"/>
      <c r="J1147" s="35"/>
    </row>
    <row r="1148" spans="9:10" x14ac:dyDescent="0.25">
      <c r="I1148" s="37"/>
      <c r="J1148" s="35"/>
    </row>
    <row r="1149" spans="9:10" x14ac:dyDescent="0.25">
      <c r="I1149" s="37"/>
      <c r="J1149" s="35"/>
    </row>
    <row r="1150" spans="9:10" x14ac:dyDescent="0.25">
      <c r="I1150" s="37"/>
      <c r="J1150" s="35"/>
    </row>
    <row r="1151" spans="9:10" x14ac:dyDescent="0.25">
      <c r="I1151" s="37"/>
      <c r="J1151" s="35"/>
    </row>
    <row r="1152" spans="9:10" x14ac:dyDescent="0.25">
      <c r="I1152" s="37"/>
      <c r="J1152" s="35"/>
    </row>
    <row r="1153" spans="9:10" x14ac:dyDescent="0.25">
      <c r="I1153" s="37"/>
      <c r="J1153" s="35"/>
    </row>
    <row r="1154" spans="9:10" x14ac:dyDescent="0.25">
      <c r="I1154" s="37"/>
      <c r="J1154" s="35"/>
    </row>
    <row r="1155" spans="9:10" x14ac:dyDescent="0.25">
      <c r="I1155" s="37"/>
      <c r="J1155" s="35"/>
    </row>
    <row r="1156" spans="9:10" x14ac:dyDescent="0.25">
      <c r="I1156" s="37"/>
      <c r="J1156" s="35"/>
    </row>
    <row r="1157" spans="9:10" x14ac:dyDescent="0.25">
      <c r="I1157" s="37"/>
      <c r="J1157" s="35"/>
    </row>
    <row r="1158" spans="9:10" x14ac:dyDescent="0.25">
      <c r="I1158" s="37"/>
      <c r="J1158" s="35"/>
    </row>
    <row r="1159" spans="9:10" x14ac:dyDescent="0.25">
      <c r="I1159" s="37"/>
      <c r="J1159" s="35"/>
    </row>
    <row r="1160" spans="9:10" x14ac:dyDescent="0.25">
      <c r="I1160" s="37"/>
      <c r="J1160" s="35"/>
    </row>
    <row r="1161" spans="9:10" x14ac:dyDescent="0.25">
      <c r="I1161" s="37"/>
      <c r="J1161" s="35"/>
    </row>
    <row r="1162" spans="9:10" x14ac:dyDescent="0.25">
      <c r="I1162" s="37"/>
      <c r="J1162" s="35"/>
    </row>
    <row r="1163" spans="9:10" x14ac:dyDescent="0.25">
      <c r="I1163" s="37"/>
      <c r="J1163" s="35"/>
    </row>
    <row r="1164" spans="9:10" x14ac:dyDescent="0.25">
      <c r="I1164" s="37"/>
      <c r="J1164" s="35"/>
    </row>
    <row r="1165" spans="9:10" x14ac:dyDescent="0.25">
      <c r="I1165" s="37"/>
      <c r="J1165" s="35"/>
    </row>
    <row r="1166" spans="9:10" x14ac:dyDescent="0.25">
      <c r="I1166" s="37"/>
      <c r="J1166" s="35"/>
    </row>
    <row r="1167" spans="9:10" x14ac:dyDescent="0.25">
      <c r="I1167" s="37"/>
      <c r="J1167" s="35"/>
    </row>
    <row r="1168" spans="9:10" x14ac:dyDescent="0.25">
      <c r="I1168" s="37"/>
      <c r="J1168" s="35"/>
    </row>
    <row r="1169" spans="9:10" x14ac:dyDescent="0.25">
      <c r="I1169" s="37"/>
      <c r="J1169" s="35"/>
    </row>
    <row r="1170" spans="9:10" x14ac:dyDescent="0.25">
      <c r="I1170" s="37"/>
      <c r="J1170" s="35"/>
    </row>
    <row r="1171" spans="9:10" x14ac:dyDescent="0.25">
      <c r="I1171" s="37"/>
      <c r="J1171" s="35"/>
    </row>
    <row r="1172" spans="9:10" x14ac:dyDescent="0.25">
      <c r="I1172" s="37"/>
      <c r="J1172" s="35"/>
    </row>
    <row r="1173" spans="9:10" x14ac:dyDescent="0.25">
      <c r="I1173" s="37"/>
      <c r="J1173" s="35"/>
    </row>
    <row r="1174" spans="9:10" x14ac:dyDescent="0.25">
      <c r="I1174" s="37"/>
      <c r="J1174" s="35"/>
    </row>
    <row r="1175" spans="9:10" x14ac:dyDescent="0.25">
      <c r="I1175" s="37"/>
      <c r="J1175" s="35"/>
    </row>
    <row r="1176" spans="9:10" x14ac:dyDescent="0.25">
      <c r="I1176" s="37"/>
      <c r="J1176" s="35"/>
    </row>
    <row r="1177" spans="9:10" x14ac:dyDescent="0.25">
      <c r="I1177" s="37"/>
      <c r="J1177" s="35"/>
    </row>
    <row r="1178" spans="9:10" x14ac:dyDescent="0.25">
      <c r="I1178" s="37"/>
      <c r="J1178" s="35"/>
    </row>
    <row r="1179" spans="9:10" x14ac:dyDescent="0.25">
      <c r="I1179" s="37"/>
      <c r="J1179" s="35"/>
    </row>
    <row r="1180" spans="9:10" x14ac:dyDescent="0.25">
      <c r="I1180" s="37"/>
      <c r="J1180" s="35"/>
    </row>
    <row r="1181" spans="9:10" x14ac:dyDescent="0.25">
      <c r="I1181" s="37"/>
      <c r="J1181" s="35"/>
    </row>
    <row r="1182" spans="9:10" x14ac:dyDescent="0.25">
      <c r="I1182" s="37"/>
      <c r="J1182" s="35"/>
    </row>
    <row r="1183" spans="9:10" x14ac:dyDescent="0.25">
      <c r="I1183" s="37"/>
      <c r="J1183" s="35"/>
    </row>
    <row r="1184" spans="9:10" x14ac:dyDescent="0.25">
      <c r="I1184" s="37"/>
      <c r="J1184" s="35"/>
    </row>
    <row r="1185" spans="9:10" x14ac:dyDescent="0.25">
      <c r="I1185" s="37"/>
      <c r="J1185" s="35"/>
    </row>
    <row r="1186" spans="9:10" x14ac:dyDescent="0.25">
      <c r="I1186" s="37"/>
      <c r="J1186" s="35"/>
    </row>
    <row r="1187" spans="9:10" x14ac:dyDescent="0.25">
      <c r="I1187" s="37"/>
      <c r="J1187" s="35"/>
    </row>
    <row r="1188" spans="9:10" x14ac:dyDescent="0.25">
      <c r="I1188" s="37"/>
      <c r="J1188" s="35"/>
    </row>
    <row r="1189" spans="9:10" x14ac:dyDescent="0.25">
      <c r="I1189" s="37"/>
      <c r="J1189" s="35"/>
    </row>
    <row r="1190" spans="9:10" x14ac:dyDescent="0.25">
      <c r="I1190" s="37"/>
      <c r="J1190" s="35"/>
    </row>
    <row r="1191" spans="9:10" x14ac:dyDescent="0.25">
      <c r="I1191" s="37"/>
      <c r="J1191" s="35"/>
    </row>
    <row r="1192" spans="9:10" x14ac:dyDescent="0.25">
      <c r="I1192" s="37"/>
      <c r="J1192" s="35"/>
    </row>
    <row r="1193" spans="9:10" x14ac:dyDescent="0.25">
      <c r="I1193" s="37"/>
      <c r="J1193" s="35"/>
    </row>
    <row r="1194" spans="9:10" x14ac:dyDescent="0.25">
      <c r="I1194" s="37"/>
      <c r="J1194" s="35"/>
    </row>
    <row r="1195" spans="9:10" x14ac:dyDescent="0.25">
      <c r="I1195" s="37"/>
      <c r="J1195" s="35"/>
    </row>
    <row r="1196" spans="9:10" x14ac:dyDescent="0.25">
      <c r="I1196" s="37"/>
      <c r="J1196" s="35"/>
    </row>
    <row r="1197" spans="9:10" x14ac:dyDescent="0.25">
      <c r="I1197" s="37"/>
      <c r="J1197" s="35"/>
    </row>
    <row r="1198" spans="9:10" x14ac:dyDescent="0.25">
      <c r="I1198" s="37"/>
      <c r="J1198" s="35"/>
    </row>
    <row r="1199" spans="9:10" x14ac:dyDescent="0.25">
      <c r="I1199" s="37"/>
      <c r="J1199" s="35"/>
    </row>
    <row r="1200" spans="9:10" x14ac:dyDescent="0.25">
      <c r="I1200" s="37"/>
      <c r="J1200" s="35"/>
    </row>
    <row r="1201" spans="9:10" x14ac:dyDescent="0.25">
      <c r="I1201" s="37"/>
      <c r="J1201" s="35"/>
    </row>
    <row r="1202" spans="9:10" x14ac:dyDescent="0.25">
      <c r="I1202" s="37"/>
      <c r="J1202" s="35"/>
    </row>
    <row r="1203" spans="9:10" x14ac:dyDescent="0.25">
      <c r="I1203" s="37"/>
      <c r="J1203" s="35"/>
    </row>
    <row r="1204" spans="9:10" x14ac:dyDescent="0.25">
      <c r="I1204" s="37"/>
      <c r="J1204" s="35"/>
    </row>
    <row r="1205" spans="9:10" x14ac:dyDescent="0.25">
      <c r="I1205" s="37"/>
      <c r="J1205" s="35"/>
    </row>
    <row r="1206" spans="9:10" x14ac:dyDescent="0.25">
      <c r="I1206" s="37"/>
      <c r="J1206" s="35"/>
    </row>
    <row r="1207" spans="9:10" x14ac:dyDescent="0.25">
      <c r="I1207" s="37"/>
      <c r="J1207" s="35"/>
    </row>
    <row r="1208" spans="9:10" x14ac:dyDescent="0.25">
      <c r="I1208" s="37"/>
      <c r="J1208" s="35"/>
    </row>
    <row r="1209" spans="9:10" x14ac:dyDescent="0.25">
      <c r="I1209" s="37"/>
      <c r="J1209" s="35"/>
    </row>
    <row r="1210" spans="9:10" x14ac:dyDescent="0.25">
      <c r="I1210" s="37"/>
      <c r="J1210" s="35"/>
    </row>
    <row r="1211" spans="9:10" x14ac:dyDescent="0.25">
      <c r="I1211" s="37"/>
      <c r="J1211" s="35"/>
    </row>
    <row r="1212" spans="9:10" x14ac:dyDescent="0.25">
      <c r="I1212" s="37"/>
      <c r="J1212" s="35"/>
    </row>
    <row r="1213" spans="9:10" x14ac:dyDescent="0.25">
      <c r="I1213" s="37"/>
      <c r="J1213" s="35"/>
    </row>
    <row r="1214" spans="9:10" x14ac:dyDescent="0.25">
      <c r="I1214" s="37"/>
      <c r="J1214" s="35"/>
    </row>
    <row r="1215" spans="9:10" x14ac:dyDescent="0.25">
      <c r="I1215" s="37"/>
      <c r="J1215" s="35"/>
    </row>
    <row r="1216" spans="9:10" x14ac:dyDescent="0.25">
      <c r="I1216" s="37"/>
      <c r="J1216" s="35"/>
    </row>
    <row r="1217" spans="9:10" x14ac:dyDescent="0.25">
      <c r="I1217" s="37"/>
      <c r="J1217" s="35"/>
    </row>
    <row r="1218" spans="9:10" x14ac:dyDescent="0.25">
      <c r="I1218" s="37"/>
      <c r="J1218" s="35"/>
    </row>
    <row r="1219" spans="9:10" x14ac:dyDescent="0.25">
      <c r="I1219" s="37"/>
      <c r="J1219" s="35"/>
    </row>
    <row r="1220" spans="9:10" x14ac:dyDescent="0.25">
      <c r="I1220" s="37"/>
      <c r="J1220" s="35"/>
    </row>
    <row r="1221" spans="9:10" x14ac:dyDescent="0.25">
      <c r="I1221" s="37"/>
      <c r="J1221" s="35"/>
    </row>
    <row r="1222" spans="9:10" x14ac:dyDescent="0.25">
      <c r="I1222" s="37"/>
      <c r="J1222" s="35"/>
    </row>
    <row r="1223" spans="9:10" x14ac:dyDescent="0.25">
      <c r="I1223" s="37"/>
      <c r="J1223" s="35"/>
    </row>
    <row r="1224" spans="9:10" x14ac:dyDescent="0.25">
      <c r="I1224" s="37"/>
      <c r="J1224" s="35"/>
    </row>
    <row r="1225" spans="9:10" x14ac:dyDescent="0.25">
      <c r="I1225" s="37"/>
      <c r="J1225" s="35"/>
    </row>
    <row r="1226" spans="9:10" x14ac:dyDescent="0.25">
      <c r="I1226" s="37"/>
      <c r="J1226" s="35"/>
    </row>
    <row r="1227" spans="9:10" x14ac:dyDescent="0.25">
      <c r="I1227" s="37"/>
      <c r="J1227" s="35"/>
    </row>
    <row r="1228" spans="9:10" x14ac:dyDescent="0.25">
      <c r="I1228" s="37"/>
      <c r="J1228" s="35"/>
    </row>
    <row r="1229" spans="9:10" x14ac:dyDescent="0.25">
      <c r="I1229" s="37"/>
      <c r="J1229" s="35"/>
    </row>
    <row r="1230" spans="9:10" x14ac:dyDescent="0.25">
      <c r="I1230" s="37"/>
      <c r="J1230" s="35"/>
    </row>
    <row r="1231" spans="9:10" x14ac:dyDescent="0.25">
      <c r="I1231" s="37"/>
      <c r="J1231" s="35"/>
    </row>
    <row r="1232" spans="9:10" x14ac:dyDescent="0.25">
      <c r="I1232" s="37"/>
      <c r="J1232" s="35"/>
    </row>
    <row r="1233" spans="9:10" x14ac:dyDescent="0.25">
      <c r="I1233" s="37"/>
      <c r="J1233" s="35"/>
    </row>
    <row r="1234" spans="9:10" x14ac:dyDescent="0.25">
      <c r="I1234" s="37"/>
      <c r="J1234" s="35"/>
    </row>
    <row r="1235" spans="9:10" x14ac:dyDescent="0.25">
      <c r="I1235" s="37"/>
      <c r="J1235" s="35"/>
    </row>
    <row r="1236" spans="9:10" x14ac:dyDescent="0.25">
      <c r="I1236" s="37"/>
      <c r="J1236" s="35"/>
    </row>
    <row r="1237" spans="9:10" x14ac:dyDescent="0.25">
      <c r="I1237" s="37"/>
      <c r="J1237" s="35"/>
    </row>
    <row r="1238" spans="9:10" x14ac:dyDescent="0.25">
      <c r="I1238" s="37"/>
      <c r="J1238" s="35"/>
    </row>
    <row r="1239" spans="9:10" x14ac:dyDescent="0.25">
      <c r="I1239" s="37"/>
      <c r="J1239" s="35"/>
    </row>
    <row r="1240" spans="9:10" x14ac:dyDescent="0.25">
      <c r="I1240" s="37"/>
      <c r="J1240" s="35"/>
    </row>
    <row r="1241" spans="9:10" x14ac:dyDescent="0.25">
      <c r="I1241" s="37"/>
      <c r="J1241" s="35"/>
    </row>
    <row r="1242" spans="9:10" x14ac:dyDescent="0.25">
      <c r="I1242" s="37"/>
      <c r="J1242" s="35"/>
    </row>
    <row r="1243" spans="9:10" x14ac:dyDescent="0.25">
      <c r="I1243" s="37"/>
      <c r="J1243" s="35"/>
    </row>
    <row r="1244" spans="9:10" x14ac:dyDescent="0.25">
      <c r="I1244" s="37"/>
      <c r="J1244" s="35"/>
    </row>
    <row r="1245" spans="9:10" x14ac:dyDescent="0.25">
      <c r="I1245" s="37"/>
      <c r="J1245" s="35"/>
    </row>
    <row r="1246" spans="9:10" x14ac:dyDescent="0.25">
      <c r="I1246" s="37"/>
      <c r="J1246" s="35"/>
    </row>
    <row r="1247" spans="9:10" x14ac:dyDescent="0.25">
      <c r="I1247" s="37"/>
      <c r="J1247" s="35"/>
    </row>
    <row r="1248" spans="9:10" x14ac:dyDescent="0.25">
      <c r="I1248" s="37"/>
      <c r="J1248" s="35"/>
    </row>
    <row r="1249" spans="9:10" x14ac:dyDescent="0.25">
      <c r="I1249" s="37"/>
      <c r="J1249" s="35"/>
    </row>
    <row r="1250" spans="9:10" x14ac:dyDescent="0.25">
      <c r="I1250" s="37"/>
      <c r="J1250" s="35"/>
    </row>
    <row r="1251" spans="9:10" x14ac:dyDescent="0.25">
      <c r="I1251" s="37"/>
      <c r="J1251" s="35"/>
    </row>
    <row r="1252" spans="9:10" x14ac:dyDescent="0.25">
      <c r="I1252" s="37"/>
      <c r="J1252" s="35"/>
    </row>
    <row r="1253" spans="9:10" x14ac:dyDescent="0.25">
      <c r="I1253" s="37"/>
      <c r="J1253" s="35"/>
    </row>
    <row r="1254" spans="9:10" x14ac:dyDescent="0.25">
      <c r="I1254" s="37"/>
      <c r="J1254" s="35"/>
    </row>
    <row r="1255" spans="9:10" x14ac:dyDescent="0.25">
      <c r="I1255" s="37"/>
      <c r="J1255" s="35"/>
    </row>
    <row r="1256" spans="9:10" x14ac:dyDescent="0.25">
      <c r="I1256" s="37"/>
      <c r="J1256" s="35"/>
    </row>
    <row r="1257" spans="9:10" x14ac:dyDescent="0.25">
      <c r="I1257" s="37"/>
      <c r="J1257" s="35"/>
    </row>
    <row r="1258" spans="9:10" x14ac:dyDescent="0.25">
      <c r="I1258" s="37"/>
      <c r="J1258" s="35"/>
    </row>
    <row r="1259" spans="9:10" x14ac:dyDescent="0.25">
      <c r="I1259" s="37"/>
      <c r="J1259" s="35"/>
    </row>
    <row r="1260" spans="9:10" x14ac:dyDescent="0.25">
      <c r="I1260" s="37"/>
      <c r="J1260" s="35"/>
    </row>
    <row r="1261" spans="9:10" x14ac:dyDescent="0.25">
      <c r="I1261" s="37"/>
      <c r="J1261" s="35"/>
    </row>
    <row r="1262" spans="9:10" x14ac:dyDescent="0.25">
      <c r="I1262" s="37"/>
      <c r="J1262" s="35"/>
    </row>
    <row r="1263" spans="9:10" x14ac:dyDescent="0.25">
      <c r="I1263" s="37"/>
      <c r="J1263" s="35"/>
    </row>
    <row r="1264" spans="9:10" x14ac:dyDescent="0.25">
      <c r="I1264" s="37"/>
      <c r="J1264" s="35"/>
    </row>
    <row r="1265" spans="9:10" x14ac:dyDescent="0.25">
      <c r="I1265" s="37"/>
      <c r="J1265" s="35"/>
    </row>
    <row r="1266" spans="9:10" x14ac:dyDescent="0.25">
      <c r="I1266" s="37"/>
      <c r="J1266" s="35"/>
    </row>
    <row r="1267" spans="9:10" x14ac:dyDescent="0.25">
      <c r="I1267" s="37"/>
      <c r="J1267" s="35"/>
    </row>
    <row r="1268" spans="9:10" x14ac:dyDescent="0.25">
      <c r="I1268" s="37"/>
      <c r="J1268" s="35"/>
    </row>
    <row r="1269" spans="9:10" x14ac:dyDescent="0.25">
      <c r="I1269" s="37"/>
      <c r="J1269" s="35"/>
    </row>
    <row r="1270" spans="9:10" x14ac:dyDescent="0.25">
      <c r="I1270" s="37"/>
      <c r="J1270" s="35"/>
    </row>
    <row r="1271" spans="9:10" x14ac:dyDescent="0.25">
      <c r="I1271" s="37"/>
      <c r="J1271" s="35"/>
    </row>
    <row r="1272" spans="9:10" x14ac:dyDescent="0.25">
      <c r="I1272" s="37"/>
      <c r="J1272" s="35"/>
    </row>
    <row r="1273" spans="9:10" x14ac:dyDescent="0.25">
      <c r="I1273" s="37"/>
      <c r="J1273" s="35"/>
    </row>
    <row r="1274" spans="9:10" x14ac:dyDescent="0.25">
      <c r="I1274" s="37"/>
      <c r="J1274" s="35"/>
    </row>
    <row r="1275" spans="9:10" x14ac:dyDescent="0.25">
      <c r="I1275" s="37"/>
      <c r="J1275" s="35"/>
    </row>
    <row r="1276" spans="9:10" x14ac:dyDescent="0.25">
      <c r="I1276" s="37"/>
      <c r="J1276" s="35"/>
    </row>
    <row r="1277" spans="9:10" x14ac:dyDescent="0.25">
      <c r="I1277" s="37"/>
      <c r="J1277" s="35"/>
    </row>
    <row r="1278" spans="9:10" x14ac:dyDescent="0.25">
      <c r="I1278" s="37"/>
      <c r="J1278" s="35"/>
    </row>
    <row r="1279" spans="9:10" x14ac:dyDescent="0.25">
      <c r="I1279" s="37"/>
      <c r="J1279" s="35"/>
    </row>
    <row r="1280" spans="9:10" x14ac:dyDescent="0.25">
      <c r="I1280" s="37"/>
      <c r="J1280" s="35"/>
    </row>
    <row r="1281" spans="9:10" x14ac:dyDescent="0.25">
      <c r="I1281" s="37"/>
      <c r="J1281" s="35"/>
    </row>
    <row r="1282" spans="9:10" x14ac:dyDescent="0.25">
      <c r="I1282" s="37"/>
      <c r="J1282" s="35"/>
    </row>
    <row r="1283" spans="9:10" x14ac:dyDescent="0.25">
      <c r="I1283" s="37"/>
      <c r="J1283" s="35"/>
    </row>
    <row r="1284" spans="9:10" x14ac:dyDescent="0.25">
      <c r="I1284" s="37"/>
      <c r="J1284" s="35"/>
    </row>
    <row r="1285" spans="9:10" x14ac:dyDescent="0.25">
      <c r="I1285" s="37"/>
      <c r="J1285" s="35"/>
    </row>
    <row r="1286" spans="9:10" x14ac:dyDescent="0.25">
      <c r="I1286" s="37"/>
      <c r="J1286" s="35"/>
    </row>
    <row r="1287" spans="9:10" x14ac:dyDescent="0.25">
      <c r="I1287" s="37"/>
      <c r="J1287" s="35"/>
    </row>
    <row r="1288" spans="9:10" x14ac:dyDescent="0.25">
      <c r="I1288" s="37"/>
      <c r="J1288" s="35"/>
    </row>
    <row r="1289" spans="9:10" x14ac:dyDescent="0.25">
      <c r="I1289" s="37"/>
      <c r="J1289" s="35"/>
    </row>
    <row r="1290" spans="9:10" x14ac:dyDescent="0.25">
      <c r="I1290" s="37"/>
      <c r="J1290" s="35"/>
    </row>
    <row r="1291" spans="9:10" x14ac:dyDescent="0.25">
      <c r="I1291" s="37"/>
      <c r="J1291" s="35"/>
    </row>
    <row r="1292" spans="9:10" x14ac:dyDescent="0.25">
      <c r="I1292" s="37"/>
      <c r="J1292" s="35"/>
    </row>
    <row r="1293" spans="9:10" x14ac:dyDescent="0.25">
      <c r="I1293" s="37"/>
      <c r="J1293" s="35"/>
    </row>
    <row r="1294" spans="9:10" x14ac:dyDescent="0.25">
      <c r="I1294" s="37"/>
      <c r="J1294" s="35"/>
    </row>
    <row r="1295" spans="9:10" x14ac:dyDescent="0.25">
      <c r="I1295" s="37"/>
      <c r="J1295" s="35"/>
    </row>
    <row r="1296" spans="9:10" x14ac:dyDescent="0.25">
      <c r="I1296" s="37"/>
      <c r="J1296" s="35"/>
    </row>
    <row r="1297" spans="9:10" x14ac:dyDescent="0.25">
      <c r="I1297" s="37"/>
      <c r="J1297" s="35"/>
    </row>
    <row r="1298" spans="9:10" x14ac:dyDescent="0.25">
      <c r="I1298" s="37"/>
      <c r="J1298" s="35"/>
    </row>
    <row r="1299" spans="9:10" x14ac:dyDescent="0.25">
      <c r="I1299" s="37"/>
      <c r="J1299" s="35"/>
    </row>
    <row r="1300" spans="9:10" x14ac:dyDescent="0.25">
      <c r="I1300" s="37"/>
      <c r="J1300" s="35"/>
    </row>
    <row r="1301" spans="9:10" x14ac:dyDescent="0.25">
      <c r="I1301" s="37"/>
      <c r="J1301" s="35"/>
    </row>
    <row r="1302" spans="9:10" x14ac:dyDescent="0.25">
      <c r="I1302" s="37"/>
      <c r="J1302" s="35"/>
    </row>
    <row r="1303" spans="9:10" x14ac:dyDescent="0.25">
      <c r="I1303" s="37"/>
      <c r="J1303" s="35"/>
    </row>
    <row r="1304" spans="9:10" x14ac:dyDescent="0.25">
      <c r="I1304" s="37"/>
      <c r="J1304" s="35"/>
    </row>
    <row r="1305" spans="9:10" x14ac:dyDescent="0.25">
      <c r="I1305" s="37"/>
      <c r="J1305" s="35"/>
    </row>
    <row r="1306" spans="9:10" x14ac:dyDescent="0.25">
      <c r="I1306" s="37"/>
      <c r="J1306" s="35"/>
    </row>
    <row r="1307" spans="9:10" x14ac:dyDescent="0.25">
      <c r="I1307" s="37"/>
      <c r="J1307" s="35"/>
    </row>
    <row r="1308" spans="9:10" x14ac:dyDescent="0.25">
      <c r="I1308" s="37"/>
      <c r="J1308" s="35"/>
    </row>
    <row r="1309" spans="9:10" x14ac:dyDescent="0.25">
      <c r="I1309" s="37"/>
      <c r="J1309" s="35"/>
    </row>
    <row r="1310" spans="9:10" x14ac:dyDescent="0.25">
      <c r="I1310" s="37"/>
      <c r="J1310" s="35"/>
    </row>
    <row r="1311" spans="9:10" x14ac:dyDescent="0.25">
      <c r="I1311" s="37"/>
      <c r="J1311" s="35"/>
    </row>
    <row r="1312" spans="9:10" x14ac:dyDescent="0.25">
      <c r="I1312" s="37"/>
      <c r="J1312" s="35"/>
    </row>
    <row r="1313" spans="9:10" x14ac:dyDescent="0.25">
      <c r="I1313" s="37"/>
      <c r="J1313" s="35"/>
    </row>
    <row r="1314" spans="9:10" x14ac:dyDescent="0.25">
      <c r="I1314" s="37"/>
      <c r="J1314" s="35"/>
    </row>
    <row r="1315" spans="9:10" x14ac:dyDescent="0.25">
      <c r="I1315" s="37"/>
      <c r="J1315" s="35"/>
    </row>
    <row r="1316" spans="9:10" x14ac:dyDescent="0.25">
      <c r="I1316" s="37"/>
      <c r="J1316" s="35"/>
    </row>
    <row r="1317" spans="9:10" x14ac:dyDescent="0.25">
      <c r="I1317" s="37"/>
      <c r="J1317" s="35"/>
    </row>
    <row r="1318" spans="9:10" x14ac:dyDescent="0.25">
      <c r="I1318" s="37"/>
      <c r="J1318" s="35"/>
    </row>
    <row r="1319" spans="9:10" x14ac:dyDescent="0.25">
      <c r="I1319" s="37"/>
      <c r="J1319" s="35"/>
    </row>
    <row r="1320" spans="9:10" x14ac:dyDescent="0.25">
      <c r="I1320" s="37"/>
      <c r="J1320" s="35"/>
    </row>
    <row r="1321" spans="9:10" x14ac:dyDescent="0.25">
      <c r="I1321" s="37"/>
      <c r="J1321" s="35"/>
    </row>
    <row r="1322" spans="9:10" x14ac:dyDescent="0.25">
      <c r="I1322" s="37"/>
      <c r="J1322" s="35"/>
    </row>
    <row r="1323" spans="9:10" x14ac:dyDescent="0.25">
      <c r="I1323" s="37"/>
      <c r="J1323" s="35"/>
    </row>
    <row r="1324" spans="9:10" x14ac:dyDescent="0.25">
      <c r="I1324" s="37"/>
      <c r="J1324" s="35"/>
    </row>
    <row r="1325" spans="9:10" x14ac:dyDescent="0.25">
      <c r="I1325" s="37"/>
      <c r="J1325" s="35"/>
    </row>
    <row r="1326" spans="9:10" x14ac:dyDescent="0.25">
      <c r="I1326" s="37"/>
      <c r="J1326" s="35"/>
    </row>
    <row r="1327" spans="9:10" x14ac:dyDescent="0.25">
      <c r="I1327" s="37"/>
      <c r="J1327" s="35"/>
    </row>
    <row r="1328" spans="9:10" x14ac:dyDescent="0.25">
      <c r="I1328" s="37"/>
      <c r="J1328" s="35"/>
    </row>
    <row r="1329" spans="9:10" x14ac:dyDescent="0.25">
      <c r="I1329" s="37"/>
      <c r="J1329" s="35"/>
    </row>
    <row r="1330" spans="9:10" x14ac:dyDescent="0.25">
      <c r="I1330" s="37"/>
      <c r="J1330" s="35"/>
    </row>
    <row r="1331" spans="9:10" x14ac:dyDescent="0.25">
      <c r="I1331" s="37"/>
      <c r="J1331" s="35"/>
    </row>
    <row r="1332" spans="9:10" x14ac:dyDescent="0.25">
      <c r="I1332" s="37"/>
      <c r="J1332" s="35"/>
    </row>
    <row r="1333" spans="9:10" x14ac:dyDescent="0.25">
      <c r="I1333" s="37"/>
      <c r="J1333" s="35"/>
    </row>
    <row r="1334" spans="9:10" x14ac:dyDescent="0.25">
      <c r="I1334" s="37"/>
      <c r="J1334" s="35"/>
    </row>
  </sheetData>
  <mergeCells count="18">
    <mergeCell ref="T2:U2"/>
    <mergeCell ref="J2:K2"/>
    <mergeCell ref="L2:M2"/>
    <mergeCell ref="N2:O2"/>
    <mergeCell ref="P2:Q2"/>
    <mergeCell ref="R2:S2"/>
    <mergeCell ref="T29:U29"/>
    <mergeCell ref="J16:K16"/>
    <mergeCell ref="L16:M16"/>
    <mergeCell ref="N16:O16"/>
    <mergeCell ref="P16:Q16"/>
    <mergeCell ref="R16:S16"/>
    <mergeCell ref="T16:U16"/>
    <mergeCell ref="J29:K29"/>
    <mergeCell ref="L29:M29"/>
    <mergeCell ref="N29:O29"/>
    <mergeCell ref="P29:Q29"/>
    <mergeCell ref="R29:S29"/>
  </mergeCells>
  <conditionalFormatting sqref="AE3:AI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:AI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0:AI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75876-975A-49B0-8D70-DBEC3C98AC5E}">
  <dimension ref="B1:AQ1334"/>
  <sheetViews>
    <sheetView showGridLines="0" zoomScale="85" zoomScaleNormal="85" workbookViewId="0">
      <selection activeCell="I8" sqref="I8"/>
    </sheetView>
  </sheetViews>
  <sheetFormatPr defaultRowHeight="15" outlineLevelRow="1" outlineLevelCol="1" x14ac:dyDescent="0.25"/>
  <cols>
    <col min="1" max="1" width="2.5703125" customWidth="1"/>
    <col min="2" max="2" width="9.140625" customWidth="1"/>
    <col min="3" max="3" width="16.28515625" bestFit="1" customWidth="1"/>
    <col min="4" max="4" width="15.28515625" bestFit="1" customWidth="1"/>
    <col min="5" max="5" width="2.5703125" customWidth="1"/>
    <col min="6" max="6" width="18.140625" bestFit="1" customWidth="1"/>
    <col min="7" max="7" width="2.5703125" customWidth="1"/>
    <col min="8" max="8" width="25.140625" bestFit="1" customWidth="1"/>
    <col min="9" max="9" width="24.28515625" style="11" customWidth="1" outlineLevel="1"/>
    <col min="10" max="10" width="9.42578125" style="6" customWidth="1"/>
    <col min="11" max="11" width="19" style="11" hidden="1" customWidth="1" outlineLevel="1"/>
    <col min="12" max="12" width="12.5703125" style="6" customWidth="1" collapsed="1"/>
    <col min="13" max="13" width="19.5703125" style="11" hidden="1" customWidth="1" outlineLevel="1"/>
    <col min="14" max="14" width="14.140625" style="6" customWidth="1" collapsed="1"/>
    <col min="15" max="15" width="17" style="11" hidden="1" customWidth="1" outlineLevel="1"/>
    <col min="16" max="16" width="8.5703125" style="6" bestFit="1" customWidth="1" collapsed="1"/>
    <col min="17" max="17" width="18" style="11" hidden="1" customWidth="1" outlineLevel="1"/>
    <col min="18" max="18" width="11.42578125" style="5" customWidth="1" collapsed="1"/>
    <col min="19" max="19" width="19.5703125" style="10" hidden="1" customWidth="1" outlineLevel="1"/>
    <col min="20" max="20" width="9.85546875" style="10" bestFit="1" customWidth="1" collapsed="1"/>
    <col min="21" max="21" width="19.5703125" style="10" hidden="1" customWidth="1" outlineLevel="1"/>
    <col min="22" max="22" width="2.5703125" customWidth="1" collapsed="1"/>
    <col min="23" max="24" width="7.140625" hidden="1" customWidth="1" outlineLevel="1"/>
    <col min="25" max="25" width="17.85546875" bestFit="1" customWidth="1" collapsed="1"/>
    <col min="26" max="27" width="17.85546875" bestFit="1" customWidth="1"/>
    <col min="28" max="28" width="17" bestFit="1" customWidth="1"/>
    <col min="29" max="29" width="15.140625" bestFit="1" customWidth="1"/>
    <col min="30" max="30" width="2.5703125" customWidth="1"/>
    <col min="31" max="31" width="7.85546875" bestFit="1" customWidth="1"/>
    <col min="32" max="32" width="11.140625" bestFit="1" customWidth="1"/>
    <col min="33" max="33" width="13.28515625" bestFit="1" customWidth="1"/>
    <col min="34" max="34" width="7.85546875" bestFit="1" customWidth="1"/>
    <col min="35" max="35" width="8.140625" bestFit="1" customWidth="1"/>
    <col min="36" max="36" width="2.5703125" customWidth="1"/>
    <col min="37" max="37" width="17.85546875" bestFit="1" customWidth="1"/>
    <col min="38" max="38" width="8.140625" bestFit="1" customWidth="1"/>
    <col min="39" max="39" width="2.5703125" customWidth="1"/>
    <col min="41" max="41" width="16.28515625" bestFit="1" customWidth="1"/>
  </cols>
  <sheetData>
    <row r="1" spans="2:43" ht="9" customHeight="1" x14ac:dyDescent="0.25"/>
    <row r="2" spans="2:43" x14ac:dyDescent="0.25">
      <c r="B2" s="1"/>
      <c r="C2" s="1" t="s">
        <v>20</v>
      </c>
      <c r="D2" s="1"/>
      <c r="H2" s="4" t="s">
        <v>1</v>
      </c>
      <c r="I2" s="9" t="s">
        <v>4</v>
      </c>
      <c r="J2" s="112" t="s">
        <v>7</v>
      </c>
      <c r="K2" s="112"/>
      <c r="L2" s="112" t="s">
        <v>8</v>
      </c>
      <c r="M2" s="112"/>
      <c r="N2" s="112" t="s">
        <v>10</v>
      </c>
      <c r="O2" s="112"/>
      <c r="P2" s="112" t="s">
        <v>9</v>
      </c>
      <c r="Q2" s="112"/>
      <c r="R2" s="112" t="s">
        <v>21</v>
      </c>
      <c r="S2" s="112"/>
      <c r="T2" s="112" t="s">
        <v>55</v>
      </c>
      <c r="U2" s="112"/>
      <c r="W2" s="1" t="s">
        <v>46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27" t="s">
        <v>49</v>
      </c>
      <c r="AF2" s="27" t="s">
        <v>50</v>
      </c>
      <c r="AG2" s="27" t="s">
        <v>51</v>
      </c>
      <c r="AH2" s="27" t="s">
        <v>52</v>
      </c>
      <c r="AI2" s="27" t="s">
        <v>53</v>
      </c>
      <c r="AK2" s="75" t="s">
        <v>60</v>
      </c>
      <c r="AL2" s="75" t="s">
        <v>61</v>
      </c>
      <c r="AN2" s="1"/>
      <c r="AO2" s="1" t="s">
        <v>20</v>
      </c>
      <c r="AP2" s="1"/>
    </row>
    <row r="3" spans="2:43" x14ac:dyDescent="0.25">
      <c r="B3" s="105" t="s">
        <v>77</v>
      </c>
      <c r="C3" s="106" t="s">
        <v>10</v>
      </c>
      <c r="D3" s="105" t="s">
        <v>7</v>
      </c>
      <c r="F3" s="7">
        <f>J3+L3+N3+P3+R3+T3</f>
        <v>0.99999999999999989</v>
      </c>
      <c r="H3" s="97" t="s">
        <v>5</v>
      </c>
      <c r="I3" s="80">
        <v>532937997.32999998</v>
      </c>
      <c r="J3" s="81">
        <v>0.53559999999999997</v>
      </c>
      <c r="K3" s="80">
        <f t="shared" ref="K3:Q13" si="0">+J3*$I3</f>
        <v>285441591.36994797</v>
      </c>
      <c r="L3" s="81">
        <v>0.2316</v>
      </c>
      <c r="M3" s="80">
        <f t="shared" si="0"/>
        <v>123428440.181628</v>
      </c>
      <c r="N3" s="81">
        <v>0.19259999999999999</v>
      </c>
      <c r="O3" s="80">
        <f t="shared" si="0"/>
        <v>102643858.28575799</v>
      </c>
      <c r="P3" s="81">
        <v>4.1200000000000001E-2</v>
      </c>
      <c r="Q3" s="80">
        <f t="shared" si="0"/>
        <v>21957045.489996001</v>
      </c>
      <c r="R3" s="82">
        <v>0</v>
      </c>
      <c r="S3" s="80">
        <f t="shared" ref="S3:S13" si="1">+R3*$I3</f>
        <v>0</v>
      </c>
      <c r="T3" s="81">
        <v>-1E-3</v>
      </c>
      <c r="U3" s="65">
        <f t="shared" ref="U3:U13" si="2">+T3*$I3</f>
        <v>-532937.99733000004</v>
      </c>
      <c r="Y3" s="12">
        <f>K3-'Set25'!K3</f>
        <v>53079162.420182973</v>
      </c>
      <c r="Z3" s="12">
        <f>M3-'Set25'!M3</f>
        <v>-42073230.289120987</v>
      </c>
      <c r="AA3" s="12">
        <f>O3-'Set25'!O3</f>
        <v>-10263521.279523015</v>
      </c>
      <c r="AB3" s="12">
        <f>Q3-'Set25'!Q3</f>
        <v>-81452.925857998431</v>
      </c>
      <c r="AC3" s="12">
        <f>+S3-'Set25'!S3</f>
        <v>0</v>
      </c>
      <c r="AD3" s="98"/>
      <c r="AE3" s="28">
        <f>J3-'Set25'!J3</f>
        <v>9.9099999999999966E-2</v>
      </c>
      <c r="AF3" s="28">
        <f>L3-'Set25'!L3</f>
        <v>-7.9299999999999954E-2</v>
      </c>
      <c r="AG3" s="28">
        <f>N3-'Set25'!N3</f>
        <v>-1.9500000000000017E-2</v>
      </c>
      <c r="AH3" s="28">
        <f>P3-'Set25'!P3</f>
        <v>-1.9999999999999879E-4</v>
      </c>
      <c r="AI3" s="28">
        <f>R3-'Set25'!R3</f>
        <v>0</v>
      </c>
      <c r="AJ3" s="8"/>
      <c r="AK3" s="10">
        <f>I3-'Set25'!I3</f>
        <v>607117.71999996901</v>
      </c>
      <c r="AL3" s="76">
        <f>I3/'Set25'!I3-1</f>
        <v>1.1404893896906909E-3</v>
      </c>
      <c r="AM3" s="8"/>
      <c r="AN3" t="s">
        <v>11</v>
      </c>
      <c r="AO3" s="2" t="s">
        <v>10</v>
      </c>
      <c r="AP3" t="s">
        <v>7</v>
      </c>
      <c r="AQ3" s="8"/>
    </row>
    <row r="4" spans="2:43" x14ac:dyDescent="0.25">
      <c r="B4" s="103" t="s">
        <v>12</v>
      </c>
      <c r="C4" s="104" t="s">
        <v>16</v>
      </c>
      <c r="D4" s="103" t="s">
        <v>58</v>
      </c>
      <c r="F4" s="7">
        <f t="shared" ref="F4:F36" si="3">J4+L4+N4+P4+R4+T4</f>
        <v>1</v>
      </c>
      <c r="H4" s="3" t="s">
        <v>0</v>
      </c>
      <c r="I4" s="78">
        <v>1776340921</v>
      </c>
      <c r="J4" s="77">
        <v>0.42</v>
      </c>
      <c r="K4" s="78">
        <f t="shared" si="0"/>
        <v>746063186.81999993</v>
      </c>
      <c r="L4" s="77">
        <v>0.21</v>
      </c>
      <c r="M4" s="78">
        <f t="shared" si="0"/>
        <v>373031593.40999997</v>
      </c>
      <c r="N4" s="77">
        <v>0.24</v>
      </c>
      <c r="O4" s="78">
        <f t="shared" si="0"/>
        <v>426321821.03999996</v>
      </c>
      <c r="P4" s="77">
        <v>0.11</v>
      </c>
      <c r="Q4" s="78">
        <f t="shared" si="0"/>
        <v>195397501.31</v>
      </c>
      <c r="R4" s="77">
        <v>0</v>
      </c>
      <c r="S4" s="78">
        <f t="shared" si="1"/>
        <v>0</v>
      </c>
      <c r="T4" s="77">
        <v>0.02</v>
      </c>
      <c r="U4" s="57">
        <f t="shared" si="2"/>
        <v>35526818.420000002</v>
      </c>
      <c r="Y4" s="12">
        <f>K4-'Set25'!K4</f>
        <v>13370030.939999938</v>
      </c>
      <c r="Z4" s="12">
        <f>M4-'Set25'!M4</f>
        <v>6685015.4700000286</v>
      </c>
      <c r="AA4" s="12">
        <f>O4-'Set25'!O4</f>
        <v>-9805057.4600000381</v>
      </c>
      <c r="AB4" s="12">
        <f>Q4-'Set25'!Q4</f>
        <v>3501674.7700000107</v>
      </c>
      <c r="AC4" s="12">
        <f>+S4-'Set25'!S4</f>
        <v>0</v>
      </c>
      <c r="AE4" s="28">
        <f>J4-'Set25'!J4</f>
        <v>0</v>
      </c>
      <c r="AF4" s="28">
        <f>L4-'Set25'!L4</f>
        <v>0</v>
      </c>
      <c r="AG4" s="28">
        <f>N4-'Set25'!N4</f>
        <v>-1.0000000000000009E-2</v>
      </c>
      <c r="AH4" s="28">
        <f>P4-'Set25'!P4</f>
        <v>0</v>
      </c>
      <c r="AI4" s="28">
        <f>R4-'Set25'!R4</f>
        <v>0</v>
      </c>
      <c r="AK4" s="10">
        <f>I4-'Set25'!I4</f>
        <v>31833407</v>
      </c>
      <c r="AL4" s="76">
        <f>I4/'Set25'!I4-1</f>
        <v>1.8247790132476238E-2</v>
      </c>
      <c r="AN4" t="s">
        <v>12</v>
      </c>
      <c r="AO4" s="2" t="s">
        <v>16</v>
      </c>
      <c r="AP4" t="s">
        <v>58</v>
      </c>
    </row>
    <row r="5" spans="2:43" x14ac:dyDescent="0.25">
      <c r="B5" s="103" t="s">
        <v>13</v>
      </c>
      <c r="C5" s="104" t="s">
        <v>17</v>
      </c>
      <c r="D5" s="103" t="s">
        <v>59</v>
      </c>
      <c r="F5" s="7">
        <f>J5+L5+N5+P5+R5+T5</f>
        <v>1</v>
      </c>
      <c r="H5" s="3" t="s">
        <v>3</v>
      </c>
      <c r="I5" s="78">
        <v>258275224.21000001</v>
      </c>
      <c r="J5" s="77">
        <v>0.42</v>
      </c>
      <c r="K5" s="78">
        <f t="shared" si="0"/>
        <v>108475594.1682</v>
      </c>
      <c r="L5" s="77">
        <v>0</v>
      </c>
      <c r="M5" s="78">
        <f t="shared" si="0"/>
        <v>0</v>
      </c>
      <c r="N5" s="77">
        <v>0.34</v>
      </c>
      <c r="O5" s="78">
        <f t="shared" si="0"/>
        <v>87813576.231400013</v>
      </c>
      <c r="P5" s="77">
        <v>0.05</v>
      </c>
      <c r="Q5" s="78">
        <f t="shared" si="0"/>
        <v>12913761.210500002</v>
      </c>
      <c r="R5" s="77">
        <v>0.15</v>
      </c>
      <c r="S5" s="78">
        <f t="shared" si="1"/>
        <v>38741283.631499998</v>
      </c>
      <c r="T5" s="77">
        <v>0.04</v>
      </c>
      <c r="U5" s="57">
        <f t="shared" si="2"/>
        <v>10331008.9684</v>
      </c>
      <c r="Y5" s="12">
        <f>K5-'Set25'!K5</f>
        <v>-36438266.836200014</v>
      </c>
      <c r="Z5" s="12">
        <f>M5-'Set25'!M5</f>
        <v>0</v>
      </c>
      <c r="AA5" s="12">
        <f>O5-'Set25'!O5</f>
        <v>4622285.6548000127</v>
      </c>
      <c r="AB5" s="12">
        <f>Q5-'Set25'!Q5</f>
        <v>2179401.1361000016</v>
      </c>
      <c r="AC5" s="12">
        <f>+S5-'Set25'!S5</f>
        <v>9221793.4268999957</v>
      </c>
      <c r="AE5" s="28">
        <f>J5-'Set25'!J5</f>
        <v>-0.12000000000000005</v>
      </c>
      <c r="AF5" s="28">
        <f>L5-'Set25'!L5</f>
        <v>0</v>
      </c>
      <c r="AG5" s="28">
        <f>N5-'Set25'!N5</f>
        <v>3.0000000000000027E-2</v>
      </c>
      <c r="AH5" s="28">
        <f>P5-'Set25'!P5</f>
        <v>1.0000000000000002E-2</v>
      </c>
      <c r="AI5" s="28">
        <f>R5-'Set25'!R5</f>
        <v>3.9999999999999994E-2</v>
      </c>
      <c r="AK5" s="10">
        <f>I5-'Set25'!I5</f>
        <v>-10083777.650000006</v>
      </c>
      <c r="AL5" s="76">
        <f>I5/'Set25'!I5-1</f>
        <v>-3.7575701132099959E-2</v>
      </c>
      <c r="AN5" t="s">
        <v>13</v>
      </c>
      <c r="AO5" s="2" t="s">
        <v>17</v>
      </c>
      <c r="AP5" t="s">
        <v>59</v>
      </c>
    </row>
    <row r="6" spans="2:43" x14ac:dyDescent="0.25">
      <c r="B6" s="103" t="s">
        <v>14</v>
      </c>
      <c r="C6" s="104" t="s">
        <v>18</v>
      </c>
      <c r="F6" s="7">
        <f t="shared" si="3"/>
        <v>1</v>
      </c>
      <c r="H6" s="3" t="s">
        <v>62</v>
      </c>
      <c r="I6" s="78">
        <v>4369741654</v>
      </c>
      <c r="J6" s="77">
        <v>0.248</v>
      </c>
      <c r="K6" s="78">
        <f t="shared" si="0"/>
        <v>1083695930.1919999</v>
      </c>
      <c r="L6" s="77">
        <v>0.24399999999999999</v>
      </c>
      <c r="M6" s="78">
        <f t="shared" si="0"/>
        <v>1066216963.576</v>
      </c>
      <c r="N6" s="77">
        <v>0.43099999999999999</v>
      </c>
      <c r="O6" s="78">
        <f t="shared" si="0"/>
        <v>1883358652.8740001</v>
      </c>
      <c r="P6" s="77">
        <v>0.05</v>
      </c>
      <c r="Q6" s="78">
        <f t="shared" si="0"/>
        <v>218487082.70000002</v>
      </c>
      <c r="R6" s="77">
        <v>0</v>
      </c>
      <c r="S6" s="78">
        <f t="shared" si="1"/>
        <v>0</v>
      </c>
      <c r="T6" s="77">
        <v>2.7E-2</v>
      </c>
      <c r="U6" s="57">
        <f t="shared" si="2"/>
        <v>117983024.65799999</v>
      </c>
      <c r="Y6" s="12">
        <f>K6-'Set25'!K6</f>
        <v>-25673320.727999926</v>
      </c>
      <c r="Z6" s="12">
        <f>M6-'Set25'!M6</f>
        <v>-192311178.22400022</v>
      </c>
      <c r="AA6" s="12">
        <f>O6-'Set25'!O6</f>
        <v>-18417205.845999956</v>
      </c>
      <c r="AB6" s="12">
        <f>Q6-'Set25'!Q6</f>
        <v>-590038.27999997139</v>
      </c>
      <c r="AC6" s="12">
        <f>+S6-'Set25'!S6</f>
        <v>0</v>
      </c>
      <c r="AE6" s="28">
        <f>J6-'Set25'!J6</f>
        <v>1.0000000000000009E-2</v>
      </c>
      <c r="AF6" s="28">
        <f>L6-'Set25'!L6</f>
        <v>-2.6000000000000023E-2</v>
      </c>
      <c r="AG6" s="28">
        <f>N6-'Set25'!N6</f>
        <v>2.2999999999999965E-2</v>
      </c>
      <c r="AH6" s="28">
        <f>P6-'Set25'!P6</f>
        <v>3.0000000000000027E-3</v>
      </c>
      <c r="AI6" s="28">
        <f>R6-'Set25'!R6</f>
        <v>0</v>
      </c>
      <c r="AK6" s="10">
        <f>I6-'Set25'!I6</f>
        <v>-291473686</v>
      </c>
      <c r="AL6" s="76">
        <f>I6/'Set25'!I6-1</f>
        <v>-6.2531692861029664E-2</v>
      </c>
      <c r="AN6" t="s">
        <v>14</v>
      </c>
      <c r="AO6" s="2" t="s">
        <v>18</v>
      </c>
    </row>
    <row r="7" spans="2:43" x14ac:dyDescent="0.25">
      <c r="B7" s="103" t="s">
        <v>15</v>
      </c>
      <c r="C7" s="104" t="s">
        <v>19</v>
      </c>
      <c r="F7" s="7">
        <f t="shared" si="3"/>
        <v>1</v>
      </c>
      <c r="H7" s="3" t="s">
        <v>22</v>
      </c>
      <c r="I7" s="78">
        <v>3243950000</v>
      </c>
      <c r="J7" s="77">
        <v>0.21199999999999999</v>
      </c>
      <c r="K7" s="78">
        <f t="shared" si="0"/>
        <v>687717400</v>
      </c>
      <c r="L7" s="77">
        <v>0.34200000000000003</v>
      </c>
      <c r="M7" s="78">
        <f t="shared" si="0"/>
        <v>1109430900</v>
      </c>
      <c r="N7" s="77">
        <v>0.36699999999999999</v>
      </c>
      <c r="O7" s="78">
        <f t="shared" si="0"/>
        <v>1190529650</v>
      </c>
      <c r="P7" s="77">
        <v>7.9000000000000001E-2</v>
      </c>
      <c r="Q7" s="78">
        <f t="shared" si="0"/>
        <v>256272050</v>
      </c>
      <c r="R7" s="77">
        <v>0</v>
      </c>
      <c r="S7" s="78">
        <f t="shared" si="1"/>
        <v>0</v>
      </c>
      <c r="T7" s="77">
        <v>0</v>
      </c>
      <c r="U7" s="57">
        <f t="shared" si="2"/>
        <v>0</v>
      </c>
      <c r="Y7" s="12">
        <f>K7-'Set25'!K7</f>
        <v>-30126740</v>
      </c>
      <c r="Z7" s="12">
        <f>M7-'Set25'!M7</f>
        <v>124695990</v>
      </c>
      <c r="AA7" s="12">
        <f>O7-'Set25'!O7</f>
        <v>37070690</v>
      </c>
      <c r="AB7" s="12">
        <f>Q7-'Set25'!Q7</f>
        <v>53803190</v>
      </c>
      <c r="AC7" s="12">
        <f>+S7-'Set25'!S7</f>
        <v>0</v>
      </c>
      <c r="AE7" s="28">
        <f>J7-'Set25'!J7</f>
        <v>-2.200000000000002E-2</v>
      </c>
      <c r="AF7" s="28">
        <f>L7-'Set25'!L7</f>
        <v>2.1000000000000019E-2</v>
      </c>
      <c r="AG7" s="28">
        <f>N7-'Set25'!N7</f>
        <v>-9.000000000000008E-3</v>
      </c>
      <c r="AH7" s="28">
        <f>P7-'Set25'!P7</f>
        <v>1.2999999999999998E-2</v>
      </c>
      <c r="AI7" s="28">
        <f>R7-'Set25'!R7</f>
        <v>0</v>
      </c>
      <c r="AK7" s="10">
        <f>I7-'Set25'!I7</f>
        <v>176240000</v>
      </c>
      <c r="AL7" s="76">
        <f>I7/'Set25'!I7-1</f>
        <v>5.7450019721551282E-2</v>
      </c>
      <c r="AN7" t="s">
        <v>15</v>
      </c>
      <c r="AO7" s="2" t="s">
        <v>19</v>
      </c>
    </row>
    <row r="8" spans="2:43" x14ac:dyDescent="0.25">
      <c r="B8" s="103" t="s">
        <v>57</v>
      </c>
      <c r="F8" s="7">
        <f t="shared" si="3"/>
        <v>1</v>
      </c>
      <c r="H8" s="3" t="s">
        <v>23</v>
      </c>
      <c r="I8" s="78">
        <v>196485799.52000001</v>
      </c>
      <c r="J8" s="77">
        <v>0.125</v>
      </c>
      <c r="K8" s="78">
        <f t="shared" si="0"/>
        <v>24560724.940000001</v>
      </c>
      <c r="L8" s="77">
        <v>0.42499999999999999</v>
      </c>
      <c r="M8" s="78">
        <f t="shared" si="0"/>
        <v>83506464.796000004</v>
      </c>
      <c r="N8" s="77">
        <v>0.24</v>
      </c>
      <c r="O8" s="78">
        <f t="shared" si="0"/>
        <v>47156591.884800002</v>
      </c>
      <c r="P8" s="77">
        <v>0.08</v>
      </c>
      <c r="Q8" s="78">
        <f t="shared" si="0"/>
        <v>15718863.961600002</v>
      </c>
      <c r="R8" s="77">
        <v>0</v>
      </c>
      <c r="S8" s="78">
        <f t="shared" si="1"/>
        <v>0</v>
      </c>
      <c r="T8" s="77">
        <v>0.13</v>
      </c>
      <c r="U8" s="57">
        <f t="shared" si="2"/>
        <v>25543153.937600002</v>
      </c>
      <c r="Y8" s="12">
        <f>K8-'Set25'!K8</f>
        <v>-9480384.1549999975</v>
      </c>
      <c r="Z8" s="12">
        <f>M8-'Set25'!M8</f>
        <v>9750728.4235000014</v>
      </c>
      <c r="AA8" s="12">
        <f>O8-'Set25'!O8</f>
        <v>3659619.1523000002</v>
      </c>
      <c r="AB8" s="12">
        <f>Q8-'Set25'!Q8</f>
        <v>589482.1416000016</v>
      </c>
      <c r="AC8" s="12">
        <f>+S8-'Set25'!S8</f>
        <v>0</v>
      </c>
      <c r="AE8" s="28">
        <f>J8-'Set25'!J8</f>
        <v>-5.4999999999999993E-2</v>
      </c>
      <c r="AF8" s="28">
        <f>L8-'Set25'!L8</f>
        <v>3.4999999999999976E-2</v>
      </c>
      <c r="AG8" s="28">
        <f>N8-'Set25'!N8</f>
        <v>9.9999999999999811E-3</v>
      </c>
      <c r="AH8" s="28">
        <f>P8-'Set25'!P8</f>
        <v>0</v>
      </c>
      <c r="AI8" s="28">
        <f>R8-'Set25'!R8</f>
        <v>0</v>
      </c>
      <c r="AK8" s="10">
        <f>I8-'Set25'!I8</f>
        <v>7368526.7700000107</v>
      </c>
      <c r="AL8" s="76">
        <f>I8/'Set25'!I8-1</f>
        <v>3.8962738108753836E-2</v>
      </c>
      <c r="AN8" t="s">
        <v>57</v>
      </c>
    </row>
    <row r="9" spans="2:43" x14ac:dyDescent="0.25">
      <c r="F9" s="7">
        <f t="shared" si="3"/>
        <v>1</v>
      </c>
      <c r="H9" s="3" t="s">
        <v>24</v>
      </c>
      <c r="I9" s="78">
        <v>1623143566</v>
      </c>
      <c r="J9" s="77">
        <v>0.64910000000000001</v>
      </c>
      <c r="K9" s="78">
        <f t="shared" si="0"/>
        <v>1053582488.6906</v>
      </c>
      <c r="L9" s="77">
        <v>0.13389999999999999</v>
      </c>
      <c r="M9" s="78">
        <f t="shared" si="0"/>
        <v>217338923.4874</v>
      </c>
      <c r="N9" s="77">
        <v>0.17230000000000001</v>
      </c>
      <c r="O9" s="78">
        <f t="shared" si="0"/>
        <v>279667636.42180002</v>
      </c>
      <c r="P9" s="77">
        <v>4.2099999999999999E-2</v>
      </c>
      <c r="Q9" s="78">
        <f t="shared" si="0"/>
        <v>68334344.128600001</v>
      </c>
      <c r="R9" s="77">
        <v>0</v>
      </c>
      <c r="S9" s="78">
        <f t="shared" si="1"/>
        <v>0</v>
      </c>
      <c r="T9" s="77">
        <v>2.5999999999999999E-3</v>
      </c>
      <c r="U9" s="57">
        <f t="shared" si="2"/>
        <v>4220173.2715999996</v>
      </c>
      <c r="Y9" s="12">
        <f>K9-'Set25'!K9</f>
        <v>80440051.749800086</v>
      </c>
      <c r="Z9" s="12">
        <f>M9-'Set25'!M9</f>
        <v>-6409935.418200016</v>
      </c>
      <c r="AA9" s="12">
        <f>O9-'Set25'!O9</f>
        <v>-22070986.37499994</v>
      </c>
      <c r="AB9" s="12">
        <f>Q9-'Set25'!Q9</f>
        <v>-1321836.1209999919</v>
      </c>
      <c r="AC9" s="12">
        <f>+S9-'Set25'!S9</f>
        <v>0</v>
      </c>
      <c r="AE9" s="28">
        <f>J9-'Set25'!J9</f>
        <v>3.0200000000000005E-2</v>
      </c>
      <c r="AF9" s="28">
        <f>L9-'Set25'!L9</f>
        <v>-8.4000000000000186E-3</v>
      </c>
      <c r="AG9" s="28">
        <f>N9-'Set25'!N9</f>
        <v>-1.9599999999999979E-2</v>
      </c>
      <c r="AH9" s="28">
        <f>P9-'Set25'!P9</f>
        <v>-2.2000000000000006E-3</v>
      </c>
      <c r="AI9" s="28">
        <f>R9-'Set25'!R9</f>
        <v>0</v>
      </c>
      <c r="AK9" s="10">
        <f>I9-'Set25'!I9</f>
        <v>50769294</v>
      </c>
      <c r="AL9" s="76">
        <f>I9/'Set25'!I9-1</f>
        <v>3.228830114055703E-2</v>
      </c>
    </row>
    <row r="10" spans="2:43" x14ac:dyDescent="0.25">
      <c r="F10" s="7">
        <f t="shared" si="3"/>
        <v>1</v>
      </c>
      <c r="H10" s="3" t="s">
        <v>73</v>
      </c>
      <c r="I10" s="78">
        <v>7995677437.4399996</v>
      </c>
      <c r="J10" s="77">
        <v>0.39300000000000002</v>
      </c>
      <c r="K10" s="78">
        <f t="shared" si="0"/>
        <v>3142301232.9139199</v>
      </c>
      <c r="L10" s="77">
        <v>0.4</v>
      </c>
      <c r="M10" s="78">
        <f t="shared" si="0"/>
        <v>3198270974.9759998</v>
      </c>
      <c r="N10" s="77">
        <v>0.16700000000000001</v>
      </c>
      <c r="O10" s="78">
        <f t="shared" si="0"/>
        <v>1335278132.05248</v>
      </c>
      <c r="P10" s="77">
        <v>0.04</v>
      </c>
      <c r="Q10" s="78">
        <f t="shared" si="0"/>
        <v>319827097.49760002</v>
      </c>
      <c r="R10" s="77">
        <v>0</v>
      </c>
      <c r="S10" s="78">
        <f t="shared" si="1"/>
        <v>0</v>
      </c>
      <c r="T10" s="77">
        <v>0</v>
      </c>
      <c r="U10" s="57">
        <f t="shared" si="2"/>
        <v>0</v>
      </c>
      <c r="Y10" s="12">
        <f>K10-'Set25'!K10</f>
        <v>290188812.89892006</v>
      </c>
      <c r="Z10" s="12">
        <f>M10-'Set25'!M10</f>
        <v>-159990973.09800005</v>
      </c>
      <c r="AA10" s="12">
        <f>O10-'Set25'!O10</f>
        <v>-199238691.11052012</v>
      </c>
      <c r="AB10" s="12">
        <f>Q10-'Set25'!Q10</f>
        <v>30598795.749600053</v>
      </c>
      <c r="AC10" s="12">
        <f>+S10-'Set25'!S10</f>
        <v>0</v>
      </c>
      <c r="AE10" s="28">
        <f>J10-'Set25'!J10</f>
        <v>3.8000000000000034E-2</v>
      </c>
      <c r="AF10" s="28">
        <f>L10-'Set25'!L10</f>
        <v>-1.799999999999996E-2</v>
      </c>
      <c r="AG10" s="28">
        <f>N10-'Set25'!N10</f>
        <v>-2.3999999999999994E-2</v>
      </c>
      <c r="AH10" s="28">
        <f>P10-'Set25'!P10</f>
        <v>4.0000000000000036E-3</v>
      </c>
      <c r="AI10" s="28">
        <f>R10-'Set25'!R10</f>
        <v>0</v>
      </c>
      <c r="AK10" s="10">
        <f>I10-'Set25'!I10</f>
        <v>-38442055.56000042</v>
      </c>
      <c r="AL10" s="76">
        <f>I10/'Set25'!I10-1</f>
        <v>-4.7848498635717496E-3</v>
      </c>
    </row>
    <row r="11" spans="2:43" x14ac:dyDescent="0.25">
      <c r="F11" s="7">
        <f t="shared" si="3"/>
        <v>1</v>
      </c>
      <c r="H11" s="3" t="s">
        <v>47</v>
      </c>
      <c r="I11" s="78">
        <v>3068277221.75</v>
      </c>
      <c r="J11" s="77">
        <v>0.64</v>
      </c>
      <c r="K11" s="78">
        <f t="shared" si="0"/>
        <v>1963697421.9200001</v>
      </c>
      <c r="L11" s="77">
        <v>0.22</v>
      </c>
      <c r="M11" s="78">
        <f t="shared" si="0"/>
        <v>675020988.78499997</v>
      </c>
      <c r="N11" s="77">
        <v>0.14000000000000001</v>
      </c>
      <c r="O11" s="78">
        <f t="shared" si="0"/>
        <v>429558811.04500002</v>
      </c>
      <c r="P11" s="77">
        <v>0</v>
      </c>
      <c r="Q11" s="78">
        <f t="shared" si="0"/>
        <v>0</v>
      </c>
      <c r="R11" s="77">
        <v>0</v>
      </c>
      <c r="S11" s="78">
        <f t="shared" si="1"/>
        <v>0</v>
      </c>
      <c r="T11" s="77">
        <v>0</v>
      </c>
      <c r="U11" s="57">
        <f t="shared" si="2"/>
        <v>0</v>
      </c>
      <c r="Y11" s="12">
        <f>K11-'Set25'!K11</f>
        <v>19284907.215199947</v>
      </c>
      <c r="Z11" s="12">
        <f>M11-'Set25'!M11</f>
        <v>-34843897.535800099</v>
      </c>
      <c r="AA11" s="12">
        <f>O11-'Set25'!O11</f>
        <v>-2532858.8894000053</v>
      </c>
      <c r="AB11" s="12">
        <f>Q11-'Set25'!Q11</f>
        <v>0</v>
      </c>
      <c r="AC11" s="12">
        <f>+S11-'Set25'!S11</f>
        <v>0</v>
      </c>
      <c r="AE11" s="28">
        <f>J11-'Set25'!J11</f>
        <v>1.0000000000000009E-2</v>
      </c>
      <c r="AF11" s="28">
        <f>L11-'Set25'!L11</f>
        <v>-1.0000000000000009E-2</v>
      </c>
      <c r="AG11" s="28">
        <f>N11-'Set25'!N11</f>
        <v>0</v>
      </c>
      <c r="AH11" s="28">
        <f>P11-'Set25'!P11</f>
        <v>0</v>
      </c>
      <c r="AI11" s="28">
        <f>R11-'Set25'!R11</f>
        <v>0</v>
      </c>
      <c r="AK11" s="10">
        <f>I11-'Set25'!I11</f>
        <v>-18091849.210000038</v>
      </c>
      <c r="AL11" s="76">
        <f>I11/'Set25'!I11-1</f>
        <v>-5.8618554016200974E-3</v>
      </c>
    </row>
    <row r="12" spans="2:43" x14ac:dyDescent="0.25">
      <c r="B12" t="s">
        <v>70</v>
      </c>
      <c r="F12" s="7">
        <f t="shared" si="3"/>
        <v>1</v>
      </c>
      <c r="H12" s="3" t="s">
        <v>30</v>
      </c>
      <c r="I12" s="78">
        <v>1459990000</v>
      </c>
      <c r="J12" s="77">
        <v>0.248</v>
      </c>
      <c r="K12" s="78">
        <f t="shared" si="0"/>
        <v>362077520</v>
      </c>
      <c r="L12" s="77">
        <v>0.45600000000000002</v>
      </c>
      <c r="M12" s="78">
        <f t="shared" si="0"/>
        <v>665755440</v>
      </c>
      <c r="N12" s="77">
        <v>0.27</v>
      </c>
      <c r="O12" s="78">
        <f t="shared" si="0"/>
        <v>394197300</v>
      </c>
      <c r="P12" s="77">
        <v>2.5000000000000001E-2</v>
      </c>
      <c r="Q12" s="78">
        <f t="shared" si="0"/>
        <v>36499750</v>
      </c>
      <c r="R12" s="77">
        <v>0</v>
      </c>
      <c r="S12" s="78">
        <f t="shared" si="1"/>
        <v>0</v>
      </c>
      <c r="T12" s="77">
        <v>1E-3</v>
      </c>
      <c r="U12" s="57">
        <f t="shared" si="2"/>
        <v>1459990</v>
      </c>
      <c r="Y12" s="12">
        <f>K12-'Set25'!K12</f>
        <v>-3002480</v>
      </c>
      <c r="Z12" s="12">
        <f>M12-'Set25'!M12</f>
        <v>37817839.999999881</v>
      </c>
      <c r="AA12" s="12">
        <f>O12-'Set25'!O12</f>
        <v>-38057420</v>
      </c>
      <c r="AB12" s="12">
        <f>Q12-'Set25'!Q12</f>
        <v>-8250</v>
      </c>
      <c r="AC12" s="12">
        <f>+S12-'Set25'!S12</f>
        <v>0</v>
      </c>
      <c r="AE12" s="28">
        <f>J12-'Set25'!J12</f>
        <v>-2.0000000000000018E-3</v>
      </c>
      <c r="AF12" s="28">
        <f>L12-'Set25'!L12</f>
        <v>2.5999999999999968E-2</v>
      </c>
      <c r="AG12" s="28">
        <f>N12-'Set25'!N12</f>
        <v>-2.5999999999999968E-2</v>
      </c>
      <c r="AH12" s="28">
        <f>P12-'Set25'!P12</f>
        <v>0</v>
      </c>
      <c r="AI12" s="28">
        <f>R12-'Set25'!R12</f>
        <v>0</v>
      </c>
      <c r="AK12" s="10">
        <f>I12-'Set25'!I12</f>
        <v>-330000</v>
      </c>
      <c r="AL12" s="76">
        <f>I12/'Set25'!I12-1</f>
        <v>-2.2597786786460183E-4</v>
      </c>
    </row>
    <row r="13" spans="2:43" x14ac:dyDescent="0.25">
      <c r="B13" t="s">
        <v>74</v>
      </c>
      <c r="F13" s="7">
        <f t="shared" si="3"/>
        <v>1</v>
      </c>
      <c r="H13" s="3" t="s">
        <v>64</v>
      </c>
      <c r="I13" s="102">
        <v>1202700000</v>
      </c>
      <c r="J13" s="77">
        <v>0.46</v>
      </c>
      <c r="K13" s="78">
        <f t="shared" si="0"/>
        <v>553242000</v>
      </c>
      <c r="L13" s="77">
        <v>0.3</v>
      </c>
      <c r="M13" s="78">
        <f t="shared" si="0"/>
        <v>360810000</v>
      </c>
      <c r="N13" s="77">
        <v>0.18</v>
      </c>
      <c r="O13" s="78">
        <f t="shared" si="0"/>
        <v>216486000</v>
      </c>
      <c r="P13" s="77">
        <v>0.06</v>
      </c>
      <c r="Q13" s="78">
        <f t="shared" si="0"/>
        <v>72162000</v>
      </c>
      <c r="R13" s="77">
        <v>0</v>
      </c>
      <c r="S13" s="78">
        <f t="shared" si="1"/>
        <v>0</v>
      </c>
      <c r="T13" s="77">
        <v>0</v>
      </c>
      <c r="U13" s="57">
        <f t="shared" si="2"/>
        <v>0</v>
      </c>
      <c r="Y13" s="12">
        <f>K13-'Set25'!K13</f>
        <v>-37582000</v>
      </c>
      <c r="Z13" s="12">
        <f>M13-'Set25'!M13</f>
        <v>-11666000</v>
      </c>
      <c r="AA13" s="12">
        <f>O13-'Set25'!O13</f>
        <v>-40394000</v>
      </c>
      <c r="AB13" s="12">
        <f>Q13-'Set25'!Q13</f>
        <v>7942000</v>
      </c>
      <c r="AC13" s="12">
        <f>+S13-'Set25'!S13</f>
        <v>0</v>
      </c>
      <c r="AE13" s="28">
        <f>J13-'Set25'!J13</f>
        <v>0</v>
      </c>
      <c r="AF13" s="28">
        <f>L13-'Set25'!L13</f>
        <v>1.0000000000000009E-2</v>
      </c>
      <c r="AG13" s="28">
        <f>N13-'Set25'!N13</f>
        <v>-2.0000000000000018E-2</v>
      </c>
      <c r="AH13" s="28">
        <f>P13-'Set25'!P13</f>
        <v>9.999999999999995E-3</v>
      </c>
      <c r="AI13" s="28">
        <f>R13-'Set25'!R13</f>
        <v>0</v>
      </c>
      <c r="AK13" s="10">
        <f>I13-'Set25'!I13</f>
        <v>-81700000</v>
      </c>
      <c r="AL13" s="76">
        <f>I13/'Set25'!I13-1</f>
        <v>-6.3609467455621349E-2</v>
      </c>
    </row>
    <row r="14" spans="2:43" s="8" customFormat="1" x14ac:dyDescent="0.25">
      <c r="B14" t="s">
        <v>42</v>
      </c>
      <c r="E14"/>
      <c r="F14" s="7">
        <f>J14+L14+N14+P14+R14+T14</f>
        <v>1</v>
      </c>
      <c r="G14"/>
      <c r="H14" s="21" t="s">
        <v>45</v>
      </c>
      <c r="I14" s="20">
        <f>SUM(I3:I13)</f>
        <v>25727519821.25</v>
      </c>
      <c r="J14" s="15">
        <f>K14/$I$14</f>
        <v>0.38911077167827363</v>
      </c>
      <c r="K14" s="17">
        <f>SUM(K3:K13)</f>
        <v>10010855091.014668</v>
      </c>
      <c r="L14" s="15">
        <f>M14/$I$14</f>
        <v>0.30600737046986437</v>
      </c>
      <c r="M14" s="20">
        <f>SUM(M3:M13)</f>
        <v>7872810689.2120275</v>
      </c>
      <c r="N14" s="15">
        <f>O14/$I$14</f>
        <v>0.24848924708843648</v>
      </c>
      <c r="O14" s="17">
        <f>SUM(O3:O13)</f>
        <v>6393012029.8352385</v>
      </c>
      <c r="P14" s="15">
        <f>Q14/$I$14</f>
        <v>4.7325568292542045E-2</v>
      </c>
      <c r="Q14" s="17">
        <f>SUM(Q3:Q13)</f>
        <v>1217569496.298296</v>
      </c>
      <c r="R14" s="15">
        <f>S14/$I$14</f>
        <v>1.5058304842700424E-3</v>
      </c>
      <c r="S14" s="17">
        <f>SUM(S3:S13)</f>
        <v>38741283.631499998</v>
      </c>
      <c r="T14" s="15">
        <f>U14/$I$14</f>
        <v>7.5612119866134263E-3</v>
      </c>
      <c r="U14" s="63">
        <f>SUM(U3:U13)</f>
        <v>194531231.25827003</v>
      </c>
      <c r="Y14" s="12">
        <f>K14-'Set25'!K14</f>
        <v>314059773.50490379</v>
      </c>
      <c r="Z14" s="12">
        <f>M14-'Set25'!M14</f>
        <v>-268345640.67162132</v>
      </c>
      <c r="AA14" s="12">
        <f>O14-'Set25'!O14</f>
        <v>-295427146.1533432</v>
      </c>
      <c r="AB14" s="12">
        <f>Q14-'Set25'!Q14</f>
        <v>96612966.470442057</v>
      </c>
      <c r="AC14" s="12">
        <f>+S14-'Set25'!S14</f>
        <v>9221793.4268999957</v>
      </c>
      <c r="AE14" s="28">
        <f>J14-'Set25'!J14</f>
        <v>1.4729024200754171E-2</v>
      </c>
      <c r="AF14" s="28">
        <f>L14-'Set25'!L14</f>
        <v>-8.3130037846930738E-3</v>
      </c>
      <c r="AG14" s="28">
        <f>N14-'Set25'!N14</f>
        <v>-9.743443673026958E-3</v>
      </c>
      <c r="AH14" s="28">
        <f>P14-'Set25'!P14</f>
        <v>4.0467683651591799E-3</v>
      </c>
      <c r="AI14" s="28">
        <f>R14-'Set25'!R14</f>
        <v>3.6611803643817249E-4</v>
      </c>
      <c r="AK14" s="92">
        <f>I14-'Set25'!I14</f>
        <v>-173303022.93000031</v>
      </c>
      <c r="AL14" s="76">
        <f>I14/'Set25'!I14-1</f>
        <v>-6.6910238324316973E-3</v>
      </c>
    </row>
    <row r="15" spans="2:43" x14ac:dyDescent="0.25">
      <c r="B15" t="s">
        <v>66</v>
      </c>
      <c r="F15" s="7"/>
      <c r="I15" s="10"/>
      <c r="J15" s="10"/>
      <c r="K15" s="10"/>
      <c r="L15" s="5"/>
      <c r="M15" s="10"/>
      <c r="N15" s="10"/>
      <c r="O15" s="10"/>
      <c r="P15" s="5"/>
      <c r="Q15" s="10"/>
    </row>
    <row r="16" spans="2:43" x14ac:dyDescent="0.25">
      <c r="F16" s="7"/>
      <c r="H16" s="4" t="s">
        <v>2</v>
      </c>
      <c r="I16" s="9" t="s">
        <v>4</v>
      </c>
      <c r="J16" s="112" t="s">
        <v>7</v>
      </c>
      <c r="K16" s="112"/>
      <c r="L16" s="112" t="s">
        <v>8</v>
      </c>
      <c r="M16" s="112"/>
      <c r="N16" s="112" t="s">
        <v>10</v>
      </c>
      <c r="O16" s="112"/>
      <c r="P16" s="112" t="s">
        <v>9</v>
      </c>
      <c r="Q16" s="112"/>
      <c r="R16" s="112" t="s">
        <v>21</v>
      </c>
      <c r="S16" s="112"/>
      <c r="T16" s="112" t="s">
        <v>55</v>
      </c>
      <c r="U16" s="112"/>
      <c r="Y16" s="27" t="s">
        <v>49</v>
      </c>
      <c r="Z16" s="27" t="s">
        <v>50</v>
      </c>
      <c r="AA16" s="27" t="s">
        <v>51</v>
      </c>
      <c r="AB16" s="27" t="s">
        <v>52</v>
      </c>
      <c r="AC16" s="27" t="s">
        <v>53</v>
      </c>
      <c r="AE16" s="27" t="s">
        <v>49</v>
      </c>
      <c r="AF16" s="27" t="s">
        <v>50</v>
      </c>
      <c r="AG16" s="27" t="s">
        <v>51</v>
      </c>
      <c r="AH16" s="27" t="s">
        <v>52</v>
      </c>
      <c r="AI16" s="27" t="s">
        <v>53</v>
      </c>
    </row>
    <row r="17" spans="2:39" x14ac:dyDescent="0.25">
      <c r="F17" s="7">
        <f t="shared" si="3"/>
        <v>1</v>
      </c>
      <c r="H17" s="21" t="s">
        <v>6</v>
      </c>
      <c r="I17" s="80">
        <v>327071491.49000001</v>
      </c>
      <c r="J17" s="81">
        <v>0.35299999999999998</v>
      </c>
      <c r="K17" s="80">
        <f t="shared" ref="K17:K26" si="4">+J17*$I17</f>
        <v>115456236.49597</v>
      </c>
      <c r="L17" s="81">
        <v>0.25209999999999999</v>
      </c>
      <c r="M17" s="80">
        <f t="shared" ref="M17:M26" si="5">+L17*$I17</f>
        <v>82454723.004629001</v>
      </c>
      <c r="N17" s="81">
        <v>0.27789999999999998</v>
      </c>
      <c r="O17" s="80">
        <f t="shared" ref="O17:O26" si="6">+N17*$I17</f>
        <v>90893167.485071003</v>
      </c>
      <c r="P17" s="81">
        <v>5.6000000000000001E-2</v>
      </c>
      <c r="Q17" s="80">
        <f t="shared" ref="Q17:Q26" si="7">+P17*$I17</f>
        <v>18316003.52344</v>
      </c>
      <c r="R17" s="81">
        <v>0</v>
      </c>
      <c r="S17" s="80">
        <f t="shared" ref="S17:S26" si="8">+R17*$I17</f>
        <v>0</v>
      </c>
      <c r="T17" s="81">
        <v>6.0999999999999999E-2</v>
      </c>
      <c r="U17" s="80">
        <f t="shared" ref="U17:U26" si="9">+T17*$I17</f>
        <v>19951360.980889998</v>
      </c>
      <c r="Y17" s="12">
        <f>K17-'Set25'!K17</f>
        <v>11926463.015391976</v>
      </c>
      <c r="Z17" s="12">
        <f>M17-'Set25'!M17</f>
        <v>-4748949.4014309943</v>
      </c>
      <c r="AA17" s="12">
        <f>O17-'Set25'!O17</f>
        <v>-7686322.3363659978</v>
      </c>
      <c r="AB17" s="12">
        <f>Q17-'Set25'!Q17</f>
        <v>-173797.69348400086</v>
      </c>
      <c r="AC17" s="12">
        <f>+S17-'Set25'!S17</f>
        <v>0</v>
      </c>
      <c r="AD17" s="98"/>
      <c r="AE17" s="28">
        <f>J17-'Set25'!J17</f>
        <v>3.7199999999999955E-2</v>
      </c>
      <c r="AF17" s="28">
        <f>L17-'Set25'!L17</f>
        <v>-1.3899999999999968E-2</v>
      </c>
      <c r="AG17" s="28">
        <f>N17-'Set25'!N17</f>
        <v>-2.2799999999999987E-2</v>
      </c>
      <c r="AH17" s="28">
        <f>P17-'Set25'!P17</f>
        <v>-3.9999999999999758E-4</v>
      </c>
      <c r="AI17" s="28">
        <f>R17-'Set25'!R17</f>
        <v>0</v>
      </c>
      <c r="AJ17" s="8"/>
      <c r="AK17" s="10">
        <f>I17-'Set25'!I17</f>
        <v>-761863.42000001669</v>
      </c>
      <c r="AL17" s="76">
        <f>I17/'Set25'!I17-1</f>
        <v>-2.3239350376936807E-3</v>
      </c>
      <c r="AM17" s="8"/>
    </row>
    <row r="18" spans="2:39" x14ac:dyDescent="0.25">
      <c r="F18" s="7">
        <f t="shared" si="3"/>
        <v>1.0000000000000002</v>
      </c>
      <c r="H18" s="3" t="s">
        <v>26</v>
      </c>
      <c r="I18" s="78">
        <v>859378787.28999996</v>
      </c>
      <c r="J18" s="77">
        <v>0.115</v>
      </c>
      <c r="K18" s="78">
        <f t="shared" si="4"/>
        <v>98828560.538350001</v>
      </c>
      <c r="L18" s="77">
        <v>0.22500000000000001</v>
      </c>
      <c r="M18" s="78">
        <f t="shared" si="5"/>
        <v>193360227.14025</v>
      </c>
      <c r="N18" s="77">
        <v>0.375</v>
      </c>
      <c r="O18" s="78">
        <f t="shared" si="6"/>
        <v>322267045.23374999</v>
      </c>
      <c r="P18" s="77">
        <v>0.17499999999999999</v>
      </c>
      <c r="Q18" s="78">
        <f t="shared" si="7"/>
        <v>150391287.77574998</v>
      </c>
      <c r="R18" s="77">
        <v>0</v>
      </c>
      <c r="S18" s="78">
        <f t="shared" si="8"/>
        <v>0</v>
      </c>
      <c r="T18" s="77">
        <v>0.11</v>
      </c>
      <c r="U18" s="78">
        <f t="shared" si="9"/>
        <v>94531666.601899996</v>
      </c>
      <c r="Y18" s="12">
        <f>K18-'Set25'!K18</f>
        <v>30348148.814350009</v>
      </c>
      <c r="Z18" s="12">
        <f>M18-'Set25'!M18</f>
        <v>5039094.8992500007</v>
      </c>
      <c r="AA18" s="12">
        <f>O18-'Set25'!O18</f>
        <v>-11574961.920750022</v>
      </c>
      <c r="AB18" s="12">
        <f>Q18-'Set25'!Q18</f>
        <v>4870412.8622499704</v>
      </c>
      <c r="AC18" s="12">
        <f>+S18-'Set25'!S18</f>
        <v>0</v>
      </c>
      <c r="AE18" s="28">
        <f>J18-'Set25'!J18</f>
        <v>3.5000000000000003E-2</v>
      </c>
      <c r="AF18" s="28">
        <f>L18-'Set25'!L18</f>
        <v>5.0000000000000044E-3</v>
      </c>
      <c r="AG18" s="28">
        <f>N18-'Set25'!N18</f>
        <v>-1.5000000000000013E-2</v>
      </c>
      <c r="AH18" s="28">
        <f>P18-'Set25'!P18</f>
        <v>4.9999999999999767E-3</v>
      </c>
      <c r="AI18" s="28">
        <f>R18-'Set25'!R18</f>
        <v>0</v>
      </c>
      <c r="AK18" s="10">
        <f>I18-'Set25'!I18</f>
        <v>3373640.7400000095</v>
      </c>
      <c r="AL18" s="76">
        <f>I18/'Set25'!I18-1</f>
        <v>3.9411453933388962E-3</v>
      </c>
    </row>
    <row r="19" spans="2:39" x14ac:dyDescent="0.25">
      <c r="F19" s="7">
        <f t="shared" si="3"/>
        <v>1</v>
      </c>
      <c r="H19" s="3" t="s">
        <v>27</v>
      </c>
      <c r="I19" s="78">
        <v>651887503</v>
      </c>
      <c r="J19" s="77">
        <v>0.06</v>
      </c>
      <c r="K19" s="78">
        <f t="shared" si="4"/>
        <v>39113250.18</v>
      </c>
      <c r="L19" s="77">
        <v>0.36499999999999999</v>
      </c>
      <c r="M19" s="78">
        <f t="shared" si="5"/>
        <v>237938938.595</v>
      </c>
      <c r="N19" s="77">
        <v>0.44800000000000001</v>
      </c>
      <c r="O19" s="78">
        <f t="shared" si="6"/>
        <v>292045601.34399998</v>
      </c>
      <c r="P19" s="77">
        <v>6.8000000000000005E-2</v>
      </c>
      <c r="Q19" s="78">
        <f t="shared" si="7"/>
        <v>44328350.204000004</v>
      </c>
      <c r="R19" s="77">
        <v>0</v>
      </c>
      <c r="S19" s="78">
        <f t="shared" si="8"/>
        <v>0</v>
      </c>
      <c r="T19" s="77">
        <v>5.8999999999999997E-2</v>
      </c>
      <c r="U19" s="78">
        <f t="shared" si="9"/>
        <v>38461362.677000001</v>
      </c>
      <c r="Y19" s="12">
        <f>K19-'Set25'!K19</f>
        <v>-49090779.660000004</v>
      </c>
      <c r="Z19" s="12">
        <f>M19-'Set25'!M19</f>
        <v>38611721.554999977</v>
      </c>
      <c r="AA19" s="12">
        <f>O19-'Set25'!O19</f>
        <v>-63548597.69600004</v>
      </c>
      <c r="AB19" s="12">
        <f>Q19-'Set25'!Q19</f>
        <v>4740714.7639999986</v>
      </c>
      <c r="AC19" s="12">
        <f>+S19-'Set25'!S19</f>
        <v>0</v>
      </c>
      <c r="AE19" s="28">
        <f>J19-'Set25'!J19</f>
        <v>-6.7000000000000004E-2</v>
      </c>
      <c r="AF19" s="28">
        <f>L19-'Set25'!L19</f>
        <v>7.7999999999999958E-2</v>
      </c>
      <c r="AG19" s="28">
        <f>N19-'Set25'!N19</f>
        <v>-6.4000000000000001E-2</v>
      </c>
      <c r="AH19" s="28">
        <f>P19-'Set25'!P19</f>
        <v>1.1000000000000003E-2</v>
      </c>
      <c r="AI19" s="28">
        <f>R19-'Set25'!R19</f>
        <v>0</v>
      </c>
      <c r="AK19" s="10">
        <f>I19-'Set25'!I19</f>
        <v>-42632417</v>
      </c>
      <c r="AL19" s="76">
        <f>I19/'Set25'!I19-1</f>
        <v>-6.1384008971261728E-2</v>
      </c>
    </row>
    <row r="20" spans="2:39" x14ac:dyDescent="0.25">
      <c r="B20" s="1"/>
      <c r="C20" s="1" t="s">
        <v>20</v>
      </c>
      <c r="D20" s="1"/>
      <c r="F20" s="7">
        <f t="shared" si="3"/>
        <v>1</v>
      </c>
      <c r="H20" s="3" t="s">
        <v>67</v>
      </c>
      <c r="I20" s="78">
        <v>1289922291</v>
      </c>
      <c r="J20" s="77">
        <v>0.23</v>
      </c>
      <c r="K20" s="78">
        <f t="shared" si="4"/>
        <v>296682126.93000001</v>
      </c>
      <c r="L20" s="77">
        <v>0.32</v>
      </c>
      <c r="M20" s="78">
        <f t="shared" si="5"/>
        <v>412775133.12</v>
      </c>
      <c r="N20" s="77">
        <v>0.28999999999999998</v>
      </c>
      <c r="O20" s="78">
        <f t="shared" si="6"/>
        <v>374077464.38999999</v>
      </c>
      <c r="P20" s="77">
        <v>0.16</v>
      </c>
      <c r="Q20" s="78">
        <f t="shared" si="7"/>
        <v>206387566.56</v>
      </c>
      <c r="R20" s="77">
        <v>0</v>
      </c>
      <c r="S20" s="78">
        <f t="shared" si="8"/>
        <v>0</v>
      </c>
      <c r="T20" s="77">
        <v>0</v>
      </c>
      <c r="U20" s="78">
        <f t="shared" si="9"/>
        <v>0</v>
      </c>
      <c r="Y20" s="12">
        <f>K20-'Set25'!K20</f>
        <v>-34283711.810000002</v>
      </c>
      <c r="Z20" s="12">
        <f>M20-'Set25'!M20</f>
        <v>26433687.120000005</v>
      </c>
      <c r="AA20" s="12">
        <f>O20-'Set25'!O20</f>
        <v>9628700.3299999237</v>
      </c>
      <c r="AB20" s="12">
        <f>Q20-'Set25'!Q20</f>
        <v>338795.3599999845</v>
      </c>
      <c r="AC20" s="12">
        <f>+S20-'Set25'!S20</f>
        <v>0</v>
      </c>
      <c r="AE20" s="28">
        <f>J20-'Set25'!J20</f>
        <v>-2.6999999999999996E-2</v>
      </c>
      <c r="AF20" s="28">
        <f>L20-'Set25'!L20</f>
        <v>2.0000000000000018E-2</v>
      </c>
      <c r="AG20" s="28">
        <f>N20-'Set25'!N20</f>
        <v>6.9999999999999507E-3</v>
      </c>
      <c r="AH20" s="28">
        <f>P20-'Set25'!P20</f>
        <v>0</v>
      </c>
      <c r="AI20" s="28">
        <f>R20-'Set25'!R20</f>
        <v>0</v>
      </c>
      <c r="AK20" s="10">
        <f>I20-'Set25'!I20</f>
        <v>2117471</v>
      </c>
      <c r="AL20" s="76">
        <f>I20/'Set25'!I20-1</f>
        <v>1.6442483885097392E-3</v>
      </c>
    </row>
    <row r="21" spans="2:39" x14ac:dyDescent="0.25">
      <c r="B21" t="s">
        <v>11</v>
      </c>
      <c r="C21" s="2" t="s">
        <v>10</v>
      </c>
      <c r="D21" t="s">
        <v>7</v>
      </c>
      <c r="F21" s="7">
        <f t="shared" si="3"/>
        <v>1</v>
      </c>
      <c r="H21" s="3" t="s">
        <v>32</v>
      </c>
      <c r="I21" s="78">
        <v>174200000</v>
      </c>
      <c r="J21" s="77">
        <v>0.28000000000000003</v>
      </c>
      <c r="K21" s="78">
        <f t="shared" si="4"/>
        <v>48776000.000000007</v>
      </c>
      <c r="L21" s="77">
        <v>0.14000000000000001</v>
      </c>
      <c r="M21" s="78">
        <f t="shared" si="5"/>
        <v>24388000.000000004</v>
      </c>
      <c r="N21" s="77">
        <v>0.47</v>
      </c>
      <c r="O21" s="78">
        <f t="shared" si="6"/>
        <v>81874000</v>
      </c>
      <c r="P21" s="77">
        <v>0.11</v>
      </c>
      <c r="Q21" s="78">
        <f t="shared" si="7"/>
        <v>19162000</v>
      </c>
      <c r="R21" s="77">
        <v>0</v>
      </c>
      <c r="S21" s="78">
        <f t="shared" si="8"/>
        <v>0</v>
      </c>
      <c r="T21" s="77">
        <v>0</v>
      </c>
      <c r="U21" s="78">
        <f t="shared" si="9"/>
        <v>0</v>
      </c>
      <c r="Y21" s="12">
        <f>K21-'Set25'!K21</f>
        <v>-1932000</v>
      </c>
      <c r="Z21" s="12">
        <f>M21-'Set25'!M21</f>
        <v>-966000</v>
      </c>
      <c r="AA21" s="12">
        <f>O21-'Set25'!O21</f>
        <v>-3243000</v>
      </c>
      <c r="AB21" s="12">
        <f>Q21-'Set25'!Q21</f>
        <v>-759000</v>
      </c>
      <c r="AC21" s="12">
        <f>+S21-'Set25'!S21</f>
        <v>0</v>
      </c>
      <c r="AE21" s="28">
        <f>J21-'Set25'!J21</f>
        <v>0</v>
      </c>
      <c r="AF21" s="28">
        <f>L21-'Set25'!L21</f>
        <v>0</v>
      </c>
      <c r="AG21" s="28">
        <f>N21-'Set25'!N21</f>
        <v>0</v>
      </c>
      <c r="AH21" s="28">
        <f>P21-'Set25'!P21</f>
        <v>0</v>
      </c>
      <c r="AI21" s="28">
        <f>R21-'Set25'!R21</f>
        <v>0</v>
      </c>
      <c r="AK21" s="10">
        <f>I21-'Set25'!I21</f>
        <v>-6900000</v>
      </c>
      <c r="AL21" s="76">
        <f>I21/'Set25'!I21-1</f>
        <v>-3.8100496963003883E-2</v>
      </c>
    </row>
    <row r="22" spans="2:39" x14ac:dyDescent="0.25">
      <c r="B22" t="s">
        <v>12</v>
      </c>
      <c r="C22" s="2" t="s">
        <v>16</v>
      </c>
      <c r="D22" t="s">
        <v>58</v>
      </c>
      <c r="F22" s="7">
        <f t="shared" si="3"/>
        <v>1</v>
      </c>
      <c r="H22" s="3" t="s">
        <v>33</v>
      </c>
      <c r="I22" s="78">
        <v>1259500000</v>
      </c>
      <c r="J22" s="77">
        <v>0.23</v>
      </c>
      <c r="K22" s="78">
        <f t="shared" si="4"/>
        <v>289685000</v>
      </c>
      <c r="L22" s="77">
        <v>0.25</v>
      </c>
      <c r="M22" s="78">
        <f t="shared" si="5"/>
        <v>314875000</v>
      </c>
      <c r="N22" s="77">
        <v>0.5</v>
      </c>
      <c r="O22" s="78">
        <f t="shared" si="6"/>
        <v>629750000</v>
      </c>
      <c r="P22" s="77">
        <v>0.02</v>
      </c>
      <c r="Q22" s="78">
        <f t="shared" si="7"/>
        <v>25190000</v>
      </c>
      <c r="R22" s="77">
        <v>0</v>
      </c>
      <c r="S22" s="78">
        <f t="shared" si="8"/>
        <v>0</v>
      </c>
      <c r="T22" s="77">
        <v>0</v>
      </c>
      <c r="U22" s="78">
        <f t="shared" si="9"/>
        <v>0</v>
      </c>
      <c r="Y22" s="12">
        <f>K22-'Set25'!K22</f>
        <v>7117000</v>
      </c>
      <c r="Z22" s="12">
        <f>M22-'Set25'!M22</f>
        <v>-6225000</v>
      </c>
      <c r="AA22" s="12">
        <f>O22-'Set25'!O22</f>
        <v>-12450000</v>
      </c>
      <c r="AB22" s="12">
        <f>Q22-'Set25'!Q22</f>
        <v>-13342000</v>
      </c>
      <c r="AC22" s="12">
        <f>+S22-'Set25'!S22</f>
        <v>0</v>
      </c>
      <c r="AE22" s="28">
        <f>J22-'Set25'!J22</f>
        <v>1.0000000000000009E-2</v>
      </c>
      <c r="AF22" s="28">
        <f>L22-'Set25'!L22</f>
        <v>0</v>
      </c>
      <c r="AG22" s="28">
        <f>N22-'Set25'!N22</f>
        <v>0</v>
      </c>
      <c r="AH22" s="28">
        <f>P22-'Set25'!P22</f>
        <v>-9.9999999999999985E-3</v>
      </c>
      <c r="AI22" s="28">
        <f>R22-'Set25'!R22</f>
        <v>0</v>
      </c>
      <c r="AK22" s="10">
        <f>I22-'Set25'!I22</f>
        <v>-24900000</v>
      </c>
      <c r="AL22" s="76">
        <f>I22/'Set25'!I22-1</f>
        <v>-1.9386483961382761E-2</v>
      </c>
    </row>
    <row r="23" spans="2:39" x14ac:dyDescent="0.25">
      <c r="B23" t="s">
        <v>13</v>
      </c>
      <c r="C23" s="2" t="s">
        <v>17</v>
      </c>
      <c r="D23" t="s">
        <v>59</v>
      </c>
      <c r="F23" s="7">
        <f t="shared" si="3"/>
        <v>0.99999999999999989</v>
      </c>
      <c r="H23" s="3" t="s">
        <v>68</v>
      </c>
      <c r="I23" s="78">
        <v>233882318</v>
      </c>
      <c r="J23" s="77">
        <v>0.57589999999999997</v>
      </c>
      <c r="K23" s="78">
        <f t="shared" si="4"/>
        <v>134692826.93619999</v>
      </c>
      <c r="L23" s="77">
        <v>0.1089</v>
      </c>
      <c r="M23" s="78">
        <f t="shared" si="5"/>
        <v>25469784.430199999</v>
      </c>
      <c r="N23" s="77">
        <v>0.23949999999999999</v>
      </c>
      <c r="O23" s="78">
        <f t="shared" si="6"/>
        <v>56014815.160999998</v>
      </c>
      <c r="P23" s="77">
        <v>7.0499999999999993E-2</v>
      </c>
      <c r="Q23" s="78">
        <f t="shared" si="7"/>
        <v>16488703.418999998</v>
      </c>
      <c r="R23" s="77">
        <v>0</v>
      </c>
      <c r="S23" s="78">
        <f t="shared" si="8"/>
        <v>0</v>
      </c>
      <c r="T23" s="77">
        <v>5.1999999999999998E-3</v>
      </c>
      <c r="U23" s="78">
        <f t="shared" si="9"/>
        <v>1216188.0536</v>
      </c>
      <c r="Y23" s="12">
        <f>K23-'Set25'!K23</f>
        <v>11985350.024799988</v>
      </c>
      <c r="Z23" s="12">
        <f>M23-'Set25'!M23</f>
        <v>-956743.12220000103</v>
      </c>
      <c r="AA23" s="12">
        <f>O23-'Set25'!O23</f>
        <v>-2091977.929899998</v>
      </c>
      <c r="AB23" s="12">
        <f>Q23-'Set25'!Q23</f>
        <v>-106795.11220000125</v>
      </c>
      <c r="AC23" s="12">
        <f>+S23-'Set25'!S23</f>
        <v>0</v>
      </c>
      <c r="AE23" s="28">
        <f>J23-'Set25'!J23</f>
        <v>3.169999999999995E-2</v>
      </c>
      <c r="AF23" s="28">
        <f>L23-'Set25'!L23</f>
        <v>-8.3000000000000018E-3</v>
      </c>
      <c r="AG23" s="28">
        <f>N23-'Set25'!N23</f>
        <v>-1.8199999999999994E-2</v>
      </c>
      <c r="AH23" s="28">
        <f>P23-'Set25'!P23</f>
        <v>-3.1000000000000055E-3</v>
      </c>
      <c r="AI23" s="28">
        <f>R23-'Set25'!R23</f>
        <v>0</v>
      </c>
      <c r="AK23" s="10">
        <f>I23-'Set25'!I23</f>
        <v>8400001</v>
      </c>
      <c r="AL23" s="76">
        <f>I23/'Set25'!I23-1</f>
        <v>3.7253480058926369E-2</v>
      </c>
    </row>
    <row r="24" spans="2:39" x14ac:dyDescent="0.25">
      <c r="B24" t="s">
        <v>14</v>
      </c>
      <c r="C24" s="2" t="s">
        <v>18</v>
      </c>
      <c r="F24" s="7">
        <f t="shared" si="3"/>
        <v>0.99999999999999989</v>
      </c>
      <c r="H24" s="3" t="s">
        <v>35</v>
      </c>
      <c r="I24" s="78">
        <v>522484626.25</v>
      </c>
      <c r="J24" s="77">
        <v>0.17399999999999999</v>
      </c>
      <c r="K24" s="78">
        <f t="shared" si="4"/>
        <v>90912324.967499986</v>
      </c>
      <c r="L24" s="77">
        <v>0.45700000000000002</v>
      </c>
      <c r="M24" s="78">
        <f t="shared" si="5"/>
        <v>238775474.19625002</v>
      </c>
      <c r="N24" s="77">
        <v>0.28299999999999997</v>
      </c>
      <c r="O24" s="78">
        <f t="shared" si="6"/>
        <v>147863149.22874999</v>
      </c>
      <c r="P24" s="77">
        <v>8.5999999999999993E-2</v>
      </c>
      <c r="Q24" s="78">
        <f t="shared" si="7"/>
        <v>44933677.857499994</v>
      </c>
      <c r="R24" s="77">
        <v>0</v>
      </c>
      <c r="S24" s="78">
        <f t="shared" si="8"/>
        <v>0</v>
      </c>
      <c r="T24" s="77">
        <v>0</v>
      </c>
      <c r="U24" s="78">
        <f t="shared" si="9"/>
        <v>0</v>
      </c>
      <c r="Y24" s="12">
        <f>K24-'Set25'!K24</f>
        <v>-11532024.631650016</v>
      </c>
      <c r="Z24" s="12">
        <f>M24-'Set25'!M24</f>
        <v>21803595.301640034</v>
      </c>
      <c r="AA24" s="12">
        <f>O24-'Set25'!O24</f>
        <v>-15522454.490920007</v>
      </c>
      <c r="AB24" s="12">
        <f>Q24-'Set25'!Q24</f>
        <v>2379871.1009299904</v>
      </c>
      <c r="AC24" s="12">
        <f>+S24-'Set25'!S24</f>
        <v>0</v>
      </c>
      <c r="AE24" s="28">
        <f>J24-'Set25'!J24</f>
        <v>-2.1000000000000019E-2</v>
      </c>
      <c r="AF24" s="28">
        <f>L24-'Set25'!L24</f>
        <v>4.4000000000000039E-2</v>
      </c>
      <c r="AG24" s="28">
        <f>N24-'Set25'!N24</f>
        <v>-2.8000000000000025E-2</v>
      </c>
      <c r="AH24" s="28">
        <f>P24-'Set25'!P24</f>
        <v>4.9999999999999906E-3</v>
      </c>
      <c r="AI24" s="28">
        <f>R24-'Set25'!R24</f>
        <v>0</v>
      </c>
      <c r="AK24" s="10">
        <f>I24-'Set25'!I24</f>
        <v>-2871012.7200000286</v>
      </c>
      <c r="AL24" s="76">
        <f>I24/'Set25'!I24-1</f>
        <v>-5.4648936968276773E-3</v>
      </c>
    </row>
    <row r="25" spans="2:39" x14ac:dyDescent="0.25">
      <c r="B25" t="s">
        <v>15</v>
      </c>
      <c r="C25" s="2" t="s">
        <v>19</v>
      </c>
      <c r="F25" s="7">
        <f t="shared" si="3"/>
        <v>0.99999999999999989</v>
      </c>
      <c r="H25" s="3" t="s">
        <v>36</v>
      </c>
      <c r="I25" s="78">
        <v>715800000</v>
      </c>
      <c r="J25" s="77">
        <v>0.255</v>
      </c>
      <c r="K25" s="78">
        <f t="shared" si="4"/>
        <v>182529000</v>
      </c>
      <c r="L25" s="77">
        <v>0.22500000000000001</v>
      </c>
      <c r="M25" s="78">
        <f t="shared" si="5"/>
        <v>161055000</v>
      </c>
      <c r="N25" s="77">
        <v>0.43</v>
      </c>
      <c r="O25" s="78">
        <f t="shared" si="6"/>
        <v>307794000</v>
      </c>
      <c r="P25" s="77">
        <v>0.09</v>
      </c>
      <c r="Q25" s="78">
        <f t="shared" si="7"/>
        <v>64422000</v>
      </c>
      <c r="R25" s="77">
        <v>0</v>
      </c>
      <c r="S25" s="78">
        <f t="shared" si="8"/>
        <v>0</v>
      </c>
      <c r="T25" s="77">
        <v>0</v>
      </c>
      <c r="U25" s="78">
        <f t="shared" si="9"/>
        <v>0</v>
      </c>
      <c r="Y25" s="12">
        <f>K25-'Set25'!K25</f>
        <v>-16677000</v>
      </c>
      <c r="Z25" s="12">
        <f>M25-'Set25'!M25</f>
        <v>-8639000</v>
      </c>
      <c r="AA25" s="12">
        <f>O25-'Set25'!O25</f>
        <v>-2082000</v>
      </c>
      <c r="AB25" s="12">
        <f>Q25-'Set25'!Q25</f>
        <v>5398000</v>
      </c>
      <c r="AC25" s="12">
        <f>+S25-'Set25'!S25</f>
        <v>0</v>
      </c>
      <c r="AE25" s="28">
        <f>J25-'Set25'!J25</f>
        <v>-1.5000000000000013E-2</v>
      </c>
      <c r="AF25" s="28">
        <f>L25-'Set25'!L25</f>
        <v>-5.0000000000000044E-3</v>
      </c>
      <c r="AG25" s="28">
        <f>N25-'Set25'!N25</f>
        <v>1.0000000000000009E-2</v>
      </c>
      <c r="AH25" s="28">
        <f>P25-'Set25'!P25</f>
        <v>9.999999999999995E-3</v>
      </c>
      <c r="AI25" s="28">
        <f>R25-'Set25'!R25</f>
        <v>0</v>
      </c>
      <c r="AK25" s="10">
        <f>I25-'Set25'!I25</f>
        <v>-22000000</v>
      </c>
      <c r="AL25" s="76">
        <f>I25/'Set25'!I25-1</f>
        <v>-2.9818378964489023E-2</v>
      </c>
    </row>
    <row r="26" spans="2:39" x14ac:dyDescent="0.25">
      <c r="B26" t="s">
        <v>57</v>
      </c>
      <c r="F26" s="7">
        <f>J26+L26+N26+P26+R26+T26</f>
        <v>1</v>
      </c>
      <c r="H26" s="3" t="s">
        <v>65</v>
      </c>
      <c r="I26" s="78">
        <v>2139500000</v>
      </c>
      <c r="J26" s="77">
        <v>0.37</v>
      </c>
      <c r="K26" s="78">
        <f t="shared" si="4"/>
        <v>791615000</v>
      </c>
      <c r="L26" s="77">
        <v>0.17</v>
      </c>
      <c r="M26" s="78">
        <f t="shared" si="5"/>
        <v>363715000</v>
      </c>
      <c r="N26" s="77">
        <v>0.38</v>
      </c>
      <c r="O26" s="78">
        <f t="shared" si="6"/>
        <v>813010000</v>
      </c>
      <c r="P26" s="77">
        <v>0.08</v>
      </c>
      <c r="Q26" s="78">
        <f t="shared" si="7"/>
        <v>171160000</v>
      </c>
      <c r="R26" s="77">
        <v>0</v>
      </c>
      <c r="S26" s="78">
        <f t="shared" si="8"/>
        <v>0</v>
      </c>
      <c r="T26" s="77">
        <v>0</v>
      </c>
      <c r="U26" s="78">
        <f t="shared" si="9"/>
        <v>0</v>
      </c>
      <c r="Y26" s="12">
        <f>K26-'Set25'!K26</f>
        <v>149567000</v>
      </c>
      <c r="Z26" s="12">
        <f>M26-'Set25'!M26</f>
        <v>2563000</v>
      </c>
      <c r="AA26" s="12">
        <f>O26-'Set25'!O26</f>
        <v>-29678000</v>
      </c>
      <c r="AB26" s="12">
        <f>Q26-'Set25'!Q26</f>
        <v>10648000</v>
      </c>
      <c r="AC26" s="12">
        <f>+S26-'Set25'!S26</f>
        <v>0</v>
      </c>
      <c r="AE26" s="28">
        <f>J26-'Set25'!J26</f>
        <v>4.9999999999999989E-2</v>
      </c>
      <c r="AF26" s="28">
        <f>L26-'Set25'!L26</f>
        <v>-9.9999999999999811E-3</v>
      </c>
      <c r="AG26" s="28">
        <f>N26-'Set25'!N26</f>
        <v>-3.999999999999998E-2</v>
      </c>
      <c r="AH26" s="28">
        <f>P26-'Set25'!P26</f>
        <v>0</v>
      </c>
      <c r="AI26" s="28">
        <f>R26-'Set25'!R26</f>
        <v>0</v>
      </c>
      <c r="AK26" s="10">
        <f>I26-'Set25'!I26</f>
        <v>133100000</v>
      </c>
      <c r="AL26" s="76">
        <f>I26/'Set25'!I26-1</f>
        <v>6.6337719298245723E-2</v>
      </c>
    </row>
    <row r="27" spans="2:39" s="8" customFormat="1" x14ac:dyDescent="0.25">
      <c r="B27"/>
      <c r="C27"/>
      <c r="E27"/>
      <c r="F27" s="7">
        <f t="shared" si="3"/>
        <v>1</v>
      </c>
      <c r="G27"/>
      <c r="H27" s="21" t="s">
        <v>45</v>
      </c>
      <c r="I27" s="20">
        <f>SUM(I17:I26)</f>
        <v>8173627017.0299997</v>
      </c>
      <c r="J27" s="15">
        <f>K27/$I$27</f>
        <v>0.25549126742595468</v>
      </c>
      <c r="K27" s="63">
        <f>SUM(K17:K26)</f>
        <v>2088290326.0480201</v>
      </c>
      <c r="L27" s="15">
        <f>M27/$I$27</f>
        <v>0.25139479403758891</v>
      </c>
      <c r="M27" s="62">
        <f>SUM(M17:M26)</f>
        <v>2054807280.4863291</v>
      </c>
      <c r="N27" s="15">
        <f>O27/$I$27</f>
        <v>0.38117585208514482</v>
      </c>
      <c r="O27" s="63">
        <f>SUM(O17:O26)</f>
        <v>3115589242.8425708</v>
      </c>
      <c r="P27" s="15">
        <f>Q27/$I$27</f>
        <v>9.3077355714248106E-2</v>
      </c>
      <c r="Q27" s="63">
        <f>SUM(Q17:Q26)</f>
        <v>760779589.33968997</v>
      </c>
      <c r="R27" s="15">
        <f>S27/$I$27</f>
        <v>0</v>
      </c>
      <c r="S27" s="63">
        <f>SUM(S17:S26)</f>
        <v>0</v>
      </c>
      <c r="T27" s="15">
        <f>U27/$I$27</f>
        <v>1.8860730737063458E-2</v>
      </c>
      <c r="U27" s="17">
        <f>SUM(U17:U26)</f>
        <v>154160578.31339002</v>
      </c>
      <c r="Y27" s="12">
        <f>K27-'Set25'!K27</f>
        <v>97428445.752892017</v>
      </c>
      <c r="Z27" s="12">
        <f>M27-'Set25'!M27</f>
        <v>72915406.352259159</v>
      </c>
      <c r="AA27" s="12">
        <f>O27-'Set25'!O27</f>
        <v>-138248614.04393625</v>
      </c>
      <c r="AB27" s="12">
        <f>Q27-'Set25'!Q27</f>
        <v>13994201.281496048</v>
      </c>
      <c r="AC27" s="12">
        <f>+S27-'Set25'!S27</f>
        <v>0</v>
      </c>
      <c r="AE27" s="28">
        <f>J27-'Set25'!J27</f>
        <v>1.0513405938353648E-2</v>
      </c>
      <c r="AF27" s="28">
        <f>L27-'Set25'!L27</f>
        <v>7.5207022030292503E-3</v>
      </c>
      <c r="AG27" s="28">
        <f>N27-'Set25'!N27</f>
        <v>-1.9212666926173738E-2</v>
      </c>
      <c r="AH27" s="28">
        <f>P27-'Set25'!P27</f>
        <v>1.1845482988163125E-3</v>
      </c>
      <c r="AI27" s="28">
        <f>R27-'Set25'!R27</f>
        <v>0</v>
      </c>
      <c r="AK27" s="92">
        <f>I27-'Set25'!I27</f>
        <v>46925819.599999428</v>
      </c>
      <c r="AL27" s="76">
        <f>I27/'Set25'!I27-1</f>
        <v>5.7742764819308512E-3</v>
      </c>
    </row>
    <row r="28" spans="2:39" x14ac:dyDescent="0.25">
      <c r="F28" s="7"/>
      <c r="I28" s="10"/>
      <c r="J28" s="10"/>
      <c r="K28" s="10"/>
      <c r="L28" s="5"/>
      <c r="M28" s="10"/>
      <c r="N28" s="10"/>
      <c r="O28" s="10"/>
      <c r="P28" s="5"/>
      <c r="Q28" s="10"/>
    </row>
    <row r="29" spans="2:39" x14ac:dyDescent="0.25">
      <c r="F29" s="7"/>
      <c r="H29" s="4" t="s">
        <v>38</v>
      </c>
      <c r="I29" s="9" t="s">
        <v>4</v>
      </c>
      <c r="J29" s="113" t="s">
        <v>7</v>
      </c>
      <c r="K29" s="113"/>
      <c r="L29" s="112" t="s">
        <v>8</v>
      </c>
      <c r="M29" s="112"/>
      <c r="N29" s="112" t="s">
        <v>10</v>
      </c>
      <c r="O29" s="112"/>
      <c r="P29" s="112" t="s">
        <v>9</v>
      </c>
      <c r="Q29" s="112"/>
      <c r="R29" s="112" t="s">
        <v>40</v>
      </c>
      <c r="S29" s="112"/>
      <c r="T29" s="112" t="s">
        <v>55</v>
      </c>
      <c r="U29" s="112"/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  <c r="AE29" s="27" t="s">
        <v>49</v>
      </c>
      <c r="AF29" s="27" t="s">
        <v>50</v>
      </c>
      <c r="AG29" s="27" t="s">
        <v>51</v>
      </c>
      <c r="AH29" s="27" t="s">
        <v>52</v>
      </c>
      <c r="AI29" s="27" t="s">
        <v>54</v>
      </c>
    </row>
    <row r="30" spans="2:39" x14ac:dyDescent="0.25">
      <c r="F30" s="7">
        <f>J30+L30+N30+P30+R30+T30</f>
        <v>1</v>
      </c>
      <c r="H30" s="21" t="s">
        <v>39</v>
      </c>
      <c r="I30" s="94">
        <v>221950511.34</v>
      </c>
      <c r="J30" s="81">
        <v>7.6200000000000004E-2</v>
      </c>
      <c r="K30" s="80">
        <f t="shared" ref="K30:K35" si="10">+J30*$I30</f>
        <v>16912628.964108001</v>
      </c>
      <c r="L30" s="81">
        <v>0.25560000000000005</v>
      </c>
      <c r="M30" s="80">
        <f t="shared" ref="M30:M35" si="11">+L30*$I30</f>
        <v>56730550.698504008</v>
      </c>
      <c r="N30" s="81">
        <v>0.44850000000000001</v>
      </c>
      <c r="O30" s="80">
        <f t="shared" ref="O30:O35" si="12">+N30*$I30</f>
        <v>99544804.335989997</v>
      </c>
      <c r="P30" s="81">
        <v>0.13039999999999999</v>
      </c>
      <c r="Q30" s="80">
        <f t="shared" ref="Q30:Q35" si="13">+P30*$I30</f>
        <v>28942346.678735998</v>
      </c>
      <c r="R30" s="88">
        <v>5.8999999999999997E-2</v>
      </c>
      <c r="S30" s="80">
        <f t="shared" ref="S30:S35" si="14">+R30*$I30</f>
        <v>13095080.169059999</v>
      </c>
      <c r="T30" s="81">
        <v>3.0300000000000001E-2</v>
      </c>
      <c r="U30" s="80">
        <f t="shared" ref="U30:U35" si="15">+T30*$I30</f>
        <v>6725100.4936020002</v>
      </c>
      <c r="V30" s="8"/>
      <c r="Y30" s="12">
        <f>K30-'Set25'!K30</f>
        <v>-98324631.791414991</v>
      </c>
      <c r="Z30" s="12">
        <f>M30-'Set25'!M30</f>
        <v>-5072109.7066889927</v>
      </c>
      <c r="AA30" s="12">
        <f>O30-'Set25'!O30</f>
        <v>-12869496.401025012</v>
      </c>
      <c r="AB30" s="12">
        <f>Q30-'Set25'!Q30</f>
        <v>813566.49431699887</v>
      </c>
      <c r="AC30" s="12">
        <f>+S30-'Set25'!S30</f>
        <v>1668813.4274799991</v>
      </c>
      <c r="AD30" s="98"/>
      <c r="AE30" s="28">
        <f>J30-'Set25'!J30</f>
        <v>-0.26669999999999999</v>
      </c>
      <c r="AF30" s="28">
        <f>L30-'Set25'!L30</f>
        <v>7.1700000000000041E-2</v>
      </c>
      <c r="AG30" s="28">
        <f>N30-'Set25'!N30</f>
        <v>0.11399999999999999</v>
      </c>
      <c r="AH30" s="28">
        <f>P30-'Set25'!P30</f>
        <v>4.6699999999999992E-2</v>
      </c>
      <c r="AI30" s="28">
        <f>R30-'Set25'!R30</f>
        <v>2.4999999999999994E-2</v>
      </c>
      <c r="AJ30" s="8"/>
      <c r="AK30" s="10">
        <f>I30-'Set25'!I30</f>
        <v>-114116157.53</v>
      </c>
      <c r="AL30" s="76">
        <f>I30/'Set25'!I30-1</f>
        <v>-0.33956404517504624</v>
      </c>
      <c r="AM30" s="8"/>
    </row>
    <row r="31" spans="2:39" hidden="1" outlineLevel="1" x14ac:dyDescent="0.25">
      <c r="F31" s="7">
        <f t="shared" si="3"/>
        <v>0</v>
      </c>
      <c r="H31" s="3" t="s">
        <v>56</v>
      </c>
      <c r="I31" s="78"/>
      <c r="J31" s="77"/>
      <c r="K31" s="78">
        <f t="shared" si="10"/>
        <v>0</v>
      </c>
      <c r="L31" s="77"/>
      <c r="M31" s="78">
        <f t="shared" si="11"/>
        <v>0</v>
      </c>
      <c r="N31" s="77"/>
      <c r="O31" s="78">
        <f t="shared" si="12"/>
        <v>0</v>
      </c>
      <c r="P31" s="77"/>
      <c r="Q31" s="78">
        <f t="shared" si="13"/>
        <v>0</v>
      </c>
      <c r="R31" s="77"/>
      <c r="S31" s="78">
        <f t="shared" si="14"/>
        <v>0</v>
      </c>
      <c r="T31" s="77"/>
      <c r="U31" s="78">
        <f t="shared" si="15"/>
        <v>0</v>
      </c>
      <c r="Y31" s="12">
        <f>K31-'Set25'!K31</f>
        <v>0</v>
      </c>
      <c r="Z31" s="12">
        <f>M31-'Set25'!M31</f>
        <v>0</v>
      </c>
      <c r="AA31" s="12">
        <f>O31-'Set25'!O31</f>
        <v>0</v>
      </c>
      <c r="AB31" s="12">
        <f>Q31-'Set25'!Q31</f>
        <v>0</v>
      </c>
      <c r="AC31" s="12">
        <f>+S31-'Set25'!S31</f>
        <v>0</v>
      </c>
      <c r="AE31" s="28">
        <f>J31-'Set25'!J31</f>
        <v>0</v>
      </c>
      <c r="AF31" s="28">
        <f>L31-'Set25'!L31</f>
        <v>0</v>
      </c>
      <c r="AG31" s="28">
        <f>N31-'Set25'!N31</f>
        <v>0</v>
      </c>
      <c r="AH31" s="28">
        <f>P31-'Set25'!P31</f>
        <v>0</v>
      </c>
      <c r="AI31" s="28">
        <f>R31-'Set25'!R31</f>
        <v>0</v>
      </c>
      <c r="AK31" s="10">
        <f>I31-'Set25'!I31</f>
        <v>0</v>
      </c>
      <c r="AL31" s="76" t="e">
        <f>I31/'Set25'!I31-1</f>
        <v>#DIV/0!</v>
      </c>
    </row>
    <row r="32" spans="2:39" collapsed="1" x14ac:dyDescent="0.25">
      <c r="F32" s="7">
        <f t="shared" si="3"/>
        <v>1</v>
      </c>
      <c r="H32" s="3" t="s">
        <v>42</v>
      </c>
      <c r="I32" s="84">
        <v>238165684</v>
      </c>
      <c r="J32" s="77">
        <v>0.08</v>
      </c>
      <c r="K32" s="78">
        <f t="shared" si="10"/>
        <v>19053254.719999999</v>
      </c>
      <c r="L32" s="77">
        <v>0.12</v>
      </c>
      <c r="M32" s="78">
        <f t="shared" si="11"/>
        <v>28579882.079999998</v>
      </c>
      <c r="N32" s="77">
        <v>0.54</v>
      </c>
      <c r="O32" s="78">
        <f t="shared" si="12"/>
        <v>128609469.36000001</v>
      </c>
      <c r="P32" s="77">
        <v>0.08</v>
      </c>
      <c r="Q32" s="78">
        <f t="shared" si="13"/>
        <v>19053254.719999999</v>
      </c>
      <c r="R32" s="77">
        <v>0.18</v>
      </c>
      <c r="S32" s="78">
        <f t="shared" si="14"/>
        <v>42869823.119999997</v>
      </c>
      <c r="T32" s="77">
        <v>0</v>
      </c>
      <c r="U32" s="78">
        <f t="shared" si="15"/>
        <v>0</v>
      </c>
      <c r="Y32" s="12">
        <f>K32-'Set25'!K32</f>
        <v>4763313.68</v>
      </c>
      <c r="Z32" s="12">
        <f>M32-'Set25'!M32</f>
        <v>0</v>
      </c>
      <c r="AA32" s="12">
        <f>O32-'Set25'!O32</f>
        <v>2381656.8400000036</v>
      </c>
      <c r="AB32" s="12">
        <f>Q32-'Set25'!Q32</f>
        <v>4763313.68</v>
      </c>
      <c r="AC32" s="12">
        <f>+S32-'Set25'!S32</f>
        <v>2381656.8399999961</v>
      </c>
      <c r="AE32" s="28">
        <f>J32-'Set25'!J32</f>
        <v>2.0000000000000004E-2</v>
      </c>
      <c r="AF32" s="28">
        <f>L32-'Set25'!L32</f>
        <v>0</v>
      </c>
      <c r="AG32" s="28">
        <f>N32-'Set25'!N32</f>
        <v>1.0000000000000009E-2</v>
      </c>
      <c r="AH32" s="28">
        <f>P32-'Set25'!P32</f>
        <v>2.0000000000000004E-2</v>
      </c>
      <c r="AI32" s="28">
        <f>R32-'Set25'!R32</f>
        <v>9.9999999999999811E-3</v>
      </c>
      <c r="AK32" s="10">
        <f>I32-'Set25'!I32</f>
        <v>0</v>
      </c>
      <c r="AL32" s="76">
        <f>I32/'Set25'!I32-1</f>
        <v>0</v>
      </c>
    </row>
    <row r="33" spans="5:38" x14ac:dyDescent="0.25">
      <c r="F33" s="7">
        <f t="shared" si="3"/>
        <v>1</v>
      </c>
      <c r="H33" s="3" t="s">
        <v>69</v>
      </c>
      <c r="I33" s="84">
        <v>473302016</v>
      </c>
      <c r="J33" s="77">
        <v>0.13</v>
      </c>
      <c r="K33" s="78">
        <f t="shared" si="10"/>
        <v>61529262.080000006</v>
      </c>
      <c r="L33" s="77">
        <v>0.25</v>
      </c>
      <c r="M33" s="78">
        <f t="shared" si="11"/>
        <v>118325504</v>
      </c>
      <c r="N33" s="77">
        <v>0.44</v>
      </c>
      <c r="O33" s="78">
        <f t="shared" si="12"/>
        <v>208252887.03999999</v>
      </c>
      <c r="P33" s="77">
        <v>0.18</v>
      </c>
      <c r="Q33" s="78">
        <f t="shared" si="13"/>
        <v>85194362.879999995</v>
      </c>
      <c r="R33" s="77">
        <v>0</v>
      </c>
      <c r="S33" s="78">
        <f t="shared" si="14"/>
        <v>0</v>
      </c>
      <c r="T33" s="77">
        <v>0</v>
      </c>
      <c r="U33" s="78">
        <f t="shared" si="15"/>
        <v>0</v>
      </c>
      <c r="Y33" s="12">
        <f>K33-'Set25'!K33</f>
        <v>-28381428.202</v>
      </c>
      <c r="Z33" s="12">
        <f>M33-'Set25'!M33</f>
        <v>23181916.399999991</v>
      </c>
      <c r="AA33" s="12">
        <f>O33-'Set25'!O33</f>
        <v>3694173.6999999881</v>
      </c>
      <c r="AB33" s="12">
        <f>Q33-'Set25'!Q33</f>
        <v>-434865.96000000834</v>
      </c>
      <c r="AC33" s="12">
        <f>+S33-'Set25'!S33</f>
        <v>0</v>
      </c>
      <c r="AE33" s="28">
        <f>J33-'Set25'!J33</f>
        <v>-5.8999999999999997E-2</v>
      </c>
      <c r="AF33" s="28">
        <f>L33-'Set25'!L33</f>
        <v>4.9999999999999989E-2</v>
      </c>
      <c r="AG33" s="28">
        <f>N33-'Set25'!N33</f>
        <v>1.0000000000000009E-2</v>
      </c>
      <c r="AH33" s="28">
        <f>P33-'Set25'!P33</f>
        <v>0</v>
      </c>
      <c r="AI33" s="28">
        <f>R33-'Set25'!R33</f>
        <v>0</v>
      </c>
      <c r="AK33" s="10">
        <f>I33-'Set25'!I33</f>
        <v>-2415922</v>
      </c>
      <c r="AL33" s="76">
        <f>I33/'Set25'!I33-1</f>
        <v>-5.0784757248316659E-3</v>
      </c>
    </row>
    <row r="34" spans="5:38" x14ac:dyDescent="0.25">
      <c r="F34" s="7">
        <f t="shared" si="3"/>
        <v>1</v>
      </c>
      <c r="H34" s="3" t="s">
        <v>44</v>
      </c>
      <c r="I34" s="84">
        <v>75700000</v>
      </c>
      <c r="J34" s="77">
        <v>0.05</v>
      </c>
      <c r="K34" s="78">
        <f t="shared" si="10"/>
        <v>3785000</v>
      </c>
      <c r="L34" s="77">
        <v>0.22</v>
      </c>
      <c r="M34" s="78">
        <f t="shared" si="11"/>
        <v>16654000</v>
      </c>
      <c r="N34" s="77">
        <v>0.53</v>
      </c>
      <c r="O34" s="78">
        <f t="shared" si="12"/>
        <v>40121000</v>
      </c>
      <c r="P34" s="77">
        <v>0.02</v>
      </c>
      <c r="Q34" s="78">
        <f t="shared" si="13"/>
        <v>1514000</v>
      </c>
      <c r="R34" s="77">
        <v>0.18</v>
      </c>
      <c r="S34" s="78">
        <f t="shared" si="14"/>
        <v>13626000</v>
      </c>
      <c r="T34" s="77">
        <v>0</v>
      </c>
      <c r="U34" s="78">
        <f t="shared" si="15"/>
        <v>0</v>
      </c>
      <c r="Y34" s="12">
        <f>K34-'Set25'!K34</f>
        <v>2281000</v>
      </c>
      <c r="Z34" s="12">
        <f>M34-'Set25'!M34</f>
        <v>110000</v>
      </c>
      <c r="AA34" s="12">
        <f>O34-'Set25'!O34</f>
        <v>-2743000.0000000075</v>
      </c>
      <c r="AB34" s="12">
        <f>Q34-'Set25'!Q34</f>
        <v>10000</v>
      </c>
      <c r="AC34" s="12">
        <f>+S34-'Set25'!S34</f>
        <v>842000</v>
      </c>
      <c r="AE34" s="28">
        <f>J34-'Set25'!J34</f>
        <v>3.0000000000000002E-2</v>
      </c>
      <c r="AF34" s="28">
        <f>L34-'Set25'!L34</f>
        <v>0</v>
      </c>
      <c r="AG34" s="28">
        <f>N34-'Set25'!N34</f>
        <v>-4.0000000000000036E-2</v>
      </c>
      <c r="AH34" s="28">
        <f>P34-'Set25'!P34</f>
        <v>0</v>
      </c>
      <c r="AI34" s="28">
        <f>R34-'Set25'!R34</f>
        <v>9.9999999999999811E-3</v>
      </c>
      <c r="AK34" s="10">
        <f>I34-'Set25'!I34</f>
        <v>500000</v>
      </c>
      <c r="AL34" s="76">
        <f>I34/'Set25'!I34-1</f>
        <v>6.6489361702126715E-3</v>
      </c>
    </row>
    <row r="35" spans="5:38" x14ac:dyDescent="0.25">
      <c r="F35" s="7">
        <f t="shared" si="3"/>
        <v>1</v>
      </c>
      <c r="H35" s="3" t="s">
        <v>66</v>
      </c>
      <c r="I35" s="84">
        <v>341300000</v>
      </c>
      <c r="J35" s="77">
        <v>0.03</v>
      </c>
      <c r="K35" s="78">
        <f t="shared" si="10"/>
        <v>10239000</v>
      </c>
      <c r="L35" s="77">
        <v>0.03</v>
      </c>
      <c r="M35" s="78">
        <f t="shared" si="11"/>
        <v>10239000</v>
      </c>
      <c r="N35" s="77">
        <v>0.42</v>
      </c>
      <c r="O35" s="78">
        <f t="shared" si="12"/>
        <v>143346000</v>
      </c>
      <c r="P35" s="77">
        <v>0.35</v>
      </c>
      <c r="Q35" s="78">
        <f t="shared" si="13"/>
        <v>119454999.99999999</v>
      </c>
      <c r="R35" s="77">
        <v>0.17</v>
      </c>
      <c r="S35" s="78">
        <f t="shared" si="14"/>
        <v>58021000.000000007</v>
      </c>
      <c r="T35" s="77">
        <v>0</v>
      </c>
      <c r="U35" s="78">
        <f t="shared" si="15"/>
        <v>0</v>
      </c>
      <c r="Y35" s="12">
        <f>K35-'Set25'!K35</f>
        <v>657000</v>
      </c>
      <c r="Z35" s="12">
        <f>M35-'Set25'!M35</f>
        <v>3851000</v>
      </c>
      <c r="AA35" s="12">
        <f>O35-'Set25'!O35</f>
        <v>6004000</v>
      </c>
      <c r="AB35" s="12">
        <f>Q35-'Set25'!Q35</f>
        <v>17246999.999999985</v>
      </c>
      <c r="AC35" s="12">
        <f>+S35-'Set25'!S35</f>
        <v>-5858999.9999999925</v>
      </c>
      <c r="AE35" s="28">
        <f>J35-'Set25'!J35</f>
        <v>0</v>
      </c>
      <c r="AF35" s="28">
        <f>L35-'Set25'!L35</f>
        <v>9.9999999999999985E-3</v>
      </c>
      <c r="AG35" s="28">
        <f>N35-'Set25'!N35</f>
        <v>-1.0000000000000009E-2</v>
      </c>
      <c r="AH35" s="28">
        <f>P35-'Set25'!P35</f>
        <v>2.9999999999999971E-2</v>
      </c>
      <c r="AI35" s="28">
        <f>R35-'Set25'!R35</f>
        <v>-0.03</v>
      </c>
      <c r="AK35" s="10">
        <f>I35-'Set25'!I35</f>
        <v>21900000</v>
      </c>
      <c r="AL35" s="76">
        <f>I35/'Set25'!I35-1</f>
        <v>6.8566061365059383E-2</v>
      </c>
    </row>
    <row r="36" spans="5:38" s="8" customFormat="1" x14ac:dyDescent="0.25">
      <c r="E36"/>
      <c r="F36" s="7">
        <f t="shared" si="3"/>
        <v>0.99999999999999978</v>
      </c>
      <c r="G36"/>
      <c r="H36" s="3" t="s">
        <v>45</v>
      </c>
      <c r="I36" s="17">
        <f>SUM(I30:I35)</f>
        <v>1350418211.3400002</v>
      </c>
      <c r="J36" s="15">
        <f>+K36/$I$36</f>
        <v>8.2581192128214256E-2</v>
      </c>
      <c r="K36" s="17">
        <f>SUM(K30:K35)</f>
        <v>111519145.764108</v>
      </c>
      <c r="L36" s="15">
        <f>+M36/$I$36</f>
        <v>0.17070929201240076</v>
      </c>
      <c r="M36" s="17">
        <f>SUM(M30:M35)</f>
        <v>230528936.77850401</v>
      </c>
      <c r="N36" s="15">
        <f>+O36/$I$36</f>
        <v>0.45902384574693939</v>
      </c>
      <c r="O36" s="17">
        <f>SUM(O30:O35)</f>
        <v>619874160.73599005</v>
      </c>
      <c r="P36" s="15">
        <f>+Q36/$I$36</f>
        <v>0.18820759535413684</v>
      </c>
      <c r="Q36" s="17">
        <f>SUM(Q30:Q35)</f>
        <v>254158964.278736</v>
      </c>
      <c r="R36" s="15">
        <f>+S36/$I$36</f>
        <v>9.4498061576370904E-2</v>
      </c>
      <c r="S36" s="17">
        <f>SUM(S30:S35)</f>
        <v>127611903.28906</v>
      </c>
      <c r="T36" s="15">
        <f>+U36/$I$36</f>
        <v>4.9800131819377506E-3</v>
      </c>
      <c r="U36" s="63">
        <f>SUM(U30:U35)</f>
        <v>6725100.4936020002</v>
      </c>
      <c r="Y36" s="12">
        <f>K36-'Set25'!K36</f>
        <v>-119004746.31341499</v>
      </c>
      <c r="Z36" s="12">
        <f>M36-'Set25'!M36</f>
        <v>22070806.693311006</v>
      </c>
      <c r="AA36" s="12">
        <f>O36-'Set25'!O36</f>
        <v>-3532665.8610249758</v>
      </c>
      <c r="AB36" s="12">
        <f>Q36-'Set25'!Q36</f>
        <v>22399014.214316994</v>
      </c>
      <c r="AC36" s="12">
        <f>+S36-'Set25'!S36</f>
        <v>-966529.73252001405</v>
      </c>
      <c r="AE36" s="28">
        <f>J36-'Set25'!J36</f>
        <v>-7.7000577737815726E-2</v>
      </c>
      <c r="AF36" s="28">
        <f>L36-'Set25'!L36</f>
        <v>2.6402699571339894E-2</v>
      </c>
      <c r="AG36" s="28">
        <f>N36-'Set25'!N36</f>
        <v>2.7466128070277651E-2</v>
      </c>
      <c r="AH36" s="28">
        <f>P36-'Set25'!P36</f>
        <v>2.7770155737660451E-2</v>
      </c>
      <c r="AI36" s="28">
        <f>R36-'Set25'!R36</f>
        <v>5.4887457815279844E-3</v>
      </c>
      <c r="AK36" s="92">
        <f>I36-'Set25'!I36</f>
        <v>-94132079.529999733</v>
      </c>
      <c r="AL36" s="76">
        <f>I36/'Set25'!I36-1</f>
        <v>-6.5163587674962442E-2</v>
      </c>
    </row>
    <row r="37" spans="5:38" x14ac:dyDescent="0.25">
      <c r="F37" s="7"/>
    </row>
    <row r="38" spans="5:38" x14ac:dyDescent="0.25">
      <c r="F38" s="7"/>
      <c r="K38"/>
    </row>
    <row r="39" spans="5:38" x14ac:dyDescent="0.25">
      <c r="F39" s="7"/>
      <c r="J39" s="38"/>
    </row>
    <row r="40" spans="5:38" x14ac:dyDescent="0.25">
      <c r="F40" s="7"/>
      <c r="I40" s="30"/>
      <c r="J40" s="35"/>
    </row>
    <row r="41" spans="5:38" x14ac:dyDescent="0.25">
      <c r="F41" s="7"/>
      <c r="I41" s="37"/>
      <c r="J41" s="35"/>
    </row>
    <row r="42" spans="5:38" x14ac:dyDescent="0.25">
      <c r="F42" s="7"/>
      <c r="I42" s="37"/>
      <c r="J42" s="35"/>
    </row>
    <row r="43" spans="5:38" x14ac:dyDescent="0.25">
      <c r="F43" s="7"/>
      <c r="I43" s="37"/>
      <c r="J43" s="35"/>
    </row>
    <row r="44" spans="5:38" x14ac:dyDescent="0.25">
      <c r="F44" s="7"/>
      <c r="I44" s="37"/>
      <c r="J44" s="35"/>
    </row>
    <row r="45" spans="5:38" x14ac:dyDescent="0.25">
      <c r="F45" s="7"/>
      <c r="I45" s="37"/>
      <c r="J45" s="35"/>
      <c r="K45" s="37"/>
    </row>
    <row r="46" spans="5:38" x14ac:dyDescent="0.25">
      <c r="F46" s="7"/>
      <c r="I46" s="37"/>
      <c r="J46" s="35"/>
    </row>
    <row r="47" spans="5:38" x14ac:dyDescent="0.25">
      <c r="F47" s="7"/>
      <c r="I47" s="37"/>
      <c r="J47" s="35"/>
    </row>
    <row r="48" spans="5:38" x14ac:dyDescent="0.25">
      <c r="F48" s="7"/>
      <c r="I48" s="37"/>
      <c r="J48" s="35"/>
    </row>
    <row r="49" spans="9:10" x14ac:dyDescent="0.25">
      <c r="I49" s="37"/>
      <c r="J49" s="35"/>
    </row>
    <row r="50" spans="9:10" x14ac:dyDescent="0.25">
      <c r="I50" s="37"/>
      <c r="J50" s="35"/>
    </row>
    <row r="51" spans="9:10" x14ac:dyDescent="0.25">
      <c r="I51" s="37"/>
      <c r="J51" s="35"/>
    </row>
    <row r="52" spans="9:10" x14ac:dyDescent="0.25">
      <c r="I52" s="37"/>
      <c r="J52" s="35"/>
    </row>
    <row r="53" spans="9:10" x14ac:dyDescent="0.25">
      <c r="I53" s="37"/>
      <c r="J53" s="35"/>
    </row>
    <row r="54" spans="9:10" x14ac:dyDescent="0.25">
      <c r="I54" s="37"/>
      <c r="J54" s="35"/>
    </row>
    <row r="55" spans="9:10" x14ac:dyDescent="0.25">
      <c r="I55" s="37"/>
      <c r="J55" s="35"/>
    </row>
    <row r="56" spans="9:10" x14ac:dyDescent="0.25">
      <c r="I56" s="37"/>
      <c r="J56" s="35"/>
    </row>
    <row r="57" spans="9:10" x14ac:dyDescent="0.25">
      <c r="I57" s="37"/>
      <c r="J57" s="35"/>
    </row>
    <row r="58" spans="9:10" x14ac:dyDescent="0.25">
      <c r="I58" s="37"/>
      <c r="J58" s="35"/>
    </row>
    <row r="59" spans="9:10" x14ac:dyDescent="0.25">
      <c r="I59" s="37"/>
      <c r="J59" s="35"/>
    </row>
    <row r="60" spans="9:10" x14ac:dyDescent="0.25">
      <c r="I60" s="37"/>
      <c r="J60" s="35"/>
    </row>
    <row r="61" spans="9:10" x14ac:dyDescent="0.25">
      <c r="I61" s="37"/>
      <c r="J61" s="35"/>
    </row>
    <row r="62" spans="9:10" x14ac:dyDescent="0.25">
      <c r="I62" s="37"/>
      <c r="J62" s="35"/>
    </row>
    <row r="63" spans="9:10" x14ac:dyDescent="0.25">
      <c r="I63" s="37"/>
      <c r="J63" s="35"/>
    </row>
    <row r="64" spans="9:10" x14ac:dyDescent="0.25">
      <c r="I64" s="37"/>
      <c r="J64" s="35"/>
    </row>
    <row r="65" spans="9:10" x14ac:dyDescent="0.25">
      <c r="I65" s="37"/>
      <c r="J65" s="35"/>
    </row>
    <row r="66" spans="9:10" x14ac:dyDescent="0.25">
      <c r="I66" s="37"/>
      <c r="J66" s="35"/>
    </row>
    <row r="67" spans="9:10" x14ac:dyDescent="0.25">
      <c r="I67" s="37"/>
      <c r="J67" s="35"/>
    </row>
    <row r="68" spans="9:10" x14ac:dyDescent="0.25">
      <c r="I68" s="37"/>
      <c r="J68" s="35"/>
    </row>
    <row r="69" spans="9:10" x14ac:dyDescent="0.25">
      <c r="I69" s="37"/>
      <c r="J69" s="35"/>
    </row>
    <row r="70" spans="9:10" x14ac:dyDescent="0.25">
      <c r="I70" s="37"/>
      <c r="J70" s="35"/>
    </row>
    <row r="71" spans="9:10" x14ac:dyDescent="0.25">
      <c r="I71" s="37"/>
      <c r="J71" s="35"/>
    </row>
    <row r="72" spans="9:10" x14ac:dyDescent="0.25">
      <c r="I72" s="37"/>
      <c r="J72" s="35"/>
    </row>
    <row r="73" spans="9:10" x14ac:dyDescent="0.25">
      <c r="I73" s="37"/>
      <c r="J73" s="35"/>
    </row>
    <row r="74" spans="9:10" x14ac:dyDescent="0.25">
      <c r="I74" s="37"/>
      <c r="J74" s="35"/>
    </row>
    <row r="75" spans="9:10" x14ac:dyDescent="0.25">
      <c r="I75" s="37"/>
      <c r="J75" s="35"/>
    </row>
    <row r="76" spans="9:10" x14ac:dyDescent="0.25">
      <c r="I76" s="37"/>
      <c r="J76" s="35"/>
    </row>
    <row r="77" spans="9:10" x14ac:dyDescent="0.25">
      <c r="I77" s="37"/>
      <c r="J77" s="35"/>
    </row>
    <row r="78" spans="9:10" x14ac:dyDescent="0.25">
      <c r="I78" s="37"/>
      <c r="J78" s="35"/>
    </row>
    <row r="79" spans="9:10" x14ac:dyDescent="0.25">
      <c r="I79" s="37"/>
      <c r="J79" s="35"/>
    </row>
    <row r="80" spans="9:10" x14ac:dyDescent="0.25">
      <c r="I80" s="37"/>
      <c r="J80" s="35"/>
    </row>
    <row r="81" spans="9:10" x14ac:dyDescent="0.25">
      <c r="I81" s="37"/>
      <c r="J81" s="35"/>
    </row>
    <row r="82" spans="9:10" x14ac:dyDescent="0.25">
      <c r="I82" s="37"/>
      <c r="J82" s="35"/>
    </row>
    <row r="83" spans="9:10" x14ac:dyDescent="0.25">
      <c r="I83" s="37"/>
      <c r="J83" s="35"/>
    </row>
    <row r="84" spans="9:10" x14ac:dyDescent="0.25">
      <c r="I84" s="37"/>
      <c r="J84" s="35"/>
    </row>
    <row r="85" spans="9:10" x14ac:dyDescent="0.25">
      <c r="I85" s="37"/>
      <c r="J85" s="35"/>
    </row>
    <row r="86" spans="9:10" x14ac:dyDescent="0.25">
      <c r="I86" s="37"/>
      <c r="J86" s="35"/>
    </row>
    <row r="87" spans="9:10" x14ac:dyDescent="0.25">
      <c r="I87" s="37"/>
      <c r="J87" s="35"/>
    </row>
    <row r="88" spans="9:10" x14ac:dyDescent="0.25">
      <c r="I88" s="37"/>
      <c r="J88" s="35"/>
    </row>
    <row r="89" spans="9:10" x14ac:dyDescent="0.25">
      <c r="I89" s="37"/>
      <c r="J89" s="35"/>
    </row>
    <row r="90" spans="9:10" x14ac:dyDescent="0.25">
      <c r="I90" s="37"/>
      <c r="J90" s="35"/>
    </row>
    <row r="91" spans="9:10" x14ac:dyDescent="0.25">
      <c r="I91" s="37"/>
      <c r="J91" s="35"/>
    </row>
    <row r="92" spans="9:10" x14ac:dyDescent="0.25">
      <c r="I92" s="37"/>
      <c r="J92" s="35"/>
    </row>
    <row r="93" spans="9:10" x14ac:dyDescent="0.25">
      <c r="I93" s="37"/>
      <c r="J93" s="35"/>
    </row>
    <row r="94" spans="9:10" x14ac:dyDescent="0.25">
      <c r="I94" s="37"/>
      <c r="J94" s="35"/>
    </row>
    <row r="95" spans="9:10" x14ac:dyDescent="0.25">
      <c r="I95" s="37"/>
      <c r="J95" s="35"/>
    </row>
    <row r="96" spans="9:10" x14ac:dyDescent="0.25">
      <c r="I96" s="37"/>
      <c r="J96" s="35"/>
    </row>
    <row r="97" spans="9:10" x14ac:dyDescent="0.25">
      <c r="I97" s="37"/>
      <c r="J97" s="35"/>
    </row>
    <row r="98" spans="9:10" x14ac:dyDescent="0.25">
      <c r="I98" s="37"/>
      <c r="J98" s="35"/>
    </row>
    <row r="99" spans="9:10" x14ac:dyDescent="0.25">
      <c r="I99" s="37"/>
      <c r="J99" s="35"/>
    </row>
    <row r="100" spans="9:10" x14ac:dyDescent="0.25">
      <c r="I100" s="37"/>
      <c r="J100" s="35"/>
    </row>
    <row r="101" spans="9:10" x14ac:dyDescent="0.25">
      <c r="I101" s="37"/>
      <c r="J101" s="35"/>
    </row>
    <row r="102" spans="9:10" x14ac:dyDescent="0.25">
      <c r="I102" s="37"/>
      <c r="J102" s="35"/>
    </row>
    <row r="103" spans="9:10" x14ac:dyDescent="0.25">
      <c r="I103" s="37"/>
      <c r="J103" s="35"/>
    </row>
    <row r="104" spans="9:10" x14ac:dyDescent="0.25">
      <c r="I104" s="37"/>
      <c r="J104" s="35"/>
    </row>
    <row r="105" spans="9:10" x14ac:dyDescent="0.25">
      <c r="I105" s="37"/>
      <c r="J105" s="35"/>
    </row>
    <row r="106" spans="9:10" x14ac:dyDescent="0.25">
      <c r="I106" s="37"/>
      <c r="J106" s="35"/>
    </row>
    <row r="107" spans="9:10" x14ac:dyDescent="0.25">
      <c r="I107" s="37"/>
      <c r="J107" s="35"/>
    </row>
    <row r="108" spans="9:10" x14ac:dyDescent="0.25">
      <c r="I108" s="37"/>
      <c r="J108" s="35"/>
    </row>
    <row r="109" spans="9:10" x14ac:dyDescent="0.25">
      <c r="I109" s="37"/>
      <c r="J109" s="35"/>
    </row>
    <row r="110" spans="9:10" x14ac:dyDescent="0.25">
      <c r="I110" s="37"/>
      <c r="J110" s="35"/>
    </row>
    <row r="111" spans="9:10" x14ac:dyDescent="0.25">
      <c r="I111" s="37"/>
      <c r="J111" s="35"/>
    </row>
    <row r="112" spans="9:10" x14ac:dyDescent="0.25">
      <c r="I112" s="37"/>
      <c r="J112" s="35"/>
    </row>
    <row r="113" spans="9:10" x14ac:dyDescent="0.25">
      <c r="I113" s="37"/>
      <c r="J113" s="35"/>
    </row>
    <row r="114" spans="9:10" x14ac:dyDescent="0.25">
      <c r="I114" s="37"/>
      <c r="J114" s="35"/>
    </row>
    <row r="115" spans="9:10" x14ac:dyDescent="0.25">
      <c r="I115" s="37"/>
      <c r="J115" s="35"/>
    </row>
    <row r="116" spans="9:10" x14ac:dyDescent="0.25">
      <c r="I116" s="37"/>
      <c r="J116" s="35"/>
    </row>
    <row r="117" spans="9:10" x14ac:dyDescent="0.25">
      <c r="I117" s="37"/>
      <c r="J117" s="35"/>
    </row>
    <row r="118" spans="9:10" x14ac:dyDescent="0.25">
      <c r="I118" s="37"/>
      <c r="J118" s="35"/>
    </row>
    <row r="119" spans="9:10" x14ac:dyDescent="0.25">
      <c r="I119" s="37"/>
      <c r="J119" s="35"/>
    </row>
    <row r="120" spans="9:10" x14ac:dyDescent="0.25">
      <c r="I120" s="37"/>
      <c r="J120" s="35"/>
    </row>
    <row r="121" spans="9:10" x14ac:dyDescent="0.25">
      <c r="I121" s="37"/>
      <c r="J121" s="35"/>
    </row>
    <row r="122" spans="9:10" x14ac:dyDescent="0.25">
      <c r="I122" s="37"/>
      <c r="J122" s="35"/>
    </row>
    <row r="123" spans="9:10" x14ac:dyDescent="0.25">
      <c r="I123" s="37"/>
      <c r="J123" s="35"/>
    </row>
    <row r="124" spans="9:10" x14ac:dyDescent="0.25">
      <c r="I124" s="37"/>
      <c r="J124" s="35"/>
    </row>
    <row r="125" spans="9:10" x14ac:dyDescent="0.25">
      <c r="I125" s="37"/>
      <c r="J125" s="35"/>
    </row>
    <row r="126" spans="9:10" x14ac:dyDescent="0.25">
      <c r="I126" s="37"/>
      <c r="J126" s="35"/>
    </row>
    <row r="127" spans="9:10" x14ac:dyDescent="0.25">
      <c r="I127" s="37"/>
      <c r="J127" s="35"/>
    </row>
    <row r="128" spans="9:10" x14ac:dyDescent="0.25">
      <c r="I128" s="37"/>
      <c r="J128" s="35"/>
    </row>
    <row r="129" spans="9:10" x14ac:dyDescent="0.25">
      <c r="I129" s="37"/>
      <c r="J129" s="35"/>
    </row>
    <row r="130" spans="9:10" x14ac:dyDescent="0.25">
      <c r="I130" s="37"/>
      <c r="J130" s="35"/>
    </row>
    <row r="131" spans="9:10" x14ac:dyDescent="0.25">
      <c r="I131" s="37"/>
      <c r="J131" s="35"/>
    </row>
    <row r="132" spans="9:10" x14ac:dyDescent="0.25">
      <c r="I132" s="37"/>
      <c r="J132" s="35"/>
    </row>
    <row r="133" spans="9:10" x14ac:dyDescent="0.25">
      <c r="I133" s="37"/>
      <c r="J133" s="35"/>
    </row>
    <row r="134" spans="9:10" x14ac:dyDescent="0.25">
      <c r="I134" s="37"/>
      <c r="J134" s="35"/>
    </row>
    <row r="135" spans="9:10" x14ac:dyDescent="0.25">
      <c r="I135" s="37"/>
      <c r="J135" s="35"/>
    </row>
    <row r="136" spans="9:10" x14ac:dyDescent="0.25">
      <c r="I136" s="37"/>
      <c r="J136" s="35"/>
    </row>
    <row r="137" spans="9:10" x14ac:dyDescent="0.25">
      <c r="I137" s="37"/>
      <c r="J137" s="35"/>
    </row>
    <row r="138" spans="9:10" x14ac:dyDescent="0.25">
      <c r="I138" s="37"/>
      <c r="J138" s="35"/>
    </row>
    <row r="139" spans="9:10" x14ac:dyDescent="0.25">
      <c r="I139" s="37"/>
      <c r="J139" s="35"/>
    </row>
    <row r="140" spans="9:10" x14ac:dyDescent="0.25">
      <c r="I140" s="37"/>
      <c r="J140" s="35"/>
    </row>
    <row r="141" spans="9:10" x14ac:dyDescent="0.25">
      <c r="I141" s="37"/>
      <c r="J141" s="35"/>
    </row>
    <row r="142" spans="9:10" x14ac:dyDescent="0.25">
      <c r="I142" s="37"/>
      <c r="J142" s="35"/>
    </row>
    <row r="143" spans="9:10" x14ac:dyDescent="0.25">
      <c r="I143" s="37"/>
      <c r="J143" s="35"/>
    </row>
    <row r="144" spans="9:10" x14ac:dyDescent="0.25">
      <c r="I144" s="37"/>
      <c r="J144" s="35"/>
    </row>
    <row r="145" spans="9:10" x14ac:dyDescent="0.25">
      <c r="I145" s="37"/>
      <c r="J145" s="35"/>
    </row>
    <row r="146" spans="9:10" x14ac:dyDescent="0.25">
      <c r="I146" s="37"/>
      <c r="J146" s="35"/>
    </row>
    <row r="147" spans="9:10" x14ac:dyDescent="0.25">
      <c r="I147" s="37"/>
      <c r="J147" s="35"/>
    </row>
    <row r="148" spans="9:10" x14ac:dyDescent="0.25">
      <c r="I148" s="37"/>
      <c r="J148" s="35"/>
    </row>
    <row r="149" spans="9:10" x14ac:dyDescent="0.25">
      <c r="I149" s="37"/>
      <c r="J149" s="35"/>
    </row>
    <row r="150" spans="9:10" x14ac:dyDescent="0.25">
      <c r="I150" s="37"/>
      <c r="J150" s="35"/>
    </row>
    <row r="151" spans="9:10" x14ac:dyDescent="0.25">
      <c r="I151" s="37"/>
      <c r="J151" s="35"/>
    </row>
    <row r="152" spans="9:10" x14ac:dyDescent="0.25">
      <c r="I152" s="37"/>
      <c r="J152" s="35"/>
    </row>
    <row r="153" spans="9:10" x14ac:dyDescent="0.25">
      <c r="I153" s="37"/>
      <c r="J153" s="35"/>
    </row>
    <row r="154" spans="9:10" x14ac:dyDescent="0.25">
      <c r="I154" s="37"/>
      <c r="J154" s="35"/>
    </row>
    <row r="155" spans="9:10" x14ac:dyDescent="0.25">
      <c r="I155" s="37"/>
      <c r="J155" s="35"/>
    </row>
    <row r="156" spans="9:10" x14ac:dyDescent="0.25">
      <c r="I156" s="37"/>
      <c r="J156" s="35"/>
    </row>
    <row r="157" spans="9:10" x14ac:dyDescent="0.25">
      <c r="I157" s="37"/>
      <c r="J157" s="35"/>
    </row>
    <row r="158" spans="9:10" x14ac:dyDescent="0.25">
      <c r="I158" s="37"/>
      <c r="J158" s="35"/>
    </row>
    <row r="159" spans="9:10" x14ac:dyDescent="0.25">
      <c r="I159" s="37"/>
      <c r="J159" s="35"/>
    </row>
    <row r="160" spans="9:10" x14ac:dyDescent="0.25">
      <c r="I160" s="37"/>
      <c r="J160" s="35"/>
    </row>
    <row r="161" spans="9:10" x14ac:dyDescent="0.25">
      <c r="I161" s="37"/>
      <c r="J161" s="35"/>
    </row>
    <row r="162" spans="9:10" x14ac:dyDescent="0.25">
      <c r="I162" s="37"/>
      <c r="J162" s="35"/>
    </row>
    <row r="163" spans="9:10" x14ac:dyDescent="0.25">
      <c r="I163" s="37"/>
      <c r="J163" s="35"/>
    </row>
    <row r="164" spans="9:10" x14ac:dyDescent="0.25">
      <c r="I164" s="37"/>
      <c r="J164" s="35"/>
    </row>
    <row r="165" spans="9:10" x14ac:dyDescent="0.25">
      <c r="I165" s="37"/>
      <c r="J165" s="35"/>
    </row>
    <row r="166" spans="9:10" x14ac:dyDescent="0.25">
      <c r="I166" s="37"/>
      <c r="J166" s="35"/>
    </row>
    <row r="167" spans="9:10" x14ac:dyDescent="0.25">
      <c r="I167" s="37"/>
      <c r="J167" s="35"/>
    </row>
    <row r="168" spans="9:10" x14ac:dyDescent="0.25">
      <c r="I168" s="37"/>
      <c r="J168" s="35"/>
    </row>
    <row r="169" spans="9:10" x14ac:dyDescent="0.25">
      <c r="I169" s="37"/>
      <c r="J169" s="35"/>
    </row>
    <row r="170" spans="9:10" x14ac:dyDescent="0.25">
      <c r="I170" s="37"/>
      <c r="J170" s="35"/>
    </row>
    <row r="171" spans="9:10" x14ac:dyDescent="0.25">
      <c r="I171" s="37"/>
      <c r="J171" s="35"/>
    </row>
    <row r="172" spans="9:10" x14ac:dyDescent="0.25">
      <c r="I172" s="37"/>
      <c r="J172" s="35"/>
    </row>
    <row r="173" spans="9:10" x14ac:dyDescent="0.25">
      <c r="I173" s="37"/>
      <c r="J173" s="35"/>
    </row>
    <row r="174" spans="9:10" x14ac:dyDescent="0.25">
      <c r="I174" s="37"/>
      <c r="J174" s="35"/>
    </row>
    <row r="175" spans="9:10" x14ac:dyDescent="0.25">
      <c r="I175" s="37"/>
      <c r="J175" s="35"/>
    </row>
    <row r="176" spans="9:10" x14ac:dyDescent="0.25">
      <c r="I176" s="37"/>
      <c r="J176" s="35"/>
    </row>
    <row r="177" spans="9:10" x14ac:dyDescent="0.25">
      <c r="I177" s="37"/>
      <c r="J177" s="35"/>
    </row>
    <row r="178" spans="9:10" x14ac:dyDescent="0.25">
      <c r="I178" s="37"/>
      <c r="J178" s="35"/>
    </row>
    <row r="179" spans="9:10" x14ac:dyDescent="0.25">
      <c r="I179" s="37"/>
      <c r="J179" s="35"/>
    </row>
    <row r="180" spans="9:10" x14ac:dyDescent="0.25">
      <c r="I180" s="37"/>
      <c r="J180" s="35"/>
    </row>
    <row r="181" spans="9:10" x14ac:dyDescent="0.25">
      <c r="I181" s="37"/>
      <c r="J181" s="35"/>
    </row>
    <row r="182" spans="9:10" x14ac:dyDescent="0.25">
      <c r="I182" s="37"/>
      <c r="J182" s="35"/>
    </row>
    <row r="183" spans="9:10" x14ac:dyDescent="0.25">
      <c r="I183" s="37"/>
      <c r="J183" s="35"/>
    </row>
    <row r="184" spans="9:10" x14ac:dyDescent="0.25">
      <c r="I184" s="37"/>
      <c r="J184" s="35"/>
    </row>
    <row r="185" spans="9:10" x14ac:dyDescent="0.25">
      <c r="I185" s="37"/>
      <c r="J185" s="35"/>
    </row>
    <row r="186" spans="9:10" x14ac:dyDescent="0.25">
      <c r="I186" s="37"/>
      <c r="J186" s="35"/>
    </row>
    <row r="187" spans="9:10" x14ac:dyDescent="0.25">
      <c r="I187" s="37"/>
      <c r="J187" s="35"/>
    </row>
    <row r="188" spans="9:10" x14ac:dyDescent="0.25">
      <c r="I188" s="37"/>
      <c r="J188" s="35"/>
    </row>
    <row r="189" spans="9:10" x14ac:dyDescent="0.25">
      <c r="I189" s="37"/>
      <c r="J189" s="35"/>
    </row>
    <row r="190" spans="9:10" x14ac:dyDescent="0.25">
      <c r="I190" s="37"/>
      <c r="J190" s="35"/>
    </row>
    <row r="191" spans="9:10" x14ac:dyDescent="0.25">
      <c r="I191" s="37"/>
      <c r="J191" s="35"/>
    </row>
    <row r="192" spans="9:10" x14ac:dyDescent="0.25">
      <c r="I192" s="37"/>
      <c r="J192" s="35"/>
    </row>
    <row r="193" spans="9:10" x14ac:dyDescent="0.25">
      <c r="I193" s="37"/>
      <c r="J193" s="35"/>
    </row>
    <row r="194" spans="9:10" x14ac:dyDescent="0.25">
      <c r="I194" s="37"/>
      <c r="J194" s="35"/>
    </row>
    <row r="195" spans="9:10" x14ac:dyDescent="0.25">
      <c r="I195" s="37"/>
      <c r="J195" s="35"/>
    </row>
    <row r="196" spans="9:10" x14ac:dyDescent="0.25">
      <c r="I196" s="37"/>
      <c r="J196" s="35"/>
    </row>
    <row r="197" spans="9:10" x14ac:dyDescent="0.25">
      <c r="I197" s="37"/>
      <c r="J197" s="35"/>
    </row>
    <row r="198" spans="9:10" x14ac:dyDescent="0.25">
      <c r="I198" s="37"/>
      <c r="J198" s="35"/>
    </row>
    <row r="199" spans="9:10" x14ac:dyDescent="0.25">
      <c r="I199" s="37"/>
      <c r="J199" s="35"/>
    </row>
    <row r="200" spans="9:10" x14ac:dyDescent="0.25">
      <c r="I200" s="37"/>
      <c r="J200" s="35"/>
    </row>
    <row r="201" spans="9:10" x14ac:dyDescent="0.25">
      <c r="I201" s="37"/>
      <c r="J201" s="35"/>
    </row>
    <row r="202" spans="9:10" x14ac:dyDescent="0.25">
      <c r="I202" s="37"/>
      <c r="J202" s="35"/>
    </row>
    <row r="203" spans="9:10" x14ac:dyDescent="0.25">
      <c r="I203" s="37"/>
      <c r="J203" s="35"/>
    </row>
    <row r="204" spans="9:10" x14ac:dyDescent="0.25">
      <c r="I204" s="37"/>
      <c r="J204" s="35"/>
    </row>
    <row r="205" spans="9:10" x14ac:dyDescent="0.25">
      <c r="I205" s="37"/>
      <c r="J205" s="35"/>
    </row>
    <row r="206" spans="9:10" x14ac:dyDescent="0.25">
      <c r="I206" s="37"/>
      <c r="J206" s="35"/>
    </row>
    <row r="207" spans="9:10" x14ac:dyDescent="0.25">
      <c r="I207" s="37"/>
      <c r="J207" s="35"/>
    </row>
    <row r="208" spans="9:10" x14ac:dyDescent="0.25">
      <c r="I208" s="37"/>
      <c r="J208" s="35"/>
    </row>
    <row r="209" spans="9:10" x14ac:dyDescent="0.25">
      <c r="I209" s="37"/>
      <c r="J209" s="35"/>
    </row>
    <row r="210" spans="9:10" x14ac:dyDescent="0.25">
      <c r="I210" s="37"/>
      <c r="J210" s="35"/>
    </row>
    <row r="211" spans="9:10" x14ac:dyDescent="0.25">
      <c r="I211" s="37"/>
      <c r="J211" s="35"/>
    </row>
    <row r="212" spans="9:10" x14ac:dyDescent="0.25">
      <c r="I212" s="37"/>
      <c r="J212" s="35"/>
    </row>
    <row r="213" spans="9:10" x14ac:dyDescent="0.25">
      <c r="I213" s="37"/>
      <c r="J213" s="35"/>
    </row>
    <row r="214" spans="9:10" x14ac:dyDescent="0.25">
      <c r="I214" s="37"/>
      <c r="J214" s="35"/>
    </row>
    <row r="215" spans="9:10" x14ac:dyDescent="0.25">
      <c r="I215" s="37"/>
      <c r="J215" s="35"/>
    </row>
    <row r="216" spans="9:10" x14ac:dyDescent="0.25">
      <c r="I216" s="37"/>
      <c r="J216" s="35"/>
    </row>
    <row r="217" spans="9:10" x14ac:dyDescent="0.25">
      <c r="I217" s="37"/>
      <c r="J217" s="35"/>
    </row>
    <row r="218" spans="9:10" x14ac:dyDescent="0.25">
      <c r="I218" s="37"/>
      <c r="J218" s="35"/>
    </row>
    <row r="219" spans="9:10" x14ac:dyDescent="0.25">
      <c r="I219" s="37"/>
      <c r="J219" s="35"/>
    </row>
    <row r="220" spans="9:10" x14ac:dyDescent="0.25">
      <c r="I220" s="37"/>
      <c r="J220" s="35"/>
    </row>
    <row r="221" spans="9:10" x14ac:dyDescent="0.25">
      <c r="I221" s="37"/>
      <c r="J221" s="35"/>
    </row>
    <row r="222" spans="9:10" x14ac:dyDescent="0.25">
      <c r="I222" s="37"/>
      <c r="J222" s="35"/>
    </row>
    <row r="223" spans="9:10" x14ac:dyDescent="0.25">
      <c r="I223" s="37"/>
      <c r="J223" s="35"/>
    </row>
    <row r="224" spans="9:10" x14ac:dyDescent="0.25">
      <c r="I224" s="37"/>
      <c r="J224" s="35"/>
    </row>
    <row r="225" spans="9:10" x14ac:dyDescent="0.25">
      <c r="I225" s="37"/>
      <c r="J225" s="35"/>
    </row>
    <row r="226" spans="9:10" x14ac:dyDescent="0.25">
      <c r="I226" s="37"/>
      <c r="J226" s="35"/>
    </row>
    <row r="227" spans="9:10" x14ac:dyDescent="0.25">
      <c r="I227" s="37"/>
      <c r="J227" s="35"/>
    </row>
    <row r="228" spans="9:10" x14ac:dyDescent="0.25">
      <c r="I228" s="37"/>
      <c r="J228" s="35"/>
    </row>
    <row r="229" spans="9:10" x14ac:dyDescent="0.25">
      <c r="I229" s="37"/>
      <c r="J229" s="35"/>
    </row>
    <row r="230" spans="9:10" x14ac:dyDescent="0.25">
      <c r="I230" s="37"/>
      <c r="J230" s="35"/>
    </row>
    <row r="231" spans="9:10" x14ac:dyDescent="0.25">
      <c r="I231" s="37"/>
      <c r="J231" s="35"/>
    </row>
    <row r="232" spans="9:10" x14ac:dyDescent="0.25">
      <c r="I232" s="37"/>
      <c r="J232" s="35"/>
    </row>
    <row r="233" spans="9:10" x14ac:dyDescent="0.25">
      <c r="I233" s="37"/>
      <c r="J233" s="35"/>
    </row>
    <row r="234" spans="9:10" x14ac:dyDescent="0.25">
      <c r="I234" s="37"/>
      <c r="J234" s="35"/>
    </row>
    <row r="235" spans="9:10" x14ac:dyDescent="0.25">
      <c r="I235" s="37"/>
      <c r="J235" s="35"/>
    </row>
    <row r="236" spans="9:10" x14ac:dyDescent="0.25">
      <c r="I236" s="37"/>
      <c r="J236" s="35"/>
    </row>
    <row r="237" spans="9:10" x14ac:dyDescent="0.25">
      <c r="I237" s="37"/>
      <c r="J237" s="35"/>
    </row>
    <row r="238" spans="9:10" x14ac:dyDescent="0.25">
      <c r="I238" s="37"/>
      <c r="J238" s="35"/>
    </row>
    <row r="239" spans="9:10" x14ac:dyDescent="0.25">
      <c r="I239" s="37"/>
      <c r="J239" s="35"/>
    </row>
    <row r="240" spans="9:10" x14ac:dyDescent="0.25">
      <c r="I240" s="37"/>
      <c r="J240" s="35"/>
    </row>
    <row r="241" spans="9:10" x14ac:dyDescent="0.25">
      <c r="I241" s="37"/>
      <c r="J241" s="35"/>
    </row>
    <row r="242" spans="9:10" x14ac:dyDescent="0.25">
      <c r="I242" s="37"/>
      <c r="J242" s="35"/>
    </row>
    <row r="243" spans="9:10" x14ac:dyDescent="0.25">
      <c r="I243" s="37"/>
      <c r="J243" s="35"/>
    </row>
    <row r="244" spans="9:10" x14ac:dyDescent="0.25">
      <c r="I244" s="37"/>
      <c r="J244" s="35"/>
    </row>
    <row r="245" spans="9:10" x14ac:dyDescent="0.25">
      <c r="I245" s="37"/>
      <c r="J245" s="35"/>
    </row>
    <row r="246" spans="9:10" x14ac:dyDescent="0.25">
      <c r="I246" s="37"/>
      <c r="J246" s="35"/>
    </row>
    <row r="247" spans="9:10" x14ac:dyDescent="0.25">
      <c r="I247" s="37"/>
      <c r="J247" s="35"/>
    </row>
    <row r="248" spans="9:10" x14ac:dyDescent="0.25">
      <c r="I248" s="37"/>
      <c r="J248" s="35"/>
    </row>
    <row r="249" spans="9:10" x14ac:dyDescent="0.25">
      <c r="I249" s="37"/>
      <c r="J249" s="35"/>
    </row>
    <row r="250" spans="9:10" x14ac:dyDescent="0.25">
      <c r="I250" s="37"/>
      <c r="J250" s="35"/>
    </row>
    <row r="251" spans="9:10" x14ac:dyDescent="0.25">
      <c r="I251" s="37"/>
      <c r="J251" s="35"/>
    </row>
    <row r="252" spans="9:10" x14ac:dyDescent="0.25">
      <c r="I252" s="37"/>
      <c r="J252" s="35"/>
    </row>
    <row r="253" spans="9:10" x14ac:dyDescent="0.25">
      <c r="I253" s="37"/>
      <c r="J253" s="35"/>
    </row>
    <row r="254" spans="9:10" x14ac:dyDescent="0.25">
      <c r="I254" s="37"/>
      <c r="J254" s="35"/>
    </row>
    <row r="255" spans="9:10" x14ac:dyDescent="0.25">
      <c r="I255" s="37"/>
      <c r="J255" s="35"/>
    </row>
    <row r="256" spans="9:10" x14ac:dyDescent="0.25">
      <c r="I256" s="37"/>
      <c r="J256" s="35"/>
    </row>
    <row r="257" spans="9:10" x14ac:dyDescent="0.25">
      <c r="I257" s="37"/>
      <c r="J257" s="35"/>
    </row>
    <row r="258" spans="9:10" x14ac:dyDescent="0.25">
      <c r="I258" s="37"/>
      <c r="J258" s="35"/>
    </row>
    <row r="259" spans="9:10" x14ac:dyDescent="0.25">
      <c r="I259" s="37"/>
      <c r="J259" s="35"/>
    </row>
    <row r="260" spans="9:10" x14ac:dyDescent="0.25">
      <c r="I260" s="37"/>
      <c r="J260" s="35"/>
    </row>
    <row r="261" spans="9:10" x14ac:dyDescent="0.25">
      <c r="I261" s="37"/>
      <c r="J261" s="35"/>
    </row>
    <row r="262" spans="9:10" x14ac:dyDescent="0.25">
      <c r="I262" s="37"/>
      <c r="J262" s="35"/>
    </row>
    <row r="263" spans="9:10" x14ac:dyDescent="0.25">
      <c r="I263" s="37"/>
      <c r="J263" s="35"/>
    </row>
    <row r="264" spans="9:10" x14ac:dyDescent="0.25">
      <c r="I264" s="37"/>
      <c r="J264" s="35"/>
    </row>
    <row r="265" spans="9:10" x14ac:dyDescent="0.25">
      <c r="I265" s="37"/>
      <c r="J265" s="35"/>
    </row>
    <row r="266" spans="9:10" x14ac:dyDescent="0.25">
      <c r="I266" s="37"/>
      <c r="J266" s="35"/>
    </row>
    <row r="267" spans="9:10" x14ac:dyDescent="0.25">
      <c r="I267" s="37"/>
      <c r="J267" s="35"/>
    </row>
    <row r="268" spans="9:10" x14ac:dyDescent="0.25">
      <c r="I268" s="37"/>
      <c r="J268" s="35"/>
    </row>
    <row r="269" spans="9:10" x14ac:dyDescent="0.25">
      <c r="I269" s="37"/>
      <c r="J269" s="35"/>
    </row>
    <row r="270" spans="9:10" x14ac:dyDescent="0.25">
      <c r="I270" s="37"/>
      <c r="J270" s="35"/>
    </row>
    <row r="271" spans="9:10" x14ac:dyDescent="0.25">
      <c r="I271" s="37"/>
      <c r="J271" s="35"/>
    </row>
    <row r="272" spans="9:10" x14ac:dyDescent="0.25">
      <c r="I272" s="37"/>
      <c r="J272" s="35"/>
    </row>
    <row r="273" spans="9:10" x14ac:dyDescent="0.25">
      <c r="I273" s="37"/>
      <c r="J273" s="35"/>
    </row>
    <row r="274" spans="9:10" x14ac:dyDescent="0.25">
      <c r="I274" s="37"/>
      <c r="J274" s="35"/>
    </row>
    <row r="275" spans="9:10" x14ac:dyDescent="0.25">
      <c r="I275" s="37"/>
      <c r="J275" s="35"/>
    </row>
    <row r="276" spans="9:10" x14ac:dyDescent="0.25">
      <c r="I276" s="37"/>
      <c r="J276" s="35"/>
    </row>
    <row r="277" spans="9:10" x14ac:dyDescent="0.25">
      <c r="I277" s="37"/>
      <c r="J277" s="35"/>
    </row>
    <row r="278" spans="9:10" x14ac:dyDescent="0.25">
      <c r="I278" s="37"/>
      <c r="J278" s="35"/>
    </row>
    <row r="279" spans="9:10" x14ac:dyDescent="0.25">
      <c r="I279" s="37"/>
      <c r="J279" s="35"/>
    </row>
    <row r="280" spans="9:10" x14ac:dyDescent="0.25">
      <c r="I280" s="37"/>
      <c r="J280" s="35"/>
    </row>
    <row r="281" spans="9:10" x14ac:dyDescent="0.25">
      <c r="I281" s="37"/>
      <c r="J281" s="35"/>
    </row>
    <row r="282" spans="9:10" x14ac:dyDescent="0.25">
      <c r="I282" s="37"/>
      <c r="J282" s="35"/>
    </row>
    <row r="283" spans="9:10" x14ac:dyDescent="0.25">
      <c r="I283" s="37"/>
      <c r="J283" s="35"/>
    </row>
    <row r="284" spans="9:10" x14ac:dyDescent="0.25">
      <c r="I284" s="37"/>
      <c r="J284" s="35"/>
    </row>
    <row r="285" spans="9:10" x14ac:dyDescent="0.25">
      <c r="I285" s="37"/>
      <c r="J285" s="35"/>
    </row>
    <row r="286" spans="9:10" x14ac:dyDescent="0.25">
      <c r="I286" s="37"/>
      <c r="J286" s="35"/>
    </row>
    <row r="287" spans="9:10" x14ac:dyDescent="0.25">
      <c r="I287" s="37"/>
      <c r="J287" s="35"/>
    </row>
    <row r="288" spans="9:10" x14ac:dyDescent="0.25">
      <c r="I288" s="37"/>
      <c r="J288" s="35"/>
    </row>
    <row r="289" spans="9:10" x14ac:dyDescent="0.25">
      <c r="I289" s="37"/>
      <c r="J289" s="35"/>
    </row>
    <row r="290" spans="9:10" x14ac:dyDescent="0.25">
      <c r="I290" s="37"/>
      <c r="J290" s="35"/>
    </row>
    <row r="291" spans="9:10" x14ac:dyDescent="0.25">
      <c r="I291" s="37"/>
      <c r="J291" s="35"/>
    </row>
    <row r="292" spans="9:10" x14ac:dyDescent="0.25">
      <c r="I292" s="37"/>
      <c r="J292" s="35"/>
    </row>
    <row r="293" spans="9:10" x14ac:dyDescent="0.25">
      <c r="I293" s="37"/>
      <c r="J293" s="35"/>
    </row>
    <row r="294" spans="9:10" x14ac:dyDescent="0.25">
      <c r="I294" s="37"/>
      <c r="J294" s="35"/>
    </row>
    <row r="295" spans="9:10" x14ac:dyDescent="0.25">
      <c r="I295" s="37"/>
      <c r="J295" s="35"/>
    </row>
    <row r="296" spans="9:10" x14ac:dyDescent="0.25">
      <c r="I296" s="37"/>
      <c r="J296" s="35"/>
    </row>
    <row r="297" spans="9:10" x14ac:dyDescent="0.25">
      <c r="I297" s="37"/>
      <c r="J297" s="35"/>
    </row>
    <row r="298" spans="9:10" x14ac:dyDescent="0.25">
      <c r="I298" s="37"/>
      <c r="J298" s="35"/>
    </row>
    <row r="299" spans="9:10" x14ac:dyDescent="0.25">
      <c r="I299" s="37"/>
      <c r="J299" s="35"/>
    </row>
    <row r="300" spans="9:10" x14ac:dyDescent="0.25">
      <c r="I300" s="37"/>
      <c r="J300" s="35"/>
    </row>
    <row r="301" spans="9:10" x14ac:dyDescent="0.25">
      <c r="I301" s="37"/>
      <c r="J301" s="35"/>
    </row>
    <row r="302" spans="9:10" x14ac:dyDescent="0.25">
      <c r="I302" s="37"/>
      <c r="J302" s="35"/>
    </row>
    <row r="303" spans="9:10" x14ac:dyDescent="0.25">
      <c r="I303" s="37"/>
      <c r="J303" s="35"/>
    </row>
    <row r="304" spans="9:10" x14ac:dyDescent="0.25">
      <c r="I304" s="37"/>
      <c r="J304" s="35"/>
    </row>
    <row r="305" spans="9:12" x14ac:dyDescent="0.25">
      <c r="I305" s="37"/>
      <c r="J305" s="35"/>
    </row>
    <row r="306" spans="9:12" x14ac:dyDescent="0.25">
      <c r="I306" s="37"/>
      <c r="J306" s="35"/>
    </row>
    <row r="307" spans="9:12" x14ac:dyDescent="0.25">
      <c r="I307" s="37"/>
      <c r="J307" s="35"/>
    </row>
    <row r="308" spans="9:12" x14ac:dyDescent="0.25">
      <c r="I308" s="37"/>
      <c r="J308" s="35"/>
    </row>
    <row r="309" spans="9:12" x14ac:dyDescent="0.25">
      <c r="I309" s="37"/>
      <c r="J309" s="35"/>
    </row>
    <row r="310" spans="9:12" x14ac:dyDescent="0.25">
      <c r="I310" s="37"/>
      <c r="J310" s="35"/>
    </row>
    <row r="311" spans="9:12" x14ac:dyDescent="0.25">
      <c r="I311" s="37"/>
      <c r="J311" s="35"/>
    </row>
    <row r="312" spans="9:12" x14ac:dyDescent="0.25">
      <c r="I312" s="37"/>
      <c r="J312" s="35"/>
      <c r="L312" s="36"/>
    </row>
    <row r="313" spans="9:12" x14ac:dyDescent="0.25">
      <c r="I313" s="37"/>
      <c r="J313" s="35"/>
    </row>
    <row r="314" spans="9:12" x14ac:dyDescent="0.25">
      <c r="I314" s="37"/>
      <c r="J314" s="35"/>
    </row>
    <row r="315" spans="9:12" x14ac:dyDescent="0.25">
      <c r="I315" s="37"/>
      <c r="J315" s="35"/>
    </row>
    <row r="316" spans="9:12" x14ac:dyDescent="0.25">
      <c r="I316" s="37"/>
      <c r="J316" s="35"/>
    </row>
    <row r="317" spans="9:12" x14ac:dyDescent="0.25">
      <c r="I317" s="37"/>
      <c r="J317" s="35"/>
    </row>
    <row r="318" spans="9:12" x14ac:dyDescent="0.25">
      <c r="I318" s="37"/>
      <c r="J318" s="35"/>
    </row>
    <row r="319" spans="9:12" x14ac:dyDescent="0.25">
      <c r="I319" s="37"/>
      <c r="J319" s="35"/>
    </row>
    <row r="320" spans="9:12" x14ac:dyDescent="0.25">
      <c r="I320" s="37"/>
      <c r="J320" s="35"/>
    </row>
    <row r="321" spans="9:10" x14ac:dyDescent="0.25">
      <c r="I321" s="37"/>
      <c r="J321" s="35"/>
    </row>
    <row r="322" spans="9:10" x14ac:dyDescent="0.25">
      <c r="I322" s="37"/>
      <c r="J322" s="35"/>
    </row>
    <row r="323" spans="9:10" x14ac:dyDescent="0.25">
      <c r="I323" s="37"/>
      <c r="J323" s="35"/>
    </row>
    <row r="324" spans="9:10" x14ac:dyDescent="0.25">
      <c r="I324" s="37"/>
      <c r="J324" s="35"/>
    </row>
    <row r="325" spans="9:10" x14ac:dyDescent="0.25">
      <c r="I325" s="37"/>
      <c r="J325" s="35"/>
    </row>
    <row r="326" spans="9:10" x14ac:dyDescent="0.25">
      <c r="I326" s="37"/>
      <c r="J326" s="35"/>
    </row>
    <row r="327" spans="9:10" x14ac:dyDescent="0.25">
      <c r="I327" s="37"/>
      <c r="J327" s="35"/>
    </row>
    <row r="328" spans="9:10" x14ac:dyDescent="0.25">
      <c r="I328" s="37"/>
      <c r="J328" s="35"/>
    </row>
    <row r="329" spans="9:10" x14ac:dyDescent="0.25">
      <c r="I329" s="37"/>
      <c r="J329" s="35"/>
    </row>
    <row r="330" spans="9:10" x14ac:dyDescent="0.25">
      <c r="I330" s="37"/>
      <c r="J330" s="35"/>
    </row>
    <row r="331" spans="9:10" x14ac:dyDescent="0.25">
      <c r="I331" s="37"/>
      <c r="J331" s="35"/>
    </row>
    <row r="332" spans="9:10" x14ac:dyDescent="0.25">
      <c r="I332" s="37"/>
      <c r="J332" s="35"/>
    </row>
    <row r="333" spans="9:10" x14ac:dyDescent="0.25">
      <c r="I333" s="37"/>
      <c r="J333" s="35"/>
    </row>
    <row r="334" spans="9:10" x14ac:dyDescent="0.25">
      <c r="I334" s="37"/>
      <c r="J334" s="35"/>
    </row>
    <row r="335" spans="9:10" x14ac:dyDescent="0.25">
      <c r="I335" s="37"/>
      <c r="J335" s="35"/>
    </row>
    <row r="336" spans="9:10" x14ac:dyDescent="0.25">
      <c r="I336" s="37"/>
      <c r="J336" s="35"/>
    </row>
    <row r="337" spans="9:10" x14ac:dyDescent="0.25">
      <c r="I337" s="37"/>
      <c r="J337" s="35"/>
    </row>
    <row r="338" spans="9:10" x14ac:dyDescent="0.25">
      <c r="I338" s="37"/>
      <c r="J338" s="35"/>
    </row>
    <row r="339" spans="9:10" x14ac:dyDescent="0.25">
      <c r="I339" s="37"/>
      <c r="J339" s="35"/>
    </row>
    <row r="340" spans="9:10" x14ac:dyDescent="0.25">
      <c r="I340" s="37"/>
      <c r="J340" s="35"/>
    </row>
    <row r="341" spans="9:10" x14ac:dyDescent="0.25">
      <c r="I341" s="37"/>
      <c r="J341" s="35"/>
    </row>
    <row r="342" spans="9:10" x14ac:dyDescent="0.25">
      <c r="I342" s="37"/>
      <c r="J342" s="35"/>
    </row>
    <row r="343" spans="9:10" x14ac:dyDescent="0.25">
      <c r="I343" s="37"/>
      <c r="J343" s="35"/>
    </row>
    <row r="344" spans="9:10" x14ac:dyDescent="0.25">
      <c r="I344" s="37"/>
      <c r="J344" s="35"/>
    </row>
    <row r="345" spans="9:10" x14ac:dyDescent="0.25">
      <c r="I345" s="37"/>
      <c r="J345" s="35"/>
    </row>
    <row r="346" spans="9:10" x14ac:dyDescent="0.25">
      <c r="I346" s="37"/>
      <c r="J346" s="35"/>
    </row>
    <row r="347" spans="9:10" x14ac:dyDescent="0.25">
      <c r="I347" s="37"/>
      <c r="J347" s="35"/>
    </row>
    <row r="348" spans="9:10" x14ac:dyDescent="0.25">
      <c r="I348" s="37"/>
      <c r="J348" s="35"/>
    </row>
    <row r="349" spans="9:10" x14ac:dyDescent="0.25">
      <c r="I349" s="37"/>
      <c r="J349" s="35"/>
    </row>
    <row r="350" spans="9:10" x14ac:dyDescent="0.25">
      <c r="I350" s="37"/>
      <c r="J350" s="35"/>
    </row>
    <row r="351" spans="9:10" x14ac:dyDescent="0.25">
      <c r="I351" s="37"/>
      <c r="J351" s="35"/>
    </row>
    <row r="352" spans="9:10" x14ac:dyDescent="0.25">
      <c r="I352" s="37"/>
      <c r="J352" s="35"/>
    </row>
    <row r="353" spans="9:10" x14ac:dyDescent="0.25">
      <c r="I353" s="37"/>
      <c r="J353" s="35"/>
    </row>
    <row r="354" spans="9:10" x14ac:dyDescent="0.25">
      <c r="I354" s="37"/>
      <c r="J354" s="35"/>
    </row>
    <row r="355" spans="9:10" x14ac:dyDescent="0.25">
      <c r="I355" s="37"/>
      <c r="J355" s="35"/>
    </row>
    <row r="356" spans="9:10" x14ac:dyDescent="0.25">
      <c r="I356" s="37"/>
      <c r="J356" s="35"/>
    </row>
    <row r="357" spans="9:10" x14ac:dyDescent="0.25">
      <c r="I357" s="37"/>
      <c r="J357" s="35"/>
    </row>
    <row r="358" spans="9:10" x14ac:dyDescent="0.25">
      <c r="I358" s="37"/>
      <c r="J358" s="35"/>
    </row>
    <row r="359" spans="9:10" x14ac:dyDescent="0.25">
      <c r="I359" s="37"/>
      <c r="J359" s="35"/>
    </row>
    <row r="360" spans="9:10" x14ac:dyDescent="0.25">
      <c r="I360" s="37"/>
      <c r="J360" s="35"/>
    </row>
    <row r="361" spans="9:10" x14ac:dyDescent="0.25">
      <c r="I361" s="37"/>
      <c r="J361" s="35"/>
    </row>
    <row r="362" spans="9:10" x14ac:dyDescent="0.25">
      <c r="I362" s="37"/>
      <c r="J362" s="35"/>
    </row>
    <row r="363" spans="9:10" x14ac:dyDescent="0.25">
      <c r="I363" s="37"/>
      <c r="J363" s="35"/>
    </row>
    <row r="364" spans="9:10" x14ac:dyDescent="0.25">
      <c r="I364" s="37"/>
      <c r="J364" s="35"/>
    </row>
    <row r="365" spans="9:10" x14ac:dyDescent="0.25">
      <c r="I365" s="37"/>
      <c r="J365" s="35"/>
    </row>
    <row r="366" spans="9:10" x14ac:dyDescent="0.25">
      <c r="I366" s="37"/>
      <c r="J366" s="35"/>
    </row>
    <row r="367" spans="9:10" x14ac:dyDescent="0.25">
      <c r="I367" s="37"/>
      <c r="J367" s="35"/>
    </row>
    <row r="368" spans="9:10" x14ac:dyDescent="0.25">
      <c r="I368" s="37"/>
      <c r="J368" s="35"/>
    </row>
    <row r="369" spans="9:10" x14ac:dyDescent="0.25">
      <c r="I369" s="37"/>
      <c r="J369" s="35"/>
    </row>
    <row r="370" spans="9:10" x14ac:dyDescent="0.25">
      <c r="I370" s="37"/>
      <c r="J370" s="35"/>
    </row>
    <row r="371" spans="9:10" x14ac:dyDescent="0.25">
      <c r="I371" s="37"/>
      <c r="J371" s="35"/>
    </row>
    <row r="372" spans="9:10" x14ac:dyDescent="0.25">
      <c r="I372" s="37"/>
      <c r="J372" s="35"/>
    </row>
    <row r="373" spans="9:10" x14ac:dyDescent="0.25">
      <c r="I373" s="37"/>
      <c r="J373" s="35"/>
    </row>
    <row r="374" spans="9:10" x14ac:dyDescent="0.25">
      <c r="I374" s="37"/>
      <c r="J374" s="35"/>
    </row>
    <row r="375" spans="9:10" x14ac:dyDescent="0.25">
      <c r="I375" s="37"/>
      <c r="J375" s="35"/>
    </row>
    <row r="376" spans="9:10" x14ac:dyDescent="0.25">
      <c r="I376" s="37"/>
      <c r="J376" s="35"/>
    </row>
    <row r="377" spans="9:10" x14ac:dyDescent="0.25">
      <c r="I377" s="37"/>
      <c r="J377" s="35"/>
    </row>
    <row r="378" spans="9:10" x14ac:dyDescent="0.25">
      <c r="I378" s="37"/>
      <c r="J378" s="35"/>
    </row>
    <row r="379" spans="9:10" x14ac:dyDescent="0.25">
      <c r="I379" s="37"/>
      <c r="J379" s="35"/>
    </row>
    <row r="380" spans="9:10" x14ac:dyDescent="0.25">
      <c r="I380" s="37"/>
      <c r="J380" s="35"/>
    </row>
    <row r="381" spans="9:10" x14ac:dyDescent="0.25">
      <c r="I381" s="37"/>
      <c r="J381" s="35"/>
    </row>
    <row r="382" spans="9:10" x14ac:dyDescent="0.25">
      <c r="I382" s="37"/>
      <c r="J382" s="35"/>
    </row>
    <row r="383" spans="9:10" x14ac:dyDescent="0.25">
      <c r="I383" s="37"/>
      <c r="J383" s="35"/>
    </row>
    <row r="384" spans="9:10" x14ac:dyDescent="0.25">
      <c r="I384" s="37"/>
      <c r="J384" s="35"/>
    </row>
    <row r="385" spans="9:10" x14ac:dyDescent="0.25">
      <c r="I385" s="37"/>
      <c r="J385" s="35"/>
    </row>
    <row r="386" spans="9:10" x14ac:dyDescent="0.25">
      <c r="I386" s="37"/>
      <c r="J386" s="35"/>
    </row>
    <row r="387" spans="9:10" x14ac:dyDescent="0.25">
      <c r="I387" s="37"/>
      <c r="J387" s="35"/>
    </row>
    <row r="388" spans="9:10" x14ac:dyDescent="0.25">
      <c r="I388" s="37"/>
      <c r="J388" s="35"/>
    </row>
    <row r="389" spans="9:10" x14ac:dyDescent="0.25">
      <c r="I389" s="37"/>
      <c r="J389" s="35"/>
    </row>
    <row r="390" spans="9:10" x14ac:dyDescent="0.25">
      <c r="I390" s="37"/>
      <c r="J390" s="35"/>
    </row>
    <row r="391" spans="9:10" x14ac:dyDescent="0.25">
      <c r="I391" s="37"/>
      <c r="J391" s="35"/>
    </row>
    <row r="392" spans="9:10" x14ac:dyDescent="0.25">
      <c r="I392" s="37"/>
      <c r="J392" s="35"/>
    </row>
    <row r="393" spans="9:10" x14ac:dyDescent="0.25">
      <c r="I393" s="37"/>
      <c r="J393" s="35"/>
    </row>
    <row r="394" spans="9:10" x14ac:dyDescent="0.25">
      <c r="I394" s="37"/>
      <c r="J394" s="35"/>
    </row>
    <row r="395" spans="9:10" x14ac:dyDescent="0.25">
      <c r="I395" s="37"/>
      <c r="J395" s="35"/>
    </row>
    <row r="396" spans="9:10" x14ac:dyDescent="0.25">
      <c r="I396" s="37"/>
      <c r="J396" s="35"/>
    </row>
    <row r="397" spans="9:10" x14ac:dyDescent="0.25">
      <c r="I397" s="37"/>
      <c r="J397" s="35"/>
    </row>
    <row r="398" spans="9:10" x14ac:dyDescent="0.25">
      <c r="I398" s="37"/>
      <c r="J398" s="35"/>
    </row>
    <row r="399" spans="9:10" x14ac:dyDescent="0.25">
      <c r="I399" s="37"/>
      <c r="J399" s="35"/>
    </row>
    <row r="400" spans="9:10" x14ac:dyDescent="0.25">
      <c r="I400" s="37"/>
      <c r="J400" s="35"/>
    </row>
    <row r="401" spans="9:10" x14ac:dyDescent="0.25">
      <c r="I401" s="37"/>
      <c r="J401" s="35"/>
    </row>
    <row r="402" spans="9:10" x14ac:dyDescent="0.25">
      <c r="I402" s="37"/>
      <c r="J402" s="35"/>
    </row>
    <row r="403" spans="9:10" x14ac:dyDescent="0.25">
      <c r="I403" s="37"/>
      <c r="J403" s="35"/>
    </row>
    <row r="404" spans="9:10" x14ac:dyDescent="0.25">
      <c r="I404" s="37"/>
      <c r="J404" s="35"/>
    </row>
    <row r="405" spans="9:10" x14ac:dyDescent="0.25">
      <c r="I405" s="37"/>
      <c r="J405" s="35"/>
    </row>
    <row r="406" spans="9:10" x14ac:dyDescent="0.25">
      <c r="I406" s="37"/>
      <c r="J406" s="35"/>
    </row>
    <row r="407" spans="9:10" x14ac:dyDescent="0.25">
      <c r="I407" s="37"/>
      <c r="J407" s="35"/>
    </row>
    <row r="408" spans="9:10" x14ac:dyDescent="0.25">
      <c r="I408" s="37"/>
      <c r="J408" s="35"/>
    </row>
    <row r="409" spans="9:10" x14ac:dyDescent="0.25">
      <c r="I409" s="37"/>
      <c r="J409" s="35"/>
    </row>
    <row r="410" spans="9:10" x14ac:dyDescent="0.25">
      <c r="I410" s="37"/>
      <c r="J410" s="35"/>
    </row>
    <row r="411" spans="9:10" x14ac:dyDescent="0.25">
      <c r="I411" s="37"/>
      <c r="J411" s="35"/>
    </row>
    <row r="412" spans="9:10" x14ac:dyDescent="0.25">
      <c r="I412" s="37"/>
      <c r="J412" s="35"/>
    </row>
    <row r="413" spans="9:10" x14ac:dyDescent="0.25">
      <c r="I413" s="37"/>
      <c r="J413" s="35"/>
    </row>
    <row r="414" spans="9:10" x14ac:dyDescent="0.25">
      <c r="I414" s="37"/>
      <c r="J414" s="35"/>
    </row>
    <row r="415" spans="9:10" x14ac:dyDescent="0.25">
      <c r="I415" s="37"/>
      <c r="J415" s="35"/>
    </row>
    <row r="416" spans="9:10" x14ac:dyDescent="0.25">
      <c r="I416" s="37"/>
      <c r="J416" s="35"/>
    </row>
    <row r="417" spans="9:10" x14ac:dyDescent="0.25">
      <c r="I417" s="37"/>
      <c r="J417" s="35"/>
    </row>
    <row r="418" spans="9:10" x14ac:dyDescent="0.25">
      <c r="I418" s="37"/>
      <c r="J418" s="35"/>
    </row>
    <row r="419" spans="9:10" x14ac:dyDescent="0.25">
      <c r="I419" s="37"/>
      <c r="J419" s="35"/>
    </row>
    <row r="420" spans="9:10" x14ac:dyDescent="0.25">
      <c r="I420" s="37"/>
      <c r="J420" s="35"/>
    </row>
    <row r="421" spans="9:10" x14ac:dyDescent="0.25">
      <c r="I421" s="37"/>
      <c r="J421" s="35"/>
    </row>
    <row r="422" spans="9:10" x14ac:dyDescent="0.25">
      <c r="I422" s="37"/>
      <c r="J422" s="35"/>
    </row>
    <row r="423" spans="9:10" x14ac:dyDescent="0.25">
      <c r="I423" s="37"/>
      <c r="J423" s="35"/>
    </row>
    <row r="424" spans="9:10" x14ac:dyDescent="0.25">
      <c r="I424" s="37"/>
      <c r="J424" s="35"/>
    </row>
    <row r="425" spans="9:10" x14ac:dyDescent="0.25">
      <c r="I425" s="37"/>
      <c r="J425" s="35"/>
    </row>
    <row r="426" spans="9:10" x14ac:dyDescent="0.25">
      <c r="I426" s="37"/>
      <c r="J426" s="35"/>
    </row>
    <row r="427" spans="9:10" x14ac:dyDescent="0.25">
      <c r="I427" s="37"/>
      <c r="J427" s="35"/>
    </row>
    <row r="428" spans="9:10" x14ac:dyDescent="0.25">
      <c r="I428" s="37"/>
      <c r="J428" s="35"/>
    </row>
    <row r="429" spans="9:10" x14ac:dyDescent="0.25">
      <c r="I429" s="37"/>
      <c r="J429" s="35"/>
    </row>
    <row r="430" spans="9:10" x14ac:dyDescent="0.25">
      <c r="I430" s="37"/>
      <c r="J430" s="35"/>
    </row>
    <row r="431" spans="9:10" x14ac:dyDescent="0.25">
      <c r="I431" s="37"/>
      <c r="J431" s="35"/>
    </row>
    <row r="432" spans="9:10" x14ac:dyDescent="0.25">
      <c r="I432" s="37"/>
      <c r="J432" s="35"/>
    </row>
    <row r="433" spans="9:10" x14ac:dyDescent="0.25">
      <c r="I433" s="37"/>
      <c r="J433" s="35"/>
    </row>
    <row r="434" spans="9:10" x14ac:dyDescent="0.25">
      <c r="I434" s="37"/>
      <c r="J434" s="35"/>
    </row>
    <row r="435" spans="9:10" x14ac:dyDescent="0.25">
      <c r="I435" s="37"/>
      <c r="J435" s="35"/>
    </row>
    <row r="436" spans="9:10" x14ac:dyDescent="0.25">
      <c r="I436" s="37"/>
      <c r="J436" s="35"/>
    </row>
    <row r="437" spans="9:10" x14ac:dyDescent="0.25">
      <c r="I437" s="37"/>
      <c r="J437" s="35"/>
    </row>
    <row r="438" spans="9:10" x14ac:dyDescent="0.25">
      <c r="I438" s="37"/>
      <c r="J438" s="35"/>
    </row>
    <row r="439" spans="9:10" x14ac:dyDescent="0.25">
      <c r="I439" s="37"/>
      <c r="J439" s="35"/>
    </row>
    <row r="440" spans="9:10" x14ac:dyDescent="0.25">
      <c r="I440" s="37"/>
      <c r="J440" s="35"/>
    </row>
    <row r="441" spans="9:10" x14ac:dyDescent="0.25">
      <c r="I441" s="37"/>
      <c r="J441" s="35"/>
    </row>
    <row r="442" spans="9:10" x14ac:dyDescent="0.25">
      <c r="I442" s="37"/>
      <c r="J442" s="35"/>
    </row>
    <row r="443" spans="9:10" x14ac:dyDescent="0.25">
      <c r="I443" s="37"/>
      <c r="J443" s="35"/>
    </row>
    <row r="444" spans="9:10" x14ac:dyDescent="0.25">
      <c r="I444" s="37"/>
      <c r="J444" s="35"/>
    </row>
    <row r="445" spans="9:10" x14ac:dyDescent="0.25">
      <c r="I445" s="37"/>
      <c r="J445" s="35"/>
    </row>
    <row r="446" spans="9:10" x14ac:dyDescent="0.25">
      <c r="I446" s="37"/>
      <c r="J446" s="35"/>
    </row>
    <row r="447" spans="9:10" x14ac:dyDescent="0.25">
      <c r="I447" s="37"/>
      <c r="J447" s="35"/>
    </row>
    <row r="448" spans="9:10" x14ac:dyDescent="0.25">
      <c r="I448" s="37"/>
      <c r="J448" s="35"/>
    </row>
    <row r="449" spans="9:10" x14ac:dyDescent="0.25">
      <c r="I449" s="37"/>
      <c r="J449" s="35"/>
    </row>
    <row r="450" spans="9:10" x14ac:dyDescent="0.25">
      <c r="I450" s="37"/>
      <c r="J450" s="35"/>
    </row>
    <row r="451" spans="9:10" x14ac:dyDescent="0.25">
      <c r="I451" s="37"/>
      <c r="J451" s="35"/>
    </row>
    <row r="452" spans="9:10" x14ac:dyDescent="0.25">
      <c r="I452" s="37"/>
      <c r="J452" s="35"/>
    </row>
    <row r="453" spans="9:10" x14ac:dyDescent="0.25">
      <c r="I453" s="37"/>
      <c r="J453" s="35"/>
    </row>
    <row r="454" spans="9:10" x14ac:dyDescent="0.25">
      <c r="I454" s="37"/>
      <c r="J454" s="35"/>
    </row>
    <row r="455" spans="9:10" x14ac:dyDescent="0.25">
      <c r="I455" s="37"/>
      <c r="J455" s="35"/>
    </row>
    <row r="456" spans="9:10" x14ac:dyDescent="0.25">
      <c r="I456" s="37"/>
      <c r="J456" s="35"/>
    </row>
    <row r="457" spans="9:10" x14ac:dyDescent="0.25">
      <c r="I457" s="37"/>
      <c r="J457" s="35"/>
    </row>
    <row r="458" spans="9:10" x14ac:dyDescent="0.25">
      <c r="I458" s="37"/>
      <c r="J458" s="35"/>
    </row>
    <row r="459" spans="9:10" x14ac:dyDescent="0.25">
      <c r="I459" s="37"/>
      <c r="J459" s="35"/>
    </row>
    <row r="460" spans="9:10" x14ac:dyDescent="0.25">
      <c r="I460" s="37"/>
      <c r="J460" s="35"/>
    </row>
    <row r="461" spans="9:10" x14ac:dyDescent="0.25">
      <c r="I461" s="37"/>
      <c r="J461" s="35"/>
    </row>
    <row r="462" spans="9:10" x14ac:dyDescent="0.25">
      <c r="I462" s="37"/>
      <c r="J462" s="35"/>
    </row>
    <row r="463" spans="9:10" x14ac:dyDescent="0.25">
      <c r="I463" s="37"/>
      <c r="J463" s="35"/>
    </row>
    <row r="464" spans="9:10" x14ac:dyDescent="0.25">
      <c r="I464" s="37"/>
      <c r="J464" s="35"/>
    </row>
    <row r="465" spans="9:10" x14ac:dyDescent="0.25">
      <c r="I465" s="37"/>
      <c r="J465" s="35"/>
    </row>
    <row r="466" spans="9:10" x14ac:dyDescent="0.25">
      <c r="I466" s="37"/>
      <c r="J466" s="35"/>
    </row>
    <row r="467" spans="9:10" x14ac:dyDescent="0.25">
      <c r="I467" s="37"/>
      <c r="J467" s="35"/>
    </row>
    <row r="468" spans="9:10" x14ac:dyDescent="0.25">
      <c r="I468" s="37"/>
      <c r="J468" s="35"/>
    </row>
    <row r="469" spans="9:10" x14ac:dyDescent="0.25">
      <c r="I469" s="37"/>
      <c r="J469" s="35"/>
    </row>
    <row r="470" spans="9:10" x14ac:dyDescent="0.25">
      <c r="I470" s="37"/>
      <c r="J470" s="35"/>
    </row>
    <row r="471" spans="9:10" x14ac:dyDescent="0.25">
      <c r="I471" s="37"/>
      <c r="J471" s="35"/>
    </row>
    <row r="472" spans="9:10" x14ac:dyDescent="0.25">
      <c r="I472" s="37"/>
      <c r="J472" s="35"/>
    </row>
    <row r="473" spans="9:10" x14ac:dyDescent="0.25">
      <c r="I473" s="37"/>
      <c r="J473" s="35"/>
    </row>
    <row r="474" spans="9:10" x14ac:dyDescent="0.25">
      <c r="I474" s="37"/>
      <c r="J474" s="35"/>
    </row>
    <row r="475" spans="9:10" x14ac:dyDescent="0.25">
      <c r="I475" s="37"/>
      <c r="J475" s="35"/>
    </row>
    <row r="476" spans="9:10" x14ac:dyDescent="0.25">
      <c r="I476" s="37"/>
      <c r="J476" s="35"/>
    </row>
    <row r="477" spans="9:10" x14ac:dyDescent="0.25">
      <c r="I477" s="37"/>
      <c r="J477" s="35"/>
    </row>
    <row r="478" spans="9:10" x14ac:dyDescent="0.25">
      <c r="I478" s="37"/>
      <c r="J478" s="35"/>
    </row>
    <row r="479" spans="9:10" x14ac:dyDescent="0.25">
      <c r="I479" s="37"/>
      <c r="J479" s="35"/>
    </row>
    <row r="480" spans="9:10" x14ac:dyDescent="0.25">
      <c r="I480" s="37"/>
      <c r="J480" s="35"/>
    </row>
    <row r="481" spans="9:10" x14ac:dyDescent="0.25">
      <c r="I481" s="37"/>
      <c r="J481" s="35"/>
    </row>
    <row r="482" spans="9:10" x14ac:dyDescent="0.25">
      <c r="I482" s="37"/>
      <c r="J482" s="35"/>
    </row>
    <row r="483" spans="9:10" x14ac:dyDescent="0.25">
      <c r="I483" s="37"/>
      <c r="J483" s="35"/>
    </row>
    <row r="484" spans="9:10" x14ac:dyDescent="0.25">
      <c r="I484" s="37"/>
      <c r="J484" s="35"/>
    </row>
    <row r="485" spans="9:10" x14ac:dyDescent="0.25">
      <c r="I485" s="37"/>
      <c r="J485" s="35"/>
    </row>
    <row r="486" spans="9:10" x14ac:dyDescent="0.25">
      <c r="I486" s="37"/>
      <c r="J486" s="35"/>
    </row>
    <row r="487" spans="9:10" x14ac:dyDescent="0.25">
      <c r="I487" s="37"/>
      <c r="J487" s="35"/>
    </row>
    <row r="488" spans="9:10" x14ac:dyDescent="0.25">
      <c r="I488" s="37"/>
      <c r="J488" s="35"/>
    </row>
    <row r="489" spans="9:10" x14ac:dyDescent="0.25">
      <c r="I489" s="37"/>
      <c r="J489" s="35"/>
    </row>
    <row r="490" spans="9:10" x14ac:dyDescent="0.25">
      <c r="I490" s="37"/>
      <c r="J490" s="35"/>
    </row>
    <row r="491" spans="9:10" x14ac:dyDescent="0.25">
      <c r="I491" s="37"/>
      <c r="J491" s="35"/>
    </row>
    <row r="492" spans="9:10" x14ac:dyDescent="0.25">
      <c r="I492" s="37"/>
      <c r="J492" s="35"/>
    </row>
    <row r="493" spans="9:10" x14ac:dyDescent="0.25">
      <c r="I493" s="37"/>
      <c r="J493" s="35"/>
    </row>
    <row r="494" spans="9:10" x14ac:dyDescent="0.25">
      <c r="I494" s="37"/>
      <c r="J494" s="35"/>
    </row>
    <row r="495" spans="9:10" x14ac:dyDescent="0.25">
      <c r="I495" s="37"/>
      <c r="J495" s="35"/>
    </row>
    <row r="496" spans="9:10" x14ac:dyDescent="0.25">
      <c r="I496" s="37"/>
      <c r="J496" s="35"/>
    </row>
    <row r="497" spans="9:10" x14ac:dyDescent="0.25">
      <c r="I497" s="37"/>
      <c r="J497" s="35"/>
    </row>
    <row r="498" spans="9:10" x14ac:dyDescent="0.25">
      <c r="I498" s="37"/>
      <c r="J498" s="35"/>
    </row>
    <row r="499" spans="9:10" x14ac:dyDescent="0.25">
      <c r="I499" s="37"/>
      <c r="J499" s="35"/>
    </row>
    <row r="500" spans="9:10" x14ac:dyDescent="0.25">
      <c r="I500" s="37"/>
      <c r="J500" s="35"/>
    </row>
    <row r="501" spans="9:10" x14ac:dyDescent="0.25">
      <c r="I501" s="37"/>
      <c r="J501" s="35"/>
    </row>
    <row r="502" spans="9:10" x14ac:dyDescent="0.25">
      <c r="I502" s="37"/>
      <c r="J502" s="35"/>
    </row>
    <row r="503" spans="9:10" x14ac:dyDescent="0.25">
      <c r="I503" s="37"/>
      <c r="J503" s="35"/>
    </row>
    <row r="504" spans="9:10" x14ac:dyDescent="0.25">
      <c r="I504" s="37"/>
      <c r="J504" s="35"/>
    </row>
    <row r="505" spans="9:10" x14ac:dyDescent="0.25">
      <c r="I505" s="37"/>
      <c r="J505" s="35"/>
    </row>
    <row r="506" spans="9:10" x14ac:dyDescent="0.25">
      <c r="I506" s="37"/>
      <c r="J506" s="35"/>
    </row>
    <row r="507" spans="9:10" x14ac:dyDescent="0.25">
      <c r="I507" s="37"/>
      <c r="J507" s="35"/>
    </row>
    <row r="508" spans="9:10" x14ac:dyDescent="0.25">
      <c r="I508" s="37"/>
      <c r="J508" s="35"/>
    </row>
    <row r="509" spans="9:10" x14ac:dyDescent="0.25">
      <c r="I509" s="37"/>
      <c r="J509" s="35"/>
    </row>
    <row r="510" spans="9:10" x14ac:dyDescent="0.25">
      <c r="I510" s="37"/>
      <c r="J510" s="35"/>
    </row>
    <row r="511" spans="9:10" x14ac:dyDescent="0.25">
      <c r="I511" s="37"/>
      <c r="J511" s="35"/>
    </row>
    <row r="512" spans="9:10" x14ac:dyDescent="0.25">
      <c r="I512" s="37"/>
      <c r="J512" s="35"/>
    </row>
    <row r="513" spans="9:10" x14ac:dyDescent="0.25">
      <c r="I513" s="37"/>
      <c r="J513" s="35"/>
    </row>
    <row r="514" spans="9:10" x14ac:dyDescent="0.25">
      <c r="I514" s="37"/>
      <c r="J514" s="35"/>
    </row>
    <row r="515" spans="9:10" x14ac:dyDescent="0.25">
      <c r="I515" s="37"/>
      <c r="J515" s="35"/>
    </row>
    <row r="516" spans="9:10" x14ac:dyDescent="0.25">
      <c r="I516" s="37"/>
      <c r="J516" s="35"/>
    </row>
    <row r="517" spans="9:10" x14ac:dyDescent="0.25">
      <c r="I517" s="37"/>
      <c r="J517" s="35"/>
    </row>
    <row r="518" spans="9:10" x14ac:dyDescent="0.25">
      <c r="I518" s="37"/>
      <c r="J518" s="35"/>
    </row>
    <row r="519" spans="9:10" x14ac:dyDescent="0.25">
      <c r="I519" s="37"/>
      <c r="J519" s="35"/>
    </row>
    <row r="520" spans="9:10" x14ac:dyDescent="0.25">
      <c r="I520" s="37"/>
      <c r="J520" s="35"/>
    </row>
    <row r="521" spans="9:10" x14ac:dyDescent="0.25">
      <c r="I521" s="37"/>
      <c r="J521" s="35"/>
    </row>
    <row r="522" spans="9:10" x14ac:dyDescent="0.25">
      <c r="I522" s="37"/>
      <c r="J522" s="35"/>
    </row>
    <row r="523" spans="9:10" x14ac:dyDescent="0.25">
      <c r="I523" s="37"/>
      <c r="J523" s="35"/>
    </row>
    <row r="524" spans="9:10" x14ac:dyDescent="0.25">
      <c r="I524" s="37"/>
      <c r="J524" s="35"/>
    </row>
    <row r="525" spans="9:10" x14ac:dyDescent="0.25">
      <c r="I525" s="37"/>
      <c r="J525" s="35"/>
    </row>
    <row r="526" spans="9:10" x14ac:dyDescent="0.25">
      <c r="I526" s="37"/>
      <c r="J526" s="35"/>
    </row>
    <row r="527" spans="9:10" x14ac:dyDescent="0.25">
      <c r="I527" s="37"/>
      <c r="J527" s="35"/>
    </row>
    <row r="528" spans="9:10" x14ac:dyDescent="0.25">
      <c r="I528" s="37"/>
      <c r="J528" s="35"/>
    </row>
    <row r="529" spans="9:10" x14ac:dyDescent="0.25">
      <c r="I529" s="37"/>
      <c r="J529" s="35"/>
    </row>
    <row r="530" spans="9:10" x14ac:dyDescent="0.25">
      <c r="I530" s="37"/>
      <c r="J530" s="35"/>
    </row>
    <row r="531" spans="9:10" x14ac:dyDescent="0.25">
      <c r="I531" s="37"/>
      <c r="J531" s="35"/>
    </row>
    <row r="532" spans="9:10" x14ac:dyDescent="0.25">
      <c r="I532" s="37"/>
      <c r="J532" s="35"/>
    </row>
    <row r="533" spans="9:10" x14ac:dyDescent="0.25">
      <c r="I533" s="37"/>
      <c r="J533" s="35"/>
    </row>
    <row r="534" spans="9:10" x14ac:dyDescent="0.25">
      <c r="I534" s="37"/>
      <c r="J534" s="35"/>
    </row>
    <row r="535" spans="9:10" x14ac:dyDescent="0.25">
      <c r="I535" s="37"/>
      <c r="J535" s="35"/>
    </row>
    <row r="536" spans="9:10" x14ac:dyDescent="0.25">
      <c r="I536" s="37"/>
      <c r="J536" s="35"/>
    </row>
    <row r="537" spans="9:10" x14ac:dyDescent="0.25">
      <c r="I537" s="37"/>
      <c r="J537" s="35"/>
    </row>
    <row r="538" spans="9:10" x14ac:dyDescent="0.25">
      <c r="I538" s="37"/>
      <c r="J538" s="35"/>
    </row>
    <row r="539" spans="9:10" x14ac:dyDescent="0.25">
      <c r="I539" s="37"/>
      <c r="J539" s="35"/>
    </row>
    <row r="540" spans="9:10" x14ac:dyDescent="0.25">
      <c r="I540" s="37"/>
      <c r="J540" s="35"/>
    </row>
    <row r="541" spans="9:10" x14ac:dyDescent="0.25">
      <c r="I541" s="37"/>
      <c r="J541" s="35"/>
    </row>
    <row r="542" spans="9:10" x14ac:dyDescent="0.25">
      <c r="I542" s="37"/>
      <c r="J542" s="35"/>
    </row>
    <row r="543" spans="9:10" x14ac:dyDescent="0.25">
      <c r="I543" s="37"/>
      <c r="J543" s="35"/>
    </row>
    <row r="544" spans="9:10" x14ac:dyDescent="0.25">
      <c r="I544" s="37"/>
      <c r="J544" s="35"/>
    </row>
    <row r="545" spans="9:10" x14ac:dyDescent="0.25">
      <c r="I545" s="37"/>
      <c r="J545" s="35"/>
    </row>
    <row r="546" spans="9:10" x14ac:dyDescent="0.25">
      <c r="I546" s="37"/>
      <c r="J546" s="35"/>
    </row>
    <row r="547" spans="9:10" x14ac:dyDescent="0.25">
      <c r="I547" s="37"/>
      <c r="J547" s="35"/>
    </row>
    <row r="548" spans="9:10" x14ac:dyDescent="0.25">
      <c r="I548" s="37"/>
      <c r="J548" s="35"/>
    </row>
    <row r="549" spans="9:10" x14ac:dyDescent="0.25">
      <c r="I549" s="37"/>
      <c r="J549" s="35"/>
    </row>
    <row r="550" spans="9:10" x14ac:dyDescent="0.25">
      <c r="I550" s="37"/>
      <c r="J550" s="35"/>
    </row>
    <row r="551" spans="9:10" x14ac:dyDescent="0.25">
      <c r="I551" s="37"/>
      <c r="J551" s="35"/>
    </row>
    <row r="552" spans="9:10" x14ac:dyDescent="0.25">
      <c r="I552" s="37"/>
      <c r="J552" s="35"/>
    </row>
    <row r="553" spans="9:10" x14ac:dyDescent="0.25">
      <c r="I553" s="37"/>
      <c r="J553" s="35"/>
    </row>
    <row r="554" spans="9:10" x14ac:dyDescent="0.25">
      <c r="I554" s="37"/>
      <c r="J554" s="35"/>
    </row>
    <row r="555" spans="9:10" x14ac:dyDescent="0.25">
      <c r="I555" s="37"/>
      <c r="J555" s="35"/>
    </row>
    <row r="556" spans="9:10" x14ac:dyDescent="0.25">
      <c r="I556" s="37"/>
      <c r="J556" s="35"/>
    </row>
    <row r="557" spans="9:10" x14ac:dyDescent="0.25">
      <c r="I557" s="37"/>
      <c r="J557" s="35"/>
    </row>
    <row r="558" spans="9:10" x14ac:dyDescent="0.25">
      <c r="I558" s="37"/>
      <c r="J558" s="35"/>
    </row>
    <row r="559" spans="9:10" x14ac:dyDescent="0.25">
      <c r="I559" s="37"/>
      <c r="J559" s="35"/>
    </row>
    <row r="560" spans="9:10" x14ac:dyDescent="0.25">
      <c r="I560" s="37"/>
      <c r="J560" s="35"/>
    </row>
    <row r="561" spans="9:10" x14ac:dyDescent="0.25">
      <c r="I561" s="37"/>
      <c r="J561" s="35"/>
    </row>
    <row r="562" spans="9:10" x14ac:dyDescent="0.25">
      <c r="I562" s="37"/>
      <c r="J562" s="35"/>
    </row>
    <row r="563" spans="9:10" x14ac:dyDescent="0.25">
      <c r="I563" s="37"/>
      <c r="J563" s="35"/>
    </row>
    <row r="564" spans="9:10" x14ac:dyDescent="0.25">
      <c r="I564" s="37"/>
      <c r="J564" s="35"/>
    </row>
    <row r="565" spans="9:10" x14ac:dyDescent="0.25">
      <c r="I565" s="37"/>
      <c r="J565" s="35"/>
    </row>
    <row r="566" spans="9:10" x14ac:dyDescent="0.25">
      <c r="I566" s="37"/>
      <c r="J566" s="35"/>
    </row>
    <row r="567" spans="9:10" x14ac:dyDescent="0.25">
      <c r="I567" s="37"/>
      <c r="J567" s="35"/>
    </row>
    <row r="568" spans="9:10" x14ac:dyDescent="0.25">
      <c r="I568" s="37"/>
      <c r="J568" s="35"/>
    </row>
    <row r="569" spans="9:10" x14ac:dyDescent="0.25">
      <c r="I569" s="37"/>
      <c r="J569" s="35"/>
    </row>
    <row r="570" spans="9:10" x14ac:dyDescent="0.25">
      <c r="I570" s="37"/>
      <c r="J570" s="35"/>
    </row>
    <row r="571" spans="9:10" x14ac:dyDescent="0.25">
      <c r="I571" s="37"/>
      <c r="J571" s="35"/>
    </row>
    <row r="572" spans="9:10" x14ac:dyDescent="0.25">
      <c r="I572" s="37"/>
      <c r="J572" s="35"/>
    </row>
    <row r="573" spans="9:10" x14ac:dyDescent="0.25">
      <c r="I573" s="37"/>
      <c r="J573" s="35"/>
    </row>
    <row r="574" spans="9:10" x14ac:dyDescent="0.25">
      <c r="I574" s="37"/>
      <c r="J574" s="35"/>
    </row>
    <row r="575" spans="9:10" x14ac:dyDescent="0.25">
      <c r="I575" s="37"/>
      <c r="J575" s="35"/>
    </row>
    <row r="576" spans="9:10" x14ac:dyDescent="0.25">
      <c r="I576" s="37"/>
      <c r="J576" s="35"/>
    </row>
    <row r="577" spans="9:10" x14ac:dyDescent="0.25">
      <c r="I577" s="37"/>
      <c r="J577" s="35"/>
    </row>
    <row r="578" spans="9:10" x14ac:dyDescent="0.25">
      <c r="I578" s="37"/>
      <c r="J578" s="35"/>
    </row>
    <row r="579" spans="9:10" x14ac:dyDescent="0.25">
      <c r="I579" s="37"/>
      <c r="J579" s="35"/>
    </row>
    <row r="580" spans="9:10" x14ac:dyDescent="0.25">
      <c r="I580" s="37"/>
      <c r="J580" s="35"/>
    </row>
    <row r="581" spans="9:10" x14ac:dyDescent="0.25">
      <c r="I581" s="37"/>
      <c r="J581" s="35"/>
    </row>
    <row r="582" spans="9:10" x14ac:dyDescent="0.25">
      <c r="I582" s="37"/>
      <c r="J582" s="35"/>
    </row>
    <row r="583" spans="9:10" x14ac:dyDescent="0.25">
      <c r="I583" s="37"/>
      <c r="J583" s="35"/>
    </row>
    <row r="584" spans="9:10" x14ac:dyDescent="0.25">
      <c r="I584" s="37"/>
      <c r="J584" s="35"/>
    </row>
    <row r="585" spans="9:10" x14ac:dyDescent="0.25">
      <c r="I585" s="37"/>
      <c r="J585" s="35"/>
    </row>
    <row r="586" spans="9:10" x14ac:dyDescent="0.25">
      <c r="I586" s="37"/>
      <c r="J586" s="35"/>
    </row>
    <row r="587" spans="9:10" x14ac:dyDescent="0.25">
      <c r="I587" s="37"/>
      <c r="J587" s="35"/>
    </row>
    <row r="588" spans="9:10" x14ac:dyDescent="0.25">
      <c r="I588" s="37"/>
      <c r="J588" s="35"/>
    </row>
    <row r="589" spans="9:10" x14ac:dyDescent="0.25">
      <c r="I589" s="37"/>
      <c r="J589" s="35"/>
    </row>
    <row r="590" spans="9:10" x14ac:dyDescent="0.25">
      <c r="I590" s="37"/>
      <c r="J590" s="35"/>
    </row>
    <row r="591" spans="9:10" x14ac:dyDescent="0.25">
      <c r="I591" s="37"/>
      <c r="J591" s="35"/>
    </row>
    <row r="592" spans="9:10" x14ac:dyDescent="0.25">
      <c r="I592" s="37"/>
      <c r="J592" s="35"/>
    </row>
    <row r="593" spans="9:10" x14ac:dyDescent="0.25">
      <c r="I593" s="37"/>
      <c r="J593" s="35"/>
    </row>
    <row r="594" spans="9:10" x14ac:dyDescent="0.25">
      <c r="I594" s="37"/>
      <c r="J594" s="35"/>
    </row>
    <row r="595" spans="9:10" x14ac:dyDescent="0.25">
      <c r="I595" s="37"/>
      <c r="J595" s="35"/>
    </row>
    <row r="596" spans="9:10" x14ac:dyDescent="0.25">
      <c r="I596" s="37"/>
      <c r="J596" s="35"/>
    </row>
    <row r="597" spans="9:10" x14ac:dyDescent="0.25">
      <c r="I597" s="37"/>
      <c r="J597" s="35"/>
    </row>
    <row r="598" spans="9:10" x14ac:dyDescent="0.25">
      <c r="I598" s="37"/>
      <c r="J598" s="35"/>
    </row>
    <row r="599" spans="9:10" x14ac:dyDescent="0.25">
      <c r="I599" s="37"/>
      <c r="J599" s="35"/>
    </row>
    <row r="600" spans="9:10" x14ac:dyDescent="0.25">
      <c r="I600" s="37"/>
      <c r="J600" s="35"/>
    </row>
    <row r="601" spans="9:10" x14ac:dyDescent="0.25">
      <c r="I601" s="37"/>
      <c r="J601" s="35"/>
    </row>
    <row r="602" spans="9:10" x14ac:dyDescent="0.25">
      <c r="I602" s="37"/>
      <c r="J602" s="35"/>
    </row>
    <row r="603" spans="9:10" x14ac:dyDescent="0.25">
      <c r="I603" s="37"/>
      <c r="J603" s="35"/>
    </row>
    <row r="604" spans="9:10" x14ac:dyDescent="0.25">
      <c r="I604" s="37"/>
      <c r="J604" s="35"/>
    </row>
    <row r="605" spans="9:10" x14ac:dyDescent="0.25">
      <c r="I605" s="37"/>
      <c r="J605" s="35"/>
    </row>
    <row r="606" spans="9:10" x14ac:dyDescent="0.25">
      <c r="I606" s="37"/>
      <c r="J606" s="35"/>
    </row>
    <row r="607" spans="9:10" x14ac:dyDescent="0.25">
      <c r="I607" s="37"/>
      <c r="J607" s="35"/>
    </row>
    <row r="608" spans="9:10" x14ac:dyDescent="0.25">
      <c r="I608" s="37"/>
      <c r="J608" s="35"/>
    </row>
    <row r="609" spans="9:10" x14ac:dyDescent="0.25">
      <c r="I609" s="37"/>
      <c r="J609" s="35"/>
    </row>
    <row r="610" spans="9:10" x14ac:dyDescent="0.25">
      <c r="I610" s="37"/>
      <c r="J610" s="35"/>
    </row>
    <row r="611" spans="9:10" x14ac:dyDescent="0.25">
      <c r="I611" s="37"/>
      <c r="J611" s="35"/>
    </row>
    <row r="612" spans="9:10" x14ac:dyDescent="0.25">
      <c r="I612" s="37"/>
      <c r="J612" s="35"/>
    </row>
    <row r="613" spans="9:10" x14ac:dyDescent="0.25">
      <c r="I613" s="37"/>
      <c r="J613" s="35"/>
    </row>
    <row r="614" spans="9:10" x14ac:dyDescent="0.25">
      <c r="I614" s="37"/>
      <c r="J614" s="35"/>
    </row>
    <row r="615" spans="9:10" x14ac:dyDescent="0.25">
      <c r="I615" s="37"/>
      <c r="J615" s="35"/>
    </row>
    <row r="616" spans="9:10" x14ac:dyDescent="0.25">
      <c r="I616" s="37"/>
      <c r="J616" s="35"/>
    </row>
    <row r="617" spans="9:10" x14ac:dyDescent="0.25">
      <c r="I617" s="37"/>
      <c r="J617" s="35"/>
    </row>
    <row r="618" spans="9:10" x14ac:dyDescent="0.25">
      <c r="I618" s="37"/>
      <c r="J618" s="35"/>
    </row>
    <row r="619" spans="9:10" x14ac:dyDescent="0.25">
      <c r="I619" s="37"/>
      <c r="J619" s="35"/>
    </row>
    <row r="620" spans="9:10" x14ac:dyDescent="0.25">
      <c r="I620" s="37"/>
      <c r="J620" s="35"/>
    </row>
    <row r="621" spans="9:10" x14ac:dyDescent="0.25">
      <c r="I621" s="37"/>
      <c r="J621" s="35"/>
    </row>
    <row r="622" spans="9:10" x14ac:dyDescent="0.25">
      <c r="I622" s="37"/>
      <c r="J622" s="35"/>
    </row>
    <row r="623" spans="9:10" x14ac:dyDescent="0.25">
      <c r="I623" s="37"/>
      <c r="J623" s="35"/>
    </row>
    <row r="624" spans="9:10" x14ac:dyDescent="0.25">
      <c r="I624" s="37"/>
      <c r="J624" s="35"/>
    </row>
    <row r="625" spans="9:10" x14ac:dyDescent="0.25">
      <c r="I625" s="37"/>
      <c r="J625" s="35"/>
    </row>
    <row r="626" spans="9:10" x14ac:dyDescent="0.25">
      <c r="I626" s="37"/>
      <c r="J626" s="35"/>
    </row>
    <row r="627" spans="9:10" x14ac:dyDescent="0.25">
      <c r="I627" s="37"/>
      <c r="J627" s="35"/>
    </row>
    <row r="628" spans="9:10" x14ac:dyDescent="0.25">
      <c r="I628" s="37"/>
      <c r="J628" s="35"/>
    </row>
    <row r="629" spans="9:10" x14ac:dyDescent="0.25">
      <c r="I629" s="37"/>
      <c r="J629" s="35"/>
    </row>
    <row r="630" spans="9:10" x14ac:dyDescent="0.25">
      <c r="I630" s="37"/>
      <c r="J630" s="35"/>
    </row>
    <row r="631" spans="9:10" x14ac:dyDescent="0.25">
      <c r="I631" s="37"/>
      <c r="J631" s="35"/>
    </row>
    <row r="632" spans="9:10" x14ac:dyDescent="0.25">
      <c r="I632" s="37"/>
      <c r="J632" s="35"/>
    </row>
    <row r="633" spans="9:10" x14ac:dyDescent="0.25">
      <c r="I633" s="37"/>
      <c r="J633" s="35"/>
    </row>
    <row r="634" spans="9:10" x14ac:dyDescent="0.25">
      <c r="I634" s="37"/>
      <c r="J634" s="35"/>
    </row>
    <row r="635" spans="9:10" x14ac:dyDescent="0.25">
      <c r="I635" s="37"/>
      <c r="J635" s="35"/>
    </row>
    <row r="636" spans="9:10" x14ac:dyDescent="0.25">
      <c r="I636" s="37"/>
      <c r="J636" s="35"/>
    </row>
    <row r="637" spans="9:10" x14ac:dyDescent="0.25">
      <c r="I637" s="37"/>
      <c r="J637" s="35"/>
    </row>
    <row r="638" spans="9:10" x14ac:dyDescent="0.25">
      <c r="I638" s="37"/>
      <c r="J638" s="35"/>
    </row>
    <row r="639" spans="9:10" x14ac:dyDescent="0.25">
      <c r="I639" s="37"/>
      <c r="J639" s="35"/>
    </row>
    <row r="640" spans="9:10" x14ac:dyDescent="0.25">
      <c r="I640" s="37"/>
      <c r="J640" s="35"/>
    </row>
    <row r="641" spans="9:10" x14ac:dyDescent="0.25">
      <c r="I641" s="37"/>
      <c r="J641" s="35"/>
    </row>
    <row r="642" spans="9:10" x14ac:dyDescent="0.25">
      <c r="I642" s="37"/>
      <c r="J642" s="35"/>
    </row>
    <row r="643" spans="9:10" x14ac:dyDescent="0.25">
      <c r="I643" s="37"/>
      <c r="J643" s="35"/>
    </row>
    <row r="644" spans="9:10" x14ac:dyDescent="0.25">
      <c r="I644" s="37"/>
      <c r="J644" s="35"/>
    </row>
    <row r="645" spans="9:10" x14ac:dyDescent="0.25">
      <c r="I645" s="37"/>
      <c r="J645" s="35"/>
    </row>
    <row r="646" spans="9:10" x14ac:dyDescent="0.25">
      <c r="I646" s="37"/>
      <c r="J646" s="35"/>
    </row>
    <row r="647" spans="9:10" x14ac:dyDescent="0.25">
      <c r="I647" s="37"/>
      <c r="J647" s="35"/>
    </row>
    <row r="648" spans="9:10" x14ac:dyDescent="0.25">
      <c r="I648" s="37"/>
      <c r="J648" s="35"/>
    </row>
    <row r="649" spans="9:10" x14ac:dyDescent="0.25">
      <c r="I649" s="37"/>
      <c r="J649" s="35"/>
    </row>
    <row r="650" spans="9:10" x14ac:dyDescent="0.25">
      <c r="I650" s="37"/>
      <c r="J650" s="35"/>
    </row>
    <row r="651" spans="9:10" x14ac:dyDescent="0.25">
      <c r="I651" s="37"/>
      <c r="J651" s="35"/>
    </row>
    <row r="652" spans="9:10" x14ac:dyDescent="0.25">
      <c r="I652" s="37"/>
      <c r="J652" s="35"/>
    </row>
    <row r="653" spans="9:10" x14ac:dyDescent="0.25">
      <c r="I653" s="37"/>
      <c r="J653" s="35"/>
    </row>
    <row r="654" spans="9:10" x14ac:dyDescent="0.25">
      <c r="I654" s="37"/>
      <c r="J654" s="35"/>
    </row>
    <row r="655" spans="9:10" x14ac:dyDescent="0.25">
      <c r="I655" s="37"/>
      <c r="J655" s="35"/>
    </row>
    <row r="656" spans="9:10" x14ac:dyDescent="0.25">
      <c r="I656" s="37"/>
      <c r="J656" s="35"/>
    </row>
    <row r="657" spans="9:10" x14ac:dyDescent="0.25">
      <c r="I657" s="37"/>
      <c r="J657" s="35"/>
    </row>
    <row r="658" spans="9:10" x14ac:dyDescent="0.25">
      <c r="I658" s="37"/>
      <c r="J658" s="35"/>
    </row>
    <row r="659" spans="9:10" x14ac:dyDescent="0.25">
      <c r="I659" s="37"/>
      <c r="J659" s="35"/>
    </row>
    <row r="660" spans="9:10" x14ac:dyDescent="0.25">
      <c r="I660" s="37"/>
      <c r="J660" s="35"/>
    </row>
    <row r="661" spans="9:10" x14ac:dyDescent="0.25">
      <c r="I661" s="37"/>
      <c r="J661" s="35"/>
    </row>
    <row r="662" spans="9:10" x14ac:dyDescent="0.25">
      <c r="I662" s="37"/>
      <c r="J662" s="35"/>
    </row>
    <row r="663" spans="9:10" x14ac:dyDescent="0.25">
      <c r="I663" s="37"/>
      <c r="J663" s="35"/>
    </row>
    <row r="664" spans="9:10" x14ac:dyDescent="0.25">
      <c r="I664" s="37"/>
      <c r="J664" s="35"/>
    </row>
    <row r="665" spans="9:10" x14ac:dyDescent="0.25">
      <c r="I665" s="37"/>
      <c r="J665" s="35"/>
    </row>
    <row r="666" spans="9:10" x14ac:dyDescent="0.25">
      <c r="I666" s="37"/>
      <c r="J666" s="35"/>
    </row>
    <row r="667" spans="9:10" x14ac:dyDescent="0.25">
      <c r="I667" s="37"/>
      <c r="J667" s="35"/>
    </row>
    <row r="668" spans="9:10" x14ac:dyDescent="0.25">
      <c r="I668" s="37"/>
      <c r="J668" s="35"/>
    </row>
    <row r="669" spans="9:10" x14ac:dyDescent="0.25">
      <c r="I669" s="37"/>
      <c r="J669" s="35"/>
    </row>
    <row r="670" spans="9:10" x14ac:dyDescent="0.25">
      <c r="I670" s="37"/>
      <c r="J670" s="35"/>
    </row>
    <row r="671" spans="9:10" x14ac:dyDescent="0.25">
      <c r="I671" s="37"/>
      <c r="J671" s="35"/>
    </row>
    <row r="672" spans="9:10" x14ac:dyDescent="0.25">
      <c r="I672" s="37"/>
      <c r="J672" s="35"/>
    </row>
    <row r="673" spans="9:10" x14ac:dyDescent="0.25">
      <c r="I673" s="37"/>
      <c r="J673" s="35"/>
    </row>
    <row r="674" spans="9:10" x14ac:dyDescent="0.25">
      <c r="I674" s="37"/>
      <c r="J674" s="35"/>
    </row>
    <row r="675" spans="9:10" x14ac:dyDescent="0.25">
      <c r="I675" s="37"/>
      <c r="J675" s="35"/>
    </row>
    <row r="676" spans="9:10" x14ac:dyDescent="0.25">
      <c r="I676" s="37"/>
      <c r="J676" s="35"/>
    </row>
    <row r="677" spans="9:10" x14ac:dyDescent="0.25">
      <c r="I677" s="37"/>
      <c r="J677" s="35"/>
    </row>
    <row r="678" spans="9:10" x14ac:dyDescent="0.25">
      <c r="I678" s="37"/>
      <c r="J678" s="35"/>
    </row>
    <row r="679" spans="9:10" x14ac:dyDescent="0.25">
      <c r="I679" s="37"/>
      <c r="J679" s="35"/>
    </row>
    <row r="680" spans="9:10" x14ac:dyDescent="0.25">
      <c r="I680" s="37"/>
      <c r="J680" s="35"/>
    </row>
    <row r="681" spans="9:10" x14ac:dyDescent="0.25">
      <c r="I681" s="37"/>
      <c r="J681" s="35"/>
    </row>
    <row r="682" spans="9:10" x14ac:dyDescent="0.25">
      <c r="I682" s="37"/>
      <c r="J682" s="35"/>
    </row>
    <row r="683" spans="9:10" x14ac:dyDescent="0.25">
      <c r="I683" s="37"/>
      <c r="J683" s="35"/>
    </row>
    <row r="684" spans="9:10" x14ac:dyDescent="0.25">
      <c r="I684" s="37"/>
      <c r="J684" s="35"/>
    </row>
    <row r="685" spans="9:10" x14ac:dyDescent="0.25">
      <c r="I685" s="37"/>
      <c r="J685" s="35"/>
    </row>
    <row r="686" spans="9:10" x14ac:dyDescent="0.25">
      <c r="I686" s="37"/>
      <c r="J686" s="35"/>
    </row>
    <row r="687" spans="9:10" x14ac:dyDescent="0.25">
      <c r="I687" s="37"/>
      <c r="J687" s="35"/>
    </row>
    <row r="688" spans="9:10" x14ac:dyDescent="0.25">
      <c r="I688" s="37"/>
      <c r="J688" s="35"/>
    </row>
    <row r="689" spans="9:10" x14ac:dyDescent="0.25">
      <c r="I689" s="37"/>
      <c r="J689" s="35"/>
    </row>
    <row r="690" spans="9:10" x14ac:dyDescent="0.25">
      <c r="I690" s="37"/>
      <c r="J690" s="35"/>
    </row>
    <row r="691" spans="9:10" x14ac:dyDescent="0.25">
      <c r="I691" s="37"/>
      <c r="J691" s="35"/>
    </row>
    <row r="692" spans="9:10" x14ac:dyDescent="0.25">
      <c r="I692" s="37"/>
      <c r="J692" s="35"/>
    </row>
    <row r="693" spans="9:10" x14ac:dyDescent="0.25">
      <c r="I693" s="37"/>
      <c r="J693" s="35"/>
    </row>
    <row r="694" spans="9:10" x14ac:dyDescent="0.25">
      <c r="I694" s="37"/>
      <c r="J694" s="35"/>
    </row>
    <row r="695" spans="9:10" x14ac:dyDescent="0.25">
      <c r="I695" s="37"/>
      <c r="J695" s="35"/>
    </row>
    <row r="696" spans="9:10" x14ac:dyDescent="0.25">
      <c r="I696" s="37"/>
      <c r="J696" s="35"/>
    </row>
    <row r="697" spans="9:10" x14ac:dyDescent="0.25">
      <c r="I697" s="37"/>
      <c r="J697" s="35"/>
    </row>
    <row r="698" spans="9:10" x14ac:dyDescent="0.25">
      <c r="I698" s="37"/>
      <c r="J698" s="35"/>
    </row>
    <row r="699" spans="9:10" x14ac:dyDescent="0.25">
      <c r="I699" s="37"/>
      <c r="J699" s="35"/>
    </row>
    <row r="700" spans="9:10" x14ac:dyDescent="0.25">
      <c r="I700" s="37"/>
      <c r="J700" s="35"/>
    </row>
    <row r="701" spans="9:10" x14ac:dyDescent="0.25">
      <c r="I701" s="37"/>
      <c r="J701" s="35"/>
    </row>
    <row r="702" spans="9:10" x14ac:dyDescent="0.25">
      <c r="I702" s="37"/>
      <c r="J702" s="35"/>
    </row>
    <row r="703" spans="9:10" x14ac:dyDescent="0.25">
      <c r="I703" s="37"/>
      <c r="J703" s="35"/>
    </row>
    <row r="704" spans="9:10" x14ac:dyDescent="0.25">
      <c r="I704" s="37"/>
      <c r="J704" s="35"/>
    </row>
    <row r="705" spans="9:10" x14ac:dyDescent="0.25">
      <c r="I705" s="37"/>
      <c r="J705" s="35"/>
    </row>
    <row r="706" spans="9:10" x14ac:dyDescent="0.25">
      <c r="I706" s="37"/>
      <c r="J706" s="35"/>
    </row>
    <row r="707" spans="9:10" x14ac:dyDescent="0.25">
      <c r="I707" s="37"/>
      <c r="J707" s="35"/>
    </row>
    <row r="708" spans="9:10" x14ac:dyDescent="0.25">
      <c r="I708" s="37"/>
      <c r="J708" s="35"/>
    </row>
    <row r="709" spans="9:10" x14ac:dyDescent="0.25">
      <c r="I709" s="37"/>
      <c r="J709" s="35"/>
    </row>
    <row r="710" spans="9:10" x14ac:dyDescent="0.25">
      <c r="I710" s="37"/>
      <c r="J710" s="35"/>
    </row>
    <row r="711" spans="9:10" x14ac:dyDescent="0.25">
      <c r="I711" s="37"/>
      <c r="J711" s="35"/>
    </row>
    <row r="712" spans="9:10" x14ac:dyDescent="0.25">
      <c r="I712" s="37"/>
      <c r="J712" s="35"/>
    </row>
    <row r="713" spans="9:10" x14ac:dyDescent="0.25">
      <c r="I713" s="37"/>
      <c r="J713" s="35"/>
    </row>
    <row r="714" spans="9:10" x14ac:dyDescent="0.25">
      <c r="I714" s="37"/>
      <c r="J714" s="35"/>
    </row>
    <row r="715" spans="9:10" x14ac:dyDescent="0.25">
      <c r="I715" s="37"/>
      <c r="J715" s="35"/>
    </row>
    <row r="716" spans="9:10" x14ac:dyDescent="0.25">
      <c r="I716" s="37"/>
      <c r="J716" s="35"/>
    </row>
    <row r="717" spans="9:10" x14ac:dyDescent="0.25">
      <c r="I717" s="37"/>
      <c r="J717" s="35"/>
    </row>
    <row r="718" spans="9:10" x14ac:dyDescent="0.25">
      <c r="I718" s="37"/>
      <c r="J718" s="35"/>
    </row>
    <row r="719" spans="9:10" x14ac:dyDescent="0.25">
      <c r="I719" s="37"/>
      <c r="J719" s="35"/>
    </row>
    <row r="720" spans="9:10" x14ac:dyDescent="0.25">
      <c r="I720" s="37"/>
      <c r="J720" s="35"/>
    </row>
    <row r="721" spans="9:10" x14ac:dyDescent="0.25">
      <c r="I721" s="37"/>
      <c r="J721" s="35"/>
    </row>
    <row r="722" spans="9:10" x14ac:dyDescent="0.25">
      <c r="I722" s="37"/>
      <c r="J722" s="35"/>
    </row>
    <row r="723" spans="9:10" x14ac:dyDescent="0.25">
      <c r="I723" s="37"/>
      <c r="J723" s="35"/>
    </row>
    <row r="724" spans="9:10" x14ac:dyDescent="0.25">
      <c r="I724" s="37"/>
      <c r="J724" s="35"/>
    </row>
    <row r="725" spans="9:10" x14ac:dyDescent="0.25">
      <c r="I725" s="37"/>
      <c r="J725" s="35"/>
    </row>
    <row r="726" spans="9:10" x14ac:dyDescent="0.25">
      <c r="I726" s="37"/>
      <c r="J726" s="35"/>
    </row>
    <row r="727" spans="9:10" x14ac:dyDescent="0.25">
      <c r="I727" s="37"/>
      <c r="J727" s="35"/>
    </row>
    <row r="728" spans="9:10" x14ac:dyDescent="0.25">
      <c r="I728" s="37"/>
      <c r="J728" s="35"/>
    </row>
    <row r="729" spans="9:10" x14ac:dyDescent="0.25">
      <c r="I729" s="37"/>
      <c r="J729" s="35"/>
    </row>
    <row r="730" spans="9:10" x14ac:dyDescent="0.25">
      <c r="I730" s="37"/>
      <c r="J730" s="35"/>
    </row>
    <row r="731" spans="9:10" x14ac:dyDescent="0.25">
      <c r="I731" s="37"/>
      <c r="J731" s="35"/>
    </row>
    <row r="732" spans="9:10" x14ac:dyDescent="0.25">
      <c r="I732" s="37"/>
      <c r="J732" s="35"/>
    </row>
    <row r="733" spans="9:10" x14ac:dyDescent="0.25">
      <c r="I733" s="37"/>
      <c r="J733" s="35"/>
    </row>
    <row r="734" spans="9:10" x14ac:dyDescent="0.25">
      <c r="I734" s="37"/>
      <c r="J734" s="35"/>
    </row>
    <row r="735" spans="9:10" x14ac:dyDescent="0.25">
      <c r="I735" s="37"/>
      <c r="J735" s="35"/>
    </row>
    <row r="736" spans="9:10" x14ac:dyDescent="0.25">
      <c r="I736" s="37"/>
      <c r="J736" s="35"/>
    </row>
    <row r="737" spans="9:10" x14ac:dyDescent="0.25">
      <c r="I737" s="37"/>
      <c r="J737" s="35"/>
    </row>
    <row r="738" spans="9:10" x14ac:dyDescent="0.25">
      <c r="I738" s="37"/>
      <c r="J738" s="35"/>
    </row>
    <row r="739" spans="9:10" x14ac:dyDescent="0.25">
      <c r="I739" s="37"/>
      <c r="J739" s="35"/>
    </row>
    <row r="740" spans="9:10" x14ac:dyDescent="0.25">
      <c r="I740" s="37"/>
      <c r="J740" s="35"/>
    </row>
    <row r="741" spans="9:10" x14ac:dyDescent="0.25">
      <c r="I741" s="37"/>
      <c r="J741" s="35"/>
    </row>
    <row r="742" spans="9:10" x14ac:dyDescent="0.25">
      <c r="I742" s="37"/>
      <c r="J742" s="35"/>
    </row>
    <row r="743" spans="9:10" x14ac:dyDescent="0.25">
      <c r="I743" s="37"/>
      <c r="J743" s="35"/>
    </row>
    <row r="744" spans="9:10" x14ac:dyDescent="0.25">
      <c r="I744" s="37"/>
      <c r="J744" s="35"/>
    </row>
    <row r="745" spans="9:10" x14ac:dyDescent="0.25">
      <c r="I745" s="37"/>
      <c r="J745" s="35"/>
    </row>
    <row r="746" spans="9:10" x14ac:dyDescent="0.25">
      <c r="I746" s="37"/>
      <c r="J746" s="35"/>
    </row>
    <row r="747" spans="9:10" x14ac:dyDescent="0.25">
      <c r="I747" s="37"/>
      <c r="J747" s="35"/>
    </row>
    <row r="748" spans="9:10" x14ac:dyDescent="0.25">
      <c r="I748" s="37"/>
      <c r="J748" s="35"/>
    </row>
    <row r="749" spans="9:10" x14ac:dyDescent="0.25">
      <c r="I749" s="37"/>
      <c r="J749" s="35"/>
    </row>
    <row r="750" spans="9:10" x14ac:dyDescent="0.25">
      <c r="I750" s="37"/>
      <c r="J750" s="35"/>
    </row>
    <row r="751" spans="9:10" x14ac:dyDescent="0.25">
      <c r="I751" s="37"/>
      <c r="J751" s="35"/>
    </row>
    <row r="752" spans="9:10" x14ac:dyDescent="0.25">
      <c r="I752" s="37"/>
      <c r="J752" s="35"/>
    </row>
    <row r="753" spans="9:10" x14ac:dyDescent="0.25">
      <c r="I753" s="37"/>
      <c r="J753" s="35"/>
    </row>
    <row r="754" spans="9:10" x14ac:dyDescent="0.25">
      <c r="I754" s="37"/>
      <c r="J754" s="35"/>
    </row>
    <row r="755" spans="9:10" x14ac:dyDescent="0.25">
      <c r="I755" s="37"/>
      <c r="J755" s="35"/>
    </row>
    <row r="756" spans="9:10" x14ac:dyDescent="0.25">
      <c r="I756" s="37"/>
      <c r="J756" s="35"/>
    </row>
    <row r="757" spans="9:10" x14ac:dyDescent="0.25">
      <c r="I757" s="37"/>
      <c r="J757" s="35"/>
    </row>
    <row r="758" spans="9:10" x14ac:dyDescent="0.25">
      <c r="I758" s="37"/>
      <c r="J758" s="35"/>
    </row>
    <row r="759" spans="9:10" x14ac:dyDescent="0.25">
      <c r="I759" s="37"/>
      <c r="J759" s="35"/>
    </row>
    <row r="760" spans="9:10" x14ac:dyDescent="0.25">
      <c r="I760" s="37"/>
      <c r="J760" s="35"/>
    </row>
    <row r="761" spans="9:10" x14ac:dyDescent="0.25">
      <c r="I761" s="37"/>
      <c r="J761" s="35"/>
    </row>
    <row r="762" spans="9:10" x14ac:dyDescent="0.25">
      <c r="I762" s="37"/>
      <c r="J762" s="35"/>
    </row>
    <row r="763" spans="9:10" x14ac:dyDescent="0.25">
      <c r="I763" s="37"/>
      <c r="J763" s="35"/>
    </row>
    <row r="764" spans="9:10" x14ac:dyDescent="0.25">
      <c r="I764" s="37"/>
      <c r="J764" s="35"/>
    </row>
    <row r="765" spans="9:10" x14ac:dyDescent="0.25">
      <c r="I765" s="37"/>
      <c r="J765" s="35"/>
    </row>
    <row r="766" spans="9:10" x14ac:dyDescent="0.25">
      <c r="I766" s="37"/>
      <c r="J766" s="35"/>
    </row>
    <row r="767" spans="9:10" x14ac:dyDescent="0.25">
      <c r="I767" s="37"/>
      <c r="J767" s="35"/>
    </row>
    <row r="768" spans="9:10" x14ac:dyDescent="0.25">
      <c r="I768" s="37"/>
      <c r="J768" s="35"/>
    </row>
    <row r="769" spans="9:10" x14ac:dyDescent="0.25">
      <c r="I769" s="37"/>
      <c r="J769" s="35"/>
    </row>
    <row r="770" spans="9:10" x14ac:dyDescent="0.25">
      <c r="I770" s="37"/>
      <c r="J770" s="35"/>
    </row>
    <row r="771" spans="9:10" x14ac:dyDescent="0.25">
      <c r="I771" s="37"/>
      <c r="J771" s="35"/>
    </row>
    <row r="772" spans="9:10" x14ac:dyDescent="0.25">
      <c r="I772" s="37"/>
      <c r="J772" s="35"/>
    </row>
    <row r="773" spans="9:10" x14ac:dyDescent="0.25">
      <c r="I773" s="37"/>
      <c r="J773" s="35"/>
    </row>
    <row r="774" spans="9:10" x14ac:dyDescent="0.25">
      <c r="I774" s="37"/>
      <c r="J774" s="35"/>
    </row>
    <row r="775" spans="9:10" x14ac:dyDescent="0.25">
      <c r="I775" s="37"/>
      <c r="J775" s="35"/>
    </row>
    <row r="776" spans="9:10" x14ac:dyDescent="0.25">
      <c r="I776" s="37"/>
      <c r="J776" s="35"/>
    </row>
    <row r="777" spans="9:10" x14ac:dyDescent="0.25">
      <c r="I777" s="37"/>
      <c r="J777" s="35"/>
    </row>
    <row r="778" spans="9:10" x14ac:dyDescent="0.25">
      <c r="I778" s="37"/>
      <c r="J778" s="35"/>
    </row>
    <row r="779" spans="9:10" x14ac:dyDescent="0.25">
      <c r="I779" s="37"/>
      <c r="J779" s="35"/>
    </row>
    <row r="780" spans="9:10" x14ac:dyDescent="0.25">
      <c r="I780" s="37"/>
      <c r="J780" s="35"/>
    </row>
    <row r="781" spans="9:10" x14ac:dyDescent="0.25">
      <c r="I781" s="37"/>
      <c r="J781" s="35"/>
    </row>
    <row r="782" spans="9:10" x14ac:dyDescent="0.25">
      <c r="I782" s="37"/>
      <c r="J782" s="35"/>
    </row>
    <row r="783" spans="9:10" x14ac:dyDescent="0.25">
      <c r="I783" s="37"/>
      <c r="J783" s="35"/>
    </row>
    <row r="784" spans="9:10" x14ac:dyDescent="0.25">
      <c r="I784" s="37"/>
      <c r="J784" s="35"/>
    </row>
    <row r="785" spans="9:10" x14ac:dyDescent="0.25">
      <c r="I785" s="37"/>
      <c r="J785" s="35"/>
    </row>
    <row r="786" spans="9:10" x14ac:dyDescent="0.25">
      <c r="I786" s="37"/>
      <c r="J786" s="35"/>
    </row>
    <row r="787" spans="9:10" x14ac:dyDescent="0.25">
      <c r="I787" s="37"/>
      <c r="J787" s="35"/>
    </row>
    <row r="788" spans="9:10" x14ac:dyDescent="0.25">
      <c r="I788" s="37"/>
      <c r="J788" s="35"/>
    </row>
    <row r="789" spans="9:10" x14ac:dyDescent="0.25">
      <c r="I789" s="37"/>
      <c r="J789" s="35"/>
    </row>
    <row r="790" spans="9:10" x14ac:dyDescent="0.25">
      <c r="I790" s="37"/>
      <c r="J790" s="35"/>
    </row>
    <row r="791" spans="9:10" x14ac:dyDescent="0.25">
      <c r="I791" s="37"/>
      <c r="J791" s="35"/>
    </row>
    <row r="792" spans="9:10" x14ac:dyDescent="0.25">
      <c r="I792" s="37"/>
      <c r="J792" s="35"/>
    </row>
    <row r="793" spans="9:10" x14ac:dyDescent="0.25">
      <c r="I793" s="37"/>
      <c r="J793" s="35"/>
    </row>
    <row r="794" spans="9:10" x14ac:dyDescent="0.25">
      <c r="I794" s="37"/>
      <c r="J794" s="35"/>
    </row>
    <row r="795" spans="9:10" x14ac:dyDescent="0.25">
      <c r="I795" s="37"/>
      <c r="J795" s="35"/>
    </row>
    <row r="796" spans="9:10" x14ac:dyDescent="0.25">
      <c r="I796" s="37"/>
      <c r="J796" s="35"/>
    </row>
    <row r="797" spans="9:10" x14ac:dyDescent="0.25">
      <c r="I797" s="37"/>
      <c r="J797" s="35"/>
    </row>
    <row r="798" spans="9:10" x14ac:dyDescent="0.25">
      <c r="I798" s="37"/>
      <c r="J798" s="35"/>
    </row>
    <row r="799" spans="9:10" x14ac:dyDescent="0.25">
      <c r="I799" s="37"/>
      <c r="J799" s="35"/>
    </row>
    <row r="800" spans="9:10" x14ac:dyDescent="0.25">
      <c r="I800" s="37"/>
      <c r="J800" s="35"/>
    </row>
    <row r="801" spans="9:10" x14ac:dyDescent="0.25">
      <c r="I801" s="37"/>
      <c r="J801" s="35"/>
    </row>
    <row r="802" spans="9:10" x14ac:dyDescent="0.25">
      <c r="I802" s="37"/>
      <c r="J802" s="35"/>
    </row>
    <row r="803" spans="9:10" x14ac:dyDescent="0.25">
      <c r="I803" s="37"/>
      <c r="J803" s="35"/>
    </row>
    <row r="804" spans="9:10" x14ac:dyDescent="0.25">
      <c r="I804" s="37"/>
      <c r="J804" s="35"/>
    </row>
    <row r="805" spans="9:10" x14ac:dyDescent="0.25">
      <c r="I805" s="37"/>
      <c r="J805" s="35"/>
    </row>
    <row r="806" spans="9:10" x14ac:dyDescent="0.25">
      <c r="I806" s="37"/>
      <c r="J806" s="35"/>
    </row>
    <row r="807" spans="9:10" x14ac:dyDescent="0.25">
      <c r="I807" s="37"/>
      <c r="J807" s="35"/>
    </row>
    <row r="808" spans="9:10" x14ac:dyDescent="0.25">
      <c r="I808" s="37"/>
      <c r="J808" s="35"/>
    </row>
    <row r="809" spans="9:10" x14ac:dyDescent="0.25">
      <c r="I809" s="37"/>
      <c r="J809" s="35"/>
    </row>
    <row r="810" spans="9:10" x14ac:dyDescent="0.25">
      <c r="I810" s="37"/>
      <c r="J810" s="35"/>
    </row>
    <row r="811" spans="9:10" x14ac:dyDescent="0.25">
      <c r="I811" s="37"/>
      <c r="J811" s="35"/>
    </row>
    <row r="812" spans="9:10" x14ac:dyDescent="0.25">
      <c r="I812" s="37"/>
      <c r="J812" s="35"/>
    </row>
    <row r="813" spans="9:10" x14ac:dyDescent="0.25">
      <c r="I813" s="37"/>
      <c r="J813" s="35"/>
    </row>
    <row r="814" spans="9:10" x14ac:dyDescent="0.25">
      <c r="I814" s="37"/>
      <c r="J814" s="35"/>
    </row>
    <row r="815" spans="9:10" x14ac:dyDescent="0.25">
      <c r="I815" s="37"/>
      <c r="J815" s="35"/>
    </row>
    <row r="816" spans="9:10" x14ac:dyDescent="0.25">
      <c r="I816" s="37"/>
      <c r="J816" s="35"/>
    </row>
    <row r="817" spans="9:10" x14ac:dyDescent="0.25">
      <c r="I817" s="37"/>
      <c r="J817" s="35"/>
    </row>
    <row r="818" spans="9:10" x14ac:dyDescent="0.25">
      <c r="I818" s="37"/>
      <c r="J818" s="35"/>
    </row>
    <row r="819" spans="9:10" x14ac:dyDescent="0.25">
      <c r="I819" s="37"/>
      <c r="J819" s="35"/>
    </row>
    <row r="820" spans="9:10" x14ac:dyDescent="0.25">
      <c r="I820" s="37"/>
      <c r="J820" s="35"/>
    </row>
    <row r="821" spans="9:10" x14ac:dyDescent="0.25">
      <c r="I821" s="37"/>
      <c r="J821" s="35"/>
    </row>
    <row r="822" spans="9:10" x14ac:dyDescent="0.25">
      <c r="I822" s="37"/>
      <c r="J822" s="35"/>
    </row>
    <row r="823" spans="9:10" x14ac:dyDescent="0.25">
      <c r="I823" s="37"/>
      <c r="J823" s="35"/>
    </row>
    <row r="824" spans="9:10" x14ac:dyDescent="0.25">
      <c r="I824" s="37"/>
      <c r="J824" s="35"/>
    </row>
    <row r="825" spans="9:10" x14ac:dyDescent="0.25">
      <c r="I825" s="37"/>
      <c r="J825" s="35"/>
    </row>
    <row r="826" spans="9:10" x14ac:dyDescent="0.25">
      <c r="I826" s="37"/>
      <c r="J826" s="35"/>
    </row>
    <row r="827" spans="9:10" x14ac:dyDescent="0.25">
      <c r="I827" s="37"/>
      <c r="J827" s="35"/>
    </row>
    <row r="828" spans="9:10" x14ac:dyDescent="0.25">
      <c r="I828" s="37"/>
      <c r="J828" s="35"/>
    </row>
    <row r="829" spans="9:10" x14ac:dyDescent="0.25">
      <c r="I829" s="37"/>
      <c r="J829" s="35"/>
    </row>
    <row r="830" spans="9:10" x14ac:dyDescent="0.25">
      <c r="I830" s="37"/>
      <c r="J830" s="35"/>
    </row>
    <row r="831" spans="9:10" x14ac:dyDescent="0.25">
      <c r="I831" s="37"/>
      <c r="J831" s="35"/>
    </row>
    <row r="832" spans="9:10" x14ac:dyDescent="0.25">
      <c r="I832" s="37"/>
      <c r="J832" s="35"/>
    </row>
    <row r="833" spans="9:10" x14ac:dyDescent="0.25">
      <c r="I833" s="37"/>
      <c r="J833" s="35"/>
    </row>
    <row r="834" spans="9:10" x14ac:dyDescent="0.25">
      <c r="I834" s="37"/>
      <c r="J834" s="35"/>
    </row>
    <row r="835" spans="9:10" x14ac:dyDescent="0.25">
      <c r="I835" s="37"/>
      <c r="J835" s="35"/>
    </row>
    <row r="836" spans="9:10" x14ac:dyDescent="0.25">
      <c r="I836" s="37"/>
      <c r="J836" s="35"/>
    </row>
    <row r="837" spans="9:10" x14ac:dyDescent="0.25">
      <c r="I837" s="37"/>
      <c r="J837" s="35"/>
    </row>
    <row r="838" spans="9:10" x14ac:dyDescent="0.25">
      <c r="I838" s="37"/>
      <c r="J838" s="35"/>
    </row>
    <row r="839" spans="9:10" x14ac:dyDescent="0.25">
      <c r="I839" s="37"/>
      <c r="J839" s="35"/>
    </row>
    <row r="840" spans="9:10" x14ac:dyDescent="0.25">
      <c r="I840" s="37"/>
      <c r="J840" s="35"/>
    </row>
    <row r="841" spans="9:10" x14ac:dyDescent="0.25">
      <c r="I841" s="37"/>
      <c r="J841" s="35"/>
    </row>
    <row r="842" spans="9:10" x14ac:dyDescent="0.25">
      <c r="I842" s="37"/>
      <c r="J842" s="35"/>
    </row>
    <row r="843" spans="9:10" x14ac:dyDescent="0.25">
      <c r="I843" s="37"/>
      <c r="J843" s="35"/>
    </row>
    <row r="844" spans="9:10" x14ac:dyDescent="0.25">
      <c r="I844" s="37"/>
      <c r="J844" s="35"/>
    </row>
    <row r="845" spans="9:10" x14ac:dyDescent="0.25">
      <c r="I845" s="37"/>
      <c r="J845" s="35"/>
    </row>
    <row r="846" spans="9:10" x14ac:dyDescent="0.25">
      <c r="I846" s="37"/>
      <c r="J846" s="35"/>
    </row>
    <row r="847" spans="9:10" x14ac:dyDescent="0.25">
      <c r="I847" s="37"/>
      <c r="J847" s="35"/>
    </row>
    <row r="848" spans="9:10" x14ac:dyDescent="0.25">
      <c r="I848" s="37"/>
      <c r="J848" s="35"/>
    </row>
    <row r="849" spans="9:10" x14ac:dyDescent="0.25">
      <c r="I849" s="37"/>
      <c r="J849" s="35"/>
    </row>
    <row r="850" spans="9:10" x14ac:dyDescent="0.25">
      <c r="I850" s="37"/>
      <c r="J850" s="35"/>
    </row>
    <row r="851" spans="9:10" x14ac:dyDescent="0.25">
      <c r="I851" s="37"/>
      <c r="J851" s="35"/>
    </row>
    <row r="852" spans="9:10" x14ac:dyDescent="0.25">
      <c r="I852" s="37"/>
      <c r="J852" s="35"/>
    </row>
    <row r="853" spans="9:10" x14ac:dyDescent="0.25">
      <c r="I853" s="37"/>
      <c r="J853" s="35"/>
    </row>
    <row r="854" spans="9:10" x14ac:dyDescent="0.25">
      <c r="I854" s="37"/>
      <c r="J854" s="35"/>
    </row>
    <row r="855" spans="9:10" x14ac:dyDescent="0.25">
      <c r="I855" s="37"/>
      <c r="J855" s="35"/>
    </row>
    <row r="856" spans="9:10" x14ac:dyDescent="0.25">
      <c r="I856" s="37"/>
      <c r="J856" s="35"/>
    </row>
    <row r="857" spans="9:10" x14ac:dyDescent="0.25">
      <c r="I857" s="37"/>
      <c r="J857" s="35"/>
    </row>
    <row r="858" spans="9:10" x14ac:dyDescent="0.25">
      <c r="I858" s="37"/>
      <c r="J858" s="35"/>
    </row>
    <row r="859" spans="9:10" x14ac:dyDescent="0.25">
      <c r="I859" s="37"/>
      <c r="J859" s="35"/>
    </row>
    <row r="860" spans="9:10" x14ac:dyDescent="0.25">
      <c r="I860" s="37"/>
      <c r="J860" s="35"/>
    </row>
    <row r="861" spans="9:10" x14ac:dyDescent="0.25">
      <c r="I861" s="37"/>
      <c r="J861" s="35"/>
    </row>
    <row r="862" spans="9:10" x14ac:dyDescent="0.25">
      <c r="I862" s="37"/>
      <c r="J862" s="35"/>
    </row>
    <row r="863" spans="9:10" x14ac:dyDescent="0.25">
      <c r="I863" s="37"/>
      <c r="J863" s="35"/>
    </row>
    <row r="864" spans="9:10" x14ac:dyDescent="0.25">
      <c r="I864" s="37"/>
      <c r="J864" s="35"/>
    </row>
    <row r="865" spans="9:10" x14ac:dyDescent="0.25">
      <c r="I865" s="37"/>
      <c r="J865" s="35"/>
    </row>
    <row r="866" spans="9:10" x14ac:dyDescent="0.25">
      <c r="I866" s="37"/>
      <c r="J866" s="35"/>
    </row>
    <row r="867" spans="9:10" x14ac:dyDescent="0.25">
      <c r="I867" s="37"/>
      <c r="J867" s="35"/>
    </row>
    <row r="868" spans="9:10" x14ac:dyDescent="0.25">
      <c r="I868" s="37"/>
      <c r="J868" s="35"/>
    </row>
    <row r="869" spans="9:10" x14ac:dyDescent="0.25">
      <c r="I869" s="37"/>
      <c r="J869" s="35"/>
    </row>
    <row r="870" spans="9:10" x14ac:dyDescent="0.25">
      <c r="I870" s="37"/>
      <c r="J870" s="35"/>
    </row>
    <row r="871" spans="9:10" x14ac:dyDescent="0.25">
      <c r="I871" s="37"/>
      <c r="J871" s="35"/>
    </row>
    <row r="872" spans="9:10" x14ac:dyDescent="0.25">
      <c r="I872" s="37"/>
      <c r="J872" s="35"/>
    </row>
    <row r="873" spans="9:10" x14ac:dyDescent="0.25">
      <c r="I873" s="37"/>
      <c r="J873" s="35"/>
    </row>
    <row r="874" spans="9:10" x14ac:dyDescent="0.25">
      <c r="I874" s="37"/>
      <c r="J874" s="35"/>
    </row>
    <row r="875" spans="9:10" x14ac:dyDescent="0.25">
      <c r="I875" s="37"/>
      <c r="J875" s="35"/>
    </row>
    <row r="876" spans="9:10" x14ac:dyDescent="0.25">
      <c r="I876" s="37"/>
      <c r="J876" s="35"/>
    </row>
    <row r="877" spans="9:10" x14ac:dyDescent="0.25">
      <c r="I877" s="37"/>
      <c r="J877" s="35"/>
    </row>
    <row r="878" spans="9:10" x14ac:dyDescent="0.25">
      <c r="I878" s="37"/>
      <c r="J878" s="35"/>
    </row>
    <row r="879" spans="9:10" x14ac:dyDescent="0.25">
      <c r="I879" s="37"/>
      <c r="J879" s="35"/>
    </row>
    <row r="880" spans="9:10" x14ac:dyDescent="0.25">
      <c r="I880" s="37"/>
      <c r="J880" s="35"/>
    </row>
    <row r="881" spans="9:10" x14ac:dyDescent="0.25">
      <c r="I881" s="37"/>
      <c r="J881" s="35"/>
    </row>
    <row r="882" spans="9:10" x14ac:dyDescent="0.25">
      <c r="I882" s="37"/>
      <c r="J882" s="35"/>
    </row>
    <row r="883" spans="9:10" x14ac:dyDescent="0.25">
      <c r="I883" s="37"/>
      <c r="J883" s="35"/>
    </row>
    <row r="884" spans="9:10" x14ac:dyDescent="0.25">
      <c r="I884" s="37"/>
      <c r="J884" s="35"/>
    </row>
    <row r="885" spans="9:10" x14ac:dyDescent="0.25">
      <c r="I885" s="37"/>
      <c r="J885" s="35"/>
    </row>
    <row r="886" spans="9:10" x14ac:dyDescent="0.25">
      <c r="I886" s="37"/>
      <c r="J886" s="35"/>
    </row>
    <row r="887" spans="9:10" x14ac:dyDescent="0.25">
      <c r="I887" s="37"/>
      <c r="J887" s="35"/>
    </row>
    <row r="888" spans="9:10" x14ac:dyDescent="0.25">
      <c r="I888" s="37"/>
      <c r="J888" s="35"/>
    </row>
    <row r="889" spans="9:10" x14ac:dyDescent="0.25">
      <c r="I889" s="37"/>
      <c r="J889" s="35"/>
    </row>
    <row r="890" spans="9:10" x14ac:dyDescent="0.25">
      <c r="I890" s="37"/>
      <c r="J890" s="35"/>
    </row>
    <row r="891" spans="9:10" x14ac:dyDescent="0.25">
      <c r="I891" s="37"/>
      <c r="J891" s="35"/>
    </row>
    <row r="892" spans="9:10" x14ac:dyDescent="0.25">
      <c r="I892" s="37"/>
      <c r="J892" s="35"/>
    </row>
    <row r="893" spans="9:10" x14ac:dyDescent="0.25">
      <c r="I893" s="37"/>
      <c r="J893" s="35"/>
    </row>
    <row r="894" spans="9:10" x14ac:dyDescent="0.25">
      <c r="I894" s="37"/>
      <c r="J894" s="35"/>
    </row>
    <row r="895" spans="9:10" x14ac:dyDescent="0.25">
      <c r="I895" s="37"/>
      <c r="J895" s="35"/>
    </row>
    <row r="896" spans="9:10" x14ac:dyDescent="0.25">
      <c r="I896" s="37"/>
      <c r="J896" s="35"/>
    </row>
    <row r="897" spans="9:10" x14ac:dyDescent="0.25">
      <c r="I897" s="37"/>
      <c r="J897" s="35"/>
    </row>
    <row r="898" spans="9:10" x14ac:dyDescent="0.25">
      <c r="I898" s="37"/>
      <c r="J898" s="35"/>
    </row>
    <row r="899" spans="9:10" x14ac:dyDescent="0.25">
      <c r="I899" s="37"/>
      <c r="J899" s="35"/>
    </row>
    <row r="900" spans="9:10" x14ac:dyDescent="0.25">
      <c r="I900" s="37"/>
      <c r="J900" s="35"/>
    </row>
    <row r="901" spans="9:10" x14ac:dyDescent="0.25">
      <c r="I901" s="37"/>
      <c r="J901" s="35"/>
    </row>
    <row r="902" spans="9:10" x14ac:dyDescent="0.25">
      <c r="I902" s="37"/>
      <c r="J902" s="35"/>
    </row>
    <row r="903" spans="9:10" x14ac:dyDescent="0.25">
      <c r="I903" s="37"/>
      <c r="J903" s="35"/>
    </row>
    <row r="904" spans="9:10" x14ac:dyDescent="0.25">
      <c r="I904" s="37"/>
      <c r="J904" s="35"/>
    </row>
    <row r="905" spans="9:10" x14ac:dyDescent="0.25">
      <c r="I905" s="37"/>
      <c r="J905" s="35"/>
    </row>
    <row r="906" spans="9:10" x14ac:dyDescent="0.25">
      <c r="I906" s="37"/>
      <c r="J906" s="35"/>
    </row>
    <row r="907" spans="9:10" x14ac:dyDescent="0.25">
      <c r="I907" s="37"/>
      <c r="J907" s="35"/>
    </row>
    <row r="908" spans="9:10" x14ac:dyDescent="0.25">
      <c r="I908" s="37"/>
      <c r="J908" s="35"/>
    </row>
    <row r="909" spans="9:10" x14ac:dyDescent="0.25">
      <c r="I909" s="37"/>
      <c r="J909" s="35"/>
    </row>
    <row r="910" spans="9:10" x14ac:dyDescent="0.25">
      <c r="I910" s="37"/>
      <c r="J910" s="35"/>
    </row>
    <row r="911" spans="9:10" x14ac:dyDescent="0.25">
      <c r="I911" s="37"/>
      <c r="J911" s="35"/>
    </row>
    <row r="912" spans="9:10" x14ac:dyDescent="0.25">
      <c r="I912" s="37"/>
      <c r="J912" s="35"/>
    </row>
    <row r="913" spans="9:10" x14ac:dyDescent="0.25">
      <c r="I913" s="37"/>
      <c r="J913" s="35"/>
    </row>
    <row r="914" spans="9:10" x14ac:dyDescent="0.25">
      <c r="I914" s="37"/>
      <c r="J914" s="35"/>
    </row>
    <row r="915" spans="9:10" x14ac:dyDescent="0.25">
      <c r="I915" s="37"/>
      <c r="J915" s="35"/>
    </row>
    <row r="916" spans="9:10" x14ac:dyDescent="0.25">
      <c r="I916" s="37"/>
      <c r="J916" s="35"/>
    </row>
    <row r="917" spans="9:10" x14ac:dyDescent="0.25">
      <c r="I917" s="37"/>
      <c r="J917" s="35"/>
    </row>
    <row r="918" spans="9:10" x14ac:dyDescent="0.25">
      <c r="I918" s="37"/>
      <c r="J918" s="35"/>
    </row>
    <row r="919" spans="9:10" x14ac:dyDescent="0.25">
      <c r="I919" s="37"/>
      <c r="J919" s="35"/>
    </row>
    <row r="920" spans="9:10" x14ac:dyDescent="0.25">
      <c r="I920" s="37"/>
      <c r="J920" s="35"/>
    </row>
    <row r="921" spans="9:10" x14ac:dyDescent="0.25">
      <c r="I921" s="37"/>
      <c r="J921" s="35"/>
    </row>
    <row r="922" spans="9:10" x14ac:dyDescent="0.25">
      <c r="I922" s="37"/>
      <c r="J922" s="35"/>
    </row>
    <row r="923" spans="9:10" x14ac:dyDescent="0.25">
      <c r="I923" s="37"/>
      <c r="J923" s="35"/>
    </row>
    <row r="924" spans="9:10" x14ac:dyDescent="0.25">
      <c r="I924" s="37"/>
      <c r="J924" s="35"/>
    </row>
    <row r="925" spans="9:10" x14ac:dyDescent="0.25">
      <c r="I925" s="37"/>
      <c r="J925" s="35"/>
    </row>
    <row r="926" spans="9:10" x14ac:dyDescent="0.25">
      <c r="I926" s="37"/>
      <c r="J926" s="35"/>
    </row>
    <row r="927" spans="9:10" x14ac:dyDescent="0.25">
      <c r="I927" s="37"/>
      <c r="J927" s="35"/>
    </row>
    <row r="928" spans="9:10" x14ac:dyDescent="0.25">
      <c r="I928" s="37"/>
      <c r="J928" s="35"/>
    </row>
    <row r="929" spans="9:10" x14ac:dyDescent="0.25">
      <c r="I929" s="37"/>
      <c r="J929" s="35"/>
    </row>
    <row r="930" spans="9:10" x14ac:dyDescent="0.25">
      <c r="I930" s="37"/>
      <c r="J930" s="35"/>
    </row>
    <row r="931" spans="9:10" x14ac:dyDescent="0.25">
      <c r="I931" s="37"/>
      <c r="J931" s="35"/>
    </row>
    <row r="932" spans="9:10" x14ac:dyDescent="0.25">
      <c r="I932" s="37"/>
      <c r="J932" s="35"/>
    </row>
    <row r="933" spans="9:10" x14ac:dyDescent="0.25">
      <c r="I933" s="37"/>
      <c r="J933" s="35"/>
    </row>
    <row r="934" spans="9:10" x14ac:dyDescent="0.25">
      <c r="I934" s="37"/>
      <c r="J934" s="35"/>
    </row>
    <row r="935" spans="9:10" x14ac:dyDescent="0.25">
      <c r="I935" s="37"/>
      <c r="J935" s="35"/>
    </row>
    <row r="936" spans="9:10" x14ac:dyDescent="0.25">
      <c r="I936" s="37"/>
      <c r="J936" s="35"/>
    </row>
    <row r="937" spans="9:10" x14ac:dyDescent="0.25">
      <c r="I937" s="37"/>
      <c r="J937" s="35"/>
    </row>
    <row r="938" spans="9:10" x14ac:dyDescent="0.25">
      <c r="I938" s="37"/>
      <c r="J938" s="35"/>
    </row>
    <row r="939" spans="9:10" x14ac:dyDescent="0.25">
      <c r="I939" s="37"/>
      <c r="J939" s="35"/>
    </row>
    <row r="940" spans="9:10" x14ac:dyDescent="0.25">
      <c r="I940" s="37"/>
      <c r="J940" s="35"/>
    </row>
    <row r="941" spans="9:10" x14ac:dyDescent="0.25">
      <c r="I941" s="37"/>
      <c r="J941" s="35"/>
    </row>
    <row r="942" spans="9:10" x14ac:dyDescent="0.25">
      <c r="I942" s="37"/>
      <c r="J942" s="35"/>
    </row>
    <row r="943" spans="9:10" x14ac:dyDescent="0.25">
      <c r="I943" s="37"/>
      <c r="J943" s="35"/>
    </row>
    <row r="944" spans="9:10" x14ac:dyDescent="0.25">
      <c r="I944" s="37"/>
      <c r="J944" s="35"/>
    </row>
    <row r="945" spans="9:10" x14ac:dyDescent="0.25">
      <c r="I945" s="37"/>
      <c r="J945" s="35"/>
    </row>
    <row r="946" spans="9:10" x14ac:dyDescent="0.25">
      <c r="I946" s="37"/>
      <c r="J946" s="35"/>
    </row>
    <row r="947" spans="9:10" x14ac:dyDescent="0.25">
      <c r="I947" s="37"/>
      <c r="J947" s="35"/>
    </row>
    <row r="948" spans="9:10" x14ac:dyDescent="0.25">
      <c r="I948" s="37"/>
      <c r="J948" s="35"/>
    </row>
    <row r="949" spans="9:10" x14ac:dyDescent="0.25">
      <c r="I949" s="37"/>
      <c r="J949" s="35"/>
    </row>
    <row r="950" spans="9:10" x14ac:dyDescent="0.25">
      <c r="I950" s="37"/>
      <c r="J950" s="35"/>
    </row>
    <row r="951" spans="9:10" x14ac:dyDescent="0.25">
      <c r="I951" s="37"/>
      <c r="J951" s="35"/>
    </row>
    <row r="952" spans="9:10" x14ac:dyDescent="0.25">
      <c r="I952" s="37"/>
      <c r="J952" s="35"/>
    </row>
    <row r="953" spans="9:10" x14ac:dyDescent="0.25">
      <c r="I953" s="37"/>
      <c r="J953" s="35"/>
    </row>
    <row r="954" spans="9:10" x14ac:dyDescent="0.25">
      <c r="I954" s="37"/>
      <c r="J954" s="35"/>
    </row>
    <row r="955" spans="9:10" x14ac:dyDescent="0.25">
      <c r="I955" s="37"/>
      <c r="J955" s="35"/>
    </row>
    <row r="956" spans="9:10" x14ac:dyDescent="0.25">
      <c r="I956" s="37"/>
      <c r="J956" s="35"/>
    </row>
    <row r="957" spans="9:10" x14ac:dyDescent="0.25">
      <c r="I957" s="37"/>
      <c r="J957" s="35"/>
    </row>
    <row r="958" spans="9:10" x14ac:dyDescent="0.25">
      <c r="I958" s="37"/>
      <c r="J958" s="35"/>
    </row>
    <row r="959" spans="9:10" x14ac:dyDescent="0.25">
      <c r="I959" s="37"/>
      <c r="J959" s="35"/>
    </row>
    <row r="960" spans="9:10" x14ac:dyDescent="0.25">
      <c r="I960" s="37"/>
      <c r="J960" s="35"/>
    </row>
    <row r="961" spans="9:10" x14ac:dyDescent="0.25">
      <c r="I961" s="37"/>
      <c r="J961" s="35"/>
    </row>
    <row r="962" spans="9:10" x14ac:dyDescent="0.25">
      <c r="I962" s="37"/>
      <c r="J962" s="35"/>
    </row>
    <row r="963" spans="9:10" x14ac:dyDescent="0.25">
      <c r="I963" s="37"/>
      <c r="J963" s="35"/>
    </row>
    <row r="964" spans="9:10" x14ac:dyDescent="0.25">
      <c r="I964" s="37"/>
      <c r="J964" s="35"/>
    </row>
    <row r="965" spans="9:10" x14ac:dyDescent="0.25">
      <c r="I965" s="37"/>
      <c r="J965" s="35"/>
    </row>
    <row r="966" spans="9:10" x14ac:dyDescent="0.25">
      <c r="I966" s="37"/>
      <c r="J966" s="35"/>
    </row>
    <row r="967" spans="9:10" x14ac:dyDescent="0.25">
      <c r="I967" s="37"/>
      <c r="J967" s="35"/>
    </row>
    <row r="968" spans="9:10" x14ac:dyDescent="0.25">
      <c r="I968" s="37"/>
      <c r="J968" s="35"/>
    </row>
    <row r="969" spans="9:10" x14ac:dyDescent="0.25">
      <c r="I969" s="37"/>
      <c r="J969" s="35"/>
    </row>
    <row r="970" spans="9:10" x14ac:dyDescent="0.25">
      <c r="I970" s="37"/>
      <c r="J970" s="35"/>
    </row>
    <row r="971" spans="9:10" x14ac:dyDescent="0.25">
      <c r="I971" s="37"/>
      <c r="J971" s="35"/>
    </row>
    <row r="972" spans="9:10" x14ac:dyDescent="0.25">
      <c r="I972" s="37"/>
      <c r="J972" s="35"/>
    </row>
    <row r="973" spans="9:10" x14ac:dyDescent="0.25">
      <c r="I973" s="37"/>
      <c r="J973" s="35"/>
    </row>
    <row r="974" spans="9:10" x14ac:dyDescent="0.25">
      <c r="I974" s="37"/>
      <c r="J974" s="35"/>
    </row>
    <row r="975" spans="9:10" x14ac:dyDescent="0.25">
      <c r="I975" s="37"/>
      <c r="J975" s="35"/>
    </row>
    <row r="976" spans="9:10" x14ac:dyDescent="0.25">
      <c r="I976" s="37"/>
      <c r="J976" s="35"/>
    </row>
    <row r="977" spans="9:10" x14ac:dyDescent="0.25">
      <c r="I977" s="37"/>
      <c r="J977" s="35"/>
    </row>
    <row r="978" spans="9:10" x14ac:dyDescent="0.25">
      <c r="I978" s="37"/>
      <c r="J978" s="35"/>
    </row>
    <row r="979" spans="9:10" x14ac:dyDescent="0.25">
      <c r="I979" s="37"/>
      <c r="J979" s="35"/>
    </row>
    <row r="980" spans="9:10" x14ac:dyDescent="0.25">
      <c r="I980" s="37"/>
      <c r="J980" s="35"/>
    </row>
    <row r="981" spans="9:10" x14ac:dyDescent="0.25">
      <c r="I981" s="37"/>
      <c r="J981" s="35"/>
    </row>
    <row r="982" spans="9:10" x14ac:dyDescent="0.25">
      <c r="I982" s="37"/>
      <c r="J982" s="35"/>
    </row>
    <row r="983" spans="9:10" x14ac:dyDescent="0.25">
      <c r="I983" s="37"/>
      <c r="J983" s="35"/>
    </row>
    <row r="984" spans="9:10" x14ac:dyDescent="0.25">
      <c r="I984" s="37"/>
      <c r="J984" s="35"/>
    </row>
    <row r="985" spans="9:10" x14ac:dyDescent="0.25">
      <c r="I985" s="37"/>
      <c r="J985" s="35"/>
    </row>
    <row r="986" spans="9:10" x14ac:dyDescent="0.25">
      <c r="I986" s="37"/>
      <c r="J986" s="35"/>
    </row>
    <row r="987" spans="9:10" x14ac:dyDescent="0.25">
      <c r="I987" s="37"/>
      <c r="J987" s="35"/>
    </row>
    <row r="988" spans="9:10" x14ac:dyDescent="0.25">
      <c r="I988" s="37"/>
      <c r="J988" s="35"/>
    </row>
    <row r="989" spans="9:10" x14ac:dyDescent="0.25">
      <c r="I989" s="37"/>
      <c r="J989" s="35"/>
    </row>
    <row r="990" spans="9:10" x14ac:dyDescent="0.25">
      <c r="I990" s="37"/>
      <c r="J990" s="35"/>
    </row>
    <row r="991" spans="9:10" x14ac:dyDescent="0.25">
      <c r="I991" s="37"/>
      <c r="J991" s="35"/>
    </row>
    <row r="992" spans="9:10" x14ac:dyDescent="0.25">
      <c r="I992" s="37"/>
      <c r="J992" s="35"/>
    </row>
    <row r="993" spans="9:10" x14ac:dyDescent="0.25">
      <c r="I993" s="37"/>
      <c r="J993" s="35"/>
    </row>
    <row r="994" spans="9:10" x14ac:dyDescent="0.25">
      <c r="I994" s="37"/>
      <c r="J994" s="35"/>
    </row>
    <row r="995" spans="9:10" x14ac:dyDescent="0.25">
      <c r="I995" s="37"/>
      <c r="J995" s="35"/>
    </row>
    <row r="996" spans="9:10" x14ac:dyDescent="0.25">
      <c r="I996" s="37"/>
      <c r="J996" s="35"/>
    </row>
    <row r="997" spans="9:10" x14ac:dyDescent="0.25">
      <c r="I997" s="37"/>
      <c r="J997" s="35"/>
    </row>
    <row r="998" spans="9:10" x14ac:dyDescent="0.25">
      <c r="I998" s="37"/>
      <c r="J998" s="35"/>
    </row>
    <row r="999" spans="9:10" x14ac:dyDescent="0.25">
      <c r="I999" s="37"/>
      <c r="J999" s="35"/>
    </row>
    <row r="1000" spans="9:10" x14ac:dyDescent="0.25">
      <c r="I1000" s="37"/>
      <c r="J1000" s="35"/>
    </row>
    <row r="1001" spans="9:10" x14ac:dyDescent="0.25">
      <c r="I1001" s="37"/>
      <c r="J1001" s="35"/>
    </row>
    <row r="1002" spans="9:10" x14ac:dyDescent="0.25">
      <c r="I1002" s="37"/>
      <c r="J1002" s="35"/>
    </row>
    <row r="1003" spans="9:10" x14ac:dyDescent="0.25">
      <c r="I1003" s="37"/>
      <c r="J1003" s="35"/>
    </row>
    <row r="1004" spans="9:10" x14ac:dyDescent="0.25">
      <c r="I1004" s="37"/>
      <c r="J1004" s="35"/>
    </row>
    <row r="1005" spans="9:10" x14ac:dyDescent="0.25">
      <c r="I1005" s="37"/>
      <c r="J1005" s="35"/>
    </row>
    <row r="1006" spans="9:10" x14ac:dyDescent="0.25">
      <c r="I1006" s="37"/>
      <c r="J1006" s="35"/>
    </row>
    <row r="1007" spans="9:10" x14ac:dyDescent="0.25">
      <c r="I1007" s="37"/>
      <c r="J1007" s="35"/>
    </row>
    <row r="1008" spans="9:10" x14ac:dyDescent="0.25">
      <c r="I1008" s="37"/>
      <c r="J1008" s="35"/>
    </row>
    <row r="1009" spans="9:10" x14ac:dyDescent="0.25">
      <c r="I1009" s="37"/>
      <c r="J1009" s="35"/>
    </row>
    <row r="1010" spans="9:10" x14ac:dyDescent="0.25">
      <c r="I1010" s="37"/>
      <c r="J1010" s="35"/>
    </row>
    <row r="1011" spans="9:10" x14ac:dyDescent="0.25">
      <c r="I1011" s="37"/>
      <c r="J1011" s="35"/>
    </row>
    <row r="1012" spans="9:10" x14ac:dyDescent="0.25">
      <c r="I1012" s="37"/>
      <c r="J1012" s="35"/>
    </row>
    <row r="1013" spans="9:10" x14ac:dyDescent="0.25">
      <c r="I1013" s="37"/>
      <c r="J1013" s="35"/>
    </row>
    <row r="1014" spans="9:10" x14ac:dyDescent="0.25">
      <c r="I1014" s="37"/>
      <c r="J1014" s="35"/>
    </row>
    <row r="1015" spans="9:10" x14ac:dyDescent="0.25">
      <c r="I1015" s="37"/>
      <c r="J1015" s="35"/>
    </row>
    <row r="1016" spans="9:10" x14ac:dyDescent="0.25">
      <c r="I1016" s="37"/>
      <c r="J1016" s="35"/>
    </row>
    <row r="1017" spans="9:10" x14ac:dyDescent="0.25">
      <c r="I1017" s="37"/>
      <c r="J1017" s="35"/>
    </row>
    <row r="1018" spans="9:10" x14ac:dyDescent="0.25">
      <c r="I1018" s="37"/>
      <c r="J1018" s="35"/>
    </row>
    <row r="1019" spans="9:10" x14ac:dyDescent="0.25">
      <c r="I1019" s="37"/>
      <c r="J1019" s="35"/>
    </row>
    <row r="1020" spans="9:10" x14ac:dyDescent="0.25">
      <c r="I1020" s="37"/>
      <c r="J1020" s="35"/>
    </row>
    <row r="1021" spans="9:10" x14ac:dyDescent="0.25">
      <c r="I1021" s="37"/>
      <c r="J1021" s="35"/>
    </row>
    <row r="1022" spans="9:10" x14ac:dyDescent="0.25">
      <c r="I1022" s="37"/>
      <c r="J1022" s="35"/>
    </row>
    <row r="1023" spans="9:10" x14ac:dyDescent="0.25">
      <c r="I1023" s="37"/>
      <c r="J1023" s="35"/>
    </row>
    <row r="1024" spans="9:10" x14ac:dyDescent="0.25">
      <c r="I1024" s="37"/>
      <c r="J1024" s="35"/>
    </row>
    <row r="1025" spans="9:10" x14ac:dyDescent="0.25">
      <c r="I1025" s="37"/>
      <c r="J1025" s="35"/>
    </row>
    <row r="1026" spans="9:10" x14ac:dyDescent="0.25">
      <c r="I1026" s="37"/>
      <c r="J1026" s="35"/>
    </row>
    <row r="1027" spans="9:10" x14ac:dyDescent="0.25">
      <c r="I1027" s="37"/>
      <c r="J1027" s="35"/>
    </row>
    <row r="1028" spans="9:10" x14ac:dyDescent="0.25">
      <c r="I1028" s="37"/>
      <c r="J1028" s="35"/>
    </row>
    <row r="1029" spans="9:10" x14ac:dyDescent="0.25">
      <c r="I1029" s="37"/>
      <c r="J1029" s="35"/>
    </row>
    <row r="1030" spans="9:10" x14ac:dyDescent="0.25">
      <c r="I1030" s="37"/>
      <c r="J1030" s="35"/>
    </row>
    <row r="1031" spans="9:10" x14ac:dyDescent="0.25">
      <c r="I1031" s="37"/>
      <c r="J1031" s="35"/>
    </row>
    <row r="1032" spans="9:10" x14ac:dyDescent="0.25">
      <c r="I1032" s="37"/>
      <c r="J1032" s="35"/>
    </row>
    <row r="1033" spans="9:10" x14ac:dyDescent="0.25">
      <c r="I1033" s="37"/>
      <c r="J1033" s="35"/>
    </row>
    <row r="1034" spans="9:10" x14ac:dyDescent="0.25">
      <c r="I1034" s="37"/>
      <c r="J1034" s="35"/>
    </row>
    <row r="1035" spans="9:10" x14ac:dyDescent="0.25">
      <c r="I1035" s="37"/>
      <c r="J1035" s="35"/>
    </row>
    <row r="1036" spans="9:10" x14ac:dyDescent="0.25">
      <c r="I1036" s="37"/>
      <c r="J1036" s="35"/>
    </row>
    <row r="1037" spans="9:10" x14ac:dyDescent="0.25">
      <c r="I1037" s="37"/>
      <c r="J1037" s="35"/>
    </row>
    <row r="1038" spans="9:10" x14ac:dyDescent="0.25">
      <c r="I1038" s="37"/>
      <c r="J1038" s="35"/>
    </row>
    <row r="1039" spans="9:10" x14ac:dyDescent="0.25">
      <c r="I1039" s="37"/>
      <c r="J1039" s="35"/>
    </row>
    <row r="1040" spans="9:10" x14ac:dyDescent="0.25">
      <c r="I1040" s="37"/>
      <c r="J1040" s="35"/>
    </row>
    <row r="1041" spans="9:10" x14ac:dyDescent="0.25">
      <c r="I1041" s="37"/>
      <c r="J1041" s="35"/>
    </row>
    <row r="1042" spans="9:10" x14ac:dyDescent="0.25">
      <c r="I1042" s="37"/>
      <c r="J1042" s="35"/>
    </row>
    <row r="1043" spans="9:10" x14ac:dyDescent="0.25">
      <c r="I1043" s="37"/>
      <c r="J1043" s="35"/>
    </row>
    <row r="1044" spans="9:10" x14ac:dyDescent="0.25">
      <c r="I1044" s="37"/>
      <c r="J1044" s="35"/>
    </row>
    <row r="1045" spans="9:10" x14ac:dyDescent="0.25">
      <c r="I1045" s="37"/>
      <c r="J1045" s="35"/>
    </row>
    <row r="1046" spans="9:10" x14ac:dyDescent="0.25">
      <c r="I1046" s="37"/>
      <c r="J1046" s="35"/>
    </row>
    <row r="1047" spans="9:10" x14ac:dyDescent="0.25">
      <c r="I1047" s="37"/>
      <c r="J1047" s="35"/>
    </row>
    <row r="1048" spans="9:10" x14ac:dyDescent="0.25">
      <c r="I1048" s="37"/>
      <c r="J1048" s="35"/>
    </row>
    <row r="1049" spans="9:10" x14ac:dyDescent="0.25">
      <c r="I1049" s="37"/>
      <c r="J1049" s="35"/>
    </row>
    <row r="1050" spans="9:10" x14ac:dyDescent="0.25">
      <c r="I1050" s="37"/>
      <c r="J1050" s="35"/>
    </row>
    <row r="1051" spans="9:10" x14ac:dyDescent="0.25">
      <c r="I1051" s="37"/>
      <c r="J1051" s="35"/>
    </row>
    <row r="1052" spans="9:10" x14ac:dyDescent="0.25">
      <c r="I1052" s="37"/>
      <c r="J1052" s="35"/>
    </row>
    <row r="1053" spans="9:10" x14ac:dyDescent="0.25">
      <c r="I1053" s="37"/>
      <c r="J1053" s="35"/>
    </row>
    <row r="1054" spans="9:10" x14ac:dyDescent="0.25">
      <c r="I1054" s="37"/>
      <c r="J1054" s="35"/>
    </row>
    <row r="1055" spans="9:10" x14ac:dyDescent="0.25">
      <c r="I1055" s="37"/>
      <c r="J1055" s="35"/>
    </row>
    <row r="1056" spans="9:10" x14ac:dyDescent="0.25">
      <c r="I1056" s="37"/>
      <c r="J1056" s="35"/>
    </row>
    <row r="1057" spans="9:10" x14ac:dyDescent="0.25">
      <c r="I1057" s="37"/>
      <c r="J1057" s="35"/>
    </row>
    <row r="1058" spans="9:10" x14ac:dyDescent="0.25">
      <c r="I1058" s="37"/>
      <c r="J1058" s="35"/>
    </row>
    <row r="1059" spans="9:10" x14ac:dyDescent="0.25">
      <c r="I1059" s="37"/>
      <c r="J1059" s="35"/>
    </row>
    <row r="1060" spans="9:10" x14ac:dyDescent="0.25">
      <c r="I1060" s="37"/>
      <c r="J1060" s="35"/>
    </row>
    <row r="1061" spans="9:10" x14ac:dyDescent="0.25">
      <c r="I1061" s="37"/>
      <c r="J1061" s="35"/>
    </row>
    <row r="1062" spans="9:10" x14ac:dyDescent="0.25">
      <c r="I1062" s="37"/>
      <c r="J1062" s="35"/>
    </row>
    <row r="1063" spans="9:10" x14ac:dyDescent="0.25">
      <c r="I1063" s="37"/>
      <c r="J1063" s="35"/>
    </row>
    <row r="1064" spans="9:10" x14ac:dyDescent="0.25">
      <c r="I1064" s="37"/>
      <c r="J1064" s="35"/>
    </row>
    <row r="1065" spans="9:10" x14ac:dyDescent="0.25">
      <c r="I1065" s="37"/>
      <c r="J1065" s="35"/>
    </row>
    <row r="1066" spans="9:10" x14ac:dyDescent="0.25">
      <c r="I1066" s="37"/>
      <c r="J1066" s="35"/>
    </row>
    <row r="1067" spans="9:10" x14ac:dyDescent="0.25">
      <c r="I1067" s="37"/>
      <c r="J1067" s="35"/>
    </row>
    <row r="1068" spans="9:10" x14ac:dyDescent="0.25">
      <c r="I1068" s="37"/>
      <c r="J1068" s="35"/>
    </row>
    <row r="1069" spans="9:10" x14ac:dyDescent="0.25">
      <c r="I1069" s="37"/>
      <c r="J1069" s="35"/>
    </row>
    <row r="1070" spans="9:10" x14ac:dyDescent="0.25">
      <c r="I1070" s="37"/>
      <c r="J1070" s="35"/>
    </row>
    <row r="1071" spans="9:10" x14ac:dyDescent="0.25">
      <c r="I1071" s="37"/>
      <c r="J1071" s="35"/>
    </row>
    <row r="1072" spans="9:10" x14ac:dyDescent="0.25">
      <c r="I1072" s="37"/>
      <c r="J1072" s="35"/>
    </row>
    <row r="1073" spans="9:10" x14ac:dyDescent="0.25">
      <c r="I1073" s="37"/>
      <c r="J1073" s="35"/>
    </row>
    <row r="1074" spans="9:10" x14ac:dyDescent="0.25">
      <c r="I1074" s="37"/>
      <c r="J1074" s="35"/>
    </row>
    <row r="1075" spans="9:10" x14ac:dyDescent="0.25">
      <c r="I1075" s="37"/>
      <c r="J1075" s="35"/>
    </row>
    <row r="1076" spans="9:10" x14ac:dyDescent="0.25">
      <c r="I1076" s="37"/>
      <c r="J1076" s="35"/>
    </row>
    <row r="1077" spans="9:10" x14ac:dyDescent="0.25">
      <c r="I1077" s="37"/>
      <c r="J1077" s="35"/>
    </row>
    <row r="1078" spans="9:10" x14ac:dyDescent="0.25">
      <c r="I1078" s="37"/>
      <c r="J1078" s="35"/>
    </row>
    <row r="1079" spans="9:10" x14ac:dyDescent="0.25">
      <c r="I1079" s="37"/>
      <c r="J1079" s="35"/>
    </row>
    <row r="1080" spans="9:10" x14ac:dyDescent="0.25">
      <c r="I1080" s="37"/>
      <c r="J1080" s="35"/>
    </row>
    <row r="1081" spans="9:10" x14ac:dyDescent="0.25">
      <c r="I1081" s="37"/>
      <c r="J1081" s="35"/>
    </row>
    <row r="1082" spans="9:10" x14ac:dyDescent="0.25">
      <c r="I1082" s="37"/>
      <c r="J1082" s="35"/>
    </row>
    <row r="1083" spans="9:10" x14ac:dyDescent="0.25">
      <c r="I1083" s="37"/>
      <c r="J1083" s="35"/>
    </row>
    <row r="1084" spans="9:10" x14ac:dyDescent="0.25">
      <c r="I1084" s="37"/>
      <c r="J1084" s="35"/>
    </row>
    <row r="1085" spans="9:10" x14ac:dyDescent="0.25">
      <c r="I1085" s="37"/>
      <c r="J1085" s="35"/>
    </row>
    <row r="1086" spans="9:10" x14ac:dyDescent="0.25">
      <c r="I1086" s="37"/>
      <c r="J1086" s="35"/>
    </row>
    <row r="1087" spans="9:10" x14ac:dyDescent="0.25">
      <c r="I1087" s="37"/>
      <c r="J1087" s="35"/>
    </row>
    <row r="1088" spans="9:10" x14ac:dyDescent="0.25">
      <c r="I1088" s="37"/>
      <c r="J1088" s="35"/>
    </row>
    <row r="1089" spans="9:10" x14ac:dyDescent="0.25">
      <c r="I1089" s="37"/>
      <c r="J1089" s="35"/>
    </row>
    <row r="1090" spans="9:10" x14ac:dyDescent="0.25">
      <c r="I1090" s="37"/>
      <c r="J1090" s="35"/>
    </row>
    <row r="1091" spans="9:10" x14ac:dyDescent="0.25">
      <c r="I1091" s="37"/>
      <c r="J1091" s="35"/>
    </row>
    <row r="1092" spans="9:10" x14ac:dyDescent="0.25">
      <c r="I1092" s="37"/>
      <c r="J1092" s="35"/>
    </row>
    <row r="1093" spans="9:10" x14ac:dyDescent="0.25">
      <c r="I1093" s="37"/>
      <c r="J1093" s="35"/>
    </row>
    <row r="1094" spans="9:10" x14ac:dyDescent="0.25">
      <c r="I1094" s="37"/>
      <c r="J1094" s="35"/>
    </row>
    <row r="1095" spans="9:10" x14ac:dyDescent="0.25">
      <c r="I1095" s="37"/>
      <c r="J1095" s="35"/>
    </row>
    <row r="1096" spans="9:10" x14ac:dyDescent="0.25">
      <c r="I1096" s="37"/>
      <c r="J1096" s="35"/>
    </row>
    <row r="1097" spans="9:10" x14ac:dyDescent="0.25">
      <c r="I1097" s="37"/>
      <c r="J1097" s="35"/>
    </row>
    <row r="1098" spans="9:10" x14ac:dyDescent="0.25">
      <c r="I1098" s="37"/>
      <c r="J1098" s="35"/>
    </row>
    <row r="1099" spans="9:10" x14ac:dyDescent="0.25">
      <c r="I1099" s="37"/>
      <c r="J1099" s="35"/>
    </row>
    <row r="1100" spans="9:10" x14ac:dyDescent="0.25">
      <c r="I1100" s="37"/>
      <c r="J1100" s="35"/>
    </row>
    <row r="1101" spans="9:10" x14ac:dyDescent="0.25">
      <c r="I1101" s="37"/>
      <c r="J1101" s="35"/>
    </row>
    <row r="1102" spans="9:10" x14ac:dyDescent="0.25">
      <c r="I1102" s="37"/>
      <c r="J1102" s="35"/>
    </row>
    <row r="1103" spans="9:10" x14ac:dyDescent="0.25">
      <c r="I1103" s="37"/>
      <c r="J1103" s="35"/>
    </row>
    <row r="1104" spans="9:10" x14ac:dyDescent="0.25">
      <c r="I1104" s="37"/>
      <c r="J1104" s="35"/>
    </row>
    <row r="1105" spans="9:10" x14ac:dyDescent="0.25">
      <c r="I1105" s="37"/>
      <c r="J1105" s="35"/>
    </row>
    <row r="1106" spans="9:10" x14ac:dyDescent="0.25">
      <c r="I1106" s="37"/>
      <c r="J1106" s="35"/>
    </row>
    <row r="1107" spans="9:10" x14ac:dyDescent="0.25">
      <c r="I1107" s="37"/>
      <c r="J1107" s="35"/>
    </row>
    <row r="1108" spans="9:10" x14ac:dyDescent="0.25">
      <c r="I1108" s="37"/>
      <c r="J1108" s="35"/>
    </row>
    <row r="1109" spans="9:10" x14ac:dyDescent="0.25">
      <c r="I1109" s="37"/>
      <c r="J1109" s="35"/>
    </row>
    <row r="1110" spans="9:10" x14ac:dyDescent="0.25">
      <c r="I1110" s="37"/>
      <c r="J1110" s="35"/>
    </row>
    <row r="1111" spans="9:10" x14ac:dyDescent="0.25">
      <c r="I1111" s="37"/>
      <c r="J1111" s="35"/>
    </row>
    <row r="1112" spans="9:10" x14ac:dyDescent="0.25">
      <c r="I1112" s="37"/>
      <c r="J1112" s="35"/>
    </row>
    <row r="1113" spans="9:10" x14ac:dyDescent="0.25">
      <c r="I1113" s="37"/>
      <c r="J1113" s="35"/>
    </row>
    <row r="1114" spans="9:10" x14ac:dyDescent="0.25">
      <c r="I1114" s="37"/>
      <c r="J1114" s="35"/>
    </row>
    <row r="1115" spans="9:10" x14ac:dyDescent="0.25">
      <c r="I1115" s="37"/>
      <c r="J1115" s="35"/>
    </row>
    <row r="1116" spans="9:10" x14ac:dyDescent="0.25">
      <c r="I1116" s="37"/>
      <c r="J1116" s="35"/>
    </row>
    <row r="1117" spans="9:10" x14ac:dyDescent="0.25">
      <c r="I1117" s="37"/>
      <c r="J1117" s="35"/>
    </row>
    <row r="1118" spans="9:10" x14ac:dyDescent="0.25">
      <c r="I1118" s="37"/>
      <c r="J1118" s="35"/>
    </row>
    <row r="1119" spans="9:10" x14ac:dyDescent="0.25">
      <c r="I1119" s="37"/>
      <c r="J1119" s="35"/>
    </row>
    <row r="1120" spans="9:10" x14ac:dyDescent="0.25">
      <c r="I1120" s="37"/>
      <c r="J1120" s="35"/>
    </row>
    <row r="1121" spans="9:10" x14ac:dyDescent="0.25">
      <c r="I1121" s="37"/>
      <c r="J1121" s="35"/>
    </row>
    <row r="1122" spans="9:10" x14ac:dyDescent="0.25">
      <c r="I1122" s="37"/>
      <c r="J1122" s="35"/>
    </row>
    <row r="1123" spans="9:10" x14ac:dyDescent="0.25">
      <c r="I1123" s="37"/>
      <c r="J1123" s="35"/>
    </row>
    <row r="1124" spans="9:10" x14ac:dyDescent="0.25">
      <c r="I1124" s="37"/>
      <c r="J1124" s="35"/>
    </row>
    <row r="1125" spans="9:10" x14ac:dyDescent="0.25">
      <c r="I1125" s="37"/>
      <c r="J1125" s="35"/>
    </row>
    <row r="1126" spans="9:10" x14ac:dyDescent="0.25">
      <c r="I1126" s="37"/>
      <c r="J1126" s="35"/>
    </row>
    <row r="1127" spans="9:10" x14ac:dyDescent="0.25">
      <c r="I1127" s="37"/>
      <c r="J1127" s="35"/>
    </row>
    <row r="1128" spans="9:10" x14ac:dyDescent="0.25">
      <c r="I1128" s="37"/>
      <c r="J1128" s="35"/>
    </row>
    <row r="1129" spans="9:10" x14ac:dyDescent="0.25">
      <c r="I1129" s="37"/>
      <c r="J1129" s="35"/>
    </row>
    <row r="1130" spans="9:10" x14ac:dyDescent="0.25">
      <c r="I1130" s="37"/>
      <c r="J1130" s="35"/>
    </row>
    <row r="1131" spans="9:10" x14ac:dyDescent="0.25">
      <c r="I1131" s="37"/>
      <c r="J1131" s="35"/>
    </row>
    <row r="1132" spans="9:10" x14ac:dyDescent="0.25">
      <c r="I1132" s="37"/>
      <c r="J1132" s="35"/>
    </row>
    <row r="1133" spans="9:10" x14ac:dyDescent="0.25">
      <c r="I1133" s="37"/>
      <c r="J1133" s="35"/>
    </row>
    <row r="1134" spans="9:10" x14ac:dyDescent="0.25">
      <c r="I1134" s="37"/>
      <c r="J1134" s="35"/>
    </row>
    <row r="1135" spans="9:10" x14ac:dyDescent="0.25">
      <c r="I1135" s="37"/>
      <c r="J1135" s="35"/>
    </row>
    <row r="1136" spans="9:10" x14ac:dyDescent="0.25">
      <c r="I1136" s="37"/>
      <c r="J1136" s="35"/>
    </row>
    <row r="1137" spans="9:10" x14ac:dyDescent="0.25">
      <c r="I1137" s="37"/>
      <c r="J1137" s="35"/>
    </row>
    <row r="1138" spans="9:10" x14ac:dyDescent="0.25">
      <c r="I1138" s="37"/>
      <c r="J1138" s="35"/>
    </row>
    <row r="1139" spans="9:10" x14ac:dyDescent="0.25">
      <c r="I1139" s="37"/>
      <c r="J1139" s="35"/>
    </row>
    <row r="1140" spans="9:10" x14ac:dyDescent="0.25">
      <c r="I1140" s="37"/>
      <c r="J1140" s="35"/>
    </row>
    <row r="1141" spans="9:10" x14ac:dyDescent="0.25">
      <c r="I1141" s="37"/>
      <c r="J1141" s="35"/>
    </row>
    <row r="1142" spans="9:10" x14ac:dyDescent="0.25">
      <c r="I1142" s="37"/>
      <c r="J1142" s="35"/>
    </row>
    <row r="1143" spans="9:10" x14ac:dyDescent="0.25">
      <c r="I1143" s="37"/>
      <c r="J1143" s="35"/>
    </row>
    <row r="1144" spans="9:10" x14ac:dyDescent="0.25">
      <c r="I1144" s="37"/>
      <c r="J1144" s="35"/>
    </row>
    <row r="1145" spans="9:10" x14ac:dyDescent="0.25">
      <c r="I1145" s="37"/>
      <c r="J1145" s="35"/>
    </row>
    <row r="1146" spans="9:10" x14ac:dyDescent="0.25">
      <c r="I1146" s="37"/>
      <c r="J1146" s="35"/>
    </row>
    <row r="1147" spans="9:10" x14ac:dyDescent="0.25">
      <c r="I1147" s="37"/>
      <c r="J1147" s="35"/>
    </row>
    <row r="1148" spans="9:10" x14ac:dyDescent="0.25">
      <c r="I1148" s="37"/>
      <c r="J1148" s="35"/>
    </row>
    <row r="1149" spans="9:10" x14ac:dyDescent="0.25">
      <c r="I1149" s="37"/>
      <c r="J1149" s="35"/>
    </row>
    <row r="1150" spans="9:10" x14ac:dyDescent="0.25">
      <c r="I1150" s="37"/>
      <c r="J1150" s="35"/>
    </row>
    <row r="1151" spans="9:10" x14ac:dyDescent="0.25">
      <c r="I1151" s="37"/>
      <c r="J1151" s="35"/>
    </row>
    <row r="1152" spans="9:10" x14ac:dyDescent="0.25">
      <c r="I1152" s="37"/>
      <c r="J1152" s="35"/>
    </row>
    <row r="1153" spans="9:10" x14ac:dyDescent="0.25">
      <c r="I1153" s="37"/>
      <c r="J1153" s="35"/>
    </row>
    <row r="1154" spans="9:10" x14ac:dyDescent="0.25">
      <c r="I1154" s="37"/>
      <c r="J1154" s="35"/>
    </row>
    <row r="1155" spans="9:10" x14ac:dyDescent="0.25">
      <c r="I1155" s="37"/>
      <c r="J1155" s="35"/>
    </row>
    <row r="1156" spans="9:10" x14ac:dyDescent="0.25">
      <c r="I1156" s="37"/>
      <c r="J1156" s="35"/>
    </row>
    <row r="1157" spans="9:10" x14ac:dyDescent="0.25">
      <c r="I1157" s="37"/>
      <c r="J1157" s="35"/>
    </row>
    <row r="1158" spans="9:10" x14ac:dyDescent="0.25">
      <c r="I1158" s="37"/>
      <c r="J1158" s="35"/>
    </row>
    <row r="1159" spans="9:10" x14ac:dyDescent="0.25">
      <c r="I1159" s="37"/>
      <c r="J1159" s="35"/>
    </row>
    <row r="1160" spans="9:10" x14ac:dyDescent="0.25">
      <c r="I1160" s="37"/>
      <c r="J1160" s="35"/>
    </row>
    <row r="1161" spans="9:10" x14ac:dyDescent="0.25">
      <c r="I1161" s="37"/>
      <c r="J1161" s="35"/>
    </row>
    <row r="1162" spans="9:10" x14ac:dyDescent="0.25">
      <c r="I1162" s="37"/>
      <c r="J1162" s="35"/>
    </row>
    <row r="1163" spans="9:10" x14ac:dyDescent="0.25">
      <c r="I1163" s="37"/>
      <c r="J1163" s="35"/>
    </row>
    <row r="1164" spans="9:10" x14ac:dyDescent="0.25">
      <c r="I1164" s="37"/>
      <c r="J1164" s="35"/>
    </row>
    <row r="1165" spans="9:10" x14ac:dyDescent="0.25">
      <c r="I1165" s="37"/>
      <c r="J1165" s="35"/>
    </row>
    <row r="1166" spans="9:10" x14ac:dyDescent="0.25">
      <c r="I1166" s="37"/>
      <c r="J1166" s="35"/>
    </row>
    <row r="1167" spans="9:10" x14ac:dyDescent="0.25">
      <c r="I1167" s="37"/>
      <c r="J1167" s="35"/>
    </row>
    <row r="1168" spans="9:10" x14ac:dyDescent="0.25">
      <c r="I1168" s="37"/>
      <c r="J1168" s="35"/>
    </row>
    <row r="1169" spans="9:10" x14ac:dyDescent="0.25">
      <c r="I1169" s="37"/>
      <c r="J1169" s="35"/>
    </row>
    <row r="1170" spans="9:10" x14ac:dyDescent="0.25">
      <c r="I1170" s="37"/>
      <c r="J1170" s="35"/>
    </row>
    <row r="1171" spans="9:10" x14ac:dyDescent="0.25">
      <c r="I1171" s="37"/>
      <c r="J1171" s="35"/>
    </row>
    <row r="1172" spans="9:10" x14ac:dyDescent="0.25">
      <c r="I1172" s="37"/>
      <c r="J1172" s="35"/>
    </row>
    <row r="1173" spans="9:10" x14ac:dyDescent="0.25">
      <c r="I1173" s="37"/>
      <c r="J1173" s="35"/>
    </row>
    <row r="1174" spans="9:10" x14ac:dyDescent="0.25">
      <c r="I1174" s="37"/>
      <c r="J1174" s="35"/>
    </row>
    <row r="1175" spans="9:10" x14ac:dyDescent="0.25">
      <c r="I1175" s="37"/>
      <c r="J1175" s="35"/>
    </row>
    <row r="1176" spans="9:10" x14ac:dyDescent="0.25">
      <c r="I1176" s="37"/>
      <c r="J1176" s="35"/>
    </row>
    <row r="1177" spans="9:10" x14ac:dyDescent="0.25">
      <c r="I1177" s="37"/>
      <c r="J1177" s="35"/>
    </row>
    <row r="1178" spans="9:10" x14ac:dyDescent="0.25">
      <c r="I1178" s="37"/>
      <c r="J1178" s="35"/>
    </row>
    <row r="1179" spans="9:10" x14ac:dyDescent="0.25">
      <c r="I1179" s="37"/>
      <c r="J1179" s="35"/>
    </row>
    <row r="1180" spans="9:10" x14ac:dyDescent="0.25">
      <c r="I1180" s="37"/>
      <c r="J1180" s="35"/>
    </row>
    <row r="1181" spans="9:10" x14ac:dyDescent="0.25">
      <c r="I1181" s="37"/>
      <c r="J1181" s="35"/>
    </row>
    <row r="1182" spans="9:10" x14ac:dyDescent="0.25">
      <c r="I1182" s="37"/>
      <c r="J1182" s="35"/>
    </row>
    <row r="1183" spans="9:10" x14ac:dyDescent="0.25">
      <c r="I1183" s="37"/>
      <c r="J1183" s="35"/>
    </row>
    <row r="1184" spans="9:10" x14ac:dyDescent="0.25">
      <c r="I1184" s="37"/>
      <c r="J1184" s="35"/>
    </row>
    <row r="1185" spans="9:10" x14ac:dyDescent="0.25">
      <c r="I1185" s="37"/>
      <c r="J1185" s="35"/>
    </row>
    <row r="1186" spans="9:10" x14ac:dyDescent="0.25">
      <c r="I1186" s="37"/>
      <c r="J1186" s="35"/>
    </row>
    <row r="1187" spans="9:10" x14ac:dyDescent="0.25">
      <c r="I1187" s="37"/>
      <c r="J1187" s="35"/>
    </row>
    <row r="1188" spans="9:10" x14ac:dyDescent="0.25">
      <c r="I1188" s="37"/>
      <c r="J1188" s="35"/>
    </row>
    <row r="1189" spans="9:10" x14ac:dyDescent="0.25">
      <c r="I1189" s="37"/>
      <c r="J1189" s="35"/>
    </row>
    <row r="1190" spans="9:10" x14ac:dyDescent="0.25">
      <c r="I1190" s="37"/>
      <c r="J1190" s="35"/>
    </row>
    <row r="1191" spans="9:10" x14ac:dyDescent="0.25">
      <c r="I1191" s="37"/>
      <c r="J1191" s="35"/>
    </row>
    <row r="1192" spans="9:10" x14ac:dyDescent="0.25">
      <c r="I1192" s="37"/>
      <c r="J1192" s="35"/>
    </row>
    <row r="1193" spans="9:10" x14ac:dyDescent="0.25">
      <c r="I1193" s="37"/>
      <c r="J1193" s="35"/>
    </row>
    <row r="1194" spans="9:10" x14ac:dyDescent="0.25">
      <c r="I1194" s="37"/>
      <c r="J1194" s="35"/>
    </row>
    <row r="1195" spans="9:10" x14ac:dyDescent="0.25">
      <c r="I1195" s="37"/>
      <c r="J1195" s="35"/>
    </row>
    <row r="1196" spans="9:10" x14ac:dyDescent="0.25">
      <c r="I1196" s="37"/>
      <c r="J1196" s="35"/>
    </row>
    <row r="1197" spans="9:10" x14ac:dyDescent="0.25">
      <c r="I1197" s="37"/>
      <c r="J1197" s="35"/>
    </row>
    <row r="1198" spans="9:10" x14ac:dyDescent="0.25">
      <c r="I1198" s="37"/>
      <c r="J1198" s="35"/>
    </row>
    <row r="1199" spans="9:10" x14ac:dyDescent="0.25">
      <c r="I1199" s="37"/>
      <c r="J1199" s="35"/>
    </row>
    <row r="1200" spans="9:10" x14ac:dyDescent="0.25">
      <c r="I1200" s="37"/>
      <c r="J1200" s="35"/>
    </row>
    <row r="1201" spans="9:10" x14ac:dyDescent="0.25">
      <c r="I1201" s="37"/>
      <c r="J1201" s="35"/>
    </row>
    <row r="1202" spans="9:10" x14ac:dyDescent="0.25">
      <c r="I1202" s="37"/>
      <c r="J1202" s="35"/>
    </row>
    <row r="1203" spans="9:10" x14ac:dyDescent="0.25">
      <c r="I1203" s="37"/>
      <c r="J1203" s="35"/>
    </row>
    <row r="1204" spans="9:10" x14ac:dyDescent="0.25">
      <c r="I1204" s="37"/>
      <c r="J1204" s="35"/>
    </row>
    <row r="1205" spans="9:10" x14ac:dyDescent="0.25">
      <c r="I1205" s="37"/>
      <c r="J1205" s="35"/>
    </row>
    <row r="1206" spans="9:10" x14ac:dyDescent="0.25">
      <c r="I1206" s="37"/>
      <c r="J1206" s="35"/>
    </row>
    <row r="1207" spans="9:10" x14ac:dyDescent="0.25">
      <c r="I1207" s="37"/>
      <c r="J1207" s="35"/>
    </row>
    <row r="1208" spans="9:10" x14ac:dyDescent="0.25">
      <c r="I1208" s="37"/>
      <c r="J1208" s="35"/>
    </row>
    <row r="1209" spans="9:10" x14ac:dyDescent="0.25">
      <c r="I1209" s="37"/>
      <c r="J1209" s="35"/>
    </row>
    <row r="1210" spans="9:10" x14ac:dyDescent="0.25">
      <c r="I1210" s="37"/>
      <c r="J1210" s="35"/>
    </row>
    <row r="1211" spans="9:10" x14ac:dyDescent="0.25">
      <c r="I1211" s="37"/>
      <c r="J1211" s="35"/>
    </row>
    <row r="1212" spans="9:10" x14ac:dyDescent="0.25">
      <c r="I1212" s="37"/>
      <c r="J1212" s="35"/>
    </row>
    <row r="1213" spans="9:10" x14ac:dyDescent="0.25">
      <c r="I1213" s="37"/>
      <c r="J1213" s="35"/>
    </row>
    <row r="1214" spans="9:10" x14ac:dyDescent="0.25">
      <c r="I1214" s="37"/>
      <c r="J1214" s="35"/>
    </row>
    <row r="1215" spans="9:10" x14ac:dyDescent="0.25">
      <c r="I1215" s="37"/>
      <c r="J1215" s="35"/>
    </row>
    <row r="1216" spans="9:10" x14ac:dyDescent="0.25">
      <c r="I1216" s="37"/>
      <c r="J1216" s="35"/>
    </row>
    <row r="1217" spans="9:10" x14ac:dyDescent="0.25">
      <c r="I1217" s="37"/>
      <c r="J1217" s="35"/>
    </row>
    <row r="1218" spans="9:10" x14ac:dyDescent="0.25">
      <c r="I1218" s="37"/>
      <c r="J1218" s="35"/>
    </row>
    <row r="1219" spans="9:10" x14ac:dyDescent="0.25">
      <c r="I1219" s="37"/>
      <c r="J1219" s="35"/>
    </row>
    <row r="1220" spans="9:10" x14ac:dyDescent="0.25">
      <c r="I1220" s="37"/>
      <c r="J1220" s="35"/>
    </row>
    <row r="1221" spans="9:10" x14ac:dyDescent="0.25">
      <c r="I1221" s="37"/>
      <c r="J1221" s="35"/>
    </row>
    <row r="1222" spans="9:10" x14ac:dyDescent="0.25">
      <c r="I1222" s="37"/>
      <c r="J1222" s="35"/>
    </row>
    <row r="1223" spans="9:10" x14ac:dyDescent="0.25">
      <c r="I1223" s="37"/>
      <c r="J1223" s="35"/>
    </row>
    <row r="1224" spans="9:10" x14ac:dyDescent="0.25">
      <c r="I1224" s="37"/>
      <c r="J1224" s="35"/>
    </row>
    <row r="1225" spans="9:10" x14ac:dyDescent="0.25">
      <c r="I1225" s="37"/>
      <c r="J1225" s="35"/>
    </row>
    <row r="1226" spans="9:10" x14ac:dyDescent="0.25">
      <c r="I1226" s="37"/>
      <c r="J1226" s="35"/>
    </row>
    <row r="1227" spans="9:10" x14ac:dyDescent="0.25">
      <c r="I1227" s="37"/>
      <c r="J1227" s="35"/>
    </row>
    <row r="1228" spans="9:10" x14ac:dyDescent="0.25">
      <c r="I1228" s="37"/>
      <c r="J1228" s="35"/>
    </row>
    <row r="1229" spans="9:10" x14ac:dyDescent="0.25">
      <c r="I1229" s="37"/>
      <c r="J1229" s="35"/>
    </row>
    <row r="1230" spans="9:10" x14ac:dyDescent="0.25">
      <c r="I1230" s="37"/>
      <c r="J1230" s="35"/>
    </row>
    <row r="1231" spans="9:10" x14ac:dyDescent="0.25">
      <c r="I1231" s="37"/>
      <c r="J1231" s="35"/>
    </row>
    <row r="1232" spans="9:10" x14ac:dyDescent="0.25">
      <c r="I1232" s="37"/>
      <c r="J1232" s="35"/>
    </row>
    <row r="1233" spans="9:10" x14ac:dyDescent="0.25">
      <c r="I1233" s="37"/>
      <c r="J1233" s="35"/>
    </row>
    <row r="1234" spans="9:10" x14ac:dyDescent="0.25">
      <c r="I1234" s="37"/>
      <c r="J1234" s="35"/>
    </row>
    <row r="1235" spans="9:10" x14ac:dyDescent="0.25">
      <c r="I1235" s="37"/>
      <c r="J1235" s="35"/>
    </row>
    <row r="1236" spans="9:10" x14ac:dyDescent="0.25">
      <c r="I1236" s="37"/>
      <c r="J1236" s="35"/>
    </row>
    <row r="1237" spans="9:10" x14ac:dyDescent="0.25">
      <c r="I1237" s="37"/>
      <c r="J1237" s="35"/>
    </row>
    <row r="1238" spans="9:10" x14ac:dyDescent="0.25">
      <c r="I1238" s="37"/>
      <c r="J1238" s="35"/>
    </row>
    <row r="1239" spans="9:10" x14ac:dyDescent="0.25">
      <c r="I1239" s="37"/>
      <c r="J1239" s="35"/>
    </row>
    <row r="1240" spans="9:10" x14ac:dyDescent="0.25">
      <c r="I1240" s="37"/>
      <c r="J1240" s="35"/>
    </row>
    <row r="1241" spans="9:10" x14ac:dyDescent="0.25">
      <c r="I1241" s="37"/>
      <c r="J1241" s="35"/>
    </row>
    <row r="1242" spans="9:10" x14ac:dyDescent="0.25">
      <c r="I1242" s="37"/>
      <c r="J1242" s="35"/>
    </row>
    <row r="1243" spans="9:10" x14ac:dyDescent="0.25">
      <c r="I1243" s="37"/>
      <c r="J1243" s="35"/>
    </row>
    <row r="1244" spans="9:10" x14ac:dyDescent="0.25">
      <c r="I1244" s="37"/>
      <c r="J1244" s="35"/>
    </row>
    <row r="1245" spans="9:10" x14ac:dyDescent="0.25">
      <c r="I1245" s="37"/>
      <c r="J1245" s="35"/>
    </row>
    <row r="1246" spans="9:10" x14ac:dyDescent="0.25">
      <c r="I1246" s="37"/>
      <c r="J1246" s="35"/>
    </row>
    <row r="1247" spans="9:10" x14ac:dyDescent="0.25">
      <c r="I1247" s="37"/>
      <c r="J1247" s="35"/>
    </row>
    <row r="1248" spans="9:10" x14ac:dyDescent="0.25">
      <c r="I1248" s="37"/>
      <c r="J1248" s="35"/>
    </row>
    <row r="1249" spans="9:10" x14ac:dyDescent="0.25">
      <c r="I1249" s="37"/>
      <c r="J1249" s="35"/>
    </row>
    <row r="1250" spans="9:10" x14ac:dyDescent="0.25">
      <c r="I1250" s="37"/>
      <c r="J1250" s="35"/>
    </row>
    <row r="1251" spans="9:10" x14ac:dyDescent="0.25">
      <c r="I1251" s="37"/>
      <c r="J1251" s="35"/>
    </row>
    <row r="1252" spans="9:10" x14ac:dyDescent="0.25">
      <c r="I1252" s="37"/>
      <c r="J1252" s="35"/>
    </row>
    <row r="1253" spans="9:10" x14ac:dyDescent="0.25">
      <c r="I1253" s="37"/>
      <c r="J1253" s="35"/>
    </row>
    <row r="1254" spans="9:10" x14ac:dyDescent="0.25">
      <c r="I1254" s="37"/>
      <c r="J1254" s="35"/>
    </row>
    <row r="1255" spans="9:10" x14ac:dyDescent="0.25">
      <c r="I1255" s="37"/>
      <c r="J1255" s="35"/>
    </row>
    <row r="1256" spans="9:10" x14ac:dyDescent="0.25">
      <c r="I1256" s="37"/>
      <c r="J1256" s="35"/>
    </row>
    <row r="1257" spans="9:10" x14ac:dyDescent="0.25">
      <c r="I1257" s="37"/>
      <c r="J1257" s="35"/>
    </row>
    <row r="1258" spans="9:10" x14ac:dyDescent="0.25">
      <c r="I1258" s="37"/>
      <c r="J1258" s="35"/>
    </row>
    <row r="1259" spans="9:10" x14ac:dyDescent="0.25">
      <c r="I1259" s="37"/>
      <c r="J1259" s="35"/>
    </row>
    <row r="1260" spans="9:10" x14ac:dyDescent="0.25">
      <c r="I1260" s="37"/>
      <c r="J1260" s="35"/>
    </row>
    <row r="1261" spans="9:10" x14ac:dyDescent="0.25">
      <c r="I1261" s="37"/>
      <c r="J1261" s="35"/>
    </row>
    <row r="1262" spans="9:10" x14ac:dyDescent="0.25">
      <c r="I1262" s="37"/>
      <c r="J1262" s="35"/>
    </row>
    <row r="1263" spans="9:10" x14ac:dyDescent="0.25">
      <c r="I1263" s="37"/>
      <c r="J1263" s="35"/>
    </row>
    <row r="1264" spans="9:10" x14ac:dyDescent="0.25">
      <c r="I1264" s="37"/>
      <c r="J1264" s="35"/>
    </row>
    <row r="1265" spans="9:10" x14ac:dyDescent="0.25">
      <c r="I1265" s="37"/>
      <c r="J1265" s="35"/>
    </row>
    <row r="1266" spans="9:10" x14ac:dyDescent="0.25">
      <c r="I1266" s="37"/>
      <c r="J1266" s="35"/>
    </row>
    <row r="1267" spans="9:10" x14ac:dyDescent="0.25">
      <c r="I1267" s="37"/>
      <c r="J1267" s="35"/>
    </row>
    <row r="1268" spans="9:10" x14ac:dyDescent="0.25">
      <c r="I1268" s="37"/>
      <c r="J1268" s="35"/>
    </row>
    <row r="1269" spans="9:10" x14ac:dyDescent="0.25">
      <c r="I1269" s="37"/>
      <c r="J1269" s="35"/>
    </row>
    <row r="1270" spans="9:10" x14ac:dyDescent="0.25">
      <c r="I1270" s="37"/>
      <c r="J1270" s="35"/>
    </row>
    <row r="1271" spans="9:10" x14ac:dyDescent="0.25">
      <c r="I1271" s="37"/>
      <c r="J1271" s="35"/>
    </row>
    <row r="1272" spans="9:10" x14ac:dyDescent="0.25">
      <c r="I1272" s="37"/>
      <c r="J1272" s="35"/>
    </row>
    <row r="1273" spans="9:10" x14ac:dyDescent="0.25">
      <c r="I1273" s="37"/>
      <c r="J1273" s="35"/>
    </row>
    <row r="1274" spans="9:10" x14ac:dyDescent="0.25">
      <c r="I1274" s="37"/>
      <c r="J1274" s="35"/>
    </row>
    <row r="1275" spans="9:10" x14ac:dyDescent="0.25">
      <c r="I1275" s="37"/>
      <c r="J1275" s="35"/>
    </row>
    <row r="1276" spans="9:10" x14ac:dyDescent="0.25">
      <c r="I1276" s="37"/>
      <c r="J1276" s="35"/>
    </row>
    <row r="1277" spans="9:10" x14ac:dyDescent="0.25">
      <c r="I1277" s="37"/>
      <c r="J1277" s="35"/>
    </row>
    <row r="1278" spans="9:10" x14ac:dyDescent="0.25">
      <c r="I1278" s="37"/>
      <c r="J1278" s="35"/>
    </row>
    <row r="1279" spans="9:10" x14ac:dyDescent="0.25">
      <c r="I1279" s="37"/>
      <c r="J1279" s="35"/>
    </row>
    <row r="1280" spans="9:10" x14ac:dyDescent="0.25">
      <c r="I1280" s="37"/>
      <c r="J1280" s="35"/>
    </row>
    <row r="1281" spans="9:10" x14ac:dyDescent="0.25">
      <c r="I1281" s="37"/>
      <c r="J1281" s="35"/>
    </row>
    <row r="1282" spans="9:10" x14ac:dyDescent="0.25">
      <c r="I1282" s="37"/>
      <c r="J1282" s="35"/>
    </row>
    <row r="1283" spans="9:10" x14ac:dyDescent="0.25">
      <c r="I1283" s="37"/>
      <c r="J1283" s="35"/>
    </row>
    <row r="1284" spans="9:10" x14ac:dyDescent="0.25">
      <c r="I1284" s="37"/>
      <c r="J1284" s="35"/>
    </row>
    <row r="1285" spans="9:10" x14ac:dyDescent="0.25">
      <c r="I1285" s="37"/>
      <c r="J1285" s="35"/>
    </row>
    <row r="1286" spans="9:10" x14ac:dyDescent="0.25">
      <c r="I1286" s="37"/>
      <c r="J1286" s="35"/>
    </row>
    <row r="1287" spans="9:10" x14ac:dyDescent="0.25">
      <c r="I1287" s="37"/>
      <c r="J1287" s="35"/>
    </row>
    <row r="1288" spans="9:10" x14ac:dyDescent="0.25">
      <c r="I1288" s="37"/>
      <c r="J1288" s="35"/>
    </row>
    <row r="1289" spans="9:10" x14ac:dyDescent="0.25">
      <c r="I1289" s="37"/>
      <c r="J1289" s="35"/>
    </row>
    <row r="1290" spans="9:10" x14ac:dyDescent="0.25">
      <c r="I1290" s="37"/>
      <c r="J1290" s="35"/>
    </row>
    <row r="1291" spans="9:10" x14ac:dyDescent="0.25">
      <c r="I1291" s="37"/>
      <c r="J1291" s="35"/>
    </row>
    <row r="1292" spans="9:10" x14ac:dyDescent="0.25">
      <c r="I1292" s="37"/>
      <c r="J1292" s="35"/>
    </row>
    <row r="1293" spans="9:10" x14ac:dyDescent="0.25">
      <c r="I1293" s="37"/>
      <c r="J1293" s="35"/>
    </row>
    <row r="1294" spans="9:10" x14ac:dyDescent="0.25">
      <c r="I1294" s="37"/>
      <c r="J1294" s="35"/>
    </row>
    <row r="1295" spans="9:10" x14ac:dyDescent="0.25">
      <c r="I1295" s="37"/>
      <c r="J1295" s="35"/>
    </row>
    <row r="1296" spans="9:10" x14ac:dyDescent="0.25">
      <c r="I1296" s="37"/>
      <c r="J1296" s="35"/>
    </row>
    <row r="1297" spans="9:10" x14ac:dyDescent="0.25">
      <c r="I1297" s="37"/>
      <c r="J1297" s="35"/>
    </row>
    <row r="1298" spans="9:10" x14ac:dyDescent="0.25">
      <c r="I1298" s="37"/>
      <c r="J1298" s="35"/>
    </row>
    <row r="1299" spans="9:10" x14ac:dyDescent="0.25">
      <c r="I1299" s="37"/>
      <c r="J1299" s="35"/>
    </row>
    <row r="1300" spans="9:10" x14ac:dyDescent="0.25">
      <c r="I1300" s="37"/>
      <c r="J1300" s="35"/>
    </row>
    <row r="1301" spans="9:10" x14ac:dyDescent="0.25">
      <c r="I1301" s="37"/>
      <c r="J1301" s="35"/>
    </row>
    <row r="1302" spans="9:10" x14ac:dyDescent="0.25">
      <c r="I1302" s="37"/>
      <c r="J1302" s="35"/>
    </row>
    <row r="1303" spans="9:10" x14ac:dyDescent="0.25">
      <c r="I1303" s="37"/>
      <c r="J1303" s="35"/>
    </row>
    <row r="1304" spans="9:10" x14ac:dyDescent="0.25">
      <c r="I1304" s="37"/>
      <c r="J1304" s="35"/>
    </row>
    <row r="1305" spans="9:10" x14ac:dyDescent="0.25">
      <c r="I1305" s="37"/>
      <c r="J1305" s="35"/>
    </row>
    <row r="1306" spans="9:10" x14ac:dyDescent="0.25">
      <c r="I1306" s="37"/>
      <c r="J1306" s="35"/>
    </row>
    <row r="1307" spans="9:10" x14ac:dyDescent="0.25">
      <c r="I1307" s="37"/>
      <c r="J1307" s="35"/>
    </row>
    <row r="1308" spans="9:10" x14ac:dyDescent="0.25">
      <c r="I1308" s="37"/>
      <c r="J1308" s="35"/>
    </row>
    <row r="1309" spans="9:10" x14ac:dyDescent="0.25">
      <c r="I1309" s="37"/>
      <c r="J1309" s="35"/>
    </row>
    <row r="1310" spans="9:10" x14ac:dyDescent="0.25">
      <c r="I1310" s="37"/>
      <c r="J1310" s="35"/>
    </row>
    <row r="1311" spans="9:10" x14ac:dyDescent="0.25">
      <c r="I1311" s="37"/>
      <c r="J1311" s="35"/>
    </row>
    <row r="1312" spans="9:10" x14ac:dyDescent="0.25">
      <c r="I1312" s="37"/>
      <c r="J1312" s="35"/>
    </row>
    <row r="1313" spans="9:10" x14ac:dyDescent="0.25">
      <c r="I1313" s="37"/>
      <c r="J1313" s="35"/>
    </row>
    <row r="1314" spans="9:10" x14ac:dyDescent="0.25">
      <c r="I1314" s="37"/>
      <c r="J1314" s="35"/>
    </row>
    <row r="1315" spans="9:10" x14ac:dyDescent="0.25">
      <c r="I1315" s="37"/>
      <c r="J1315" s="35"/>
    </row>
    <row r="1316" spans="9:10" x14ac:dyDescent="0.25">
      <c r="I1316" s="37"/>
      <c r="J1316" s="35"/>
    </row>
    <row r="1317" spans="9:10" x14ac:dyDescent="0.25">
      <c r="I1317" s="37"/>
      <c r="J1317" s="35"/>
    </row>
    <row r="1318" spans="9:10" x14ac:dyDescent="0.25">
      <c r="I1318" s="37"/>
      <c r="J1318" s="35"/>
    </row>
    <row r="1319" spans="9:10" x14ac:dyDescent="0.25">
      <c r="I1319" s="37"/>
      <c r="J1319" s="35"/>
    </row>
    <row r="1320" spans="9:10" x14ac:dyDescent="0.25">
      <c r="I1320" s="37"/>
      <c r="J1320" s="35"/>
    </row>
    <row r="1321" spans="9:10" x14ac:dyDescent="0.25">
      <c r="I1321" s="37"/>
      <c r="J1321" s="35"/>
    </row>
    <row r="1322" spans="9:10" x14ac:dyDescent="0.25">
      <c r="I1322" s="37"/>
      <c r="J1322" s="35"/>
    </row>
    <row r="1323" spans="9:10" x14ac:dyDescent="0.25">
      <c r="I1323" s="37"/>
      <c r="J1323" s="35"/>
    </row>
    <row r="1324" spans="9:10" x14ac:dyDescent="0.25">
      <c r="I1324" s="37"/>
      <c r="J1324" s="35"/>
    </row>
    <row r="1325" spans="9:10" x14ac:dyDescent="0.25">
      <c r="I1325" s="37"/>
      <c r="J1325" s="35"/>
    </row>
    <row r="1326" spans="9:10" x14ac:dyDescent="0.25">
      <c r="I1326" s="37"/>
      <c r="J1326" s="35"/>
    </row>
    <row r="1327" spans="9:10" x14ac:dyDescent="0.25">
      <c r="I1327" s="37"/>
      <c r="J1327" s="35"/>
    </row>
    <row r="1328" spans="9:10" x14ac:dyDescent="0.25">
      <c r="I1328" s="37"/>
      <c r="J1328" s="35"/>
    </row>
    <row r="1329" spans="9:10" x14ac:dyDescent="0.25">
      <c r="I1329" s="37"/>
      <c r="J1329" s="35"/>
    </row>
    <row r="1330" spans="9:10" x14ac:dyDescent="0.25">
      <c r="I1330" s="37"/>
      <c r="J1330" s="35"/>
    </row>
    <row r="1331" spans="9:10" x14ac:dyDescent="0.25">
      <c r="I1331" s="37"/>
      <c r="J1331" s="35"/>
    </row>
    <row r="1332" spans="9:10" x14ac:dyDescent="0.25">
      <c r="I1332" s="37"/>
      <c r="J1332" s="35"/>
    </row>
    <row r="1333" spans="9:10" x14ac:dyDescent="0.25">
      <c r="I1333" s="37"/>
      <c r="J1333" s="35"/>
    </row>
    <row r="1334" spans="9:10" x14ac:dyDescent="0.25">
      <c r="I1334" s="37"/>
      <c r="J1334" s="35"/>
    </row>
  </sheetData>
  <mergeCells count="18">
    <mergeCell ref="T29:U29"/>
    <mergeCell ref="J16:K16"/>
    <mergeCell ref="L16:M16"/>
    <mergeCell ref="N16:O16"/>
    <mergeCell ref="P16:Q16"/>
    <mergeCell ref="R16:S16"/>
    <mergeCell ref="T16:U16"/>
    <mergeCell ref="J29:K29"/>
    <mergeCell ref="L29:M29"/>
    <mergeCell ref="N29:O29"/>
    <mergeCell ref="P29:Q29"/>
    <mergeCell ref="R29:S29"/>
    <mergeCell ref="T2:U2"/>
    <mergeCell ref="J2:K2"/>
    <mergeCell ref="L2:M2"/>
    <mergeCell ref="N2:O2"/>
    <mergeCell ref="P2:Q2"/>
    <mergeCell ref="R2:S2"/>
  </mergeCells>
  <conditionalFormatting sqref="AE3:AI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:AI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0:AI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E0725-803A-4C29-A551-32FB62AFCDD6}">
  <dimension ref="B1:AQ1334"/>
  <sheetViews>
    <sheetView showGridLines="0" zoomScale="85" zoomScaleNormal="85" workbookViewId="0">
      <selection activeCell="J2" sqref="J2:K2"/>
    </sheetView>
  </sheetViews>
  <sheetFormatPr defaultRowHeight="15" outlineLevelRow="1" outlineLevelCol="1" x14ac:dyDescent="0.25"/>
  <cols>
    <col min="1" max="1" width="2.5703125" customWidth="1"/>
    <col min="2" max="2" width="9.140625" customWidth="1"/>
    <col min="3" max="3" width="16.28515625" bestFit="1" customWidth="1"/>
    <col min="4" max="4" width="15.28515625" bestFit="1" customWidth="1"/>
    <col min="5" max="5" width="2.5703125" customWidth="1"/>
    <col min="6" max="6" width="18.140625" bestFit="1" customWidth="1"/>
    <col min="7" max="7" width="2.5703125" customWidth="1"/>
    <col min="8" max="8" width="25.140625" bestFit="1" customWidth="1"/>
    <col min="9" max="9" width="24.28515625" style="11" customWidth="1" outlineLevel="1"/>
    <col min="10" max="10" width="9.42578125" style="6" customWidth="1"/>
    <col min="11" max="11" width="19" style="11" hidden="1" customWidth="1" outlineLevel="1"/>
    <col min="12" max="12" width="12.5703125" style="6" customWidth="1" collapsed="1"/>
    <col min="13" max="13" width="19.5703125" style="11" hidden="1" customWidth="1" outlineLevel="1"/>
    <col min="14" max="14" width="14.140625" style="6" customWidth="1" collapsed="1"/>
    <col min="15" max="15" width="16.140625" style="11" hidden="1" customWidth="1" outlineLevel="1"/>
    <col min="16" max="16" width="8.5703125" style="6" bestFit="1" customWidth="1" collapsed="1"/>
    <col min="17" max="17" width="18" style="11" hidden="1" customWidth="1" outlineLevel="1"/>
    <col min="18" max="18" width="11.42578125" style="5" customWidth="1" collapsed="1"/>
    <col min="19" max="19" width="19.5703125" style="10" hidden="1" customWidth="1" outlineLevel="1"/>
    <col min="20" max="20" width="9.85546875" style="10" bestFit="1" customWidth="1" collapsed="1"/>
    <col min="21" max="21" width="19.5703125" style="10" hidden="1" customWidth="1" outlineLevel="1"/>
    <col min="22" max="22" width="2.5703125" customWidth="1" collapsed="1"/>
    <col min="23" max="24" width="7.140625" hidden="1" customWidth="1" outlineLevel="1"/>
    <col min="25" max="25" width="17.85546875" bestFit="1" customWidth="1" collapsed="1"/>
    <col min="26" max="27" width="17.85546875" bestFit="1" customWidth="1"/>
    <col min="28" max="28" width="17" bestFit="1" customWidth="1"/>
    <col min="29" max="29" width="15.140625" bestFit="1" customWidth="1"/>
    <col min="30" max="30" width="2.5703125" customWidth="1"/>
    <col min="31" max="31" width="7.85546875" bestFit="1" customWidth="1"/>
    <col min="32" max="32" width="11.140625" bestFit="1" customWidth="1"/>
    <col min="33" max="33" width="13.28515625" bestFit="1" customWidth="1"/>
    <col min="34" max="34" width="7.85546875" bestFit="1" customWidth="1"/>
    <col min="35" max="35" width="8.140625" bestFit="1" customWidth="1"/>
    <col min="36" max="36" width="2.5703125" customWidth="1"/>
    <col min="37" max="37" width="17.85546875" bestFit="1" customWidth="1"/>
    <col min="38" max="38" width="8.140625" bestFit="1" customWidth="1"/>
    <col min="39" max="39" width="2.5703125" customWidth="1"/>
    <col min="41" max="41" width="16.28515625" bestFit="1" customWidth="1"/>
  </cols>
  <sheetData>
    <row r="1" spans="2:43" ht="9" customHeight="1" x14ac:dyDescent="0.25"/>
    <row r="2" spans="2:43" x14ac:dyDescent="0.25">
      <c r="B2" s="1"/>
      <c r="C2" s="1" t="s">
        <v>20</v>
      </c>
      <c r="D2" s="1"/>
      <c r="H2" s="4" t="s">
        <v>1</v>
      </c>
      <c r="I2" s="9" t="s">
        <v>4</v>
      </c>
      <c r="J2" s="112" t="s">
        <v>7</v>
      </c>
      <c r="K2" s="112"/>
      <c r="L2" s="112" t="s">
        <v>8</v>
      </c>
      <c r="M2" s="112"/>
      <c r="N2" s="112" t="s">
        <v>10</v>
      </c>
      <c r="O2" s="112"/>
      <c r="P2" s="112" t="s">
        <v>9</v>
      </c>
      <c r="Q2" s="112"/>
      <c r="R2" s="112" t="s">
        <v>21</v>
      </c>
      <c r="S2" s="112"/>
      <c r="T2" s="112" t="s">
        <v>55</v>
      </c>
      <c r="U2" s="112"/>
      <c r="W2" s="1" t="s">
        <v>46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27" t="s">
        <v>49</v>
      </c>
      <c r="AF2" s="27" t="s">
        <v>50</v>
      </c>
      <c r="AG2" s="27" t="s">
        <v>51</v>
      </c>
      <c r="AH2" s="27" t="s">
        <v>52</v>
      </c>
      <c r="AI2" s="27" t="s">
        <v>53</v>
      </c>
      <c r="AK2" s="75" t="s">
        <v>60</v>
      </c>
      <c r="AL2" s="75" t="s">
        <v>61</v>
      </c>
      <c r="AN2" s="1"/>
      <c r="AO2" s="1" t="s">
        <v>20</v>
      </c>
      <c r="AP2" s="1"/>
    </row>
    <row r="3" spans="2:43" x14ac:dyDescent="0.25">
      <c r="B3" s="105" t="s">
        <v>77</v>
      </c>
      <c r="C3" s="106" t="s">
        <v>10</v>
      </c>
      <c r="D3" s="105" t="s">
        <v>7</v>
      </c>
      <c r="F3" s="7">
        <f>J3+L3+N3+P3+R3+T3</f>
        <v>1.0000000000000002</v>
      </c>
      <c r="H3" s="97" t="s">
        <v>5</v>
      </c>
      <c r="I3" s="80">
        <v>532330879.61000001</v>
      </c>
      <c r="J3" s="81">
        <v>0.4365</v>
      </c>
      <c r="K3" s="80">
        <f t="shared" ref="K3:Q13" si="0">+J3*$I3</f>
        <v>232362428.949765</v>
      </c>
      <c r="L3" s="81">
        <v>0.31089999999999995</v>
      </c>
      <c r="M3" s="80">
        <f t="shared" si="0"/>
        <v>165501670.47074899</v>
      </c>
      <c r="N3" s="81">
        <v>0.21210000000000001</v>
      </c>
      <c r="O3" s="80">
        <f t="shared" si="0"/>
        <v>112907379.565281</v>
      </c>
      <c r="P3" s="81">
        <v>4.1399999999999999E-2</v>
      </c>
      <c r="Q3" s="80">
        <f t="shared" si="0"/>
        <v>22038498.415854</v>
      </c>
      <c r="R3" s="82">
        <v>0</v>
      </c>
      <c r="S3" s="80">
        <f t="shared" ref="S3:S13" si="1">+R3*$I3</f>
        <v>0</v>
      </c>
      <c r="T3" s="81">
        <v>-8.9999999999999998E-4</v>
      </c>
      <c r="U3" s="65">
        <f t="shared" ref="U3:U13" si="2">+T3*$I3</f>
        <v>-479097.79164900002</v>
      </c>
      <c r="Y3" s="12">
        <f>K3-'Ago25'!K3</f>
        <v>-27683881.188281029</v>
      </c>
      <c r="Z3" s="12">
        <f>M3-'Ago25'!M3</f>
        <v>25834015.771684974</v>
      </c>
      <c r="AA3" s="12">
        <f>O3-'Ago25'!O3</f>
        <v>-8673423.1363690048</v>
      </c>
      <c r="AB3" s="12">
        <f>Q3-'Ago25'!Q3</f>
        <v>-2496234.3540520035</v>
      </c>
      <c r="AC3" s="12">
        <f>+S3-'Ago25'!S3</f>
        <v>0</v>
      </c>
      <c r="AD3" s="98"/>
      <c r="AE3" s="28">
        <f>J3-'Ago25'!J3</f>
        <v>-3.9399999999999991E-2</v>
      </c>
      <c r="AF3" s="28">
        <f>L3-'Ago25'!L3</f>
        <v>5.529999999999996E-2</v>
      </c>
      <c r="AG3" s="28">
        <f>N3-'Ago25'!N3</f>
        <v>-1.0399999999999993E-2</v>
      </c>
      <c r="AH3" s="28">
        <f>P3-'Ago25'!P3</f>
        <v>-3.5000000000000031E-3</v>
      </c>
      <c r="AI3" s="28">
        <f>R3-'Ago25'!R3</f>
        <v>0</v>
      </c>
      <c r="AJ3" s="98"/>
      <c r="AK3" s="10">
        <f>I3-'Ago25'!I3</f>
        <v>-14099694.330000043</v>
      </c>
      <c r="AL3" s="76">
        <f>I3/'Ago25'!I3-1</f>
        <v>-2.5803267610622793E-2</v>
      </c>
      <c r="AM3" s="98"/>
      <c r="AN3" t="s">
        <v>11</v>
      </c>
      <c r="AO3" s="2" t="s">
        <v>10</v>
      </c>
      <c r="AP3" t="s">
        <v>7</v>
      </c>
      <c r="AQ3" s="98"/>
    </row>
    <row r="4" spans="2:43" x14ac:dyDescent="0.25">
      <c r="B4" s="103" t="s">
        <v>12</v>
      </c>
      <c r="C4" s="104" t="s">
        <v>16</v>
      </c>
      <c r="D4" s="103" t="s">
        <v>58</v>
      </c>
      <c r="F4" s="7">
        <f t="shared" ref="F4:F36" si="3">J4+L4+N4+P4+R4+T4</f>
        <v>0.99999999999999989</v>
      </c>
      <c r="H4" s="3" t="s">
        <v>0</v>
      </c>
      <c r="I4" s="78">
        <v>1744507514</v>
      </c>
      <c r="J4" s="77">
        <v>0.42</v>
      </c>
      <c r="K4" s="78">
        <f t="shared" si="0"/>
        <v>732693155.88</v>
      </c>
      <c r="L4" s="77">
        <v>0.20999999999999996</v>
      </c>
      <c r="M4" s="78">
        <f t="shared" si="0"/>
        <v>366346577.93999994</v>
      </c>
      <c r="N4" s="77">
        <v>0.25</v>
      </c>
      <c r="O4" s="78">
        <f t="shared" si="0"/>
        <v>436126878.5</v>
      </c>
      <c r="P4" s="77">
        <v>0.11</v>
      </c>
      <c r="Q4" s="78">
        <f t="shared" si="0"/>
        <v>191895826.53999999</v>
      </c>
      <c r="R4" s="77">
        <v>0</v>
      </c>
      <c r="S4" s="78">
        <f t="shared" si="1"/>
        <v>0</v>
      </c>
      <c r="T4" s="77">
        <v>0.01</v>
      </c>
      <c r="U4" s="57">
        <f t="shared" si="2"/>
        <v>17445075.140000001</v>
      </c>
      <c r="Y4" s="12">
        <f>K4-'Ago25'!K4</f>
        <v>89766814.778999925</v>
      </c>
      <c r="Z4" s="12">
        <f>M4-'Ago25'!M4</f>
        <v>-5873935.3290000558</v>
      </c>
      <c r="AA4" s="12">
        <f>O4-'Ago25'!O4</f>
        <v>-37608320.20600003</v>
      </c>
      <c r="AB4" s="12">
        <f>Q4-'Ago25'!Q4</f>
        <v>-11133544.334000021</v>
      </c>
      <c r="AC4" s="12">
        <f>+S4-'Ago25'!S4</f>
        <v>0</v>
      </c>
      <c r="AE4" s="28">
        <f>J4-'Ago25'!J4</f>
        <v>3.999999999999998E-2</v>
      </c>
      <c r="AF4" s="28">
        <f>L4-'Ago25'!L4</f>
        <v>-1.0000000000000037E-2</v>
      </c>
      <c r="AG4" s="28">
        <f>N4-'Ago25'!N4</f>
        <v>-3.0000000000000027E-2</v>
      </c>
      <c r="AH4" s="28">
        <f>P4-'Ago25'!P4</f>
        <v>-9.999999999999995E-3</v>
      </c>
      <c r="AI4" s="28">
        <f>R4-'Ago25'!R4</f>
        <v>0</v>
      </c>
      <c r="AJ4" s="93"/>
      <c r="AK4" s="10">
        <f>I4-'Ago25'!I4</f>
        <v>52596090.049999952</v>
      </c>
      <c r="AL4" s="76">
        <f>I4/'Ago25'!I4-1</f>
        <v>3.1086786994562132E-2</v>
      </c>
      <c r="AN4" t="s">
        <v>12</v>
      </c>
      <c r="AO4" s="2" t="s">
        <v>16</v>
      </c>
      <c r="AP4" t="s">
        <v>58</v>
      </c>
    </row>
    <row r="5" spans="2:43" x14ac:dyDescent="0.25">
      <c r="B5" s="103" t="s">
        <v>13</v>
      </c>
      <c r="C5" s="104" t="s">
        <v>17</v>
      </c>
      <c r="D5" s="103" t="s">
        <v>59</v>
      </c>
      <c r="F5" s="7">
        <f>J5+L5+N5+P5+R5+T5</f>
        <v>1.0000000000000002</v>
      </c>
      <c r="H5" s="3" t="s">
        <v>3</v>
      </c>
      <c r="I5" s="78">
        <v>268359001.86000001</v>
      </c>
      <c r="J5" s="77">
        <v>0.54</v>
      </c>
      <c r="K5" s="78">
        <f t="shared" si="0"/>
        <v>144913861.00440001</v>
      </c>
      <c r="L5" s="77">
        <v>0</v>
      </c>
      <c r="M5" s="78">
        <f t="shared" si="0"/>
        <v>0</v>
      </c>
      <c r="N5" s="77">
        <v>0.31</v>
      </c>
      <c r="O5" s="78">
        <f t="shared" si="0"/>
        <v>83191290.5766</v>
      </c>
      <c r="P5" s="77">
        <v>0.04</v>
      </c>
      <c r="Q5" s="78">
        <f t="shared" si="0"/>
        <v>10734360.0744</v>
      </c>
      <c r="R5" s="77">
        <v>0.11</v>
      </c>
      <c r="S5" s="78">
        <f t="shared" si="1"/>
        <v>29519490.204600003</v>
      </c>
      <c r="T5" s="77">
        <v>0</v>
      </c>
      <c r="U5" s="57">
        <f t="shared" si="2"/>
        <v>0</v>
      </c>
      <c r="Y5" s="12">
        <f>K5-'Ago25'!K5</f>
        <v>6052607.0268000066</v>
      </c>
      <c r="Z5" s="12">
        <f>M5-'Ago25'!M5</f>
        <v>0</v>
      </c>
      <c r="AA5" s="12">
        <f>O5-'Ago25'!O5</f>
        <v>-15995319.407399997</v>
      </c>
      <c r="AB5" s="12">
        <f>Q5-'Ago25'!Q5</f>
        <v>2232650.6471999995</v>
      </c>
      <c r="AC5" s="12">
        <f>+S5-'Ago25'!S5</f>
        <v>1180458.7806000002</v>
      </c>
      <c r="AE5" s="28">
        <f>J5-'Ago25'!J5</f>
        <v>5.0000000000000044E-2</v>
      </c>
      <c r="AF5" s="28">
        <f>L5-'Ago25'!L5</f>
        <v>0</v>
      </c>
      <c r="AG5" s="28">
        <f>N5-'Ago25'!N5</f>
        <v>-3.999999999999998E-2</v>
      </c>
      <c r="AH5" s="28">
        <f>P5-'Ago25'!P5</f>
        <v>1.0000000000000002E-2</v>
      </c>
      <c r="AI5" s="28">
        <f>R5-'Ago25'!R5</f>
        <v>9.999999999999995E-3</v>
      </c>
      <c r="AK5" s="10">
        <f>I5-'Ago25'!I5</f>
        <v>-15031312.379999995</v>
      </c>
      <c r="AL5" s="76">
        <f>I5/'Ago25'!I5-1</f>
        <v>-5.3041023721333458E-2</v>
      </c>
      <c r="AN5" t="s">
        <v>13</v>
      </c>
      <c r="AO5" s="2" t="s">
        <v>17</v>
      </c>
      <c r="AP5" t="s">
        <v>59</v>
      </c>
    </row>
    <row r="6" spans="2:43" x14ac:dyDescent="0.25">
      <c r="B6" s="103" t="s">
        <v>14</v>
      </c>
      <c r="C6" s="104" t="s">
        <v>18</v>
      </c>
      <c r="F6" s="7">
        <f t="shared" si="3"/>
        <v>1</v>
      </c>
      <c r="H6" s="3" t="s">
        <v>62</v>
      </c>
      <c r="I6" s="78">
        <v>4661215340</v>
      </c>
      <c r="J6" s="77">
        <v>0.23799999999999999</v>
      </c>
      <c r="K6" s="78">
        <f t="shared" si="0"/>
        <v>1109369250.9199998</v>
      </c>
      <c r="L6" s="77">
        <v>0.27</v>
      </c>
      <c r="M6" s="78">
        <f t="shared" si="0"/>
        <v>1258528141.8000002</v>
      </c>
      <c r="N6" s="77">
        <v>0.40800000000000003</v>
      </c>
      <c r="O6" s="78">
        <f t="shared" si="0"/>
        <v>1901775858.72</v>
      </c>
      <c r="P6" s="77">
        <v>4.7E-2</v>
      </c>
      <c r="Q6" s="78">
        <f t="shared" si="0"/>
        <v>219077120.97999999</v>
      </c>
      <c r="R6" s="77">
        <v>0</v>
      </c>
      <c r="S6" s="78">
        <f t="shared" si="1"/>
        <v>0</v>
      </c>
      <c r="T6" s="77">
        <v>3.6999999999999998E-2</v>
      </c>
      <c r="U6" s="57">
        <f t="shared" si="2"/>
        <v>172464967.57999998</v>
      </c>
      <c r="Y6" s="12">
        <f>K6-'Ago25'!K6</f>
        <v>-211446281.44384027</v>
      </c>
      <c r="Z6" s="12">
        <f>M6-'Ago25'!M6</f>
        <v>122238308.81052017</v>
      </c>
      <c r="AA6" s="12">
        <f>O6-'Ago25'!O6</f>
        <v>37095107.147519827</v>
      </c>
      <c r="AB6" s="12">
        <f>Q6-'Ago25'!Q6</f>
        <v>73398937.263399988</v>
      </c>
      <c r="AC6" s="12">
        <f>+S6-'Ago25'!S6</f>
        <v>-291356367.4332</v>
      </c>
      <c r="AE6" s="28">
        <f>J6-'Ago25'!J6</f>
        <v>-3.400000000000003E-2</v>
      </c>
      <c r="AF6" s="28">
        <f>L6-'Ago25'!L6</f>
        <v>3.6000000000000004E-2</v>
      </c>
      <c r="AG6" s="28">
        <f>N6-'Ago25'!N6</f>
        <v>2.4000000000000021E-2</v>
      </c>
      <c r="AH6" s="28">
        <f>P6-'Ago25'!P6</f>
        <v>1.7000000000000001E-2</v>
      </c>
      <c r="AI6" s="28">
        <f>R6-'Ago25'!R6</f>
        <v>-0.06</v>
      </c>
      <c r="AK6" s="10">
        <f>I6-'Ago25'!I6</f>
        <v>-194724117.22000027</v>
      </c>
      <c r="AL6" s="76">
        <f>I6/'Ago25'!I6-1</f>
        <v>-4.0100194604048678E-2</v>
      </c>
      <c r="AN6" t="s">
        <v>14</v>
      </c>
      <c r="AO6" s="2" t="s">
        <v>18</v>
      </c>
    </row>
    <row r="7" spans="2:43" x14ac:dyDescent="0.25">
      <c r="B7" s="103" t="s">
        <v>15</v>
      </c>
      <c r="C7" s="104" t="s">
        <v>19</v>
      </c>
      <c r="F7" s="7">
        <f t="shared" si="3"/>
        <v>1</v>
      </c>
      <c r="H7" s="3" t="s">
        <v>22</v>
      </c>
      <c r="I7" s="78">
        <v>3067710000</v>
      </c>
      <c r="J7" s="77">
        <v>0.23400000000000001</v>
      </c>
      <c r="K7" s="78">
        <f t="shared" si="0"/>
        <v>717844140</v>
      </c>
      <c r="L7" s="77">
        <v>0.32100000000000001</v>
      </c>
      <c r="M7" s="78">
        <f t="shared" si="0"/>
        <v>984734910</v>
      </c>
      <c r="N7" s="77">
        <v>0.376</v>
      </c>
      <c r="O7" s="78">
        <f t="shared" si="0"/>
        <v>1153458960</v>
      </c>
      <c r="P7" s="77">
        <v>6.6000000000000003E-2</v>
      </c>
      <c r="Q7" s="78">
        <f t="shared" si="0"/>
        <v>202468860</v>
      </c>
      <c r="R7" s="77">
        <v>0</v>
      </c>
      <c r="S7" s="78">
        <f t="shared" si="1"/>
        <v>0</v>
      </c>
      <c r="T7" s="77">
        <v>3.0000000000000001E-3</v>
      </c>
      <c r="U7" s="57">
        <f t="shared" si="2"/>
        <v>9203130</v>
      </c>
      <c r="Y7" s="12">
        <f>K7-'Ago25'!K7</f>
        <v>-38444209.469190001</v>
      </c>
      <c r="Z7" s="12">
        <f>M7-'Ago25'!M7</f>
        <v>43171101.423900008</v>
      </c>
      <c r="AA7" s="12">
        <f>O7-'Ago25'!O7</f>
        <v>-6790636.3744199276</v>
      </c>
      <c r="AB7" s="12">
        <f>Q7-'Ago25'!Q7</f>
        <v>38454519.151260018</v>
      </c>
      <c r="AC7" s="12">
        <f>+S7-'Ago25'!S7</f>
        <v>0</v>
      </c>
      <c r="AE7" s="28">
        <f>J7-'Ago25'!J7</f>
        <v>-1.4999999999999986E-2</v>
      </c>
      <c r="AF7" s="28">
        <f>L7-'Ago25'!L7</f>
        <v>1.100000000000001E-2</v>
      </c>
      <c r="AG7" s="28">
        <f>N7-'Ago25'!N7</f>
        <v>-6.0000000000000053E-3</v>
      </c>
      <c r="AH7" s="28">
        <f>P7-'Ago25'!P7</f>
        <v>1.2000000000000004E-2</v>
      </c>
      <c r="AI7" s="28">
        <f>R7-'Ago25'!R7</f>
        <v>0</v>
      </c>
      <c r="AK7" s="10">
        <f>I7-'Ago25'!I7</f>
        <v>30407391.690000057</v>
      </c>
      <c r="AL7" s="76">
        <f>I7/'Ago25'!I7-1</f>
        <v>1.0011314515322223E-2</v>
      </c>
      <c r="AN7" t="s">
        <v>15</v>
      </c>
      <c r="AO7" s="2" t="s">
        <v>19</v>
      </c>
    </row>
    <row r="8" spans="2:43" x14ac:dyDescent="0.25">
      <c r="B8" s="103" t="s">
        <v>57</v>
      </c>
      <c r="F8" s="7">
        <f t="shared" si="3"/>
        <v>1</v>
      </c>
      <c r="H8" s="3" t="s">
        <v>23</v>
      </c>
      <c r="I8" s="78">
        <v>189117272.75</v>
      </c>
      <c r="J8" s="77">
        <v>0.18</v>
      </c>
      <c r="K8" s="78">
        <f t="shared" si="0"/>
        <v>34041109.094999999</v>
      </c>
      <c r="L8" s="77">
        <v>0.39</v>
      </c>
      <c r="M8" s="78">
        <f t="shared" si="0"/>
        <v>73755736.372500002</v>
      </c>
      <c r="N8" s="77">
        <v>0.23</v>
      </c>
      <c r="O8" s="78">
        <f t="shared" si="0"/>
        <v>43496972.732500002</v>
      </c>
      <c r="P8" s="77">
        <v>0.08</v>
      </c>
      <c r="Q8" s="78">
        <f t="shared" si="0"/>
        <v>15129381.82</v>
      </c>
      <c r="R8" s="77">
        <v>0</v>
      </c>
      <c r="S8" s="78">
        <f t="shared" si="1"/>
        <v>0</v>
      </c>
      <c r="T8" s="77">
        <v>0.12</v>
      </c>
      <c r="U8" s="57">
        <f t="shared" si="2"/>
        <v>22694072.73</v>
      </c>
      <c r="Y8" s="12">
        <f>K8-'Ago25'!K8</f>
        <v>5194981.1286000013</v>
      </c>
      <c r="Z8" s="12">
        <f>M8-'Ago25'!M8</f>
        <v>10654831.44600001</v>
      </c>
      <c r="AA8" s="12">
        <f>O8-'Ago25'!O8</f>
        <v>-14195283.200299993</v>
      </c>
      <c r="AB8" s="12">
        <f>Q8-'Ago25'!Q8</f>
        <v>-1096565.1610999983</v>
      </c>
      <c r="AC8" s="12">
        <f>+S8-'Ago25'!S8</f>
        <v>0</v>
      </c>
      <c r="AE8" s="28">
        <f>J8-'Ago25'!J8</f>
        <v>1.999999999999999E-2</v>
      </c>
      <c r="AF8" s="28">
        <f>L8-'Ago25'!L8</f>
        <v>4.0000000000000036E-2</v>
      </c>
      <c r="AG8" s="28">
        <f>N8-'Ago25'!N8</f>
        <v>-0.09</v>
      </c>
      <c r="AH8" s="28">
        <f>P8-'Ago25'!P8</f>
        <v>-9.999999999999995E-3</v>
      </c>
      <c r="AI8" s="28">
        <f>R8-'Ago25'!R8</f>
        <v>0</v>
      </c>
      <c r="AK8" s="10">
        <f>I8-'Ago25'!I8</f>
        <v>8828972.9600000083</v>
      </c>
      <c r="AL8" s="76">
        <f>I8/'Ago25'!I8-1</f>
        <v>4.8971413953562193E-2</v>
      </c>
      <c r="AN8" t="s">
        <v>57</v>
      </c>
    </row>
    <row r="9" spans="2:43" x14ac:dyDescent="0.25">
      <c r="F9" s="7">
        <f t="shared" si="3"/>
        <v>1</v>
      </c>
      <c r="H9" s="3" t="s">
        <v>24</v>
      </c>
      <c r="I9" s="78">
        <v>1572374272</v>
      </c>
      <c r="J9" s="77">
        <v>0.61890000000000001</v>
      </c>
      <c r="K9" s="78">
        <f t="shared" si="0"/>
        <v>973142436.94079995</v>
      </c>
      <c r="L9" s="77">
        <v>0.14230000000000001</v>
      </c>
      <c r="M9" s="78">
        <f t="shared" si="0"/>
        <v>223748858.90560001</v>
      </c>
      <c r="N9" s="77">
        <v>0.19189999999999999</v>
      </c>
      <c r="O9" s="78">
        <f t="shared" si="0"/>
        <v>301738622.79679996</v>
      </c>
      <c r="P9" s="77">
        <v>4.4299999999999999E-2</v>
      </c>
      <c r="Q9" s="78">
        <f t="shared" si="0"/>
        <v>69656180.249599993</v>
      </c>
      <c r="R9" s="77">
        <v>0</v>
      </c>
      <c r="S9" s="78">
        <f t="shared" si="1"/>
        <v>0</v>
      </c>
      <c r="T9" s="77">
        <v>2.5999999999999999E-3</v>
      </c>
      <c r="U9" s="57">
        <f t="shared" si="2"/>
        <v>4088173.1072</v>
      </c>
      <c r="Y9" s="12">
        <f>K9-'Ago25'!K9</f>
        <v>19151054.903199911</v>
      </c>
      <c r="Z9" s="12">
        <f>M9-'Ago25'!M9</f>
        <v>3715362.7259600163</v>
      </c>
      <c r="AA9" s="12">
        <f>O9-'Ago25'!O9</f>
        <v>-1384445.3667600751</v>
      </c>
      <c r="AB9" s="12">
        <f>Q9-'Ago25'!Q9</f>
        <v>12724436.482839994</v>
      </c>
      <c r="AC9" s="12">
        <f>+S9-'Ago25'!S9</f>
        <v>0</v>
      </c>
      <c r="AE9" s="28">
        <f>J9-'Ago25'!J9</f>
        <v>-1.0999999999999899E-3</v>
      </c>
      <c r="AF9" s="28">
        <f>L9-'Ago25'!L9</f>
        <v>-6.9999999999997842E-4</v>
      </c>
      <c r="AG9" s="28">
        <f>N9-'Ago25'!N9</f>
        <v>-5.1000000000000212E-3</v>
      </c>
      <c r="AH9" s="28">
        <f>P9-'Ago25'!P9</f>
        <v>7.3000000000000009E-3</v>
      </c>
      <c r="AI9" s="28">
        <f>R9-'Ago25'!R9</f>
        <v>0</v>
      </c>
      <c r="AK9" s="10">
        <f>I9-'Ago25'!I9</f>
        <v>33678494.519999981</v>
      </c>
      <c r="AL9" s="76">
        <f>I9/'Ago25'!I9-1</f>
        <v>2.1887688920000148E-2</v>
      </c>
    </row>
    <row r="10" spans="2:43" x14ac:dyDescent="0.25">
      <c r="F10" s="7">
        <f t="shared" si="3"/>
        <v>1</v>
      </c>
      <c r="H10" s="3" t="s">
        <v>73</v>
      </c>
      <c r="I10" s="78">
        <v>8034119493</v>
      </c>
      <c r="J10" s="77">
        <v>0.35499999999999998</v>
      </c>
      <c r="K10" s="78">
        <f t="shared" si="0"/>
        <v>2852112420.0149999</v>
      </c>
      <c r="L10" s="77">
        <v>0.41799999999999998</v>
      </c>
      <c r="M10" s="78">
        <f t="shared" si="0"/>
        <v>3358261948.0739999</v>
      </c>
      <c r="N10" s="77">
        <v>0.191</v>
      </c>
      <c r="O10" s="78">
        <f t="shared" si="0"/>
        <v>1534516823.1630001</v>
      </c>
      <c r="P10" s="77">
        <v>3.5999999999999997E-2</v>
      </c>
      <c r="Q10" s="78">
        <f t="shared" si="0"/>
        <v>289228301.74799997</v>
      </c>
      <c r="R10" s="77">
        <v>0</v>
      </c>
      <c r="S10" s="78">
        <f t="shared" si="1"/>
        <v>0</v>
      </c>
      <c r="T10" s="77">
        <v>0</v>
      </c>
      <c r="U10" s="57">
        <f t="shared" si="2"/>
        <v>0</v>
      </c>
      <c r="Y10" s="12">
        <f>K10-'Ago25'!K10</f>
        <v>322479900.49375963</v>
      </c>
      <c r="Z10" s="12">
        <f>M10-'Ago25'!M10</f>
        <v>-43386750.536859989</v>
      </c>
      <c r="AA10" s="12">
        <f>O10-'Ago25'!O10</f>
        <v>-107387514.04177976</v>
      </c>
      <c r="AB10" s="12">
        <f>Q10-'Ago25'!Q10</f>
        <v>6412243.6648799777</v>
      </c>
      <c r="AC10" s="12">
        <f>+S10-'Ago25'!S10</f>
        <v>0</v>
      </c>
      <c r="AE10" s="28">
        <f>J10-'Ago25'!J10</f>
        <v>3.2999999999999974E-2</v>
      </c>
      <c r="AF10" s="28">
        <f>L10-'Ago25'!L10</f>
        <v>-1.5000000000000013E-2</v>
      </c>
      <c r="AG10" s="28">
        <f>N10-'Ago25'!N10</f>
        <v>-1.7999999999999988E-2</v>
      </c>
      <c r="AH10" s="28">
        <f>P10-'Ago25'!P10</f>
        <v>0</v>
      </c>
      <c r="AI10" s="28">
        <f>R10-'Ago25'!R10</f>
        <v>0</v>
      </c>
      <c r="AJ10" s="93"/>
      <c r="AK10" s="10">
        <f>I10-'Ago25'!I10</f>
        <v>178117879.57999992</v>
      </c>
      <c r="AL10" s="76">
        <f>I10/'Ago25'!I10-1</f>
        <v>2.2672841522299425E-2</v>
      </c>
    </row>
    <row r="11" spans="2:43" x14ac:dyDescent="0.25">
      <c r="F11" s="7">
        <f t="shared" si="3"/>
        <v>1</v>
      </c>
      <c r="H11" s="3" t="s">
        <v>47</v>
      </c>
      <c r="I11" s="78">
        <v>3086369070.96</v>
      </c>
      <c r="J11" s="77">
        <v>0.63</v>
      </c>
      <c r="K11" s="78">
        <f t="shared" si="0"/>
        <v>1944412514.7048001</v>
      </c>
      <c r="L11" s="77">
        <v>0.23</v>
      </c>
      <c r="M11" s="78">
        <f t="shared" si="0"/>
        <v>709864886.32080007</v>
      </c>
      <c r="N11" s="77">
        <v>0.14000000000000001</v>
      </c>
      <c r="O11" s="78">
        <f t="shared" si="0"/>
        <v>432091669.93440002</v>
      </c>
      <c r="P11" s="77">
        <v>0</v>
      </c>
      <c r="Q11" s="78">
        <f t="shared" si="0"/>
        <v>0</v>
      </c>
      <c r="R11" s="77">
        <v>0</v>
      </c>
      <c r="S11" s="78">
        <f t="shared" si="1"/>
        <v>0</v>
      </c>
      <c r="T11" s="77">
        <v>0</v>
      </c>
      <c r="U11" s="57">
        <f t="shared" si="2"/>
        <v>0</v>
      </c>
      <c r="Y11" s="12">
        <f>K11-'Ago25'!K11</f>
        <v>-27799058.40389967</v>
      </c>
      <c r="Z11" s="12">
        <f>M11-'Ago25'!M11</f>
        <v>21156083.013000131</v>
      </c>
      <c r="AA11" s="12">
        <f>O11-'Ago25'!O11</f>
        <v>-6177568.5342000127</v>
      </c>
      <c r="AB11" s="12">
        <f>Q11-'Ago25'!Q11</f>
        <v>0</v>
      </c>
      <c r="AC11" s="12">
        <f>+S11-'Ago25'!S11</f>
        <v>0</v>
      </c>
      <c r="AE11" s="28">
        <f>J11-'Ago25'!J11</f>
        <v>0</v>
      </c>
      <c r="AF11" s="28">
        <f>L11-'Ago25'!L11</f>
        <v>1.0000000000000009E-2</v>
      </c>
      <c r="AG11" s="28">
        <f>N11-'Ago25'!N11</f>
        <v>0</v>
      </c>
      <c r="AH11" s="28">
        <f>P11-'Ago25'!P11</f>
        <v>0</v>
      </c>
      <c r="AI11" s="28">
        <f>R11-'Ago25'!R11</f>
        <v>0</v>
      </c>
      <c r="AK11" s="10">
        <f>I11-'Ago25'!I11</f>
        <v>-44125489.529999733</v>
      </c>
      <c r="AL11" s="76">
        <f>I11/'Ago25'!I11-1</f>
        <v>-1.4095373327559169E-2</v>
      </c>
    </row>
    <row r="12" spans="2:43" x14ac:dyDescent="0.25">
      <c r="B12" t="s">
        <v>70</v>
      </c>
      <c r="F12" s="7">
        <f t="shared" si="3"/>
        <v>0.99999999999999989</v>
      </c>
      <c r="H12" s="3" t="s">
        <v>30</v>
      </c>
      <c r="I12" s="78">
        <v>1460320000</v>
      </c>
      <c r="J12" s="77">
        <v>0.25</v>
      </c>
      <c r="K12" s="78">
        <f t="shared" si="0"/>
        <v>365080000</v>
      </c>
      <c r="L12" s="77">
        <v>0.43000000000000005</v>
      </c>
      <c r="M12" s="78">
        <f t="shared" si="0"/>
        <v>627937600.00000012</v>
      </c>
      <c r="N12" s="77">
        <v>0.29599999999999999</v>
      </c>
      <c r="O12" s="78">
        <f t="shared" si="0"/>
        <v>432254720</v>
      </c>
      <c r="P12" s="77">
        <v>2.5000000000000001E-2</v>
      </c>
      <c r="Q12" s="78">
        <f t="shared" si="0"/>
        <v>36508000</v>
      </c>
      <c r="R12" s="77">
        <v>0</v>
      </c>
      <c r="S12" s="78">
        <f t="shared" si="1"/>
        <v>0</v>
      </c>
      <c r="T12" s="77">
        <v>-1E-3</v>
      </c>
      <c r="U12" s="57">
        <f t="shared" si="2"/>
        <v>-1460320</v>
      </c>
      <c r="Y12" s="12">
        <f>K12-'Ago25'!K12</f>
        <v>60741833.606979966</v>
      </c>
      <c r="Z12" s="12">
        <f>M12-'Ago25'!M12</f>
        <v>30228408.345240116</v>
      </c>
      <c r="AA12" s="12">
        <f>O12-'Ago25'!O12</f>
        <v>-947354.68556004763</v>
      </c>
      <c r="AB12" s="12">
        <f>Q12-'Ago25'!Q12</f>
        <v>864791.32333999872</v>
      </c>
      <c r="AC12" s="12">
        <f>+S12-'Ago25'!S12</f>
        <v>0</v>
      </c>
      <c r="AE12" s="28">
        <f>J12-'Ago25'!J12</f>
        <v>2.7999999999999997E-2</v>
      </c>
      <c r="AF12" s="28">
        <f>L12-'Ago25'!L12</f>
        <v>-5.9999999999999498E-3</v>
      </c>
      <c r="AG12" s="28">
        <f>N12-'Ago25'!N12</f>
        <v>-2.0000000000000018E-2</v>
      </c>
      <c r="AH12" s="28">
        <f>P12-'Ago25'!P12</f>
        <v>-9.9999999999999742E-4</v>
      </c>
      <c r="AI12" s="28">
        <f>R12-'Ago25'!R12</f>
        <v>0</v>
      </c>
      <c r="AJ12" s="93"/>
      <c r="AK12" s="10">
        <f>I12-'Ago25'!I12</f>
        <v>89427358.589999914</v>
      </c>
      <c r="AL12" s="76">
        <f>I12/'Ago25'!I12-1</f>
        <v>6.5232940850876053E-2</v>
      </c>
    </row>
    <row r="13" spans="2:43" x14ac:dyDescent="0.25">
      <c r="B13" t="s">
        <v>74</v>
      </c>
      <c r="F13" s="7">
        <f t="shared" si="3"/>
        <v>1</v>
      </c>
      <c r="H13" s="3" t="s">
        <v>64</v>
      </c>
      <c r="I13" s="102">
        <v>1284400000</v>
      </c>
      <c r="J13" s="77">
        <v>0.46</v>
      </c>
      <c r="K13" s="78">
        <f t="shared" si="0"/>
        <v>590824000</v>
      </c>
      <c r="L13" s="77">
        <v>0.28999999999999998</v>
      </c>
      <c r="M13" s="78">
        <f t="shared" si="0"/>
        <v>372476000</v>
      </c>
      <c r="N13" s="77">
        <v>0.2</v>
      </c>
      <c r="O13" s="78">
        <f t="shared" si="0"/>
        <v>256880000</v>
      </c>
      <c r="P13" s="77">
        <v>0.05</v>
      </c>
      <c r="Q13" s="78">
        <f t="shared" si="0"/>
        <v>64220000</v>
      </c>
      <c r="R13" s="77">
        <v>0</v>
      </c>
      <c r="S13" s="78">
        <f t="shared" si="1"/>
        <v>0</v>
      </c>
      <c r="T13" s="77">
        <v>0</v>
      </c>
      <c r="U13" s="57">
        <f t="shared" si="2"/>
        <v>0</v>
      </c>
      <c r="Y13" s="12">
        <f>K13-'Ago25'!K13</f>
        <v>-68428178.195000052</v>
      </c>
      <c r="Z13" s="12">
        <f>M13-'Ago25'!M13</f>
        <v>29664867.33859998</v>
      </c>
      <c r="AA13" s="12">
        <f>O13-'Ago25'!O13</f>
        <v>-6820871.2780000269</v>
      </c>
      <c r="AB13" s="12">
        <f>Q13-'Ago25'!Q13</f>
        <v>-1705217.8195000067</v>
      </c>
      <c r="AC13" s="12">
        <f>+S13-'Ago25'!S13</f>
        <v>0</v>
      </c>
      <c r="AE13" s="28">
        <f>J13-'Ago25'!J13</f>
        <v>-3.999999999999998E-2</v>
      </c>
      <c r="AF13" s="28">
        <f>L13-'Ago25'!L13</f>
        <v>2.9999999999999971E-2</v>
      </c>
      <c r="AG13" s="28">
        <f>N13-'Ago25'!N13</f>
        <v>0</v>
      </c>
      <c r="AH13" s="28">
        <f>P13-'Ago25'!P13</f>
        <v>0</v>
      </c>
      <c r="AI13" s="28">
        <f>R13-'Ago25'!R13</f>
        <v>0</v>
      </c>
      <c r="AK13" s="10">
        <f>I13-'Ago25'!I13</f>
        <v>-34104356.390000105</v>
      </c>
      <c r="AL13" s="76">
        <f>I13/'Ago25'!I13-1</f>
        <v>-2.5865941378742319E-2</v>
      </c>
    </row>
    <row r="14" spans="2:43" s="8" customFormat="1" x14ac:dyDescent="0.25">
      <c r="B14" t="s">
        <v>42</v>
      </c>
      <c r="E14"/>
      <c r="F14" s="7">
        <f>J14+L14+N14+P14+R14+T14</f>
        <v>1</v>
      </c>
      <c r="G14"/>
      <c r="H14" s="21" t="s">
        <v>45</v>
      </c>
      <c r="I14" s="20">
        <f>SUM(I3:I13)</f>
        <v>25900822844.18</v>
      </c>
      <c r="J14" s="15">
        <f>K14/$I$14</f>
        <v>0.37438174747751946</v>
      </c>
      <c r="K14" s="17">
        <f>SUM(K3:K13)</f>
        <v>9696795317.5097637</v>
      </c>
      <c r="L14" s="15">
        <f>M14/$I$14</f>
        <v>0.31432037425455744</v>
      </c>
      <c r="M14" s="20">
        <f>SUM(M3:M13)</f>
        <v>8141156329.8836489</v>
      </c>
      <c r="N14" s="15">
        <f>O14/$I$14</f>
        <v>0.25823269076146343</v>
      </c>
      <c r="O14" s="17">
        <f>SUM(O3:O13)</f>
        <v>6688439175.9885817</v>
      </c>
      <c r="P14" s="15">
        <f>Q14/$I$14</f>
        <v>4.3278799927382865E-2</v>
      </c>
      <c r="Q14" s="17">
        <f>SUM(Q3:Q13)</f>
        <v>1120956529.8278539</v>
      </c>
      <c r="R14" s="15">
        <f>S14/$I$14</f>
        <v>1.1397124478318699E-3</v>
      </c>
      <c r="S14" s="17">
        <f>SUM(S3:S13)</f>
        <v>29519490.204600003</v>
      </c>
      <c r="T14" s="15">
        <f>U14/$I$14</f>
        <v>8.6466751312448981E-3</v>
      </c>
      <c r="U14" s="63">
        <f>SUM(U3:U13)</f>
        <v>223956000.76555097</v>
      </c>
      <c r="Y14" s="12">
        <f>K14-'Ago25'!K14</f>
        <v>129585583.23812675</v>
      </c>
      <c r="Z14" s="12">
        <f>M14-'Ago25'!M14</f>
        <v>237402293.00904465</v>
      </c>
      <c r="AA14" s="12">
        <f>O14-'Ago25'!O14</f>
        <v>-168885629.08326912</v>
      </c>
      <c r="AB14" s="12">
        <f>Q14-'Ago25'!Q14</f>
        <v>117656016.86426806</v>
      </c>
      <c r="AC14" s="12">
        <f>+S14-'Ago25'!S14</f>
        <v>-290175908.65260005</v>
      </c>
      <c r="AE14" s="28">
        <f>J14-'Ago25'!J14</f>
        <v>3.7012076329312471E-3</v>
      </c>
      <c r="AF14" s="28">
        <f>L14-'Ago25'!L14</f>
        <v>8.0902513073710658E-3</v>
      </c>
      <c r="AG14" s="28">
        <f>N14-'Ago25'!N14</f>
        <v>-7.4536411194207064E-3</v>
      </c>
      <c r="AH14" s="28">
        <f>P14-'Ago25'!P14</f>
        <v>4.4060265586272143E-3</v>
      </c>
      <c r="AI14" s="28">
        <f>R14-'Ago25'!R14</f>
        <v>-1.124685232138292E-2</v>
      </c>
      <c r="AK14" s="92">
        <f>I14-'Ago25'!I14</f>
        <v>90971217.54000473</v>
      </c>
      <c r="AL14" s="76">
        <f>I14/'Ago25'!I14-1</f>
        <v>3.5246703024867099E-3</v>
      </c>
    </row>
    <row r="15" spans="2:43" x14ac:dyDescent="0.25">
      <c r="B15" t="s">
        <v>66</v>
      </c>
      <c r="F15" s="7"/>
      <c r="I15" s="10"/>
      <c r="J15" s="10"/>
      <c r="K15" s="10"/>
      <c r="L15" s="5"/>
      <c r="M15" s="10"/>
      <c r="N15" s="10"/>
      <c r="O15" s="10"/>
      <c r="P15" s="5"/>
      <c r="Q15" s="10"/>
    </row>
    <row r="16" spans="2:43" x14ac:dyDescent="0.25">
      <c r="F16" s="7"/>
      <c r="H16" s="4" t="s">
        <v>2</v>
      </c>
      <c r="I16" s="9" t="s">
        <v>4</v>
      </c>
      <c r="J16" s="112" t="s">
        <v>7</v>
      </c>
      <c r="K16" s="112"/>
      <c r="L16" s="112" t="s">
        <v>8</v>
      </c>
      <c r="M16" s="112"/>
      <c r="N16" s="112" t="s">
        <v>10</v>
      </c>
      <c r="O16" s="112"/>
      <c r="P16" s="112" t="s">
        <v>9</v>
      </c>
      <c r="Q16" s="112"/>
      <c r="R16" s="112" t="s">
        <v>21</v>
      </c>
      <c r="S16" s="112"/>
      <c r="T16" s="112" t="s">
        <v>55</v>
      </c>
      <c r="U16" s="112"/>
      <c r="Y16" s="27" t="s">
        <v>49</v>
      </c>
      <c r="Z16" s="27" t="s">
        <v>50</v>
      </c>
      <c r="AA16" s="27" t="s">
        <v>51</v>
      </c>
      <c r="AB16" s="27" t="s">
        <v>52</v>
      </c>
      <c r="AC16" s="27" t="s">
        <v>53</v>
      </c>
      <c r="AE16" s="27" t="s">
        <v>49</v>
      </c>
      <c r="AF16" s="27" t="s">
        <v>50</v>
      </c>
      <c r="AG16" s="27" t="s">
        <v>51</v>
      </c>
      <c r="AH16" s="27" t="s">
        <v>52</v>
      </c>
      <c r="AI16" s="27" t="s">
        <v>53</v>
      </c>
    </row>
    <row r="17" spans="2:39" x14ac:dyDescent="0.25">
      <c r="F17" s="7">
        <f t="shared" si="3"/>
        <v>1</v>
      </c>
      <c r="H17" s="21" t="s">
        <v>6</v>
      </c>
      <c r="I17" s="80">
        <v>327833354.91000003</v>
      </c>
      <c r="J17" s="81">
        <v>0.31580000000000003</v>
      </c>
      <c r="K17" s="80">
        <v>103529773.48057802</v>
      </c>
      <c r="L17" s="81">
        <v>0.26599999999999996</v>
      </c>
      <c r="M17" s="80">
        <v>87203672.406059995</v>
      </c>
      <c r="N17" s="81">
        <v>0.30069999999999997</v>
      </c>
      <c r="O17" s="80">
        <v>98579489.821437001</v>
      </c>
      <c r="P17" s="81">
        <v>5.6399999999999999E-2</v>
      </c>
      <c r="Q17" s="80">
        <v>18489801.216924001</v>
      </c>
      <c r="R17" s="81">
        <v>0</v>
      </c>
      <c r="S17" s="80">
        <v>0</v>
      </c>
      <c r="T17" s="81">
        <v>6.1100000000000002E-2</v>
      </c>
      <c r="U17" s="80">
        <f t="shared" ref="U17:U26" si="4">+T17*$I17</f>
        <v>20030617.985001002</v>
      </c>
      <c r="Y17" s="12">
        <f>K17-'Ago25'!K17</f>
        <v>-11500504.966421977</v>
      </c>
      <c r="Z17" s="12">
        <f>M17-'Ago25'!M17</f>
        <v>5367845.7394799888</v>
      </c>
      <c r="AA17" s="12">
        <f>O17-'Ago25'!O17</f>
        <v>3926003.5564770103</v>
      </c>
      <c r="AB17" s="12">
        <f>Q17-'Ago25'!Q17</f>
        <v>84956.665403999388</v>
      </c>
      <c r="AC17" s="12">
        <f>+S17-'Ago25'!S17</f>
        <v>0</v>
      </c>
      <c r="AD17" s="98"/>
      <c r="AE17" s="28">
        <f>J17-'Ago25'!J17</f>
        <v>-3.4199999999999953E-2</v>
      </c>
      <c r="AF17" s="28">
        <f>L17-'Ago25'!L17</f>
        <v>1.699999999999996E-2</v>
      </c>
      <c r="AG17" s="28">
        <f>N17-'Ago25'!N17</f>
        <v>1.2699999999999989E-2</v>
      </c>
      <c r="AH17" s="28">
        <f>P17-'Ago25'!P17</f>
        <v>3.9999999999999758E-4</v>
      </c>
      <c r="AI17" s="28">
        <f>R17-'Ago25'!R17</f>
        <v>0</v>
      </c>
      <c r="AJ17" s="98"/>
      <c r="AK17" s="10">
        <f>I17-'Ago25'!I17</f>
        <v>-824583.50999999046</v>
      </c>
      <c r="AL17" s="76">
        <f>I17/'Ago25'!I17-1</f>
        <v>-2.5089414056576054E-3</v>
      </c>
      <c r="AM17" s="98"/>
    </row>
    <row r="18" spans="2:39" x14ac:dyDescent="0.25">
      <c r="F18" s="7">
        <f t="shared" si="3"/>
        <v>1</v>
      </c>
      <c r="H18" s="3" t="s">
        <v>26</v>
      </c>
      <c r="I18" s="78">
        <v>856005146.54999995</v>
      </c>
      <c r="J18" s="77">
        <v>0.08</v>
      </c>
      <c r="K18" s="78">
        <v>68480411.723999992</v>
      </c>
      <c r="L18" s="77">
        <v>0.22</v>
      </c>
      <c r="M18" s="78">
        <v>188321132.241</v>
      </c>
      <c r="N18" s="77">
        <v>0.39</v>
      </c>
      <c r="O18" s="78">
        <v>333842007.15450001</v>
      </c>
      <c r="P18" s="77">
        <v>0.17</v>
      </c>
      <c r="Q18" s="78">
        <v>145520874.91350001</v>
      </c>
      <c r="R18" s="77">
        <v>0</v>
      </c>
      <c r="S18" s="78">
        <v>0</v>
      </c>
      <c r="T18" s="77">
        <v>0.14000000000000001</v>
      </c>
      <c r="U18" s="78">
        <f t="shared" si="4"/>
        <v>119840720.517</v>
      </c>
      <c r="Y18" s="12">
        <f>K18-'Ago25'!K18</f>
        <v>-18117250.707000002</v>
      </c>
      <c r="Z18" s="12">
        <f>M18-'Ago25'!M18</f>
        <v>23785573.622099996</v>
      </c>
      <c r="AA18" s="12">
        <f>O18-'Ago25'!O18</f>
        <v>-55847473.784999967</v>
      </c>
      <c r="AB18" s="12">
        <f>Q18-'Ago25'!Q18</f>
        <v>6964615.023900032</v>
      </c>
      <c r="AC18" s="12">
        <f>+S18-'Ago25'!S18</f>
        <v>0</v>
      </c>
      <c r="AE18" s="28">
        <f>J18-'Ago25'!J18</f>
        <v>-2.0000000000000004E-2</v>
      </c>
      <c r="AF18" s="28">
        <f>L18-'Ago25'!L18</f>
        <v>0.03</v>
      </c>
      <c r="AG18" s="28">
        <f>N18-'Ago25'!N18</f>
        <v>-0.06</v>
      </c>
      <c r="AH18" s="28">
        <f>P18-'Ago25'!P18</f>
        <v>1.0000000000000009E-2</v>
      </c>
      <c r="AI18" s="28">
        <f>R18-'Ago25'!R18</f>
        <v>0</v>
      </c>
      <c r="AK18" s="10">
        <f>I18-'Ago25'!I18</f>
        <v>-9971477.7599999905</v>
      </c>
      <c r="AL18" s="76">
        <f>I18/'Ago25'!I18-1</f>
        <v>-1.151471931236614E-2</v>
      </c>
    </row>
    <row r="19" spans="2:39" x14ac:dyDescent="0.25">
      <c r="F19" s="7">
        <f t="shared" si="3"/>
        <v>1</v>
      </c>
      <c r="H19" s="3" t="s">
        <v>27</v>
      </c>
      <c r="I19" s="78">
        <v>694519920</v>
      </c>
      <c r="J19" s="77">
        <v>0.127</v>
      </c>
      <c r="K19" s="78">
        <v>88204029.840000004</v>
      </c>
      <c r="L19" s="77">
        <v>0.28700000000000003</v>
      </c>
      <c r="M19" s="78">
        <v>199327217.04000002</v>
      </c>
      <c r="N19" s="77">
        <v>0.51200000000000001</v>
      </c>
      <c r="O19" s="78">
        <v>355594199.04000002</v>
      </c>
      <c r="P19" s="77">
        <v>5.7000000000000002E-2</v>
      </c>
      <c r="Q19" s="78">
        <v>39587635.440000005</v>
      </c>
      <c r="R19" s="77">
        <v>0</v>
      </c>
      <c r="S19" s="78">
        <v>0</v>
      </c>
      <c r="T19" s="77">
        <v>1.7000000000000001E-2</v>
      </c>
      <c r="U19" s="78">
        <f t="shared" si="4"/>
        <v>11806838.640000001</v>
      </c>
      <c r="Y19" s="12">
        <f>K19-'Ago25'!K19</f>
        <v>48042469.574320003</v>
      </c>
      <c r="Z19" s="12">
        <f>M19-'Ago25'!M19</f>
        <v>-6500779.3216099441</v>
      </c>
      <c r="AA19" s="12">
        <f>O19-'Ago25'!O19</f>
        <v>-46738574.335829973</v>
      </c>
      <c r="AB19" s="12">
        <f>Q19-'Ago25'!Q19</f>
        <v>3011928.7694700062</v>
      </c>
      <c r="AC19" s="12">
        <f>+S19-'Ago25'!S19</f>
        <v>0</v>
      </c>
      <c r="AE19" s="28">
        <f>J19-'Ago25'!J19</f>
        <v>7.1000000000000008E-2</v>
      </c>
      <c r="AF19" s="28">
        <f>L19-'Ago25'!L19</f>
        <v>0</v>
      </c>
      <c r="AG19" s="28">
        <f>N19-'Ago25'!N19</f>
        <v>-4.9000000000000044E-2</v>
      </c>
      <c r="AH19" s="28">
        <f>P19-'Ago25'!P19</f>
        <v>6.0000000000000053E-3</v>
      </c>
      <c r="AI19" s="28">
        <f>R19-'Ago25'!R19</f>
        <v>0</v>
      </c>
      <c r="AJ19" s="93"/>
      <c r="AK19" s="10">
        <f>I19-'Ago25'!I19</f>
        <v>-22650799.029999971</v>
      </c>
      <c r="AL19" s="76">
        <f>I19/'Ago25'!I19-1</f>
        <v>-3.1583552463820608E-2</v>
      </c>
    </row>
    <row r="20" spans="2:39" x14ac:dyDescent="0.25">
      <c r="B20" s="1"/>
      <c r="C20" s="1" t="s">
        <v>20</v>
      </c>
      <c r="D20" s="1"/>
      <c r="F20" s="7">
        <f t="shared" si="3"/>
        <v>1</v>
      </c>
      <c r="H20" s="3" t="s">
        <v>67</v>
      </c>
      <c r="I20" s="78">
        <v>1287804820</v>
      </c>
      <c r="J20" s="77">
        <v>0.25700000000000001</v>
      </c>
      <c r="K20" s="78">
        <v>330965838.74000001</v>
      </c>
      <c r="L20" s="77">
        <v>0.3</v>
      </c>
      <c r="M20" s="78">
        <v>386341446</v>
      </c>
      <c r="N20" s="77">
        <v>0.28300000000000003</v>
      </c>
      <c r="O20" s="78">
        <v>364448764.06000006</v>
      </c>
      <c r="P20" s="77">
        <v>0.16</v>
      </c>
      <c r="Q20" s="78">
        <v>206048771.20000002</v>
      </c>
      <c r="R20" s="77">
        <v>0</v>
      </c>
      <c r="S20" s="78">
        <v>0</v>
      </c>
      <c r="T20" s="77">
        <v>0</v>
      </c>
      <c r="U20" s="78">
        <f t="shared" si="4"/>
        <v>0</v>
      </c>
      <c r="Y20" s="12">
        <f>K20-'Ago25'!K20</f>
        <v>51151218.655000031</v>
      </c>
      <c r="Z20" s="12">
        <f>M20-'Ago25'!M20</f>
        <v>4776054.9750000238</v>
      </c>
      <c r="AA20" s="12">
        <f>O20-'Ago25'!O20</f>
        <v>-29835473.332499921</v>
      </c>
      <c r="AB20" s="12">
        <f>Q20-'Ago25'!Q20</f>
        <v>-10171617.047499985</v>
      </c>
      <c r="AC20" s="12">
        <f>+S20-'Ago25'!S20</f>
        <v>0</v>
      </c>
      <c r="AE20" s="28">
        <f>J20-'Ago25'!J20</f>
        <v>3.7000000000000005E-2</v>
      </c>
      <c r="AF20" s="28">
        <f>L20-'Ago25'!L20</f>
        <v>0</v>
      </c>
      <c r="AG20" s="28">
        <f>N20-'Ago25'!N20</f>
        <v>-2.6999999999999968E-2</v>
      </c>
      <c r="AH20" s="28">
        <f>P20-'Ago25'!P20</f>
        <v>-1.0000000000000009E-2</v>
      </c>
      <c r="AI20" s="28">
        <f>R20-'Ago25'!R20</f>
        <v>0</v>
      </c>
      <c r="AJ20" s="93"/>
      <c r="AK20" s="10">
        <f>I20-'Ago25'!I20</f>
        <v>15920183.25</v>
      </c>
      <c r="AL20" s="76">
        <f>I20/'Ago25'!I20-1</f>
        <v>1.2517002556678536E-2</v>
      </c>
    </row>
    <row r="21" spans="2:39" x14ac:dyDescent="0.25">
      <c r="B21" t="s">
        <v>11</v>
      </c>
      <c r="C21" s="2" t="s">
        <v>10</v>
      </c>
      <c r="D21" t="s">
        <v>7</v>
      </c>
      <c r="F21" s="7">
        <f t="shared" si="3"/>
        <v>1</v>
      </c>
      <c r="H21" s="3" t="s">
        <v>32</v>
      </c>
      <c r="I21" s="78">
        <v>181100000</v>
      </c>
      <c r="J21" s="77">
        <v>0.28000000000000003</v>
      </c>
      <c r="K21" s="78">
        <v>50708000.000000007</v>
      </c>
      <c r="L21" s="77">
        <v>0.14000000000000001</v>
      </c>
      <c r="M21" s="78">
        <v>25354000.000000004</v>
      </c>
      <c r="N21" s="77">
        <v>0.47</v>
      </c>
      <c r="O21" s="78">
        <v>85117000</v>
      </c>
      <c r="P21" s="77">
        <v>0.11</v>
      </c>
      <c r="Q21" s="78">
        <v>19921000</v>
      </c>
      <c r="R21" s="77">
        <v>0</v>
      </c>
      <c r="S21" s="78">
        <v>0</v>
      </c>
      <c r="T21" s="77">
        <v>0</v>
      </c>
      <c r="U21" s="78">
        <f t="shared" si="4"/>
        <v>0</v>
      </c>
      <c r="Y21" s="12">
        <f>K21-'Ago25'!K21</f>
        <v>24004459.025400005</v>
      </c>
      <c r="Z21" s="12">
        <f>M21-'Ago25'!M21</f>
        <v>-24238290.381399993</v>
      </c>
      <c r="AA21" s="12">
        <f>O21-'Ago25'!O21</f>
        <v>-10252789.194999993</v>
      </c>
      <c r="AB21" s="12">
        <f>Q21-'Ago25'!Q21</f>
        <v>-1060353.622899998</v>
      </c>
      <c r="AC21" s="12">
        <f>+S21-'Ago25'!S21</f>
        <v>0</v>
      </c>
      <c r="AE21" s="28">
        <f>J21-'Ago25'!J21</f>
        <v>0.14000000000000001</v>
      </c>
      <c r="AF21" s="28">
        <f>L21-'Ago25'!L21</f>
        <v>-0.12</v>
      </c>
      <c r="AG21" s="28">
        <f>N21-'Ago25'!N21</f>
        <v>-3.0000000000000027E-2</v>
      </c>
      <c r="AH21" s="28">
        <f>P21-'Ago25'!P21</f>
        <v>0</v>
      </c>
      <c r="AI21" s="28">
        <f>R21-'Ago25'!R21</f>
        <v>0</v>
      </c>
      <c r="AK21" s="10">
        <f>I21-'Ago25'!I21</f>
        <v>-9639578.3899999857</v>
      </c>
      <c r="AL21" s="76">
        <f>I21/'Ago25'!I21-1</f>
        <v>-5.0537903414519469E-2</v>
      </c>
    </row>
    <row r="22" spans="2:39" x14ac:dyDescent="0.25">
      <c r="B22" t="s">
        <v>12</v>
      </c>
      <c r="C22" s="2" t="s">
        <v>16</v>
      </c>
      <c r="D22" t="s">
        <v>58</v>
      </c>
      <c r="F22" s="7">
        <f t="shared" si="3"/>
        <v>1</v>
      </c>
      <c r="H22" s="3" t="s">
        <v>33</v>
      </c>
      <c r="I22" s="78">
        <v>1284400000</v>
      </c>
      <c r="J22" s="77">
        <v>0.22</v>
      </c>
      <c r="K22" s="78">
        <v>282568000</v>
      </c>
      <c r="L22" s="77">
        <v>0.25</v>
      </c>
      <c r="M22" s="78">
        <v>321100000</v>
      </c>
      <c r="N22" s="77">
        <v>0.5</v>
      </c>
      <c r="O22" s="78">
        <v>642200000</v>
      </c>
      <c r="P22" s="77">
        <v>0.03</v>
      </c>
      <c r="Q22" s="78">
        <v>38532000</v>
      </c>
      <c r="R22" s="77">
        <v>0</v>
      </c>
      <c r="S22" s="78">
        <v>0</v>
      </c>
      <c r="T22" s="77">
        <v>0</v>
      </c>
      <c r="U22" s="78">
        <f t="shared" si="4"/>
        <v>0</v>
      </c>
      <c r="Y22" s="12">
        <f>K22-'Ago25'!K22</f>
        <v>-6852878.5512000322</v>
      </c>
      <c r="Z22" s="12">
        <f>M22-'Ago25'!M22</f>
        <v>-7787361.9900000095</v>
      </c>
      <c r="AA22" s="12">
        <f>O22-'Ago25'!O22</f>
        <v>-15574723.980000019</v>
      </c>
      <c r="AB22" s="12">
        <f>Q22-'Ago25'!Q22</f>
        <v>-934483.43879999965</v>
      </c>
      <c r="AC22" s="12">
        <f>+S22-'Ago25'!S22</f>
        <v>0</v>
      </c>
      <c r="AE22" s="28">
        <f>J22-'Ago25'!J22</f>
        <v>0</v>
      </c>
      <c r="AF22" s="28">
        <f>L22-'Ago25'!L22</f>
        <v>0</v>
      </c>
      <c r="AG22" s="28">
        <f>N22-'Ago25'!N22</f>
        <v>0</v>
      </c>
      <c r="AH22" s="28">
        <f>P22-'Ago25'!P22</f>
        <v>0</v>
      </c>
      <c r="AI22" s="28">
        <f>R22-'Ago25'!R22</f>
        <v>0</v>
      </c>
      <c r="AK22" s="10">
        <f>I22-'Ago25'!I22</f>
        <v>-31149447.960000038</v>
      </c>
      <c r="AL22" s="76">
        <f>I22/'Ago25'!I22-1</f>
        <v>-2.3677899761428978E-2</v>
      </c>
    </row>
    <row r="23" spans="2:39" x14ac:dyDescent="0.25">
      <c r="B23" t="s">
        <v>13</v>
      </c>
      <c r="C23" s="2" t="s">
        <v>17</v>
      </c>
      <c r="D23" t="s">
        <v>59</v>
      </c>
      <c r="F23" s="7">
        <f t="shared" si="3"/>
        <v>1</v>
      </c>
      <c r="H23" s="3" t="s">
        <v>68</v>
      </c>
      <c r="I23" s="78">
        <v>225482317</v>
      </c>
      <c r="J23" s="77">
        <v>0.54420000000000002</v>
      </c>
      <c r="K23" s="78">
        <v>122707476.91140001</v>
      </c>
      <c r="L23" s="77">
        <v>0.1172</v>
      </c>
      <c r="M23" s="78">
        <v>26426527.5524</v>
      </c>
      <c r="N23" s="77">
        <v>0.25769999999999998</v>
      </c>
      <c r="O23" s="78">
        <v>58106793.090899996</v>
      </c>
      <c r="P23" s="77">
        <v>7.3599999999999999E-2</v>
      </c>
      <c r="Q23" s="78">
        <v>16595498.531199999</v>
      </c>
      <c r="R23" s="77">
        <v>0</v>
      </c>
      <c r="S23" s="78">
        <v>0</v>
      </c>
      <c r="T23" s="77">
        <v>7.3000000000000001E-3</v>
      </c>
      <c r="U23" s="78">
        <f t="shared" si="4"/>
        <v>1646020.9140999999</v>
      </c>
      <c r="Y23" s="12">
        <f>K23-'Ago25'!K23</f>
        <v>-2918209.1172799915</v>
      </c>
      <c r="Z23" s="12">
        <f>M23-'Ago25'!M23</f>
        <v>3412.7788400016725</v>
      </c>
      <c r="AA23" s="12">
        <f>O23-'Ago25'!O23</f>
        <v>-1924669.4209600016</v>
      </c>
      <c r="AB23" s="12">
        <f>Q23-'Ago25'!Q23</f>
        <v>-1019911.3178399988</v>
      </c>
      <c r="AC23" s="12">
        <f>+S23-'Ago25'!S23</f>
        <v>0</v>
      </c>
      <c r="AE23" s="28">
        <f>J23-'Ago25'!J23</f>
        <v>2.1999999999999797E-3</v>
      </c>
      <c r="AF23" s="28">
        <f>L23-'Ago25'!L23</f>
        <v>3.1999999999999945E-3</v>
      </c>
      <c r="AG23" s="28">
        <f>N23-'Ago25'!N23</f>
        <v>-1.3000000000000234E-3</v>
      </c>
      <c r="AH23" s="28">
        <f>P23-'Ago25'!P23</f>
        <v>-2.3999999999999994E-3</v>
      </c>
      <c r="AI23" s="28">
        <f>R23-'Ago25'!R23</f>
        <v>0</v>
      </c>
      <c r="AJ23" s="93"/>
      <c r="AK23" s="10">
        <f>I23-'Ago25'!I23</f>
        <v>-6299391.5399999917</v>
      </c>
      <c r="AL23" s="76">
        <f>I23/'Ago25'!I23-1</f>
        <v>-2.7178121947931344E-2</v>
      </c>
    </row>
    <row r="24" spans="2:39" x14ac:dyDescent="0.25">
      <c r="B24" t="s">
        <v>14</v>
      </c>
      <c r="C24" s="2" t="s">
        <v>18</v>
      </c>
      <c r="F24" s="7">
        <f t="shared" si="3"/>
        <v>1</v>
      </c>
      <c r="H24" s="3" t="s">
        <v>35</v>
      </c>
      <c r="I24" s="78">
        <v>525355638.97000003</v>
      </c>
      <c r="J24" s="77">
        <v>0.19500000000000001</v>
      </c>
      <c r="K24" s="78">
        <v>102444349.59915</v>
      </c>
      <c r="L24" s="77">
        <v>0.41299999999999998</v>
      </c>
      <c r="M24" s="78">
        <v>216971878.89460999</v>
      </c>
      <c r="N24" s="77">
        <v>0.311</v>
      </c>
      <c r="O24" s="78">
        <v>163385603.71967</v>
      </c>
      <c r="P24" s="77">
        <v>8.1000000000000003E-2</v>
      </c>
      <c r="Q24" s="78">
        <v>42553806.756570004</v>
      </c>
      <c r="R24" s="77">
        <v>0</v>
      </c>
      <c r="S24" s="78">
        <v>0</v>
      </c>
      <c r="T24" s="77">
        <v>0</v>
      </c>
      <c r="U24" s="78">
        <f t="shared" si="4"/>
        <v>0</v>
      </c>
      <c r="Y24" s="12">
        <f>K24-'Ago25'!K24</f>
        <v>27710530.70115</v>
      </c>
      <c r="Z24" s="12">
        <f>M24-'Ago25'!M24</f>
        <v>2734931.3870100081</v>
      </c>
      <c r="AA24" s="12">
        <f>O24-'Ago25'!O24</f>
        <v>-4018150.6118500233</v>
      </c>
      <c r="AB24" s="12">
        <f>Q24-'Ago25'!Q24</f>
        <v>702868.17368999869</v>
      </c>
      <c r="AC24" s="12">
        <f>+S24-'Ago25'!S24</f>
        <v>0</v>
      </c>
      <c r="AE24" s="28">
        <f>J24-'Ago25'!J24</f>
        <v>4.5000000000000012E-2</v>
      </c>
      <c r="AF24" s="28">
        <f>L24-'Ago25'!L24</f>
        <v>-1.7000000000000015E-2</v>
      </c>
      <c r="AG24" s="28">
        <f>N24-'Ago25'!N24</f>
        <v>-2.5000000000000022E-2</v>
      </c>
      <c r="AH24" s="28">
        <f>P24-'Ago25'!P24</f>
        <v>-3.0000000000000027E-3</v>
      </c>
      <c r="AI24" s="28">
        <f>R24-'Ago25'!R24</f>
        <v>0</v>
      </c>
      <c r="AJ24" s="93"/>
      <c r="AK24" s="10">
        <f>I24-'Ago25'!I24</f>
        <v>27130179.650000036</v>
      </c>
      <c r="AL24" s="76">
        <f>I24/'Ago25'!I24-1</f>
        <v>5.4453619626400718E-2</v>
      </c>
    </row>
    <row r="25" spans="2:39" x14ac:dyDescent="0.25">
      <c r="B25" t="s">
        <v>15</v>
      </c>
      <c r="C25" s="2" t="s">
        <v>19</v>
      </c>
      <c r="F25" s="7">
        <f t="shared" si="3"/>
        <v>0.99999999999999989</v>
      </c>
      <c r="H25" s="3" t="s">
        <v>36</v>
      </c>
      <c r="I25" s="78">
        <v>737800000</v>
      </c>
      <c r="J25" s="77">
        <v>0.27</v>
      </c>
      <c r="K25" s="78">
        <v>199206000</v>
      </c>
      <c r="L25" s="77">
        <v>0.23</v>
      </c>
      <c r="M25" s="78">
        <v>169694000</v>
      </c>
      <c r="N25" s="77">
        <v>0.42</v>
      </c>
      <c r="O25" s="78">
        <v>309876000</v>
      </c>
      <c r="P25" s="77">
        <v>0.08</v>
      </c>
      <c r="Q25" s="78">
        <v>59024000</v>
      </c>
      <c r="R25" s="77">
        <v>0</v>
      </c>
      <c r="S25" s="78">
        <v>0</v>
      </c>
      <c r="T25" s="77">
        <v>0</v>
      </c>
      <c r="U25" s="78">
        <f t="shared" si="4"/>
        <v>0</v>
      </c>
      <c r="Y25" s="12">
        <f>K25-'Ago25'!K25</f>
        <v>17131169.685600013</v>
      </c>
      <c r="Z25" s="12">
        <f>M25-'Ago25'!M25</f>
        <v>-4794379.0512999892</v>
      </c>
      <c r="AA25" s="12">
        <f>O25-'Ago25'!O25</f>
        <v>-31514306.83950001</v>
      </c>
      <c r="AB25" s="12">
        <f>Q25-'Ago25'!Q25</f>
        <v>-1667610.1047999933</v>
      </c>
      <c r="AC25" s="12">
        <f>+S25-'Ago25'!S25</f>
        <v>0</v>
      </c>
      <c r="AE25" s="28">
        <f>J25-'Ago25'!J25</f>
        <v>3.0000000000000027E-2</v>
      </c>
      <c r="AF25" s="28">
        <f>L25-'Ago25'!L25</f>
        <v>0</v>
      </c>
      <c r="AG25" s="28">
        <f>N25-'Ago25'!N25</f>
        <v>-3.0000000000000027E-2</v>
      </c>
      <c r="AH25" s="28">
        <f>P25-'Ago25'!P25</f>
        <v>0</v>
      </c>
      <c r="AI25" s="28">
        <f>R25-'Ago25'!R25</f>
        <v>0</v>
      </c>
      <c r="AJ25" s="93"/>
      <c r="AK25" s="10">
        <f>I25-'Ago25'!I25</f>
        <v>-20845126.309999943</v>
      </c>
      <c r="AL25" s="76">
        <f>I25/'Ago25'!I25-1</f>
        <v>-2.7476781418723784E-2</v>
      </c>
    </row>
    <row r="26" spans="2:39" x14ac:dyDescent="0.25">
      <c r="B26" t="s">
        <v>57</v>
      </c>
      <c r="F26" s="7">
        <f>J26+L26+N26+P26+R26+T26</f>
        <v>0.99999999999999989</v>
      </c>
      <c r="H26" s="3" t="s">
        <v>65</v>
      </c>
      <c r="I26" s="78">
        <v>2006400000</v>
      </c>
      <c r="J26" s="77">
        <v>0.32</v>
      </c>
      <c r="K26" s="78">
        <v>642048000</v>
      </c>
      <c r="L26" s="77">
        <v>0.18</v>
      </c>
      <c r="M26" s="78">
        <v>361152000</v>
      </c>
      <c r="N26" s="77">
        <v>0.42</v>
      </c>
      <c r="O26" s="78">
        <v>842688000</v>
      </c>
      <c r="P26" s="77">
        <v>0.08</v>
      </c>
      <c r="Q26" s="78">
        <v>160512000</v>
      </c>
      <c r="R26" s="77">
        <v>0</v>
      </c>
      <c r="S26" s="78">
        <v>0</v>
      </c>
      <c r="T26" s="77">
        <v>0</v>
      </c>
      <c r="U26" s="78">
        <f t="shared" si="4"/>
        <v>0</v>
      </c>
      <c r="Y26" s="12">
        <f>K26-'Ago25'!K26</f>
        <v>113696546.10940003</v>
      </c>
      <c r="Z26" s="12">
        <f>M26-'Ago25'!M26</f>
        <v>14990702.623399973</v>
      </c>
      <c r="AA26" s="12">
        <f>O26-'Ago25'!O26</f>
        <v>41051311.338400006</v>
      </c>
      <c r="AB26" s="12">
        <f>Q26-'Ago25'!Q26</f>
        <v>14759874.788800001</v>
      </c>
      <c r="AC26" s="12">
        <f>+S26-'Ago25'!S26</f>
        <v>0</v>
      </c>
      <c r="AE26" s="28">
        <f>J26-'Ago25'!J26</f>
        <v>3.0000000000000027E-2</v>
      </c>
      <c r="AF26" s="28">
        <f>L26-'Ago25'!L26</f>
        <v>-1.0000000000000009E-2</v>
      </c>
      <c r="AG26" s="28">
        <f>N26-'Ago25'!N26</f>
        <v>-2.0000000000000018E-2</v>
      </c>
      <c r="AH26" s="28">
        <f>P26-'Ago25'!P26</f>
        <v>0</v>
      </c>
      <c r="AI26" s="28">
        <f>R26-'Ago25'!R26</f>
        <v>0</v>
      </c>
      <c r="AK26" s="10">
        <f>I26-'Ago25'!I26</f>
        <v>184498434.8599999</v>
      </c>
      <c r="AL26" s="76">
        <f>I26/'Ago25'!I26-1</f>
        <v>0.10126696106428912</v>
      </c>
    </row>
    <row r="27" spans="2:39" s="8" customFormat="1" x14ac:dyDescent="0.25">
      <c r="B27"/>
      <c r="C27"/>
      <c r="E27"/>
      <c r="F27" s="7">
        <f t="shared" si="3"/>
        <v>1</v>
      </c>
      <c r="G27"/>
      <c r="H27" s="21" t="s">
        <v>45</v>
      </c>
      <c r="I27" s="20">
        <f>SUM(I17:I26)</f>
        <v>8126701197.4300003</v>
      </c>
      <c r="J27" s="15">
        <f>K27/$I$27</f>
        <v>0.24497786148760103</v>
      </c>
      <c r="K27" s="63">
        <f>SUM(K17:K26)</f>
        <v>1990861880.2951281</v>
      </c>
      <c r="L27" s="15">
        <f>M27/$I$27</f>
        <v>0.24387409183455966</v>
      </c>
      <c r="M27" s="62">
        <f>SUM(M17:M26)</f>
        <v>1981891874.1340699</v>
      </c>
      <c r="N27" s="15">
        <f>O27/$I$27</f>
        <v>0.40038851901131856</v>
      </c>
      <c r="O27" s="63">
        <f>SUM(O17:O26)</f>
        <v>3253837856.886507</v>
      </c>
      <c r="P27" s="15">
        <f>Q27/$I$27</f>
        <v>9.1892807415431793E-2</v>
      </c>
      <c r="Q27" s="63">
        <f>SUM(Q17:Q26)</f>
        <v>746785388.05819392</v>
      </c>
      <c r="R27" s="15">
        <f>S27/$I$27</f>
        <v>0</v>
      </c>
      <c r="S27" s="63">
        <f>SUM(S17:S26)</f>
        <v>0</v>
      </c>
      <c r="T27" s="15">
        <f>U27/$I$27</f>
        <v>1.8866720251088903E-2</v>
      </c>
      <c r="U27" s="17">
        <f>SUM(U17:U26)</f>
        <v>153324198.05610102</v>
      </c>
      <c r="Y27" s="12">
        <f>K27-'Ago25'!K27</f>
        <v>242347550.40896821</v>
      </c>
      <c r="Z27" s="12">
        <f>M27-'Ago25'!M27</f>
        <v>8337710.3815197945</v>
      </c>
      <c r="AA27" s="12">
        <f>O27-'Ago25'!O27</f>
        <v>-150728846.60576296</v>
      </c>
      <c r="AB27" s="12">
        <f>Q27-'Ago25'!Q27</f>
        <v>10670267.889423966</v>
      </c>
      <c r="AC27" s="12">
        <f>+S27-'Ago25'!S27</f>
        <v>0</v>
      </c>
      <c r="AE27" s="28">
        <f>J27-'Ago25'!J27</f>
        <v>2.6428125778148376E-2</v>
      </c>
      <c r="AF27" s="28">
        <f>L27-'Ago25'!L27</f>
        <v>-2.8037497616779372E-3</v>
      </c>
      <c r="AG27" s="28">
        <f>N27-'Ago25'!N27</f>
        <v>-2.5153977573128594E-2</v>
      </c>
      <c r="AH27" s="28">
        <f>P27-'Ago25'!P27</f>
        <v>-1.1545480744108716E-4</v>
      </c>
      <c r="AI27" s="28">
        <f>R27-'Ago25'!R27</f>
        <v>0</v>
      </c>
      <c r="AK27" s="92">
        <f>I27-'Ago25'!I27</f>
        <v>126168393.25999928</v>
      </c>
      <c r="AL27" s="76">
        <f>I27/'Ago25'!I27-1</f>
        <v>1.5769998867355195E-2</v>
      </c>
    </row>
    <row r="28" spans="2:39" x14ac:dyDescent="0.25">
      <c r="F28" s="7"/>
      <c r="I28" s="10"/>
      <c r="J28" s="10"/>
      <c r="K28" s="10"/>
      <c r="L28" s="5"/>
      <c r="M28" s="10"/>
      <c r="N28" s="10"/>
      <c r="O28" s="10"/>
      <c r="P28" s="5"/>
      <c r="Q28" s="10"/>
    </row>
    <row r="29" spans="2:39" x14ac:dyDescent="0.25">
      <c r="F29" s="7"/>
      <c r="H29" s="4" t="s">
        <v>38</v>
      </c>
      <c r="I29" s="9" t="s">
        <v>4</v>
      </c>
      <c r="J29" s="113" t="s">
        <v>7</v>
      </c>
      <c r="K29" s="113"/>
      <c r="L29" s="112" t="s">
        <v>8</v>
      </c>
      <c r="M29" s="112"/>
      <c r="N29" s="112" t="s">
        <v>10</v>
      </c>
      <c r="O29" s="112"/>
      <c r="P29" s="112" t="s">
        <v>9</v>
      </c>
      <c r="Q29" s="112"/>
      <c r="R29" s="112" t="s">
        <v>40</v>
      </c>
      <c r="S29" s="112"/>
      <c r="T29" s="112" t="s">
        <v>55</v>
      </c>
      <c r="U29" s="112"/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  <c r="AE29" s="27" t="s">
        <v>49</v>
      </c>
      <c r="AF29" s="27" t="s">
        <v>50</v>
      </c>
      <c r="AG29" s="27" t="s">
        <v>51</v>
      </c>
      <c r="AH29" s="27" t="s">
        <v>52</v>
      </c>
      <c r="AI29" s="27" t="s">
        <v>54</v>
      </c>
    </row>
    <row r="30" spans="2:39" x14ac:dyDescent="0.25">
      <c r="F30" s="7">
        <f>J30+L30+N30+P30+R30+T30</f>
        <v>1</v>
      </c>
      <c r="H30" s="21" t="s">
        <v>39</v>
      </c>
      <c r="I30" s="94">
        <v>336066668.87</v>
      </c>
      <c r="J30" s="81">
        <v>0.34289999999999998</v>
      </c>
      <c r="K30" s="80">
        <v>115237260.755523</v>
      </c>
      <c r="L30" s="81">
        <v>0.18390000000000001</v>
      </c>
      <c r="M30" s="80">
        <v>61802660.405193001</v>
      </c>
      <c r="N30" s="81">
        <v>0.33450000000000002</v>
      </c>
      <c r="O30" s="80">
        <v>112414300.73701501</v>
      </c>
      <c r="P30" s="81">
        <v>8.3699999999999997E-2</v>
      </c>
      <c r="Q30" s="80">
        <v>28128780.184418999</v>
      </c>
      <c r="R30" s="88">
        <v>3.4000000000000002E-2</v>
      </c>
      <c r="S30" s="80">
        <v>11426266.74158</v>
      </c>
      <c r="T30" s="81">
        <v>2.1000000000000001E-2</v>
      </c>
      <c r="U30" s="80">
        <f t="shared" ref="U30:U35" si="5">+T30*$I30</f>
        <v>7057400.0462700007</v>
      </c>
      <c r="V30" s="98"/>
      <c r="Y30" s="12">
        <f>K30-'Ago25'!K30</f>
        <v>20693854.620023012</v>
      </c>
      <c r="Z30" s="12">
        <f>M30-'Ago25'!M30</f>
        <v>14530957.337443009</v>
      </c>
      <c r="AA30" s="12">
        <f>O30-'Ago25'!O30</f>
        <v>23543498.969645008</v>
      </c>
      <c r="AB30" s="12">
        <f>Q30-'Ago25'!Q30</f>
        <v>5168238.6943689995</v>
      </c>
      <c r="AC30" s="12">
        <f>+S30-'Ago25'!S30</f>
        <v>3592670.2332100002</v>
      </c>
      <c r="AD30" s="98"/>
      <c r="AE30" s="28">
        <f>J30-'Ago25'!J30</f>
        <v>-7.0999999999999952E-3</v>
      </c>
      <c r="AF30" s="28">
        <f>L30-'Ago25'!L30</f>
        <v>8.900000000000019E-3</v>
      </c>
      <c r="AG30" s="28">
        <f>N30-'Ago25'!N30</f>
        <v>5.5000000000000049E-3</v>
      </c>
      <c r="AH30" s="28">
        <f>P30-'Ago25'!P30</f>
        <v>-1.3000000000000095E-3</v>
      </c>
      <c r="AI30" s="28">
        <f>R30-'Ago25'!R30</f>
        <v>5.000000000000001E-3</v>
      </c>
      <c r="AJ30" s="98"/>
      <c r="AK30" s="10">
        <f>I30-'Ago25'!I30</f>
        <v>65942651.340000033</v>
      </c>
      <c r="AL30" s="76">
        <f>I30/'Ago25'!I30-1</f>
        <v>0.24411991182041581</v>
      </c>
      <c r="AM30" s="98"/>
    </row>
    <row r="31" spans="2:39" hidden="1" outlineLevel="1" x14ac:dyDescent="0.25">
      <c r="F31" s="7">
        <f t="shared" si="3"/>
        <v>0</v>
      </c>
      <c r="H31" s="3" t="s">
        <v>56</v>
      </c>
      <c r="I31" s="78"/>
      <c r="J31" s="77"/>
      <c r="K31" s="78">
        <v>0</v>
      </c>
      <c r="L31" s="77"/>
      <c r="M31" s="78">
        <v>0</v>
      </c>
      <c r="N31" s="77"/>
      <c r="O31" s="78">
        <v>0</v>
      </c>
      <c r="P31" s="77"/>
      <c r="Q31" s="78">
        <v>0</v>
      </c>
      <c r="R31" s="77"/>
      <c r="S31" s="78">
        <v>0</v>
      </c>
      <c r="T31" s="77"/>
      <c r="U31" s="78">
        <f t="shared" si="5"/>
        <v>0</v>
      </c>
      <c r="Y31" s="12">
        <f>K31-'Ago25'!K31</f>
        <v>0</v>
      </c>
      <c r="Z31" s="12">
        <f>M31-'Ago25'!M31</f>
        <v>0</v>
      </c>
      <c r="AA31" s="12">
        <f>O31-'Ago25'!O31</f>
        <v>0</v>
      </c>
      <c r="AB31" s="12">
        <f>Q31-'Ago25'!Q31</f>
        <v>0</v>
      </c>
      <c r="AC31" s="12">
        <f>+S31-'Ago25'!S31</f>
        <v>0</v>
      </c>
      <c r="AE31" s="28">
        <f>J31-'Ago25'!J31</f>
        <v>0</v>
      </c>
      <c r="AF31" s="28">
        <f>L31-'Ago25'!L31</f>
        <v>0</v>
      </c>
      <c r="AG31" s="28">
        <f>N31-'Ago25'!N31</f>
        <v>0</v>
      </c>
      <c r="AH31" s="28">
        <f>P31-'Ago25'!P31</f>
        <v>0</v>
      </c>
      <c r="AI31" s="28">
        <f>R31-'Ago25'!R31</f>
        <v>0</v>
      </c>
      <c r="AK31" s="10">
        <f>I31-'Ago25'!I31</f>
        <v>0</v>
      </c>
      <c r="AL31" s="76" t="e">
        <f>I31/'Ago25'!I31-1</f>
        <v>#DIV/0!</v>
      </c>
    </row>
    <row r="32" spans="2:39" collapsed="1" x14ac:dyDescent="0.25">
      <c r="F32" s="7">
        <f t="shared" si="3"/>
        <v>1</v>
      </c>
      <c r="H32" s="3" t="s">
        <v>42</v>
      </c>
      <c r="I32" s="84">
        <v>238165684</v>
      </c>
      <c r="J32" s="77">
        <v>0.06</v>
      </c>
      <c r="K32" s="78">
        <v>14289941.039999999</v>
      </c>
      <c r="L32" s="77">
        <v>0.12</v>
      </c>
      <c r="M32" s="78">
        <v>28579882.079999998</v>
      </c>
      <c r="N32" s="77">
        <v>0.53</v>
      </c>
      <c r="O32" s="78">
        <v>126227812.52000001</v>
      </c>
      <c r="P32" s="77">
        <v>0.06</v>
      </c>
      <c r="Q32" s="78">
        <v>14289941.039999999</v>
      </c>
      <c r="R32" s="77">
        <v>0.17</v>
      </c>
      <c r="S32" s="78">
        <v>40488166.280000001</v>
      </c>
      <c r="T32" s="77">
        <v>0.06</v>
      </c>
      <c r="U32" s="78">
        <f t="shared" si="5"/>
        <v>14289941.039999999</v>
      </c>
      <c r="Y32" s="12">
        <f>K32-'Ago25'!K32</f>
        <v>7595745.7199999997</v>
      </c>
      <c r="Z32" s="12">
        <f>M32-'Ago25'!M32</f>
        <v>-2659696.0800000057</v>
      </c>
      <c r="AA32" s="12">
        <f>O32-'Ago25'!O32</f>
        <v>7963695.200000003</v>
      </c>
      <c r="AB32" s="12">
        <f>Q32-'Ago25'!Q32</f>
        <v>901550.40000000037</v>
      </c>
      <c r="AC32" s="12">
        <f>+S32-'Ago25'!S32</f>
        <v>4785791.2400000021</v>
      </c>
      <c r="AE32" s="28">
        <f>J32-'Ago25'!J32</f>
        <v>0.03</v>
      </c>
      <c r="AF32" s="28">
        <f>L32-'Ago25'!L32</f>
        <v>-2.0000000000000018E-2</v>
      </c>
      <c r="AG32" s="28">
        <f>N32-'Ago25'!N32</f>
        <v>0</v>
      </c>
      <c r="AH32" s="28">
        <f>P32-'Ago25'!P32</f>
        <v>0</v>
      </c>
      <c r="AI32" s="28">
        <f>R32-'Ago25'!R32</f>
        <v>1.0000000000000009E-2</v>
      </c>
      <c r="AK32" s="10">
        <f>I32-'Ago25'!I32</f>
        <v>15025840</v>
      </c>
      <c r="AL32" s="76">
        <f>I32/'Ago25'!I32-1</f>
        <v>6.7338220421091721E-2</v>
      </c>
    </row>
    <row r="33" spans="5:38" x14ac:dyDescent="0.25">
      <c r="F33" s="7">
        <f t="shared" si="3"/>
        <v>0.99999999999999989</v>
      </c>
      <c r="H33" s="3" t="s">
        <v>69</v>
      </c>
      <c r="I33" s="84">
        <v>475717938</v>
      </c>
      <c r="J33" s="77">
        <v>0.189</v>
      </c>
      <c r="K33" s="78">
        <v>89910690.282000005</v>
      </c>
      <c r="L33" s="77">
        <v>0.2</v>
      </c>
      <c r="M33" s="78">
        <v>95143587.600000009</v>
      </c>
      <c r="N33" s="77">
        <v>0.43</v>
      </c>
      <c r="O33" s="78">
        <v>204558713.34</v>
      </c>
      <c r="P33" s="77">
        <v>0.18</v>
      </c>
      <c r="Q33" s="78">
        <v>85629228.840000004</v>
      </c>
      <c r="R33" s="77">
        <v>0</v>
      </c>
      <c r="S33" s="78">
        <v>0</v>
      </c>
      <c r="T33" s="77">
        <v>1E-3</v>
      </c>
      <c r="U33" s="78">
        <f t="shared" si="5"/>
        <v>475717.93800000002</v>
      </c>
      <c r="Y33" s="12">
        <f>K33-'Ago25'!K33</f>
        <v>14880154.282000005</v>
      </c>
      <c r="Z33" s="12">
        <f>M33-'Ago25'!M33</f>
        <v>10734234.600000009</v>
      </c>
      <c r="AA33" s="12">
        <f>O33-'Ago25'!O33</f>
        <v>-15843486.159999996</v>
      </c>
      <c r="AB33" s="12">
        <f>Q33-'Ago25'!Q33</f>
        <v>1219875.8400000036</v>
      </c>
      <c r="AC33" s="12">
        <f>+S33-'Ago25'!S33</f>
        <v>0</v>
      </c>
      <c r="AE33" s="28">
        <f>J33-'Ago25'!J33</f>
        <v>2.8999999999999998E-2</v>
      </c>
      <c r="AF33" s="28">
        <f>L33-'Ago25'!L33</f>
        <v>2.0000000000000018E-2</v>
      </c>
      <c r="AG33" s="28">
        <f>N33-'Ago25'!N33</f>
        <v>-3.999999999999998E-2</v>
      </c>
      <c r="AH33" s="28">
        <f>P33-'Ago25'!P33</f>
        <v>0</v>
      </c>
      <c r="AI33" s="28">
        <f>R33-'Ago25'!R33</f>
        <v>0</v>
      </c>
      <c r="AK33" s="10">
        <f>I33-'Ago25'!I33</f>
        <v>6777088</v>
      </c>
      <c r="AL33" s="76">
        <f>I33/'Ago25'!I33-1</f>
        <v>1.4451903688919465E-2</v>
      </c>
    </row>
    <row r="34" spans="5:38" x14ac:dyDescent="0.25">
      <c r="F34" s="7">
        <f t="shared" si="3"/>
        <v>1</v>
      </c>
      <c r="H34" s="3" t="s">
        <v>44</v>
      </c>
      <c r="I34" s="84">
        <v>75200000</v>
      </c>
      <c r="J34" s="77">
        <v>0.02</v>
      </c>
      <c r="K34" s="78">
        <v>1504000</v>
      </c>
      <c r="L34" s="77">
        <v>0.22</v>
      </c>
      <c r="M34" s="78">
        <v>16544000</v>
      </c>
      <c r="N34" s="77">
        <v>0.57000000000000006</v>
      </c>
      <c r="O34" s="78">
        <v>42864000.000000007</v>
      </c>
      <c r="P34" s="77">
        <v>0.02</v>
      </c>
      <c r="Q34" s="78">
        <v>1504000</v>
      </c>
      <c r="R34" s="77">
        <v>0.17</v>
      </c>
      <c r="S34" s="78">
        <v>12784000</v>
      </c>
      <c r="T34" s="77">
        <v>0</v>
      </c>
      <c r="U34" s="78">
        <f t="shared" si="5"/>
        <v>0</v>
      </c>
      <c r="Y34" s="12">
        <f>K34-'Ago25'!K34</f>
        <v>-4506354.5224000001</v>
      </c>
      <c r="Z34" s="12">
        <f>M34-'Ago25'!M34</f>
        <v>2269408.0092999991</v>
      </c>
      <c r="AA34" s="12">
        <f>O34-'Ago25'!O34</f>
        <v>40224.027900010347</v>
      </c>
      <c r="AB34" s="12">
        <f>Q34-'Ago25'!Q34</f>
        <v>-749882.94590000017</v>
      </c>
      <c r="AC34" s="12">
        <f>+S34-'Ago25'!S34</f>
        <v>3017173.9011000004</v>
      </c>
      <c r="AE34" s="28">
        <f>J34-'Ago25'!J34</f>
        <v>-0.06</v>
      </c>
      <c r="AF34" s="28">
        <f>L34-'Ago25'!L34</f>
        <v>0.03</v>
      </c>
      <c r="AG34" s="28">
        <f>N34-'Ago25'!N34</f>
        <v>0</v>
      </c>
      <c r="AH34" s="28">
        <f>P34-'Ago25'!P34</f>
        <v>-9.9999999999999985E-3</v>
      </c>
      <c r="AI34" s="28">
        <f>R34-'Ago25'!R34</f>
        <v>4.0000000000000008E-2</v>
      </c>
      <c r="AK34" s="10">
        <f>I34-'Ago25'!I34</f>
        <v>70568.469999998808</v>
      </c>
      <c r="AL34" s="76">
        <f>I34/'Ago25'!I34-1</f>
        <v>9.3929194674946537E-4</v>
      </c>
    </row>
    <row r="35" spans="5:38" x14ac:dyDescent="0.25">
      <c r="F35" s="7">
        <f t="shared" si="3"/>
        <v>1</v>
      </c>
      <c r="H35" s="3" t="s">
        <v>66</v>
      </c>
      <c r="I35" s="84">
        <v>319400000</v>
      </c>
      <c r="J35" s="77">
        <v>0.03</v>
      </c>
      <c r="K35" s="78">
        <v>9582000</v>
      </c>
      <c r="L35" s="77">
        <v>0.02</v>
      </c>
      <c r="M35" s="78">
        <v>6388000</v>
      </c>
      <c r="N35" s="77">
        <v>0.43</v>
      </c>
      <c r="O35" s="78">
        <v>137342000</v>
      </c>
      <c r="P35" s="77">
        <v>0.32</v>
      </c>
      <c r="Q35" s="78">
        <v>102208000</v>
      </c>
      <c r="R35" s="77">
        <v>0.2</v>
      </c>
      <c r="S35" s="78">
        <v>63880000</v>
      </c>
      <c r="T35" s="77">
        <v>0</v>
      </c>
      <c r="U35" s="78">
        <f t="shared" si="5"/>
        <v>0</v>
      </c>
      <c r="Y35" s="12">
        <f>K35-'Ago25'!K35</f>
        <v>-3150000</v>
      </c>
      <c r="Z35" s="12">
        <f>M35-'Ago25'!M35</f>
        <v>22000</v>
      </c>
      <c r="AA35" s="12">
        <f>O35-'Ago25'!O35</f>
        <v>-5893000</v>
      </c>
      <c r="AB35" s="12">
        <f>Q35-'Ago25'!Q35</f>
        <v>6718000</v>
      </c>
      <c r="AC35" s="12">
        <f>+S35-'Ago25'!S35</f>
        <v>220000</v>
      </c>
      <c r="AE35" s="28">
        <f>J35-'Ago25'!J35</f>
        <v>-1.0000000000000002E-2</v>
      </c>
      <c r="AF35" s="28">
        <f>L35-'Ago25'!L35</f>
        <v>0</v>
      </c>
      <c r="AG35" s="28">
        <f>N35-'Ago25'!N35</f>
        <v>-2.0000000000000018E-2</v>
      </c>
      <c r="AH35" s="28">
        <f>P35-'Ago25'!P35</f>
        <v>2.0000000000000018E-2</v>
      </c>
      <c r="AI35" s="28">
        <f>R35-'Ago25'!R35</f>
        <v>0</v>
      </c>
      <c r="AK35" s="10">
        <f>I35-'Ago25'!I35</f>
        <v>1100000</v>
      </c>
      <c r="AL35" s="76">
        <f>I35/'Ago25'!I35-1</f>
        <v>3.4558592522777598E-3</v>
      </c>
    </row>
    <row r="36" spans="5:38" s="8" customFormat="1" x14ac:dyDescent="0.25">
      <c r="E36"/>
      <c r="F36" s="7">
        <f t="shared" si="3"/>
        <v>1</v>
      </c>
      <c r="G36"/>
      <c r="H36" s="3" t="s">
        <v>45</v>
      </c>
      <c r="I36" s="17">
        <f>SUM(I30:I35)</f>
        <v>1444550290.8699999</v>
      </c>
      <c r="J36" s="15">
        <f>+K36/$I$36</f>
        <v>0.15958176986602998</v>
      </c>
      <c r="K36" s="17">
        <f>SUM(K30:K35)</f>
        <v>230523892.07752299</v>
      </c>
      <c r="L36" s="15">
        <f>+M36/$I$36</f>
        <v>0.14430659244106087</v>
      </c>
      <c r="M36" s="17">
        <f>SUM(M30:M35)</f>
        <v>208458130.08519301</v>
      </c>
      <c r="N36" s="15">
        <f>+O36/$I$36</f>
        <v>0.43155771767666173</v>
      </c>
      <c r="O36" s="17">
        <f>SUM(O30:O35)</f>
        <v>623406826.59701502</v>
      </c>
      <c r="P36" s="15">
        <f>+Q36/$I$36</f>
        <v>0.16043743961647638</v>
      </c>
      <c r="Q36" s="17">
        <f>SUM(Q30:Q35)</f>
        <v>231759950.064419</v>
      </c>
      <c r="R36" s="15">
        <f>+S36/$I$36</f>
        <v>8.9009315794842919E-2</v>
      </c>
      <c r="S36" s="17">
        <f>SUM(S30:S35)</f>
        <v>128578433.02158001</v>
      </c>
      <c r="T36" s="15">
        <f>+U36/$I$36</f>
        <v>1.5107164604928202E-2</v>
      </c>
      <c r="U36" s="63">
        <f>SUM(U30:U35)</f>
        <v>21823059.024270002</v>
      </c>
      <c r="Y36" s="12">
        <f>K36-'Ago25'!K36</f>
        <v>35513400.099623024</v>
      </c>
      <c r="Z36" s="12">
        <f>M36-'Ago25'!M36</f>
        <v>24896903.866742998</v>
      </c>
      <c r="AA36" s="12">
        <f>O36-'Ago25'!O36</f>
        <v>9810932.0375449657</v>
      </c>
      <c r="AB36" s="12">
        <f>Q36-'Ago25'!Q36</f>
        <v>13257781.988469005</v>
      </c>
      <c r="AC36" s="12">
        <f>+S36-'Ago25'!S36</f>
        <v>11615635.374310017</v>
      </c>
      <c r="AE36" s="28">
        <f>J36-'Ago25'!J36</f>
        <v>1.572991058951953E-2</v>
      </c>
      <c r="AF36" s="28">
        <f>L36-'Ago25'!L36</f>
        <v>8.9004231894461716E-3</v>
      </c>
      <c r="AG36" s="28">
        <f>N36-'Ago25'!N36</f>
        <v>-2.1068750681853543E-2</v>
      </c>
      <c r="AH36" s="28">
        <f>P36-'Ago25'!P36</f>
        <v>-7.4334001683737383E-4</v>
      </c>
      <c r="AI36" s="28">
        <f>R36-'Ago25'!R36</f>
        <v>2.7302867175314216E-3</v>
      </c>
      <c r="AK36" s="92">
        <f>I36-'Ago25'!I36</f>
        <v>88916147.809999943</v>
      </c>
      <c r="AL36" s="76">
        <f>I36/'Ago25'!I36-1</f>
        <v>6.5590076987360524E-2</v>
      </c>
    </row>
    <row r="37" spans="5:38" x14ac:dyDescent="0.25">
      <c r="F37" s="7"/>
    </row>
    <row r="38" spans="5:38" x14ac:dyDescent="0.25">
      <c r="F38" s="7"/>
      <c r="K38"/>
    </row>
    <row r="39" spans="5:38" x14ac:dyDescent="0.25">
      <c r="F39" s="7"/>
      <c r="J39" s="38"/>
    </row>
    <row r="40" spans="5:38" x14ac:dyDescent="0.25">
      <c r="F40" s="7"/>
      <c r="I40" s="30"/>
      <c r="J40" s="35"/>
    </row>
    <row r="41" spans="5:38" x14ac:dyDescent="0.25">
      <c r="F41" s="7"/>
      <c r="I41" s="37"/>
      <c r="J41" s="35"/>
    </row>
    <row r="42" spans="5:38" x14ac:dyDescent="0.25">
      <c r="F42" s="7"/>
      <c r="I42" s="37"/>
      <c r="J42" s="35"/>
    </row>
    <row r="43" spans="5:38" x14ac:dyDescent="0.25">
      <c r="F43" s="7"/>
      <c r="I43" s="37"/>
      <c r="J43" s="35"/>
    </row>
    <row r="44" spans="5:38" x14ac:dyDescent="0.25">
      <c r="F44" s="7"/>
      <c r="I44" s="37"/>
      <c r="J44" s="35"/>
    </row>
    <row r="45" spans="5:38" x14ac:dyDescent="0.25">
      <c r="F45" s="7"/>
      <c r="I45" s="37"/>
      <c r="J45" s="35"/>
      <c r="K45" s="37"/>
    </row>
    <row r="46" spans="5:38" x14ac:dyDescent="0.25">
      <c r="F46" s="7"/>
      <c r="I46" s="37"/>
      <c r="J46" s="35"/>
    </row>
    <row r="47" spans="5:38" x14ac:dyDescent="0.25">
      <c r="F47" s="7"/>
      <c r="I47" s="37"/>
      <c r="J47" s="35"/>
    </row>
    <row r="48" spans="5:38" x14ac:dyDescent="0.25">
      <c r="F48" s="7"/>
      <c r="I48" s="37"/>
      <c r="J48" s="35"/>
    </row>
    <row r="49" spans="9:10" x14ac:dyDescent="0.25">
      <c r="I49" s="37"/>
      <c r="J49" s="35"/>
    </row>
    <row r="50" spans="9:10" x14ac:dyDescent="0.25">
      <c r="I50" s="37"/>
      <c r="J50" s="35"/>
    </row>
    <row r="51" spans="9:10" x14ac:dyDescent="0.25">
      <c r="I51" s="37"/>
      <c r="J51" s="35"/>
    </row>
    <row r="52" spans="9:10" x14ac:dyDescent="0.25">
      <c r="I52" s="37"/>
      <c r="J52" s="35"/>
    </row>
    <row r="53" spans="9:10" x14ac:dyDescent="0.25">
      <c r="I53" s="37"/>
      <c r="J53" s="35"/>
    </row>
    <row r="54" spans="9:10" x14ac:dyDescent="0.25">
      <c r="I54" s="37"/>
      <c r="J54" s="35"/>
    </row>
    <row r="55" spans="9:10" x14ac:dyDescent="0.25">
      <c r="I55" s="37"/>
      <c r="J55" s="35"/>
    </row>
    <row r="56" spans="9:10" x14ac:dyDescent="0.25">
      <c r="I56" s="37"/>
      <c r="J56" s="35"/>
    </row>
    <row r="57" spans="9:10" x14ac:dyDescent="0.25">
      <c r="I57" s="37"/>
      <c r="J57" s="35"/>
    </row>
    <row r="58" spans="9:10" x14ac:dyDescent="0.25">
      <c r="I58" s="37"/>
      <c r="J58" s="35"/>
    </row>
    <row r="59" spans="9:10" x14ac:dyDescent="0.25">
      <c r="I59" s="37"/>
      <c r="J59" s="35"/>
    </row>
    <row r="60" spans="9:10" x14ac:dyDescent="0.25">
      <c r="I60" s="37"/>
      <c r="J60" s="35"/>
    </row>
    <row r="61" spans="9:10" x14ac:dyDescent="0.25">
      <c r="I61" s="37"/>
      <c r="J61" s="35"/>
    </row>
    <row r="62" spans="9:10" x14ac:dyDescent="0.25">
      <c r="I62" s="37"/>
      <c r="J62" s="35"/>
    </row>
    <row r="63" spans="9:10" x14ac:dyDescent="0.25">
      <c r="I63" s="37"/>
      <c r="J63" s="35"/>
    </row>
    <row r="64" spans="9:10" x14ac:dyDescent="0.25">
      <c r="I64" s="37"/>
      <c r="J64" s="35"/>
    </row>
    <row r="65" spans="9:10" x14ac:dyDescent="0.25">
      <c r="I65" s="37"/>
      <c r="J65" s="35"/>
    </row>
    <row r="66" spans="9:10" x14ac:dyDescent="0.25">
      <c r="I66" s="37"/>
      <c r="J66" s="35"/>
    </row>
    <row r="67" spans="9:10" x14ac:dyDescent="0.25">
      <c r="I67" s="37"/>
      <c r="J67" s="35"/>
    </row>
    <row r="68" spans="9:10" x14ac:dyDescent="0.25">
      <c r="I68" s="37"/>
      <c r="J68" s="35"/>
    </row>
    <row r="69" spans="9:10" x14ac:dyDescent="0.25">
      <c r="I69" s="37"/>
      <c r="J69" s="35"/>
    </row>
    <row r="70" spans="9:10" x14ac:dyDescent="0.25">
      <c r="I70" s="37"/>
      <c r="J70" s="35"/>
    </row>
    <row r="71" spans="9:10" x14ac:dyDescent="0.25">
      <c r="I71" s="37"/>
      <c r="J71" s="35"/>
    </row>
    <row r="72" spans="9:10" x14ac:dyDescent="0.25">
      <c r="I72" s="37"/>
      <c r="J72" s="35"/>
    </row>
    <row r="73" spans="9:10" x14ac:dyDescent="0.25">
      <c r="I73" s="37"/>
      <c r="J73" s="35"/>
    </row>
    <row r="74" spans="9:10" x14ac:dyDescent="0.25">
      <c r="I74" s="37"/>
      <c r="J74" s="35"/>
    </row>
    <row r="75" spans="9:10" x14ac:dyDescent="0.25">
      <c r="I75" s="37"/>
      <c r="J75" s="35"/>
    </row>
    <row r="76" spans="9:10" x14ac:dyDescent="0.25">
      <c r="I76" s="37"/>
      <c r="J76" s="35"/>
    </row>
    <row r="77" spans="9:10" x14ac:dyDescent="0.25">
      <c r="I77" s="37"/>
      <c r="J77" s="35"/>
    </row>
    <row r="78" spans="9:10" x14ac:dyDescent="0.25">
      <c r="I78" s="37"/>
      <c r="J78" s="35"/>
    </row>
    <row r="79" spans="9:10" x14ac:dyDescent="0.25">
      <c r="I79" s="37"/>
      <c r="J79" s="35"/>
    </row>
    <row r="80" spans="9:10" x14ac:dyDescent="0.25">
      <c r="I80" s="37"/>
      <c r="J80" s="35"/>
    </row>
    <row r="81" spans="9:10" x14ac:dyDescent="0.25">
      <c r="I81" s="37"/>
      <c r="J81" s="35"/>
    </row>
    <row r="82" spans="9:10" x14ac:dyDescent="0.25">
      <c r="I82" s="37"/>
      <c r="J82" s="35"/>
    </row>
    <row r="83" spans="9:10" x14ac:dyDescent="0.25">
      <c r="I83" s="37"/>
      <c r="J83" s="35"/>
    </row>
    <row r="84" spans="9:10" x14ac:dyDescent="0.25">
      <c r="I84" s="37"/>
      <c r="J84" s="35"/>
    </row>
    <row r="85" spans="9:10" x14ac:dyDescent="0.25">
      <c r="I85" s="37"/>
      <c r="J85" s="35"/>
    </row>
    <row r="86" spans="9:10" x14ac:dyDescent="0.25">
      <c r="I86" s="37"/>
      <c r="J86" s="35"/>
    </row>
    <row r="87" spans="9:10" x14ac:dyDescent="0.25">
      <c r="I87" s="37"/>
      <c r="J87" s="35"/>
    </row>
    <row r="88" spans="9:10" x14ac:dyDescent="0.25">
      <c r="I88" s="37"/>
      <c r="J88" s="35"/>
    </row>
    <row r="89" spans="9:10" x14ac:dyDescent="0.25">
      <c r="I89" s="37"/>
      <c r="J89" s="35"/>
    </row>
    <row r="90" spans="9:10" x14ac:dyDescent="0.25">
      <c r="I90" s="37"/>
      <c r="J90" s="35"/>
    </row>
    <row r="91" spans="9:10" x14ac:dyDescent="0.25">
      <c r="I91" s="37"/>
      <c r="J91" s="35"/>
    </row>
    <row r="92" spans="9:10" x14ac:dyDescent="0.25">
      <c r="I92" s="37"/>
      <c r="J92" s="35"/>
    </row>
    <row r="93" spans="9:10" x14ac:dyDescent="0.25">
      <c r="I93" s="37"/>
      <c r="J93" s="35"/>
    </row>
    <row r="94" spans="9:10" x14ac:dyDescent="0.25">
      <c r="I94" s="37"/>
      <c r="J94" s="35"/>
    </row>
    <row r="95" spans="9:10" x14ac:dyDescent="0.25">
      <c r="I95" s="37"/>
      <c r="J95" s="35"/>
    </row>
    <row r="96" spans="9:10" x14ac:dyDescent="0.25">
      <c r="I96" s="37"/>
      <c r="J96" s="35"/>
    </row>
    <row r="97" spans="9:10" x14ac:dyDescent="0.25">
      <c r="I97" s="37"/>
      <c r="J97" s="35"/>
    </row>
    <row r="98" spans="9:10" x14ac:dyDescent="0.25">
      <c r="I98" s="37"/>
      <c r="J98" s="35"/>
    </row>
    <row r="99" spans="9:10" x14ac:dyDescent="0.25">
      <c r="I99" s="37"/>
      <c r="J99" s="35"/>
    </row>
    <row r="100" spans="9:10" x14ac:dyDescent="0.25">
      <c r="I100" s="37"/>
      <c r="J100" s="35"/>
    </row>
    <row r="101" spans="9:10" x14ac:dyDescent="0.25">
      <c r="I101" s="37"/>
      <c r="J101" s="35"/>
    </row>
    <row r="102" spans="9:10" x14ac:dyDescent="0.25">
      <c r="I102" s="37"/>
      <c r="J102" s="35"/>
    </row>
    <row r="103" spans="9:10" x14ac:dyDescent="0.25">
      <c r="I103" s="37"/>
      <c r="J103" s="35"/>
    </row>
    <row r="104" spans="9:10" x14ac:dyDescent="0.25">
      <c r="I104" s="37"/>
      <c r="J104" s="35"/>
    </row>
    <row r="105" spans="9:10" x14ac:dyDescent="0.25">
      <c r="I105" s="37"/>
      <c r="J105" s="35"/>
    </row>
    <row r="106" spans="9:10" x14ac:dyDescent="0.25">
      <c r="I106" s="37"/>
      <c r="J106" s="35"/>
    </row>
    <row r="107" spans="9:10" x14ac:dyDescent="0.25">
      <c r="I107" s="37"/>
      <c r="J107" s="35"/>
    </row>
    <row r="108" spans="9:10" x14ac:dyDescent="0.25">
      <c r="I108" s="37"/>
      <c r="J108" s="35"/>
    </row>
    <row r="109" spans="9:10" x14ac:dyDescent="0.25">
      <c r="I109" s="37"/>
      <c r="J109" s="35"/>
    </row>
    <row r="110" spans="9:10" x14ac:dyDescent="0.25">
      <c r="I110" s="37"/>
      <c r="J110" s="35"/>
    </row>
    <row r="111" spans="9:10" x14ac:dyDescent="0.25">
      <c r="I111" s="37"/>
      <c r="J111" s="35"/>
    </row>
    <row r="112" spans="9:10" x14ac:dyDescent="0.25">
      <c r="I112" s="37"/>
      <c r="J112" s="35"/>
    </row>
    <row r="113" spans="9:10" x14ac:dyDescent="0.25">
      <c r="I113" s="37"/>
      <c r="J113" s="35"/>
    </row>
    <row r="114" spans="9:10" x14ac:dyDescent="0.25">
      <c r="I114" s="37"/>
      <c r="J114" s="35"/>
    </row>
    <row r="115" spans="9:10" x14ac:dyDescent="0.25">
      <c r="I115" s="37"/>
      <c r="J115" s="35"/>
    </row>
    <row r="116" spans="9:10" x14ac:dyDescent="0.25">
      <c r="I116" s="37"/>
      <c r="J116" s="35"/>
    </row>
    <row r="117" spans="9:10" x14ac:dyDescent="0.25">
      <c r="I117" s="37"/>
      <c r="J117" s="35"/>
    </row>
    <row r="118" spans="9:10" x14ac:dyDescent="0.25">
      <c r="I118" s="37"/>
      <c r="J118" s="35"/>
    </row>
    <row r="119" spans="9:10" x14ac:dyDescent="0.25">
      <c r="I119" s="37"/>
      <c r="J119" s="35"/>
    </row>
    <row r="120" spans="9:10" x14ac:dyDescent="0.25">
      <c r="I120" s="37"/>
      <c r="J120" s="35"/>
    </row>
    <row r="121" spans="9:10" x14ac:dyDescent="0.25">
      <c r="I121" s="37"/>
      <c r="J121" s="35"/>
    </row>
    <row r="122" spans="9:10" x14ac:dyDescent="0.25">
      <c r="I122" s="37"/>
      <c r="J122" s="35"/>
    </row>
    <row r="123" spans="9:10" x14ac:dyDescent="0.25">
      <c r="I123" s="37"/>
      <c r="J123" s="35"/>
    </row>
    <row r="124" spans="9:10" x14ac:dyDescent="0.25">
      <c r="I124" s="37"/>
      <c r="J124" s="35"/>
    </row>
    <row r="125" spans="9:10" x14ac:dyDescent="0.25">
      <c r="I125" s="37"/>
      <c r="J125" s="35"/>
    </row>
    <row r="126" spans="9:10" x14ac:dyDescent="0.25">
      <c r="I126" s="37"/>
      <c r="J126" s="35"/>
    </row>
    <row r="127" spans="9:10" x14ac:dyDescent="0.25">
      <c r="I127" s="37"/>
      <c r="J127" s="35"/>
    </row>
    <row r="128" spans="9:10" x14ac:dyDescent="0.25">
      <c r="I128" s="37"/>
      <c r="J128" s="35"/>
    </row>
    <row r="129" spans="9:10" x14ac:dyDescent="0.25">
      <c r="I129" s="37"/>
      <c r="J129" s="35"/>
    </row>
    <row r="130" spans="9:10" x14ac:dyDescent="0.25">
      <c r="I130" s="37"/>
      <c r="J130" s="35"/>
    </row>
    <row r="131" spans="9:10" x14ac:dyDescent="0.25">
      <c r="I131" s="37"/>
      <c r="J131" s="35"/>
    </row>
    <row r="132" spans="9:10" x14ac:dyDescent="0.25">
      <c r="I132" s="37"/>
      <c r="J132" s="35"/>
    </row>
    <row r="133" spans="9:10" x14ac:dyDescent="0.25">
      <c r="I133" s="37"/>
      <c r="J133" s="35"/>
    </row>
    <row r="134" spans="9:10" x14ac:dyDescent="0.25">
      <c r="I134" s="37"/>
      <c r="J134" s="35"/>
    </row>
    <row r="135" spans="9:10" x14ac:dyDescent="0.25">
      <c r="I135" s="37"/>
      <c r="J135" s="35"/>
    </row>
    <row r="136" spans="9:10" x14ac:dyDescent="0.25">
      <c r="I136" s="37"/>
      <c r="J136" s="35"/>
    </row>
    <row r="137" spans="9:10" x14ac:dyDescent="0.25">
      <c r="I137" s="37"/>
      <c r="J137" s="35"/>
    </row>
    <row r="138" spans="9:10" x14ac:dyDescent="0.25">
      <c r="I138" s="37"/>
      <c r="J138" s="35"/>
    </row>
    <row r="139" spans="9:10" x14ac:dyDescent="0.25">
      <c r="I139" s="37"/>
      <c r="J139" s="35"/>
    </row>
    <row r="140" spans="9:10" x14ac:dyDescent="0.25">
      <c r="I140" s="37"/>
      <c r="J140" s="35"/>
    </row>
    <row r="141" spans="9:10" x14ac:dyDescent="0.25">
      <c r="I141" s="37"/>
      <c r="J141" s="35"/>
    </row>
    <row r="142" spans="9:10" x14ac:dyDescent="0.25">
      <c r="I142" s="37"/>
      <c r="J142" s="35"/>
    </row>
    <row r="143" spans="9:10" x14ac:dyDescent="0.25">
      <c r="I143" s="37"/>
      <c r="J143" s="35"/>
    </row>
    <row r="144" spans="9:10" x14ac:dyDescent="0.25">
      <c r="I144" s="37"/>
      <c r="J144" s="35"/>
    </row>
    <row r="145" spans="9:10" x14ac:dyDescent="0.25">
      <c r="I145" s="37"/>
      <c r="J145" s="35"/>
    </row>
    <row r="146" spans="9:10" x14ac:dyDescent="0.25">
      <c r="I146" s="37"/>
      <c r="J146" s="35"/>
    </row>
    <row r="147" spans="9:10" x14ac:dyDescent="0.25">
      <c r="I147" s="37"/>
      <c r="J147" s="35"/>
    </row>
    <row r="148" spans="9:10" x14ac:dyDescent="0.25">
      <c r="I148" s="37"/>
      <c r="J148" s="35"/>
    </row>
    <row r="149" spans="9:10" x14ac:dyDescent="0.25">
      <c r="I149" s="37"/>
      <c r="J149" s="35"/>
    </row>
    <row r="150" spans="9:10" x14ac:dyDescent="0.25">
      <c r="I150" s="37"/>
      <c r="J150" s="35"/>
    </row>
    <row r="151" spans="9:10" x14ac:dyDescent="0.25">
      <c r="I151" s="37"/>
      <c r="J151" s="35"/>
    </row>
    <row r="152" spans="9:10" x14ac:dyDescent="0.25">
      <c r="I152" s="37"/>
      <c r="J152" s="35"/>
    </row>
    <row r="153" spans="9:10" x14ac:dyDescent="0.25">
      <c r="I153" s="37"/>
      <c r="J153" s="35"/>
    </row>
    <row r="154" spans="9:10" x14ac:dyDescent="0.25">
      <c r="I154" s="37"/>
      <c r="J154" s="35"/>
    </row>
    <row r="155" spans="9:10" x14ac:dyDescent="0.25">
      <c r="I155" s="37"/>
      <c r="J155" s="35"/>
    </row>
    <row r="156" spans="9:10" x14ac:dyDescent="0.25">
      <c r="I156" s="37"/>
      <c r="J156" s="35"/>
    </row>
    <row r="157" spans="9:10" x14ac:dyDescent="0.25">
      <c r="I157" s="37"/>
      <c r="J157" s="35"/>
    </row>
    <row r="158" spans="9:10" x14ac:dyDescent="0.25">
      <c r="I158" s="37"/>
      <c r="J158" s="35"/>
    </row>
    <row r="159" spans="9:10" x14ac:dyDescent="0.25">
      <c r="I159" s="37"/>
      <c r="J159" s="35"/>
    </row>
    <row r="160" spans="9:10" x14ac:dyDescent="0.25">
      <c r="I160" s="37"/>
      <c r="J160" s="35"/>
    </row>
    <row r="161" spans="9:10" x14ac:dyDescent="0.25">
      <c r="I161" s="37"/>
      <c r="J161" s="35"/>
    </row>
    <row r="162" spans="9:10" x14ac:dyDescent="0.25">
      <c r="I162" s="37"/>
      <c r="J162" s="35"/>
    </row>
    <row r="163" spans="9:10" x14ac:dyDescent="0.25">
      <c r="I163" s="37"/>
      <c r="J163" s="35"/>
    </row>
    <row r="164" spans="9:10" x14ac:dyDescent="0.25">
      <c r="I164" s="37"/>
      <c r="J164" s="35"/>
    </row>
    <row r="165" spans="9:10" x14ac:dyDescent="0.25">
      <c r="I165" s="37"/>
      <c r="J165" s="35"/>
    </row>
    <row r="166" spans="9:10" x14ac:dyDescent="0.25">
      <c r="I166" s="37"/>
      <c r="J166" s="35"/>
    </row>
    <row r="167" spans="9:10" x14ac:dyDescent="0.25">
      <c r="I167" s="37"/>
      <c r="J167" s="35"/>
    </row>
    <row r="168" spans="9:10" x14ac:dyDescent="0.25">
      <c r="I168" s="37"/>
      <c r="J168" s="35"/>
    </row>
    <row r="169" spans="9:10" x14ac:dyDescent="0.25">
      <c r="I169" s="37"/>
      <c r="J169" s="35"/>
    </row>
    <row r="170" spans="9:10" x14ac:dyDescent="0.25">
      <c r="I170" s="37"/>
      <c r="J170" s="35"/>
    </row>
    <row r="171" spans="9:10" x14ac:dyDescent="0.25">
      <c r="I171" s="37"/>
      <c r="J171" s="35"/>
    </row>
    <row r="172" spans="9:10" x14ac:dyDescent="0.25">
      <c r="I172" s="37"/>
      <c r="J172" s="35"/>
    </row>
    <row r="173" spans="9:10" x14ac:dyDescent="0.25">
      <c r="I173" s="37"/>
      <c r="J173" s="35"/>
    </row>
    <row r="174" spans="9:10" x14ac:dyDescent="0.25">
      <c r="I174" s="37"/>
      <c r="J174" s="35"/>
    </row>
    <row r="175" spans="9:10" x14ac:dyDescent="0.25">
      <c r="I175" s="37"/>
      <c r="J175" s="35"/>
    </row>
    <row r="176" spans="9:10" x14ac:dyDescent="0.25">
      <c r="I176" s="37"/>
      <c r="J176" s="35"/>
    </row>
    <row r="177" spans="9:10" x14ac:dyDescent="0.25">
      <c r="I177" s="37"/>
      <c r="J177" s="35"/>
    </row>
    <row r="178" spans="9:10" x14ac:dyDescent="0.25">
      <c r="I178" s="37"/>
      <c r="J178" s="35"/>
    </row>
    <row r="179" spans="9:10" x14ac:dyDescent="0.25">
      <c r="I179" s="37"/>
      <c r="J179" s="35"/>
    </row>
    <row r="180" spans="9:10" x14ac:dyDescent="0.25">
      <c r="I180" s="37"/>
      <c r="J180" s="35"/>
    </row>
    <row r="181" spans="9:10" x14ac:dyDescent="0.25">
      <c r="I181" s="37"/>
      <c r="J181" s="35"/>
    </row>
    <row r="182" spans="9:10" x14ac:dyDescent="0.25">
      <c r="I182" s="37"/>
      <c r="J182" s="35"/>
    </row>
    <row r="183" spans="9:10" x14ac:dyDescent="0.25">
      <c r="I183" s="37"/>
      <c r="J183" s="35"/>
    </row>
    <row r="184" spans="9:10" x14ac:dyDescent="0.25">
      <c r="I184" s="37"/>
      <c r="J184" s="35"/>
    </row>
    <row r="185" spans="9:10" x14ac:dyDescent="0.25">
      <c r="I185" s="37"/>
      <c r="J185" s="35"/>
    </row>
    <row r="186" spans="9:10" x14ac:dyDescent="0.25">
      <c r="I186" s="37"/>
      <c r="J186" s="35"/>
    </row>
    <row r="187" spans="9:10" x14ac:dyDescent="0.25">
      <c r="I187" s="37"/>
      <c r="J187" s="35"/>
    </row>
    <row r="188" spans="9:10" x14ac:dyDescent="0.25">
      <c r="I188" s="37"/>
      <c r="J188" s="35"/>
    </row>
    <row r="189" spans="9:10" x14ac:dyDescent="0.25">
      <c r="I189" s="37"/>
      <c r="J189" s="35"/>
    </row>
    <row r="190" spans="9:10" x14ac:dyDescent="0.25">
      <c r="I190" s="37"/>
      <c r="J190" s="35"/>
    </row>
    <row r="191" spans="9:10" x14ac:dyDescent="0.25">
      <c r="I191" s="37"/>
      <c r="J191" s="35"/>
    </row>
    <row r="192" spans="9:10" x14ac:dyDescent="0.25">
      <c r="I192" s="37"/>
      <c r="J192" s="35"/>
    </row>
    <row r="193" spans="9:10" x14ac:dyDescent="0.25">
      <c r="I193" s="37"/>
      <c r="J193" s="35"/>
    </row>
    <row r="194" spans="9:10" x14ac:dyDescent="0.25">
      <c r="I194" s="37"/>
      <c r="J194" s="35"/>
    </row>
    <row r="195" spans="9:10" x14ac:dyDescent="0.25">
      <c r="I195" s="37"/>
      <c r="J195" s="35"/>
    </row>
    <row r="196" spans="9:10" x14ac:dyDescent="0.25">
      <c r="I196" s="37"/>
      <c r="J196" s="35"/>
    </row>
    <row r="197" spans="9:10" x14ac:dyDescent="0.25">
      <c r="I197" s="37"/>
      <c r="J197" s="35"/>
    </row>
    <row r="198" spans="9:10" x14ac:dyDescent="0.25">
      <c r="I198" s="37"/>
      <c r="J198" s="35"/>
    </row>
    <row r="199" spans="9:10" x14ac:dyDescent="0.25">
      <c r="I199" s="37"/>
      <c r="J199" s="35"/>
    </row>
    <row r="200" spans="9:10" x14ac:dyDescent="0.25">
      <c r="I200" s="37"/>
      <c r="J200" s="35"/>
    </row>
    <row r="201" spans="9:10" x14ac:dyDescent="0.25">
      <c r="I201" s="37"/>
      <c r="J201" s="35"/>
    </row>
    <row r="202" spans="9:10" x14ac:dyDescent="0.25">
      <c r="I202" s="37"/>
      <c r="J202" s="35"/>
    </row>
    <row r="203" spans="9:10" x14ac:dyDescent="0.25">
      <c r="I203" s="37"/>
      <c r="J203" s="35"/>
    </row>
    <row r="204" spans="9:10" x14ac:dyDescent="0.25">
      <c r="I204" s="37"/>
      <c r="J204" s="35"/>
    </row>
    <row r="205" spans="9:10" x14ac:dyDescent="0.25">
      <c r="I205" s="37"/>
      <c r="J205" s="35"/>
    </row>
    <row r="206" spans="9:10" x14ac:dyDescent="0.25">
      <c r="I206" s="37"/>
      <c r="J206" s="35"/>
    </row>
    <row r="207" spans="9:10" x14ac:dyDescent="0.25">
      <c r="I207" s="37"/>
      <c r="J207" s="35"/>
    </row>
    <row r="208" spans="9:10" x14ac:dyDescent="0.25">
      <c r="I208" s="37"/>
      <c r="J208" s="35"/>
    </row>
    <row r="209" spans="9:10" x14ac:dyDescent="0.25">
      <c r="I209" s="37"/>
      <c r="J209" s="35"/>
    </row>
    <row r="210" spans="9:10" x14ac:dyDescent="0.25">
      <c r="I210" s="37"/>
      <c r="J210" s="35"/>
    </row>
    <row r="211" spans="9:10" x14ac:dyDescent="0.25">
      <c r="I211" s="37"/>
      <c r="J211" s="35"/>
    </row>
    <row r="212" spans="9:10" x14ac:dyDescent="0.25">
      <c r="I212" s="37"/>
      <c r="J212" s="35"/>
    </row>
    <row r="213" spans="9:10" x14ac:dyDescent="0.25">
      <c r="I213" s="37"/>
      <c r="J213" s="35"/>
    </row>
    <row r="214" spans="9:10" x14ac:dyDescent="0.25">
      <c r="I214" s="37"/>
      <c r="J214" s="35"/>
    </row>
    <row r="215" spans="9:10" x14ac:dyDescent="0.25">
      <c r="I215" s="37"/>
      <c r="J215" s="35"/>
    </row>
    <row r="216" spans="9:10" x14ac:dyDescent="0.25">
      <c r="I216" s="37"/>
      <c r="J216" s="35"/>
    </row>
    <row r="217" spans="9:10" x14ac:dyDescent="0.25">
      <c r="I217" s="37"/>
      <c r="J217" s="35"/>
    </row>
    <row r="218" spans="9:10" x14ac:dyDescent="0.25">
      <c r="I218" s="37"/>
      <c r="J218" s="35"/>
    </row>
    <row r="219" spans="9:10" x14ac:dyDescent="0.25">
      <c r="I219" s="37"/>
      <c r="J219" s="35"/>
    </row>
    <row r="220" spans="9:10" x14ac:dyDescent="0.25">
      <c r="I220" s="37"/>
      <c r="J220" s="35"/>
    </row>
    <row r="221" spans="9:10" x14ac:dyDescent="0.25">
      <c r="I221" s="37"/>
      <c r="J221" s="35"/>
    </row>
    <row r="222" spans="9:10" x14ac:dyDescent="0.25">
      <c r="I222" s="37"/>
      <c r="J222" s="35"/>
    </row>
    <row r="223" spans="9:10" x14ac:dyDescent="0.25">
      <c r="I223" s="37"/>
      <c r="J223" s="35"/>
    </row>
    <row r="224" spans="9:10" x14ac:dyDescent="0.25">
      <c r="I224" s="37"/>
      <c r="J224" s="35"/>
    </row>
    <row r="225" spans="9:10" x14ac:dyDescent="0.25">
      <c r="I225" s="37"/>
      <c r="J225" s="35"/>
    </row>
    <row r="226" spans="9:10" x14ac:dyDescent="0.25">
      <c r="I226" s="37"/>
      <c r="J226" s="35"/>
    </row>
    <row r="227" spans="9:10" x14ac:dyDescent="0.25">
      <c r="I227" s="37"/>
      <c r="J227" s="35"/>
    </row>
    <row r="228" spans="9:10" x14ac:dyDescent="0.25">
      <c r="I228" s="37"/>
      <c r="J228" s="35"/>
    </row>
    <row r="229" spans="9:10" x14ac:dyDescent="0.25">
      <c r="I229" s="37"/>
      <c r="J229" s="35"/>
    </row>
    <row r="230" spans="9:10" x14ac:dyDescent="0.25">
      <c r="I230" s="37"/>
      <c r="J230" s="35"/>
    </row>
    <row r="231" spans="9:10" x14ac:dyDescent="0.25">
      <c r="I231" s="37"/>
      <c r="J231" s="35"/>
    </row>
    <row r="232" spans="9:10" x14ac:dyDescent="0.25">
      <c r="I232" s="37"/>
      <c r="J232" s="35"/>
    </row>
    <row r="233" spans="9:10" x14ac:dyDescent="0.25">
      <c r="I233" s="37"/>
      <c r="J233" s="35"/>
    </row>
    <row r="234" spans="9:10" x14ac:dyDescent="0.25">
      <c r="I234" s="37"/>
      <c r="J234" s="35"/>
    </row>
    <row r="235" spans="9:10" x14ac:dyDescent="0.25">
      <c r="I235" s="37"/>
      <c r="J235" s="35"/>
    </row>
    <row r="236" spans="9:10" x14ac:dyDescent="0.25">
      <c r="I236" s="37"/>
      <c r="J236" s="35"/>
    </row>
    <row r="237" spans="9:10" x14ac:dyDescent="0.25">
      <c r="I237" s="37"/>
      <c r="J237" s="35"/>
    </row>
    <row r="238" spans="9:10" x14ac:dyDescent="0.25">
      <c r="I238" s="37"/>
      <c r="J238" s="35"/>
    </row>
    <row r="239" spans="9:10" x14ac:dyDescent="0.25">
      <c r="I239" s="37"/>
      <c r="J239" s="35"/>
    </row>
    <row r="240" spans="9:10" x14ac:dyDescent="0.25">
      <c r="I240" s="37"/>
      <c r="J240" s="35"/>
    </row>
    <row r="241" spans="9:10" x14ac:dyDescent="0.25">
      <c r="I241" s="37"/>
      <c r="J241" s="35"/>
    </row>
    <row r="242" spans="9:10" x14ac:dyDescent="0.25">
      <c r="I242" s="37"/>
      <c r="J242" s="35"/>
    </row>
    <row r="243" spans="9:10" x14ac:dyDescent="0.25">
      <c r="I243" s="37"/>
      <c r="J243" s="35"/>
    </row>
    <row r="244" spans="9:10" x14ac:dyDescent="0.25">
      <c r="I244" s="37"/>
      <c r="J244" s="35"/>
    </row>
    <row r="245" spans="9:10" x14ac:dyDescent="0.25">
      <c r="I245" s="37"/>
      <c r="J245" s="35"/>
    </row>
    <row r="246" spans="9:10" x14ac:dyDescent="0.25">
      <c r="I246" s="37"/>
      <c r="J246" s="35"/>
    </row>
    <row r="247" spans="9:10" x14ac:dyDescent="0.25">
      <c r="I247" s="37"/>
      <c r="J247" s="35"/>
    </row>
    <row r="248" spans="9:10" x14ac:dyDescent="0.25">
      <c r="I248" s="37"/>
      <c r="J248" s="35"/>
    </row>
    <row r="249" spans="9:10" x14ac:dyDescent="0.25">
      <c r="I249" s="37"/>
      <c r="J249" s="35"/>
    </row>
    <row r="250" spans="9:10" x14ac:dyDescent="0.25">
      <c r="I250" s="37"/>
      <c r="J250" s="35"/>
    </row>
    <row r="251" spans="9:10" x14ac:dyDescent="0.25">
      <c r="I251" s="37"/>
      <c r="J251" s="35"/>
    </row>
    <row r="252" spans="9:10" x14ac:dyDescent="0.25">
      <c r="I252" s="37"/>
      <c r="J252" s="35"/>
    </row>
    <row r="253" spans="9:10" x14ac:dyDescent="0.25">
      <c r="I253" s="37"/>
      <c r="J253" s="35"/>
    </row>
    <row r="254" spans="9:10" x14ac:dyDescent="0.25">
      <c r="I254" s="37"/>
      <c r="J254" s="35"/>
    </row>
    <row r="255" spans="9:10" x14ac:dyDescent="0.25">
      <c r="I255" s="37"/>
      <c r="J255" s="35"/>
    </row>
    <row r="256" spans="9:10" x14ac:dyDescent="0.25">
      <c r="I256" s="37"/>
      <c r="J256" s="35"/>
    </row>
    <row r="257" spans="9:10" x14ac:dyDescent="0.25">
      <c r="I257" s="37"/>
      <c r="J257" s="35"/>
    </row>
    <row r="258" spans="9:10" x14ac:dyDescent="0.25">
      <c r="I258" s="37"/>
      <c r="J258" s="35"/>
    </row>
    <row r="259" spans="9:10" x14ac:dyDescent="0.25">
      <c r="I259" s="37"/>
      <c r="J259" s="35"/>
    </row>
    <row r="260" spans="9:10" x14ac:dyDescent="0.25">
      <c r="I260" s="37"/>
      <c r="J260" s="35"/>
    </row>
    <row r="261" spans="9:10" x14ac:dyDescent="0.25">
      <c r="I261" s="37"/>
      <c r="J261" s="35"/>
    </row>
    <row r="262" spans="9:10" x14ac:dyDescent="0.25">
      <c r="I262" s="37"/>
      <c r="J262" s="35"/>
    </row>
    <row r="263" spans="9:10" x14ac:dyDescent="0.25">
      <c r="I263" s="37"/>
      <c r="J263" s="35"/>
    </row>
    <row r="264" spans="9:10" x14ac:dyDescent="0.25">
      <c r="I264" s="37"/>
      <c r="J264" s="35"/>
    </row>
    <row r="265" spans="9:10" x14ac:dyDescent="0.25">
      <c r="I265" s="37"/>
      <c r="J265" s="35"/>
    </row>
    <row r="266" spans="9:10" x14ac:dyDescent="0.25">
      <c r="I266" s="37"/>
      <c r="J266" s="35"/>
    </row>
    <row r="267" spans="9:10" x14ac:dyDescent="0.25">
      <c r="I267" s="37"/>
      <c r="J267" s="35"/>
    </row>
    <row r="268" spans="9:10" x14ac:dyDescent="0.25">
      <c r="I268" s="37"/>
      <c r="J268" s="35"/>
    </row>
    <row r="269" spans="9:10" x14ac:dyDescent="0.25">
      <c r="I269" s="37"/>
      <c r="J269" s="35"/>
    </row>
    <row r="270" spans="9:10" x14ac:dyDescent="0.25">
      <c r="I270" s="37"/>
      <c r="J270" s="35"/>
    </row>
    <row r="271" spans="9:10" x14ac:dyDescent="0.25">
      <c r="I271" s="37"/>
      <c r="J271" s="35"/>
    </row>
    <row r="272" spans="9:10" x14ac:dyDescent="0.25">
      <c r="I272" s="37"/>
      <c r="J272" s="35"/>
    </row>
    <row r="273" spans="9:10" x14ac:dyDescent="0.25">
      <c r="I273" s="37"/>
      <c r="J273" s="35"/>
    </row>
    <row r="274" spans="9:10" x14ac:dyDescent="0.25">
      <c r="I274" s="37"/>
      <c r="J274" s="35"/>
    </row>
    <row r="275" spans="9:10" x14ac:dyDescent="0.25">
      <c r="I275" s="37"/>
      <c r="J275" s="35"/>
    </row>
    <row r="276" spans="9:10" x14ac:dyDescent="0.25">
      <c r="I276" s="37"/>
      <c r="J276" s="35"/>
    </row>
    <row r="277" spans="9:10" x14ac:dyDescent="0.25">
      <c r="I277" s="37"/>
      <c r="J277" s="35"/>
    </row>
    <row r="278" spans="9:10" x14ac:dyDescent="0.25">
      <c r="I278" s="37"/>
      <c r="J278" s="35"/>
    </row>
    <row r="279" spans="9:10" x14ac:dyDescent="0.25">
      <c r="I279" s="37"/>
      <c r="J279" s="35"/>
    </row>
    <row r="280" spans="9:10" x14ac:dyDescent="0.25">
      <c r="I280" s="37"/>
      <c r="J280" s="35"/>
    </row>
    <row r="281" spans="9:10" x14ac:dyDescent="0.25">
      <c r="I281" s="37"/>
      <c r="J281" s="35"/>
    </row>
    <row r="282" spans="9:10" x14ac:dyDescent="0.25">
      <c r="I282" s="37"/>
      <c r="J282" s="35"/>
    </row>
    <row r="283" spans="9:10" x14ac:dyDescent="0.25">
      <c r="I283" s="37"/>
      <c r="J283" s="35"/>
    </row>
    <row r="284" spans="9:10" x14ac:dyDescent="0.25">
      <c r="I284" s="37"/>
      <c r="J284" s="35"/>
    </row>
    <row r="285" spans="9:10" x14ac:dyDescent="0.25">
      <c r="I285" s="37"/>
      <c r="J285" s="35"/>
    </row>
    <row r="286" spans="9:10" x14ac:dyDescent="0.25">
      <c r="I286" s="37"/>
      <c r="J286" s="35"/>
    </row>
    <row r="287" spans="9:10" x14ac:dyDescent="0.25">
      <c r="I287" s="37"/>
      <c r="J287" s="35"/>
    </row>
    <row r="288" spans="9:10" x14ac:dyDescent="0.25">
      <c r="I288" s="37"/>
      <c r="J288" s="35"/>
    </row>
    <row r="289" spans="9:10" x14ac:dyDescent="0.25">
      <c r="I289" s="37"/>
      <c r="J289" s="35"/>
    </row>
    <row r="290" spans="9:10" x14ac:dyDescent="0.25">
      <c r="I290" s="37"/>
      <c r="J290" s="35"/>
    </row>
    <row r="291" spans="9:10" x14ac:dyDescent="0.25">
      <c r="I291" s="37"/>
      <c r="J291" s="35"/>
    </row>
    <row r="292" spans="9:10" x14ac:dyDescent="0.25">
      <c r="I292" s="37"/>
      <c r="J292" s="35"/>
    </row>
    <row r="293" spans="9:10" x14ac:dyDescent="0.25">
      <c r="I293" s="37"/>
      <c r="J293" s="35"/>
    </row>
    <row r="294" spans="9:10" x14ac:dyDescent="0.25">
      <c r="I294" s="37"/>
      <c r="J294" s="35"/>
    </row>
    <row r="295" spans="9:10" x14ac:dyDescent="0.25">
      <c r="I295" s="37"/>
      <c r="J295" s="35"/>
    </row>
    <row r="296" spans="9:10" x14ac:dyDescent="0.25">
      <c r="I296" s="37"/>
      <c r="J296" s="35"/>
    </row>
    <row r="297" spans="9:10" x14ac:dyDescent="0.25">
      <c r="I297" s="37"/>
      <c r="J297" s="35"/>
    </row>
    <row r="298" spans="9:10" x14ac:dyDescent="0.25">
      <c r="I298" s="37"/>
      <c r="J298" s="35"/>
    </row>
    <row r="299" spans="9:10" x14ac:dyDescent="0.25">
      <c r="I299" s="37"/>
      <c r="J299" s="35"/>
    </row>
    <row r="300" spans="9:10" x14ac:dyDescent="0.25">
      <c r="I300" s="37"/>
      <c r="J300" s="35"/>
    </row>
    <row r="301" spans="9:10" x14ac:dyDescent="0.25">
      <c r="I301" s="37"/>
      <c r="J301" s="35"/>
    </row>
    <row r="302" spans="9:10" x14ac:dyDescent="0.25">
      <c r="I302" s="37"/>
      <c r="J302" s="35"/>
    </row>
    <row r="303" spans="9:10" x14ac:dyDescent="0.25">
      <c r="I303" s="37"/>
      <c r="J303" s="35"/>
    </row>
    <row r="304" spans="9:10" x14ac:dyDescent="0.25">
      <c r="I304" s="37"/>
      <c r="J304" s="35"/>
    </row>
    <row r="305" spans="9:12" x14ac:dyDescent="0.25">
      <c r="I305" s="37"/>
      <c r="J305" s="35"/>
    </row>
    <row r="306" spans="9:12" x14ac:dyDescent="0.25">
      <c r="I306" s="37"/>
      <c r="J306" s="35"/>
    </row>
    <row r="307" spans="9:12" x14ac:dyDescent="0.25">
      <c r="I307" s="37"/>
      <c r="J307" s="35"/>
    </row>
    <row r="308" spans="9:12" x14ac:dyDescent="0.25">
      <c r="I308" s="37"/>
      <c r="J308" s="35"/>
    </row>
    <row r="309" spans="9:12" x14ac:dyDescent="0.25">
      <c r="I309" s="37"/>
      <c r="J309" s="35"/>
    </row>
    <row r="310" spans="9:12" x14ac:dyDescent="0.25">
      <c r="I310" s="37"/>
      <c r="J310" s="35"/>
    </row>
    <row r="311" spans="9:12" x14ac:dyDescent="0.25">
      <c r="I311" s="37"/>
      <c r="J311" s="35"/>
    </row>
    <row r="312" spans="9:12" x14ac:dyDescent="0.25">
      <c r="I312" s="37"/>
      <c r="J312" s="35"/>
      <c r="L312" s="36"/>
    </row>
    <row r="313" spans="9:12" x14ac:dyDescent="0.25">
      <c r="I313" s="37"/>
      <c r="J313" s="35"/>
    </row>
    <row r="314" spans="9:12" x14ac:dyDescent="0.25">
      <c r="I314" s="37"/>
      <c r="J314" s="35"/>
    </row>
    <row r="315" spans="9:12" x14ac:dyDescent="0.25">
      <c r="I315" s="37"/>
      <c r="J315" s="35"/>
    </row>
    <row r="316" spans="9:12" x14ac:dyDescent="0.25">
      <c r="I316" s="37"/>
      <c r="J316" s="35"/>
    </row>
    <row r="317" spans="9:12" x14ac:dyDescent="0.25">
      <c r="I317" s="37"/>
      <c r="J317" s="35"/>
    </row>
    <row r="318" spans="9:12" x14ac:dyDescent="0.25">
      <c r="I318" s="37"/>
      <c r="J318" s="35"/>
    </row>
    <row r="319" spans="9:12" x14ac:dyDescent="0.25">
      <c r="I319" s="37"/>
      <c r="J319" s="35"/>
    </row>
    <row r="320" spans="9:12" x14ac:dyDescent="0.25">
      <c r="I320" s="37"/>
      <c r="J320" s="35"/>
    </row>
    <row r="321" spans="9:10" x14ac:dyDescent="0.25">
      <c r="I321" s="37"/>
      <c r="J321" s="35"/>
    </row>
    <row r="322" spans="9:10" x14ac:dyDescent="0.25">
      <c r="I322" s="37"/>
      <c r="J322" s="35"/>
    </row>
    <row r="323" spans="9:10" x14ac:dyDescent="0.25">
      <c r="I323" s="37"/>
      <c r="J323" s="35"/>
    </row>
    <row r="324" spans="9:10" x14ac:dyDescent="0.25">
      <c r="I324" s="37"/>
      <c r="J324" s="35"/>
    </row>
    <row r="325" spans="9:10" x14ac:dyDescent="0.25">
      <c r="I325" s="37"/>
      <c r="J325" s="35"/>
    </row>
    <row r="326" spans="9:10" x14ac:dyDescent="0.25">
      <c r="I326" s="37"/>
      <c r="J326" s="35"/>
    </row>
    <row r="327" spans="9:10" x14ac:dyDescent="0.25">
      <c r="I327" s="37"/>
      <c r="J327" s="35"/>
    </row>
    <row r="328" spans="9:10" x14ac:dyDescent="0.25">
      <c r="I328" s="37"/>
      <c r="J328" s="35"/>
    </row>
    <row r="329" spans="9:10" x14ac:dyDescent="0.25">
      <c r="I329" s="37"/>
      <c r="J329" s="35"/>
    </row>
    <row r="330" spans="9:10" x14ac:dyDescent="0.25">
      <c r="I330" s="37"/>
      <c r="J330" s="35"/>
    </row>
    <row r="331" spans="9:10" x14ac:dyDescent="0.25">
      <c r="I331" s="37"/>
      <c r="J331" s="35"/>
    </row>
    <row r="332" spans="9:10" x14ac:dyDescent="0.25">
      <c r="I332" s="37"/>
      <c r="J332" s="35"/>
    </row>
    <row r="333" spans="9:10" x14ac:dyDescent="0.25">
      <c r="I333" s="37"/>
      <c r="J333" s="35"/>
    </row>
    <row r="334" spans="9:10" x14ac:dyDescent="0.25">
      <c r="I334" s="37"/>
      <c r="J334" s="35"/>
    </row>
    <row r="335" spans="9:10" x14ac:dyDescent="0.25">
      <c r="I335" s="37"/>
      <c r="J335" s="35"/>
    </row>
    <row r="336" spans="9:10" x14ac:dyDescent="0.25">
      <c r="I336" s="37"/>
      <c r="J336" s="35"/>
    </row>
    <row r="337" spans="9:10" x14ac:dyDescent="0.25">
      <c r="I337" s="37"/>
      <c r="J337" s="35"/>
    </row>
    <row r="338" spans="9:10" x14ac:dyDescent="0.25">
      <c r="I338" s="37"/>
      <c r="J338" s="35"/>
    </row>
    <row r="339" spans="9:10" x14ac:dyDescent="0.25">
      <c r="I339" s="37"/>
      <c r="J339" s="35"/>
    </row>
    <row r="340" spans="9:10" x14ac:dyDescent="0.25">
      <c r="I340" s="37"/>
      <c r="J340" s="35"/>
    </row>
    <row r="341" spans="9:10" x14ac:dyDescent="0.25">
      <c r="I341" s="37"/>
      <c r="J341" s="35"/>
    </row>
    <row r="342" spans="9:10" x14ac:dyDescent="0.25">
      <c r="I342" s="37"/>
      <c r="J342" s="35"/>
    </row>
    <row r="343" spans="9:10" x14ac:dyDescent="0.25">
      <c r="I343" s="37"/>
      <c r="J343" s="35"/>
    </row>
    <row r="344" spans="9:10" x14ac:dyDescent="0.25">
      <c r="I344" s="37"/>
      <c r="J344" s="35"/>
    </row>
    <row r="345" spans="9:10" x14ac:dyDescent="0.25">
      <c r="I345" s="37"/>
      <c r="J345" s="35"/>
    </row>
    <row r="346" spans="9:10" x14ac:dyDescent="0.25">
      <c r="I346" s="37"/>
      <c r="J346" s="35"/>
    </row>
    <row r="347" spans="9:10" x14ac:dyDescent="0.25">
      <c r="I347" s="37"/>
      <c r="J347" s="35"/>
    </row>
    <row r="348" spans="9:10" x14ac:dyDescent="0.25">
      <c r="I348" s="37"/>
      <c r="J348" s="35"/>
    </row>
    <row r="349" spans="9:10" x14ac:dyDescent="0.25">
      <c r="I349" s="37"/>
      <c r="J349" s="35"/>
    </row>
    <row r="350" spans="9:10" x14ac:dyDescent="0.25">
      <c r="I350" s="37"/>
      <c r="J350" s="35"/>
    </row>
    <row r="351" spans="9:10" x14ac:dyDescent="0.25">
      <c r="I351" s="37"/>
      <c r="J351" s="35"/>
    </row>
    <row r="352" spans="9:10" x14ac:dyDescent="0.25">
      <c r="I352" s="37"/>
      <c r="J352" s="35"/>
    </row>
    <row r="353" spans="9:10" x14ac:dyDescent="0.25">
      <c r="I353" s="37"/>
      <c r="J353" s="35"/>
    </row>
    <row r="354" spans="9:10" x14ac:dyDescent="0.25">
      <c r="I354" s="37"/>
      <c r="J354" s="35"/>
    </row>
    <row r="355" spans="9:10" x14ac:dyDescent="0.25">
      <c r="I355" s="37"/>
      <c r="J355" s="35"/>
    </row>
    <row r="356" spans="9:10" x14ac:dyDescent="0.25">
      <c r="I356" s="37"/>
      <c r="J356" s="35"/>
    </row>
    <row r="357" spans="9:10" x14ac:dyDescent="0.25">
      <c r="I357" s="37"/>
      <c r="J357" s="35"/>
    </row>
    <row r="358" spans="9:10" x14ac:dyDescent="0.25">
      <c r="I358" s="37"/>
      <c r="J358" s="35"/>
    </row>
    <row r="359" spans="9:10" x14ac:dyDescent="0.25">
      <c r="I359" s="37"/>
      <c r="J359" s="35"/>
    </row>
    <row r="360" spans="9:10" x14ac:dyDescent="0.25">
      <c r="I360" s="37"/>
      <c r="J360" s="35"/>
    </row>
    <row r="361" spans="9:10" x14ac:dyDescent="0.25">
      <c r="I361" s="37"/>
      <c r="J361" s="35"/>
    </row>
    <row r="362" spans="9:10" x14ac:dyDescent="0.25">
      <c r="I362" s="37"/>
      <c r="J362" s="35"/>
    </row>
    <row r="363" spans="9:10" x14ac:dyDescent="0.25">
      <c r="I363" s="37"/>
      <c r="J363" s="35"/>
    </row>
    <row r="364" spans="9:10" x14ac:dyDescent="0.25">
      <c r="I364" s="37"/>
      <c r="J364" s="35"/>
    </row>
    <row r="365" spans="9:10" x14ac:dyDescent="0.25">
      <c r="I365" s="37"/>
      <c r="J365" s="35"/>
    </row>
    <row r="366" spans="9:10" x14ac:dyDescent="0.25">
      <c r="I366" s="37"/>
      <c r="J366" s="35"/>
    </row>
    <row r="367" spans="9:10" x14ac:dyDescent="0.25">
      <c r="I367" s="37"/>
      <c r="J367" s="35"/>
    </row>
    <row r="368" spans="9:10" x14ac:dyDescent="0.25">
      <c r="I368" s="37"/>
      <c r="J368" s="35"/>
    </row>
    <row r="369" spans="9:10" x14ac:dyDescent="0.25">
      <c r="I369" s="37"/>
      <c r="J369" s="35"/>
    </row>
    <row r="370" spans="9:10" x14ac:dyDescent="0.25">
      <c r="I370" s="37"/>
      <c r="J370" s="35"/>
    </row>
    <row r="371" spans="9:10" x14ac:dyDescent="0.25">
      <c r="I371" s="37"/>
      <c r="J371" s="35"/>
    </row>
    <row r="372" spans="9:10" x14ac:dyDescent="0.25">
      <c r="I372" s="37"/>
      <c r="J372" s="35"/>
    </row>
    <row r="373" spans="9:10" x14ac:dyDescent="0.25">
      <c r="I373" s="37"/>
      <c r="J373" s="35"/>
    </row>
    <row r="374" spans="9:10" x14ac:dyDescent="0.25">
      <c r="I374" s="37"/>
      <c r="J374" s="35"/>
    </row>
    <row r="375" spans="9:10" x14ac:dyDescent="0.25">
      <c r="I375" s="37"/>
      <c r="J375" s="35"/>
    </row>
    <row r="376" spans="9:10" x14ac:dyDescent="0.25">
      <c r="I376" s="37"/>
      <c r="J376" s="35"/>
    </row>
    <row r="377" spans="9:10" x14ac:dyDescent="0.25">
      <c r="I377" s="37"/>
      <c r="J377" s="35"/>
    </row>
    <row r="378" spans="9:10" x14ac:dyDescent="0.25">
      <c r="I378" s="37"/>
      <c r="J378" s="35"/>
    </row>
    <row r="379" spans="9:10" x14ac:dyDescent="0.25">
      <c r="I379" s="37"/>
      <c r="J379" s="35"/>
    </row>
    <row r="380" spans="9:10" x14ac:dyDescent="0.25">
      <c r="I380" s="37"/>
      <c r="J380" s="35"/>
    </row>
    <row r="381" spans="9:10" x14ac:dyDescent="0.25">
      <c r="I381" s="37"/>
      <c r="J381" s="35"/>
    </row>
    <row r="382" spans="9:10" x14ac:dyDescent="0.25">
      <c r="I382" s="37"/>
      <c r="J382" s="35"/>
    </row>
    <row r="383" spans="9:10" x14ac:dyDescent="0.25">
      <c r="I383" s="37"/>
      <c r="J383" s="35"/>
    </row>
    <row r="384" spans="9:10" x14ac:dyDescent="0.25">
      <c r="I384" s="37"/>
      <c r="J384" s="35"/>
    </row>
    <row r="385" spans="9:10" x14ac:dyDescent="0.25">
      <c r="I385" s="37"/>
      <c r="J385" s="35"/>
    </row>
    <row r="386" spans="9:10" x14ac:dyDescent="0.25">
      <c r="I386" s="37"/>
      <c r="J386" s="35"/>
    </row>
    <row r="387" spans="9:10" x14ac:dyDescent="0.25">
      <c r="I387" s="37"/>
      <c r="J387" s="35"/>
    </row>
    <row r="388" spans="9:10" x14ac:dyDescent="0.25">
      <c r="I388" s="37"/>
      <c r="J388" s="35"/>
    </row>
    <row r="389" spans="9:10" x14ac:dyDescent="0.25">
      <c r="I389" s="37"/>
      <c r="J389" s="35"/>
    </row>
    <row r="390" spans="9:10" x14ac:dyDescent="0.25">
      <c r="I390" s="37"/>
      <c r="J390" s="35"/>
    </row>
    <row r="391" spans="9:10" x14ac:dyDescent="0.25">
      <c r="I391" s="37"/>
      <c r="J391" s="35"/>
    </row>
    <row r="392" spans="9:10" x14ac:dyDescent="0.25">
      <c r="I392" s="37"/>
      <c r="J392" s="35"/>
    </row>
    <row r="393" spans="9:10" x14ac:dyDescent="0.25">
      <c r="I393" s="37"/>
      <c r="J393" s="35"/>
    </row>
    <row r="394" spans="9:10" x14ac:dyDescent="0.25">
      <c r="I394" s="37"/>
      <c r="J394" s="35"/>
    </row>
    <row r="395" spans="9:10" x14ac:dyDescent="0.25">
      <c r="I395" s="37"/>
      <c r="J395" s="35"/>
    </row>
    <row r="396" spans="9:10" x14ac:dyDescent="0.25">
      <c r="I396" s="37"/>
      <c r="J396" s="35"/>
    </row>
    <row r="397" spans="9:10" x14ac:dyDescent="0.25">
      <c r="I397" s="37"/>
      <c r="J397" s="35"/>
    </row>
    <row r="398" spans="9:10" x14ac:dyDescent="0.25">
      <c r="I398" s="37"/>
      <c r="J398" s="35"/>
    </row>
    <row r="399" spans="9:10" x14ac:dyDescent="0.25">
      <c r="I399" s="37"/>
      <c r="J399" s="35"/>
    </row>
    <row r="400" spans="9:10" x14ac:dyDescent="0.25">
      <c r="I400" s="37"/>
      <c r="J400" s="35"/>
    </row>
    <row r="401" spans="9:10" x14ac:dyDescent="0.25">
      <c r="I401" s="37"/>
      <c r="J401" s="35"/>
    </row>
    <row r="402" spans="9:10" x14ac:dyDescent="0.25">
      <c r="I402" s="37"/>
      <c r="J402" s="35"/>
    </row>
    <row r="403" spans="9:10" x14ac:dyDescent="0.25">
      <c r="I403" s="37"/>
      <c r="J403" s="35"/>
    </row>
    <row r="404" spans="9:10" x14ac:dyDescent="0.25">
      <c r="I404" s="37"/>
      <c r="J404" s="35"/>
    </row>
    <row r="405" spans="9:10" x14ac:dyDescent="0.25">
      <c r="I405" s="37"/>
      <c r="J405" s="35"/>
    </row>
    <row r="406" spans="9:10" x14ac:dyDescent="0.25">
      <c r="I406" s="37"/>
      <c r="J406" s="35"/>
    </row>
    <row r="407" spans="9:10" x14ac:dyDescent="0.25">
      <c r="I407" s="37"/>
      <c r="J407" s="35"/>
    </row>
    <row r="408" spans="9:10" x14ac:dyDescent="0.25">
      <c r="I408" s="37"/>
      <c r="J408" s="35"/>
    </row>
    <row r="409" spans="9:10" x14ac:dyDescent="0.25">
      <c r="I409" s="37"/>
      <c r="J409" s="35"/>
    </row>
    <row r="410" spans="9:10" x14ac:dyDescent="0.25">
      <c r="I410" s="37"/>
      <c r="J410" s="35"/>
    </row>
    <row r="411" spans="9:10" x14ac:dyDescent="0.25">
      <c r="I411" s="37"/>
      <c r="J411" s="35"/>
    </row>
    <row r="412" spans="9:10" x14ac:dyDescent="0.25">
      <c r="I412" s="37"/>
      <c r="J412" s="35"/>
    </row>
    <row r="413" spans="9:10" x14ac:dyDescent="0.25">
      <c r="I413" s="37"/>
      <c r="J413" s="35"/>
    </row>
    <row r="414" spans="9:10" x14ac:dyDescent="0.25">
      <c r="I414" s="37"/>
      <c r="J414" s="35"/>
    </row>
    <row r="415" spans="9:10" x14ac:dyDescent="0.25">
      <c r="I415" s="37"/>
      <c r="J415" s="35"/>
    </row>
    <row r="416" spans="9:10" x14ac:dyDescent="0.25">
      <c r="I416" s="37"/>
      <c r="J416" s="35"/>
    </row>
    <row r="417" spans="9:10" x14ac:dyDescent="0.25">
      <c r="I417" s="37"/>
      <c r="J417" s="35"/>
    </row>
    <row r="418" spans="9:10" x14ac:dyDescent="0.25">
      <c r="I418" s="37"/>
      <c r="J418" s="35"/>
    </row>
    <row r="419" spans="9:10" x14ac:dyDescent="0.25">
      <c r="I419" s="37"/>
      <c r="J419" s="35"/>
    </row>
    <row r="420" spans="9:10" x14ac:dyDescent="0.25">
      <c r="I420" s="37"/>
      <c r="J420" s="35"/>
    </row>
    <row r="421" spans="9:10" x14ac:dyDescent="0.25">
      <c r="I421" s="37"/>
      <c r="J421" s="35"/>
    </row>
    <row r="422" spans="9:10" x14ac:dyDescent="0.25">
      <c r="I422" s="37"/>
      <c r="J422" s="35"/>
    </row>
    <row r="423" spans="9:10" x14ac:dyDescent="0.25">
      <c r="I423" s="37"/>
      <c r="J423" s="35"/>
    </row>
    <row r="424" spans="9:10" x14ac:dyDescent="0.25">
      <c r="I424" s="37"/>
      <c r="J424" s="35"/>
    </row>
    <row r="425" spans="9:10" x14ac:dyDescent="0.25">
      <c r="I425" s="37"/>
      <c r="J425" s="35"/>
    </row>
    <row r="426" spans="9:10" x14ac:dyDescent="0.25">
      <c r="I426" s="37"/>
      <c r="J426" s="35"/>
    </row>
    <row r="427" spans="9:10" x14ac:dyDescent="0.25">
      <c r="I427" s="37"/>
      <c r="J427" s="35"/>
    </row>
    <row r="428" spans="9:10" x14ac:dyDescent="0.25">
      <c r="I428" s="37"/>
      <c r="J428" s="35"/>
    </row>
    <row r="429" spans="9:10" x14ac:dyDescent="0.25">
      <c r="I429" s="37"/>
      <c r="J429" s="35"/>
    </row>
    <row r="430" spans="9:10" x14ac:dyDescent="0.25">
      <c r="I430" s="37"/>
      <c r="J430" s="35"/>
    </row>
    <row r="431" spans="9:10" x14ac:dyDescent="0.25">
      <c r="I431" s="37"/>
      <c r="J431" s="35"/>
    </row>
    <row r="432" spans="9:10" x14ac:dyDescent="0.25">
      <c r="I432" s="37"/>
      <c r="J432" s="35"/>
    </row>
    <row r="433" spans="9:10" x14ac:dyDescent="0.25">
      <c r="I433" s="37"/>
      <c r="J433" s="35"/>
    </row>
    <row r="434" spans="9:10" x14ac:dyDescent="0.25">
      <c r="I434" s="37"/>
      <c r="J434" s="35"/>
    </row>
    <row r="435" spans="9:10" x14ac:dyDescent="0.25">
      <c r="I435" s="37"/>
      <c r="J435" s="35"/>
    </row>
    <row r="436" spans="9:10" x14ac:dyDescent="0.25">
      <c r="I436" s="37"/>
      <c r="J436" s="35"/>
    </row>
    <row r="437" spans="9:10" x14ac:dyDescent="0.25">
      <c r="I437" s="37"/>
      <c r="J437" s="35"/>
    </row>
    <row r="438" spans="9:10" x14ac:dyDescent="0.25">
      <c r="I438" s="37"/>
      <c r="J438" s="35"/>
    </row>
    <row r="439" spans="9:10" x14ac:dyDescent="0.25">
      <c r="I439" s="37"/>
      <c r="J439" s="35"/>
    </row>
    <row r="440" spans="9:10" x14ac:dyDescent="0.25">
      <c r="I440" s="37"/>
      <c r="J440" s="35"/>
    </row>
    <row r="441" spans="9:10" x14ac:dyDescent="0.25">
      <c r="I441" s="37"/>
      <c r="J441" s="35"/>
    </row>
    <row r="442" spans="9:10" x14ac:dyDescent="0.25">
      <c r="I442" s="37"/>
      <c r="J442" s="35"/>
    </row>
    <row r="443" spans="9:10" x14ac:dyDescent="0.25">
      <c r="I443" s="37"/>
      <c r="J443" s="35"/>
    </row>
    <row r="444" spans="9:10" x14ac:dyDescent="0.25">
      <c r="I444" s="37"/>
      <c r="J444" s="35"/>
    </row>
    <row r="445" spans="9:10" x14ac:dyDescent="0.25">
      <c r="I445" s="37"/>
      <c r="J445" s="35"/>
    </row>
    <row r="446" spans="9:10" x14ac:dyDescent="0.25">
      <c r="I446" s="37"/>
      <c r="J446" s="35"/>
    </row>
    <row r="447" spans="9:10" x14ac:dyDescent="0.25">
      <c r="I447" s="37"/>
      <c r="J447" s="35"/>
    </row>
    <row r="448" spans="9:10" x14ac:dyDescent="0.25">
      <c r="I448" s="37"/>
      <c r="J448" s="35"/>
    </row>
    <row r="449" spans="9:10" x14ac:dyDescent="0.25">
      <c r="I449" s="37"/>
      <c r="J449" s="35"/>
    </row>
    <row r="450" spans="9:10" x14ac:dyDescent="0.25">
      <c r="I450" s="37"/>
      <c r="J450" s="35"/>
    </row>
    <row r="451" spans="9:10" x14ac:dyDescent="0.25">
      <c r="I451" s="37"/>
      <c r="J451" s="35"/>
    </row>
    <row r="452" spans="9:10" x14ac:dyDescent="0.25">
      <c r="I452" s="37"/>
      <c r="J452" s="35"/>
    </row>
    <row r="453" spans="9:10" x14ac:dyDescent="0.25">
      <c r="I453" s="37"/>
      <c r="J453" s="35"/>
    </row>
    <row r="454" spans="9:10" x14ac:dyDescent="0.25">
      <c r="I454" s="37"/>
      <c r="J454" s="35"/>
    </row>
    <row r="455" spans="9:10" x14ac:dyDescent="0.25">
      <c r="I455" s="37"/>
      <c r="J455" s="35"/>
    </row>
    <row r="456" spans="9:10" x14ac:dyDescent="0.25">
      <c r="I456" s="37"/>
      <c r="J456" s="35"/>
    </row>
    <row r="457" spans="9:10" x14ac:dyDescent="0.25">
      <c r="I457" s="37"/>
      <c r="J457" s="35"/>
    </row>
    <row r="458" spans="9:10" x14ac:dyDescent="0.25">
      <c r="I458" s="37"/>
      <c r="J458" s="35"/>
    </row>
    <row r="459" spans="9:10" x14ac:dyDescent="0.25">
      <c r="I459" s="37"/>
      <c r="J459" s="35"/>
    </row>
    <row r="460" spans="9:10" x14ac:dyDescent="0.25">
      <c r="I460" s="37"/>
      <c r="J460" s="35"/>
    </row>
    <row r="461" spans="9:10" x14ac:dyDescent="0.25">
      <c r="I461" s="37"/>
      <c r="J461" s="35"/>
    </row>
    <row r="462" spans="9:10" x14ac:dyDescent="0.25">
      <c r="I462" s="37"/>
      <c r="J462" s="35"/>
    </row>
    <row r="463" spans="9:10" x14ac:dyDescent="0.25">
      <c r="I463" s="37"/>
      <c r="J463" s="35"/>
    </row>
    <row r="464" spans="9:10" x14ac:dyDescent="0.25">
      <c r="I464" s="37"/>
      <c r="J464" s="35"/>
    </row>
    <row r="465" spans="9:10" x14ac:dyDescent="0.25">
      <c r="I465" s="37"/>
      <c r="J465" s="35"/>
    </row>
    <row r="466" spans="9:10" x14ac:dyDescent="0.25">
      <c r="I466" s="37"/>
      <c r="J466" s="35"/>
    </row>
    <row r="467" spans="9:10" x14ac:dyDescent="0.25">
      <c r="I467" s="37"/>
      <c r="J467" s="35"/>
    </row>
    <row r="468" spans="9:10" x14ac:dyDescent="0.25">
      <c r="I468" s="37"/>
      <c r="J468" s="35"/>
    </row>
    <row r="469" spans="9:10" x14ac:dyDescent="0.25">
      <c r="I469" s="37"/>
      <c r="J469" s="35"/>
    </row>
    <row r="470" spans="9:10" x14ac:dyDescent="0.25">
      <c r="I470" s="37"/>
      <c r="J470" s="35"/>
    </row>
    <row r="471" spans="9:10" x14ac:dyDescent="0.25">
      <c r="I471" s="37"/>
      <c r="J471" s="35"/>
    </row>
    <row r="472" spans="9:10" x14ac:dyDescent="0.25">
      <c r="I472" s="37"/>
      <c r="J472" s="35"/>
    </row>
    <row r="473" spans="9:10" x14ac:dyDescent="0.25">
      <c r="I473" s="37"/>
      <c r="J473" s="35"/>
    </row>
    <row r="474" spans="9:10" x14ac:dyDescent="0.25">
      <c r="I474" s="37"/>
      <c r="J474" s="35"/>
    </row>
    <row r="475" spans="9:10" x14ac:dyDescent="0.25">
      <c r="I475" s="37"/>
      <c r="J475" s="35"/>
    </row>
    <row r="476" spans="9:10" x14ac:dyDescent="0.25">
      <c r="I476" s="37"/>
      <c r="J476" s="35"/>
    </row>
    <row r="477" spans="9:10" x14ac:dyDescent="0.25">
      <c r="I477" s="37"/>
      <c r="J477" s="35"/>
    </row>
    <row r="478" spans="9:10" x14ac:dyDescent="0.25">
      <c r="I478" s="37"/>
      <c r="J478" s="35"/>
    </row>
    <row r="479" spans="9:10" x14ac:dyDescent="0.25">
      <c r="I479" s="37"/>
      <c r="J479" s="35"/>
    </row>
    <row r="480" spans="9:10" x14ac:dyDescent="0.25">
      <c r="I480" s="37"/>
      <c r="J480" s="35"/>
    </row>
    <row r="481" spans="9:10" x14ac:dyDescent="0.25">
      <c r="I481" s="37"/>
      <c r="J481" s="35"/>
    </row>
    <row r="482" spans="9:10" x14ac:dyDescent="0.25">
      <c r="I482" s="37"/>
      <c r="J482" s="35"/>
    </row>
    <row r="483" spans="9:10" x14ac:dyDescent="0.25">
      <c r="I483" s="37"/>
      <c r="J483" s="35"/>
    </row>
    <row r="484" spans="9:10" x14ac:dyDescent="0.25">
      <c r="I484" s="37"/>
      <c r="J484" s="35"/>
    </row>
    <row r="485" spans="9:10" x14ac:dyDescent="0.25">
      <c r="I485" s="37"/>
      <c r="J485" s="35"/>
    </row>
    <row r="486" spans="9:10" x14ac:dyDescent="0.25">
      <c r="I486" s="37"/>
      <c r="J486" s="35"/>
    </row>
    <row r="487" spans="9:10" x14ac:dyDescent="0.25">
      <c r="I487" s="37"/>
      <c r="J487" s="35"/>
    </row>
    <row r="488" spans="9:10" x14ac:dyDescent="0.25">
      <c r="I488" s="37"/>
      <c r="J488" s="35"/>
    </row>
    <row r="489" spans="9:10" x14ac:dyDescent="0.25">
      <c r="I489" s="37"/>
      <c r="J489" s="35"/>
    </row>
    <row r="490" spans="9:10" x14ac:dyDescent="0.25">
      <c r="I490" s="37"/>
      <c r="J490" s="35"/>
    </row>
    <row r="491" spans="9:10" x14ac:dyDescent="0.25">
      <c r="I491" s="37"/>
      <c r="J491" s="35"/>
    </row>
    <row r="492" spans="9:10" x14ac:dyDescent="0.25">
      <c r="I492" s="37"/>
      <c r="J492" s="35"/>
    </row>
    <row r="493" spans="9:10" x14ac:dyDescent="0.25">
      <c r="I493" s="37"/>
      <c r="J493" s="35"/>
    </row>
    <row r="494" spans="9:10" x14ac:dyDescent="0.25">
      <c r="I494" s="37"/>
      <c r="J494" s="35"/>
    </row>
    <row r="495" spans="9:10" x14ac:dyDescent="0.25">
      <c r="I495" s="37"/>
      <c r="J495" s="35"/>
    </row>
    <row r="496" spans="9:10" x14ac:dyDescent="0.25">
      <c r="I496" s="37"/>
      <c r="J496" s="35"/>
    </row>
    <row r="497" spans="9:10" x14ac:dyDescent="0.25">
      <c r="I497" s="37"/>
      <c r="J497" s="35"/>
    </row>
    <row r="498" spans="9:10" x14ac:dyDescent="0.25">
      <c r="I498" s="37"/>
      <c r="J498" s="35"/>
    </row>
    <row r="499" spans="9:10" x14ac:dyDescent="0.25">
      <c r="I499" s="37"/>
      <c r="J499" s="35"/>
    </row>
    <row r="500" spans="9:10" x14ac:dyDescent="0.25">
      <c r="I500" s="37"/>
      <c r="J500" s="35"/>
    </row>
    <row r="501" spans="9:10" x14ac:dyDescent="0.25">
      <c r="I501" s="37"/>
      <c r="J501" s="35"/>
    </row>
    <row r="502" spans="9:10" x14ac:dyDescent="0.25">
      <c r="I502" s="37"/>
      <c r="J502" s="35"/>
    </row>
    <row r="503" spans="9:10" x14ac:dyDescent="0.25">
      <c r="I503" s="37"/>
      <c r="J503" s="35"/>
    </row>
    <row r="504" spans="9:10" x14ac:dyDescent="0.25">
      <c r="I504" s="37"/>
      <c r="J504" s="35"/>
    </row>
    <row r="505" spans="9:10" x14ac:dyDescent="0.25">
      <c r="I505" s="37"/>
      <c r="J505" s="35"/>
    </row>
    <row r="506" spans="9:10" x14ac:dyDescent="0.25">
      <c r="I506" s="37"/>
      <c r="J506" s="35"/>
    </row>
    <row r="507" spans="9:10" x14ac:dyDescent="0.25">
      <c r="I507" s="37"/>
      <c r="J507" s="35"/>
    </row>
    <row r="508" spans="9:10" x14ac:dyDescent="0.25">
      <c r="I508" s="37"/>
      <c r="J508" s="35"/>
    </row>
    <row r="509" spans="9:10" x14ac:dyDescent="0.25">
      <c r="I509" s="37"/>
      <c r="J509" s="35"/>
    </row>
    <row r="510" spans="9:10" x14ac:dyDescent="0.25">
      <c r="I510" s="37"/>
      <c r="J510" s="35"/>
    </row>
    <row r="511" spans="9:10" x14ac:dyDescent="0.25">
      <c r="I511" s="37"/>
      <c r="J511" s="35"/>
    </row>
    <row r="512" spans="9:10" x14ac:dyDescent="0.25">
      <c r="I512" s="37"/>
      <c r="J512" s="35"/>
    </row>
    <row r="513" spans="9:10" x14ac:dyDescent="0.25">
      <c r="I513" s="37"/>
      <c r="J513" s="35"/>
    </row>
    <row r="514" spans="9:10" x14ac:dyDescent="0.25">
      <c r="I514" s="37"/>
      <c r="J514" s="35"/>
    </row>
    <row r="515" spans="9:10" x14ac:dyDescent="0.25">
      <c r="I515" s="37"/>
      <c r="J515" s="35"/>
    </row>
    <row r="516" spans="9:10" x14ac:dyDescent="0.25">
      <c r="I516" s="37"/>
      <c r="J516" s="35"/>
    </row>
    <row r="517" spans="9:10" x14ac:dyDescent="0.25">
      <c r="I517" s="37"/>
      <c r="J517" s="35"/>
    </row>
    <row r="518" spans="9:10" x14ac:dyDescent="0.25">
      <c r="I518" s="37"/>
      <c r="J518" s="35"/>
    </row>
    <row r="519" spans="9:10" x14ac:dyDescent="0.25">
      <c r="I519" s="37"/>
      <c r="J519" s="35"/>
    </row>
    <row r="520" spans="9:10" x14ac:dyDescent="0.25">
      <c r="I520" s="37"/>
      <c r="J520" s="35"/>
    </row>
    <row r="521" spans="9:10" x14ac:dyDescent="0.25">
      <c r="I521" s="37"/>
      <c r="J521" s="35"/>
    </row>
    <row r="522" spans="9:10" x14ac:dyDescent="0.25">
      <c r="I522" s="37"/>
      <c r="J522" s="35"/>
    </row>
    <row r="523" spans="9:10" x14ac:dyDescent="0.25">
      <c r="I523" s="37"/>
      <c r="J523" s="35"/>
    </row>
    <row r="524" spans="9:10" x14ac:dyDescent="0.25">
      <c r="I524" s="37"/>
      <c r="J524" s="35"/>
    </row>
    <row r="525" spans="9:10" x14ac:dyDescent="0.25">
      <c r="I525" s="37"/>
      <c r="J525" s="35"/>
    </row>
    <row r="526" spans="9:10" x14ac:dyDescent="0.25">
      <c r="I526" s="37"/>
      <c r="J526" s="35"/>
    </row>
    <row r="527" spans="9:10" x14ac:dyDescent="0.25">
      <c r="I527" s="37"/>
      <c r="J527" s="35"/>
    </row>
    <row r="528" spans="9:10" x14ac:dyDescent="0.25">
      <c r="I528" s="37"/>
      <c r="J528" s="35"/>
    </row>
    <row r="529" spans="9:10" x14ac:dyDescent="0.25">
      <c r="I529" s="37"/>
      <c r="J529" s="35"/>
    </row>
    <row r="530" spans="9:10" x14ac:dyDescent="0.25">
      <c r="I530" s="37"/>
      <c r="J530" s="35"/>
    </row>
    <row r="531" spans="9:10" x14ac:dyDescent="0.25">
      <c r="I531" s="37"/>
      <c r="J531" s="35"/>
    </row>
    <row r="532" spans="9:10" x14ac:dyDescent="0.25">
      <c r="I532" s="37"/>
      <c r="J532" s="35"/>
    </row>
    <row r="533" spans="9:10" x14ac:dyDescent="0.25">
      <c r="I533" s="37"/>
      <c r="J533" s="35"/>
    </row>
    <row r="534" spans="9:10" x14ac:dyDescent="0.25">
      <c r="I534" s="37"/>
      <c r="J534" s="35"/>
    </row>
    <row r="535" spans="9:10" x14ac:dyDescent="0.25">
      <c r="I535" s="37"/>
      <c r="J535" s="35"/>
    </row>
    <row r="536" spans="9:10" x14ac:dyDescent="0.25">
      <c r="I536" s="37"/>
      <c r="J536" s="35"/>
    </row>
    <row r="537" spans="9:10" x14ac:dyDescent="0.25">
      <c r="I537" s="37"/>
      <c r="J537" s="35"/>
    </row>
    <row r="538" spans="9:10" x14ac:dyDescent="0.25">
      <c r="I538" s="37"/>
      <c r="J538" s="35"/>
    </row>
    <row r="539" spans="9:10" x14ac:dyDescent="0.25">
      <c r="I539" s="37"/>
      <c r="J539" s="35"/>
    </row>
    <row r="540" spans="9:10" x14ac:dyDescent="0.25">
      <c r="I540" s="37"/>
      <c r="J540" s="35"/>
    </row>
    <row r="541" spans="9:10" x14ac:dyDescent="0.25">
      <c r="I541" s="37"/>
      <c r="J541" s="35"/>
    </row>
    <row r="542" spans="9:10" x14ac:dyDescent="0.25">
      <c r="I542" s="37"/>
      <c r="J542" s="35"/>
    </row>
    <row r="543" spans="9:10" x14ac:dyDescent="0.25">
      <c r="I543" s="37"/>
      <c r="J543" s="35"/>
    </row>
    <row r="544" spans="9:10" x14ac:dyDescent="0.25">
      <c r="I544" s="37"/>
      <c r="J544" s="35"/>
    </row>
    <row r="545" spans="9:10" x14ac:dyDescent="0.25">
      <c r="I545" s="37"/>
      <c r="J545" s="35"/>
    </row>
    <row r="546" spans="9:10" x14ac:dyDescent="0.25">
      <c r="I546" s="37"/>
      <c r="J546" s="35"/>
    </row>
    <row r="547" spans="9:10" x14ac:dyDescent="0.25">
      <c r="I547" s="37"/>
      <c r="J547" s="35"/>
    </row>
    <row r="548" spans="9:10" x14ac:dyDescent="0.25">
      <c r="I548" s="37"/>
      <c r="J548" s="35"/>
    </row>
    <row r="549" spans="9:10" x14ac:dyDescent="0.25">
      <c r="I549" s="37"/>
      <c r="J549" s="35"/>
    </row>
    <row r="550" spans="9:10" x14ac:dyDescent="0.25">
      <c r="I550" s="37"/>
      <c r="J550" s="35"/>
    </row>
    <row r="551" spans="9:10" x14ac:dyDescent="0.25">
      <c r="I551" s="37"/>
      <c r="J551" s="35"/>
    </row>
    <row r="552" spans="9:10" x14ac:dyDescent="0.25">
      <c r="I552" s="37"/>
      <c r="J552" s="35"/>
    </row>
    <row r="553" spans="9:10" x14ac:dyDescent="0.25">
      <c r="I553" s="37"/>
      <c r="J553" s="35"/>
    </row>
    <row r="554" spans="9:10" x14ac:dyDescent="0.25">
      <c r="I554" s="37"/>
      <c r="J554" s="35"/>
    </row>
    <row r="555" spans="9:10" x14ac:dyDescent="0.25">
      <c r="I555" s="37"/>
      <c r="J555" s="35"/>
    </row>
    <row r="556" spans="9:10" x14ac:dyDescent="0.25">
      <c r="I556" s="37"/>
      <c r="J556" s="35"/>
    </row>
    <row r="557" spans="9:10" x14ac:dyDescent="0.25">
      <c r="I557" s="37"/>
      <c r="J557" s="35"/>
    </row>
    <row r="558" spans="9:10" x14ac:dyDescent="0.25">
      <c r="I558" s="37"/>
      <c r="J558" s="35"/>
    </row>
    <row r="559" spans="9:10" x14ac:dyDescent="0.25">
      <c r="I559" s="37"/>
      <c r="J559" s="35"/>
    </row>
    <row r="560" spans="9:10" x14ac:dyDescent="0.25">
      <c r="I560" s="37"/>
      <c r="J560" s="35"/>
    </row>
    <row r="561" spans="9:10" x14ac:dyDescent="0.25">
      <c r="I561" s="37"/>
      <c r="J561" s="35"/>
    </row>
    <row r="562" spans="9:10" x14ac:dyDescent="0.25">
      <c r="I562" s="37"/>
      <c r="J562" s="35"/>
    </row>
    <row r="563" spans="9:10" x14ac:dyDescent="0.25">
      <c r="I563" s="37"/>
      <c r="J563" s="35"/>
    </row>
    <row r="564" spans="9:10" x14ac:dyDescent="0.25">
      <c r="I564" s="37"/>
      <c r="J564" s="35"/>
    </row>
    <row r="565" spans="9:10" x14ac:dyDescent="0.25">
      <c r="I565" s="37"/>
      <c r="J565" s="35"/>
    </row>
    <row r="566" spans="9:10" x14ac:dyDescent="0.25">
      <c r="I566" s="37"/>
      <c r="J566" s="35"/>
    </row>
    <row r="567" spans="9:10" x14ac:dyDescent="0.25">
      <c r="I567" s="37"/>
      <c r="J567" s="35"/>
    </row>
    <row r="568" spans="9:10" x14ac:dyDescent="0.25">
      <c r="I568" s="37"/>
      <c r="J568" s="35"/>
    </row>
    <row r="569" spans="9:10" x14ac:dyDescent="0.25">
      <c r="I569" s="37"/>
      <c r="J569" s="35"/>
    </row>
    <row r="570" spans="9:10" x14ac:dyDescent="0.25">
      <c r="I570" s="37"/>
      <c r="J570" s="35"/>
    </row>
    <row r="571" spans="9:10" x14ac:dyDescent="0.25">
      <c r="I571" s="37"/>
      <c r="J571" s="35"/>
    </row>
    <row r="572" spans="9:10" x14ac:dyDescent="0.25">
      <c r="I572" s="37"/>
      <c r="J572" s="35"/>
    </row>
    <row r="573" spans="9:10" x14ac:dyDescent="0.25">
      <c r="I573" s="37"/>
      <c r="J573" s="35"/>
    </row>
    <row r="574" spans="9:10" x14ac:dyDescent="0.25">
      <c r="I574" s="37"/>
      <c r="J574" s="35"/>
    </row>
    <row r="575" spans="9:10" x14ac:dyDescent="0.25">
      <c r="I575" s="37"/>
      <c r="J575" s="35"/>
    </row>
    <row r="576" spans="9:10" x14ac:dyDescent="0.25">
      <c r="I576" s="37"/>
      <c r="J576" s="35"/>
    </row>
    <row r="577" spans="9:10" x14ac:dyDescent="0.25">
      <c r="I577" s="37"/>
      <c r="J577" s="35"/>
    </row>
    <row r="578" spans="9:10" x14ac:dyDescent="0.25">
      <c r="I578" s="37"/>
      <c r="J578" s="35"/>
    </row>
    <row r="579" spans="9:10" x14ac:dyDescent="0.25">
      <c r="I579" s="37"/>
      <c r="J579" s="35"/>
    </row>
    <row r="580" spans="9:10" x14ac:dyDescent="0.25">
      <c r="I580" s="37"/>
      <c r="J580" s="35"/>
    </row>
    <row r="581" spans="9:10" x14ac:dyDescent="0.25">
      <c r="I581" s="37"/>
      <c r="J581" s="35"/>
    </row>
    <row r="582" spans="9:10" x14ac:dyDescent="0.25">
      <c r="I582" s="37"/>
      <c r="J582" s="35"/>
    </row>
    <row r="583" spans="9:10" x14ac:dyDescent="0.25">
      <c r="I583" s="37"/>
      <c r="J583" s="35"/>
    </row>
    <row r="584" spans="9:10" x14ac:dyDescent="0.25">
      <c r="I584" s="37"/>
      <c r="J584" s="35"/>
    </row>
    <row r="585" spans="9:10" x14ac:dyDescent="0.25">
      <c r="I585" s="37"/>
      <c r="J585" s="35"/>
    </row>
    <row r="586" spans="9:10" x14ac:dyDescent="0.25">
      <c r="I586" s="37"/>
      <c r="J586" s="35"/>
    </row>
    <row r="587" spans="9:10" x14ac:dyDescent="0.25">
      <c r="I587" s="37"/>
      <c r="J587" s="35"/>
    </row>
    <row r="588" spans="9:10" x14ac:dyDescent="0.25">
      <c r="I588" s="37"/>
      <c r="J588" s="35"/>
    </row>
    <row r="589" spans="9:10" x14ac:dyDescent="0.25">
      <c r="I589" s="37"/>
      <c r="J589" s="35"/>
    </row>
    <row r="590" spans="9:10" x14ac:dyDescent="0.25">
      <c r="I590" s="37"/>
      <c r="J590" s="35"/>
    </row>
    <row r="591" spans="9:10" x14ac:dyDescent="0.25">
      <c r="I591" s="37"/>
      <c r="J591" s="35"/>
    </row>
    <row r="592" spans="9:10" x14ac:dyDescent="0.25">
      <c r="I592" s="37"/>
      <c r="J592" s="35"/>
    </row>
    <row r="593" spans="9:10" x14ac:dyDescent="0.25">
      <c r="I593" s="37"/>
      <c r="J593" s="35"/>
    </row>
    <row r="594" spans="9:10" x14ac:dyDescent="0.25">
      <c r="I594" s="37"/>
      <c r="J594" s="35"/>
    </row>
    <row r="595" spans="9:10" x14ac:dyDescent="0.25">
      <c r="I595" s="37"/>
      <c r="J595" s="35"/>
    </row>
    <row r="596" spans="9:10" x14ac:dyDescent="0.25">
      <c r="I596" s="37"/>
      <c r="J596" s="35"/>
    </row>
    <row r="597" spans="9:10" x14ac:dyDescent="0.25">
      <c r="I597" s="37"/>
      <c r="J597" s="35"/>
    </row>
    <row r="598" spans="9:10" x14ac:dyDescent="0.25">
      <c r="I598" s="37"/>
      <c r="J598" s="35"/>
    </row>
    <row r="599" spans="9:10" x14ac:dyDescent="0.25">
      <c r="I599" s="37"/>
      <c r="J599" s="35"/>
    </row>
    <row r="600" spans="9:10" x14ac:dyDescent="0.25">
      <c r="I600" s="37"/>
      <c r="J600" s="35"/>
    </row>
    <row r="601" spans="9:10" x14ac:dyDescent="0.25">
      <c r="I601" s="37"/>
      <c r="J601" s="35"/>
    </row>
    <row r="602" spans="9:10" x14ac:dyDescent="0.25">
      <c r="I602" s="37"/>
      <c r="J602" s="35"/>
    </row>
    <row r="603" spans="9:10" x14ac:dyDescent="0.25">
      <c r="I603" s="37"/>
      <c r="J603" s="35"/>
    </row>
    <row r="604" spans="9:10" x14ac:dyDescent="0.25">
      <c r="I604" s="37"/>
      <c r="J604" s="35"/>
    </row>
    <row r="605" spans="9:10" x14ac:dyDescent="0.25">
      <c r="I605" s="37"/>
      <c r="J605" s="35"/>
    </row>
    <row r="606" spans="9:10" x14ac:dyDescent="0.25">
      <c r="I606" s="37"/>
      <c r="J606" s="35"/>
    </row>
    <row r="607" spans="9:10" x14ac:dyDescent="0.25">
      <c r="I607" s="37"/>
      <c r="J607" s="35"/>
    </row>
    <row r="608" spans="9:10" x14ac:dyDescent="0.25">
      <c r="I608" s="37"/>
      <c r="J608" s="35"/>
    </row>
    <row r="609" spans="9:10" x14ac:dyDescent="0.25">
      <c r="I609" s="37"/>
      <c r="J609" s="35"/>
    </row>
    <row r="610" spans="9:10" x14ac:dyDescent="0.25">
      <c r="I610" s="37"/>
      <c r="J610" s="35"/>
    </row>
    <row r="611" spans="9:10" x14ac:dyDescent="0.25">
      <c r="I611" s="37"/>
      <c r="J611" s="35"/>
    </row>
    <row r="612" spans="9:10" x14ac:dyDescent="0.25">
      <c r="I612" s="37"/>
      <c r="J612" s="35"/>
    </row>
    <row r="613" spans="9:10" x14ac:dyDescent="0.25">
      <c r="I613" s="37"/>
      <c r="J613" s="35"/>
    </row>
    <row r="614" spans="9:10" x14ac:dyDescent="0.25">
      <c r="I614" s="37"/>
      <c r="J614" s="35"/>
    </row>
    <row r="615" spans="9:10" x14ac:dyDescent="0.25">
      <c r="I615" s="37"/>
      <c r="J615" s="35"/>
    </row>
    <row r="616" spans="9:10" x14ac:dyDescent="0.25">
      <c r="I616" s="37"/>
      <c r="J616" s="35"/>
    </row>
    <row r="617" spans="9:10" x14ac:dyDescent="0.25">
      <c r="I617" s="37"/>
      <c r="J617" s="35"/>
    </row>
    <row r="618" spans="9:10" x14ac:dyDescent="0.25">
      <c r="I618" s="37"/>
      <c r="J618" s="35"/>
    </row>
    <row r="619" spans="9:10" x14ac:dyDescent="0.25">
      <c r="I619" s="37"/>
      <c r="J619" s="35"/>
    </row>
    <row r="620" spans="9:10" x14ac:dyDescent="0.25">
      <c r="I620" s="37"/>
      <c r="J620" s="35"/>
    </row>
    <row r="621" spans="9:10" x14ac:dyDescent="0.25">
      <c r="I621" s="37"/>
      <c r="J621" s="35"/>
    </row>
    <row r="622" spans="9:10" x14ac:dyDescent="0.25">
      <c r="I622" s="37"/>
      <c r="J622" s="35"/>
    </row>
    <row r="623" spans="9:10" x14ac:dyDescent="0.25">
      <c r="I623" s="37"/>
      <c r="J623" s="35"/>
    </row>
    <row r="624" spans="9:10" x14ac:dyDescent="0.25">
      <c r="I624" s="37"/>
      <c r="J624" s="35"/>
    </row>
    <row r="625" spans="9:10" x14ac:dyDescent="0.25">
      <c r="I625" s="37"/>
      <c r="J625" s="35"/>
    </row>
    <row r="626" spans="9:10" x14ac:dyDescent="0.25">
      <c r="I626" s="37"/>
      <c r="J626" s="35"/>
    </row>
    <row r="627" spans="9:10" x14ac:dyDescent="0.25">
      <c r="I627" s="37"/>
      <c r="J627" s="35"/>
    </row>
    <row r="628" spans="9:10" x14ac:dyDescent="0.25">
      <c r="I628" s="37"/>
      <c r="J628" s="35"/>
    </row>
    <row r="629" spans="9:10" x14ac:dyDescent="0.25">
      <c r="I629" s="37"/>
      <c r="J629" s="35"/>
    </row>
    <row r="630" spans="9:10" x14ac:dyDescent="0.25">
      <c r="I630" s="37"/>
      <c r="J630" s="35"/>
    </row>
    <row r="631" spans="9:10" x14ac:dyDescent="0.25">
      <c r="I631" s="37"/>
      <c r="J631" s="35"/>
    </row>
    <row r="632" spans="9:10" x14ac:dyDescent="0.25">
      <c r="I632" s="37"/>
      <c r="J632" s="35"/>
    </row>
    <row r="633" spans="9:10" x14ac:dyDescent="0.25">
      <c r="I633" s="37"/>
      <c r="J633" s="35"/>
    </row>
    <row r="634" spans="9:10" x14ac:dyDescent="0.25">
      <c r="I634" s="37"/>
      <c r="J634" s="35"/>
    </row>
    <row r="635" spans="9:10" x14ac:dyDescent="0.25">
      <c r="I635" s="37"/>
      <c r="J635" s="35"/>
    </row>
    <row r="636" spans="9:10" x14ac:dyDescent="0.25">
      <c r="I636" s="37"/>
      <c r="J636" s="35"/>
    </row>
    <row r="637" spans="9:10" x14ac:dyDescent="0.25">
      <c r="I637" s="37"/>
      <c r="J637" s="35"/>
    </row>
    <row r="638" spans="9:10" x14ac:dyDescent="0.25">
      <c r="I638" s="37"/>
      <c r="J638" s="35"/>
    </row>
    <row r="639" spans="9:10" x14ac:dyDescent="0.25">
      <c r="I639" s="37"/>
      <c r="J639" s="35"/>
    </row>
    <row r="640" spans="9:10" x14ac:dyDescent="0.25">
      <c r="I640" s="37"/>
      <c r="J640" s="35"/>
    </row>
    <row r="641" spans="9:10" x14ac:dyDescent="0.25">
      <c r="I641" s="37"/>
      <c r="J641" s="35"/>
    </row>
    <row r="642" spans="9:10" x14ac:dyDescent="0.25">
      <c r="I642" s="37"/>
      <c r="J642" s="35"/>
    </row>
    <row r="643" spans="9:10" x14ac:dyDescent="0.25">
      <c r="I643" s="37"/>
      <c r="J643" s="35"/>
    </row>
    <row r="644" spans="9:10" x14ac:dyDescent="0.25">
      <c r="I644" s="37"/>
      <c r="J644" s="35"/>
    </row>
    <row r="645" spans="9:10" x14ac:dyDescent="0.25">
      <c r="I645" s="37"/>
      <c r="J645" s="35"/>
    </row>
    <row r="646" spans="9:10" x14ac:dyDescent="0.25">
      <c r="I646" s="37"/>
      <c r="J646" s="35"/>
    </row>
    <row r="647" spans="9:10" x14ac:dyDescent="0.25">
      <c r="I647" s="37"/>
      <c r="J647" s="35"/>
    </row>
    <row r="648" spans="9:10" x14ac:dyDescent="0.25">
      <c r="I648" s="37"/>
      <c r="J648" s="35"/>
    </row>
    <row r="649" spans="9:10" x14ac:dyDescent="0.25">
      <c r="I649" s="37"/>
      <c r="J649" s="35"/>
    </row>
    <row r="650" spans="9:10" x14ac:dyDescent="0.25">
      <c r="I650" s="37"/>
      <c r="J650" s="35"/>
    </row>
    <row r="651" spans="9:10" x14ac:dyDescent="0.25">
      <c r="I651" s="37"/>
      <c r="J651" s="35"/>
    </row>
    <row r="652" spans="9:10" x14ac:dyDescent="0.25">
      <c r="I652" s="37"/>
      <c r="J652" s="35"/>
    </row>
    <row r="653" spans="9:10" x14ac:dyDescent="0.25">
      <c r="I653" s="37"/>
      <c r="J653" s="35"/>
    </row>
    <row r="654" spans="9:10" x14ac:dyDescent="0.25">
      <c r="I654" s="37"/>
      <c r="J654" s="35"/>
    </row>
    <row r="655" spans="9:10" x14ac:dyDescent="0.25">
      <c r="I655" s="37"/>
      <c r="J655" s="35"/>
    </row>
    <row r="656" spans="9:10" x14ac:dyDescent="0.25">
      <c r="I656" s="37"/>
      <c r="J656" s="35"/>
    </row>
    <row r="657" spans="9:10" x14ac:dyDescent="0.25">
      <c r="I657" s="37"/>
      <c r="J657" s="35"/>
    </row>
    <row r="658" spans="9:10" x14ac:dyDescent="0.25">
      <c r="I658" s="37"/>
      <c r="J658" s="35"/>
    </row>
    <row r="659" spans="9:10" x14ac:dyDescent="0.25">
      <c r="I659" s="37"/>
      <c r="J659" s="35"/>
    </row>
    <row r="660" spans="9:10" x14ac:dyDescent="0.25">
      <c r="I660" s="37"/>
      <c r="J660" s="35"/>
    </row>
    <row r="661" spans="9:10" x14ac:dyDescent="0.25">
      <c r="I661" s="37"/>
      <c r="J661" s="35"/>
    </row>
    <row r="662" spans="9:10" x14ac:dyDescent="0.25">
      <c r="I662" s="37"/>
      <c r="J662" s="35"/>
    </row>
    <row r="663" spans="9:10" x14ac:dyDescent="0.25">
      <c r="I663" s="37"/>
      <c r="J663" s="35"/>
    </row>
    <row r="664" spans="9:10" x14ac:dyDescent="0.25">
      <c r="I664" s="37"/>
      <c r="J664" s="35"/>
    </row>
    <row r="665" spans="9:10" x14ac:dyDescent="0.25">
      <c r="I665" s="37"/>
      <c r="J665" s="35"/>
    </row>
    <row r="666" spans="9:10" x14ac:dyDescent="0.25">
      <c r="I666" s="37"/>
      <c r="J666" s="35"/>
    </row>
    <row r="667" spans="9:10" x14ac:dyDescent="0.25">
      <c r="I667" s="37"/>
      <c r="J667" s="35"/>
    </row>
    <row r="668" spans="9:10" x14ac:dyDescent="0.25">
      <c r="I668" s="37"/>
      <c r="J668" s="35"/>
    </row>
    <row r="669" spans="9:10" x14ac:dyDescent="0.25">
      <c r="I669" s="37"/>
      <c r="J669" s="35"/>
    </row>
    <row r="670" spans="9:10" x14ac:dyDescent="0.25">
      <c r="I670" s="37"/>
      <c r="J670" s="35"/>
    </row>
    <row r="671" spans="9:10" x14ac:dyDescent="0.25">
      <c r="I671" s="37"/>
      <c r="J671" s="35"/>
    </row>
    <row r="672" spans="9:10" x14ac:dyDescent="0.25">
      <c r="I672" s="37"/>
      <c r="J672" s="35"/>
    </row>
    <row r="673" spans="9:10" x14ac:dyDescent="0.25">
      <c r="I673" s="37"/>
      <c r="J673" s="35"/>
    </row>
    <row r="674" spans="9:10" x14ac:dyDescent="0.25">
      <c r="I674" s="37"/>
      <c r="J674" s="35"/>
    </row>
    <row r="675" spans="9:10" x14ac:dyDescent="0.25">
      <c r="I675" s="37"/>
      <c r="J675" s="35"/>
    </row>
    <row r="676" spans="9:10" x14ac:dyDescent="0.25">
      <c r="I676" s="37"/>
      <c r="J676" s="35"/>
    </row>
    <row r="677" spans="9:10" x14ac:dyDescent="0.25">
      <c r="I677" s="37"/>
      <c r="J677" s="35"/>
    </row>
    <row r="678" spans="9:10" x14ac:dyDescent="0.25">
      <c r="I678" s="37"/>
      <c r="J678" s="35"/>
    </row>
    <row r="679" spans="9:10" x14ac:dyDescent="0.25">
      <c r="I679" s="37"/>
      <c r="J679" s="35"/>
    </row>
    <row r="680" spans="9:10" x14ac:dyDescent="0.25">
      <c r="I680" s="37"/>
      <c r="J680" s="35"/>
    </row>
    <row r="681" spans="9:10" x14ac:dyDescent="0.25">
      <c r="I681" s="37"/>
      <c r="J681" s="35"/>
    </row>
    <row r="682" spans="9:10" x14ac:dyDescent="0.25">
      <c r="I682" s="37"/>
      <c r="J682" s="35"/>
    </row>
    <row r="683" spans="9:10" x14ac:dyDescent="0.25">
      <c r="I683" s="37"/>
      <c r="J683" s="35"/>
    </row>
    <row r="684" spans="9:10" x14ac:dyDescent="0.25">
      <c r="I684" s="37"/>
      <c r="J684" s="35"/>
    </row>
    <row r="685" spans="9:10" x14ac:dyDescent="0.25">
      <c r="I685" s="37"/>
      <c r="J685" s="35"/>
    </row>
    <row r="686" spans="9:10" x14ac:dyDescent="0.25">
      <c r="I686" s="37"/>
      <c r="J686" s="35"/>
    </row>
    <row r="687" spans="9:10" x14ac:dyDescent="0.25">
      <c r="I687" s="37"/>
      <c r="J687" s="35"/>
    </row>
    <row r="688" spans="9:10" x14ac:dyDescent="0.25">
      <c r="I688" s="37"/>
      <c r="J688" s="35"/>
    </row>
    <row r="689" spans="9:10" x14ac:dyDescent="0.25">
      <c r="I689" s="37"/>
      <c r="J689" s="35"/>
    </row>
    <row r="690" spans="9:10" x14ac:dyDescent="0.25">
      <c r="I690" s="37"/>
      <c r="J690" s="35"/>
    </row>
    <row r="691" spans="9:10" x14ac:dyDescent="0.25">
      <c r="I691" s="37"/>
      <c r="J691" s="35"/>
    </row>
    <row r="692" spans="9:10" x14ac:dyDescent="0.25">
      <c r="I692" s="37"/>
      <c r="J692" s="35"/>
    </row>
    <row r="693" spans="9:10" x14ac:dyDescent="0.25">
      <c r="I693" s="37"/>
      <c r="J693" s="35"/>
    </row>
    <row r="694" spans="9:10" x14ac:dyDescent="0.25">
      <c r="I694" s="37"/>
      <c r="J694" s="35"/>
    </row>
    <row r="695" spans="9:10" x14ac:dyDescent="0.25">
      <c r="I695" s="37"/>
      <c r="J695" s="35"/>
    </row>
    <row r="696" spans="9:10" x14ac:dyDescent="0.25">
      <c r="I696" s="37"/>
      <c r="J696" s="35"/>
    </row>
    <row r="697" spans="9:10" x14ac:dyDescent="0.25">
      <c r="I697" s="37"/>
      <c r="J697" s="35"/>
    </row>
    <row r="698" spans="9:10" x14ac:dyDescent="0.25">
      <c r="I698" s="37"/>
      <c r="J698" s="35"/>
    </row>
    <row r="699" spans="9:10" x14ac:dyDescent="0.25">
      <c r="I699" s="37"/>
      <c r="J699" s="35"/>
    </row>
    <row r="700" spans="9:10" x14ac:dyDescent="0.25">
      <c r="I700" s="37"/>
      <c r="J700" s="35"/>
    </row>
    <row r="701" spans="9:10" x14ac:dyDescent="0.25">
      <c r="I701" s="37"/>
      <c r="J701" s="35"/>
    </row>
    <row r="702" spans="9:10" x14ac:dyDescent="0.25">
      <c r="I702" s="37"/>
      <c r="J702" s="35"/>
    </row>
    <row r="703" spans="9:10" x14ac:dyDescent="0.25">
      <c r="I703" s="37"/>
      <c r="J703" s="35"/>
    </row>
    <row r="704" spans="9:10" x14ac:dyDescent="0.25">
      <c r="I704" s="37"/>
      <c r="J704" s="35"/>
    </row>
    <row r="705" spans="9:10" x14ac:dyDescent="0.25">
      <c r="I705" s="37"/>
      <c r="J705" s="35"/>
    </row>
    <row r="706" spans="9:10" x14ac:dyDescent="0.25">
      <c r="I706" s="37"/>
      <c r="J706" s="35"/>
    </row>
    <row r="707" spans="9:10" x14ac:dyDescent="0.25">
      <c r="I707" s="37"/>
      <c r="J707" s="35"/>
    </row>
    <row r="708" spans="9:10" x14ac:dyDescent="0.25">
      <c r="I708" s="37"/>
      <c r="J708" s="35"/>
    </row>
    <row r="709" spans="9:10" x14ac:dyDescent="0.25">
      <c r="I709" s="37"/>
      <c r="J709" s="35"/>
    </row>
    <row r="710" spans="9:10" x14ac:dyDescent="0.25">
      <c r="I710" s="37"/>
      <c r="J710" s="35"/>
    </row>
    <row r="711" spans="9:10" x14ac:dyDescent="0.25">
      <c r="I711" s="37"/>
      <c r="J711" s="35"/>
    </row>
    <row r="712" spans="9:10" x14ac:dyDescent="0.25">
      <c r="I712" s="37"/>
      <c r="J712" s="35"/>
    </row>
    <row r="713" spans="9:10" x14ac:dyDescent="0.25">
      <c r="I713" s="37"/>
      <c r="J713" s="35"/>
    </row>
    <row r="714" spans="9:10" x14ac:dyDescent="0.25">
      <c r="I714" s="37"/>
      <c r="J714" s="35"/>
    </row>
    <row r="715" spans="9:10" x14ac:dyDescent="0.25">
      <c r="I715" s="37"/>
      <c r="J715" s="35"/>
    </row>
    <row r="716" spans="9:10" x14ac:dyDescent="0.25">
      <c r="I716" s="37"/>
      <c r="J716" s="35"/>
    </row>
    <row r="717" spans="9:10" x14ac:dyDescent="0.25">
      <c r="I717" s="37"/>
      <c r="J717" s="35"/>
    </row>
    <row r="718" spans="9:10" x14ac:dyDescent="0.25">
      <c r="I718" s="37"/>
      <c r="J718" s="35"/>
    </row>
    <row r="719" spans="9:10" x14ac:dyDescent="0.25">
      <c r="I719" s="37"/>
      <c r="J719" s="35"/>
    </row>
    <row r="720" spans="9:10" x14ac:dyDescent="0.25">
      <c r="I720" s="37"/>
      <c r="J720" s="35"/>
    </row>
    <row r="721" spans="9:10" x14ac:dyDescent="0.25">
      <c r="I721" s="37"/>
      <c r="J721" s="35"/>
    </row>
    <row r="722" spans="9:10" x14ac:dyDescent="0.25">
      <c r="I722" s="37"/>
      <c r="J722" s="35"/>
    </row>
    <row r="723" spans="9:10" x14ac:dyDescent="0.25">
      <c r="I723" s="37"/>
      <c r="J723" s="35"/>
    </row>
    <row r="724" spans="9:10" x14ac:dyDescent="0.25">
      <c r="I724" s="37"/>
      <c r="J724" s="35"/>
    </row>
    <row r="725" spans="9:10" x14ac:dyDescent="0.25">
      <c r="I725" s="37"/>
      <c r="J725" s="35"/>
    </row>
    <row r="726" spans="9:10" x14ac:dyDescent="0.25">
      <c r="I726" s="37"/>
      <c r="J726" s="35"/>
    </row>
    <row r="727" spans="9:10" x14ac:dyDescent="0.25">
      <c r="I727" s="37"/>
      <c r="J727" s="35"/>
    </row>
    <row r="728" spans="9:10" x14ac:dyDescent="0.25">
      <c r="I728" s="37"/>
      <c r="J728" s="35"/>
    </row>
    <row r="729" spans="9:10" x14ac:dyDescent="0.25">
      <c r="I729" s="37"/>
      <c r="J729" s="35"/>
    </row>
    <row r="730" spans="9:10" x14ac:dyDescent="0.25">
      <c r="I730" s="37"/>
      <c r="J730" s="35"/>
    </row>
    <row r="731" spans="9:10" x14ac:dyDescent="0.25">
      <c r="I731" s="37"/>
      <c r="J731" s="35"/>
    </row>
    <row r="732" spans="9:10" x14ac:dyDescent="0.25">
      <c r="I732" s="37"/>
      <c r="J732" s="35"/>
    </row>
    <row r="733" spans="9:10" x14ac:dyDescent="0.25">
      <c r="I733" s="37"/>
      <c r="J733" s="35"/>
    </row>
    <row r="734" spans="9:10" x14ac:dyDescent="0.25">
      <c r="I734" s="37"/>
      <c r="J734" s="35"/>
    </row>
    <row r="735" spans="9:10" x14ac:dyDescent="0.25">
      <c r="I735" s="37"/>
      <c r="J735" s="35"/>
    </row>
    <row r="736" spans="9:10" x14ac:dyDescent="0.25">
      <c r="I736" s="37"/>
      <c r="J736" s="35"/>
    </row>
    <row r="737" spans="9:10" x14ac:dyDescent="0.25">
      <c r="I737" s="37"/>
      <c r="J737" s="35"/>
    </row>
    <row r="738" spans="9:10" x14ac:dyDescent="0.25">
      <c r="I738" s="37"/>
      <c r="J738" s="35"/>
    </row>
    <row r="739" spans="9:10" x14ac:dyDescent="0.25">
      <c r="I739" s="37"/>
      <c r="J739" s="35"/>
    </row>
    <row r="740" spans="9:10" x14ac:dyDescent="0.25">
      <c r="I740" s="37"/>
      <c r="J740" s="35"/>
    </row>
    <row r="741" spans="9:10" x14ac:dyDescent="0.25">
      <c r="I741" s="37"/>
      <c r="J741" s="35"/>
    </row>
    <row r="742" spans="9:10" x14ac:dyDescent="0.25">
      <c r="I742" s="37"/>
      <c r="J742" s="35"/>
    </row>
    <row r="743" spans="9:10" x14ac:dyDescent="0.25">
      <c r="I743" s="37"/>
      <c r="J743" s="35"/>
    </row>
    <row r="744" spans="9:10" x14ac:dyDescent="0.25">
      <c r="I744" s="37"/>
      <c r="J744" s="35"/>
    </row>
    <row r="745" spans="9:10" x14ac:dyDescent="0.25">
      <c r="I745" s="37"/>
      <c r="J745" s="35"/>
    </row>
    <row r="746" spans="9:10" x14ac:dyDescent="0.25">
      <c r="I746" s="37"/>
      <c r="J746" s="35"/>
    </row>
    <row r="747" spans="9:10" x14ac:dyDescent="0.25">
      <c r="I747" s="37"/>
      <c r="J747" s="35"/>
    </row>
    <row r="748" spans="9:10" x14ac:dyDescent="0.25">
      <c r="I748" s="37"/>
      <c r="J748" s="35"/>
    </row>
    <row r="749" spans="9:10" x14ac:dyDescent="0.25">
      <c r="I749" s="37"/>
      <c r="J749" s="35"/>
    </row>
    <row r="750" spans="9:10" x14ac:dyDescent="0.25">
      <c r="I750" s="37"/>
      <c r="J750" s="35"/>
    </row>
    <row r="751" spans="9:10" x14ac:dyDescent="0.25">
      <c r="I751" s="37"/>
      <c r="J751" s="35"/>
    </row>
    <row r="752" spans="9:10" x14ac:dyDescent="0.25">
      <c r="I752" s="37"/>
      <c r="J752" s="35"/>
    </row>
    <row r="753" spans="9:10" x14ac:dyDescent="0.25">
      <c r="I753" s="37"/>
      <c r="J753" s="35"/>
    </row>
    <row r="754" spans="9:10" x14ac:dyDescent="0.25">
      <c r="I754" s="37"/>
      <c r="J754" s="35"/>
    </row>
    <row r="755" spans="9:10" x14ac:dyDescent="0.25">
      <c r="I755" s="37"/>
      <c r="J755" s="35"/>
    </row>
    <row r="756" spans="9:10" x14ac:dyDescent="0.25">
      <c r="I756" s="37"/>
      <c r="J756" s="35"/>
    </row>
    <row r="757" spans="9:10" x14ac:dyDescent="0.25">
      <c r="I757" s="37"/>
      <c r="J757" s="35"/>
    </row>
    <row r="758" spans="9:10" x14ac:dyDescent="0.25">
      <c r="I758" s="37"/>
      <c r="J758" s="35"/>
    </row>
    <row r="759" spans="9:10" x14ac:dyDescent="0.25">
      <c r="I759" s="37"/>
      <c r="J759" s="35"/>
    </row>
    <row r="760" spans="9:10" x14ac:dyDescent="0.25">
      <c r="I760" s="37"/>
      <c r="J760" s="35"/>
    </row>
    <row r="761" spans="9:10" x14ac:dyDescent="0.25">
      <c r="I761" s="37"/>
      <c r="J761" s="35"/>
    </row>
    <row r="762" spans="9:10" x14ac:dyDescent="0.25">
      <c r="I762" s="37"/>
      <c r="J762" s="35"/>
    </row>
    <row r="763" spans="9:10" x14ac:dyDescent="0.25">
      <c r="I763" s="37"/>
      <c r="J763" s="35"/>
    </row>
    <row r="764" spans="9:10" x14ac:dyDescent="0.25">
      <c r="I764" s="37"/>
      <c r="J764" s="35"/>
    </row>
    <row r="765" spans="9:10" x14ac:dyDescent="0.25">
      <c r="I765" s="37"/>
      <c r="J765" s="35"/>
    </row>
    <row r="766" spans="9:10" x14ac:dyDescent="0.25">
      <c r="I766" s="37"/>
      <c r="J766" s="35"/>
    </row>
    <row r="767" spans="9:10" x14ac:dyDescent="0.25">
      <c r="I767" s="37"/>
      <c r="J767" s="35"/>
    </row>
    <row r="768" spans="9:10" x14ac:dyDescent="0.25">
      <c r="I768" s="37"/>
      <c r="J768" s="35"/>
    </row>
    <row r="769" spans="9:10" x14ac:dyDescent="0.25">
      <c r="I769" s="37"/>
      <c r="J769" s="35"/>
    </row>
    <row r="770" spans="9:10" x14ac:dyDescent="0.25">
      <c r="I770" s="37"/>
      <c r="J770" s="35"/>
    </row>
    <row r="771" spans="9:10" x14ac:dyDescent="0.25">
      <c r="I771" s="37"/>
      <c r="J771" s="35"/>
    </row>
    <row r="772" spans="9:10" x14ac:dyDescent="0.25">
      <c r="I772" s="37"/>
      <c r="J772" s="35"/>
    </row>
    <row r="773" spans="9:10" x14ac:dyDescent="0.25">
      <c r="I773" s="37"/>
      <c r="J773" s="35"/>
    </row>
    <row r="774" spans="9:10" x14ac:dyDescent="0.25">
      <c r="I774" s="37"/>
      <c r="J774" s="35"/>
    </row>
    <row r="775" spans="9:10" x14ac:dyDescent="0.25">
      <c r="I775" s="37"/>
      <c r="J775" s="35"/>
    </row>
    <row r="776" spans="9:10" x14ac:dyDescent="0.25">
      <c r="I776" s="37"/>
      <c r="J776" s="35"/>
    </row>
    <row r="777" spans="9:10" x14ac:dyDescent="0.25">
      <c r="I777" s="37"/>
      <c r="J777" s="35"/>
    </row>
    <row r="778" spans="9:10" x14ac:dyDescent="0.25">
      <c r="I778" s="37"/>
      <c r="J778" s="35"/>
    </row>
    <row r="779" spans="9:10" x14ac:dyDescent="0.25">
      <c r="I779" s="37"/>
      <c r="J779" s="35"/>
    </row>
    <row r="780" spans="9:10" x14ac:dyDescent="0.25">
      <c r="I780" s="37"/>
      <c r="J780" s="35"/>
    </row>
    <row r="781" spans="9:10" x14ac:dyDescent="0.25">
      <c r="I781" s="37"/>
      <c r="J781" s="35"/>
    </row>
    <row r="782" spans="9:10" x14ac:dyDescent="0.25">
      <c r="I782" s="37"/>
      <c r="J782" s="35"/>
    </row>
    <row r="783" spans="9:10" x14ac:dyDescent="0.25">
      <c r="I783" s="37"/>
      <c r="J783" s="35"/>
    </row>
    <row r="784" spans="9:10" x14ac:dyDescent="0.25">
      <c r="I784" s="37"/>
      <c r="J784" s="35"/>
    </row>
    <row r="785" spans="9:10" x14ac:dyDescent="0.25">
      <c r="I785" s="37"/>
      <c r="J785" s="35"/>
    </row>
    <row r="786" spans="9:10" x14ac:dyDescent="0.25">
      <c r="I786" s="37"/>
      <c r="J786" s="35"/>
    </row>
    <row r="787" spans="9:10" x14ac:dyDescent="0.25">
      <c r="I787" s="37"/>
      <c r="J787" s="35"/>
    </row>
    <row r="788" spans="9:10" x14ac:dyDescent="0.25">
      <c r="I788" s="37"/>
      <c r="J788" s="35"/>
    </row>
    <row r="789" spans="9:10" x14ac:dyDescent="0.25">
      <c r="I789" s="37"/>
      <c r="J789" s="35"/>
    </row>
    <row r="790" spans="9:10" x14ac:dyDescent="0.25">
      <c r="I790" s="37"/>
      <c r="J790" s="35"/>
    </row>
    <row r="791" spans="9:10" x14ac:dyDescent="0.25">
      <c r="I791" s="37"/>
      <c r="J791" s="35"/>
    </row>
    <row r="792" spans="9:10" x14ac:dyDescent="0.25">
      <c r="I792" s="37"/>
      <c r="J792" s="35"/>
    </row>
    <row r="793" spans="9:10" x14ac:dyDescent="0.25">
      <c r="I793" s="37"/>
      <c r="J793" s="35"/>
    </row>
    <row r="794" spans="9:10" x14ac:dyDescent="0.25">
      <c r="I794" s="37"/>
      <c r="J794" s="35"/>
    </row>
    <row r="795" spans="9:10" x14ac:dyDescent="0.25">
      <c r="I795" s="37"/>
      <c r="J795" s="35"/>
    </row>
    <row r="796" spans="9:10" x14ac:dyDescent="0.25">
      <c r="I796" s="37"/>
      <c r="J796" s="35"/>
    </row>
    <row r="797" spans="9:10" x14ac:dyDescent="0.25">
      <c r="I797" s="37"/>
      <c r="J797" s="35"/>
    </row>
    <row r="798" spans="9:10" x14ac:dyDescent="0.25">
      <c r="I798" s="37"/>
      <c r="J798" s="35"/>
    </row>
    <row r="799" spans="9:10" x14ac:dyDescent="0.25">
      <c r="I799" s="37"/>
      <c r="J799" s="35"/>
    </row>
    <row r="800" spans="9:10" x14ac:dyDescent="0.25">
      <c r="I800" s="37"/>
      <c r="J800" s="35"/>
    </row>
    <row r="801" spans="9:10" x14ac:dyDescent="0.25">
      <c r="I801" s="37"/>
      <c r="J801" s="35"/>
    </row>
    <row r="802" spans="9:10" x14ac:dyDescent="0.25">
      <c r="I802" s="37"/>
      <c r="J802" s="35"/>
    </row>
    <row r="803" spans="9:10" x14ac:dyDescent="0.25">
      <c r="I803" s="37"/>
      <c r="J803" s="35"/>
    </row>
    <row r="804" spans="9:10" x14ac:dyDescent="0.25">
      <c r="I804" s="37"/>
      <c r="J804" s="35"/>
    </row>
    <row r="805" spans="9:10" x14ac:dyDescent="0.25">
      <c r="I805" s="37"/>
      <c r="J805" s="35"/>
    </row>
    <row r="806" spans="9:10" x14ac:dyDescent="0.25">
      <c r="I806" s="37"/>
      <c r="J806" s="35"/>
    </row>
    <row r="807" spans="9:10" x14ac:dyDescent="0.25">
      <c r="I807" s="37"/>
      <c r="J807" s="35"/>
    </row>
    <row r="808" spans="9:10" x14ac:dyDescent="0.25">
      <c r="I808" s="37"/>
      <c r="J808" s="35"/>
    </row>
    <row r="809" spans="9:10" x14ac:dyDescent="0.25">
      <c r="I809" s="37"/>
      <c r="J809" s="35"/>
    </row>
    <row r="810" spans="9:10" x14ac:dyDescent="0.25">
      <c r="I810" s="37"/>
      <c r="J810" s="35"/>
    </row>
    <row r="811" spans="9:10" x14ac:dyDescent="0.25">
      <c r="I811" s="37"/>
      <c r="J811" s="35"/>
    </row>
    <row r="812" spans="9:10" x14ac:dyDescent="0.25">
      <c r="I812" s="37"/>
      <c r="J812" s="35"/>
    </row>
    <row r="813" spans="9:10" x14ac:dyDescent="0.25">
      <c r="I813" s="37"/>
      <c r="J813" s="35"/>
    </row>
    <row r="814" spans="9:10" x14ac:dyDescent="0.25">
      <c r="I814" s="37"/>
      <c r="J814" s="35"/>
    </row>
    <row r="815" spans="9:10" x14ac:dyDescent="0.25">
      <c r="I815" s="37"/>
      <c r="J815" s="35"/>
    </row>
    <row r="816" spans="9:10" x14ac:dyDescent="0.25">
      <c r="I816" s="37"/>
      <c r="J816" s="35"/>
    </row>
    <row r="817" spans="9:10" x14ac:dyDescent="0.25">
      <c r="I817" s="37"/>
      <c r="J817" s="35"/>
    </row>
    <row r="818" spans="9:10" x14ac:dyDescent="0.25">
      <c r="I818" s="37"/>
      <c r="J818" s="35"/>
    </row>
    <row r="819" spans="9:10" x14ac:dyDescent="0.25">
      <c r="I819" s="37"/>
      <c r="J819" s="35"/>
    </row>
    <row r="820" spans="9:10" x14ac:dyDescent="0.25">
      <c r="I820" s="37"/>
      <c r="J820" s="35"/>
    </row>
    <row r="821" spans="9:10" x14ac:dyDescent="0.25">
      <c r="I821" s="37"/>
      <c r="J821" s="35"/>
    </row>
    <row r="822" spans="9:10" x14ac:dyDescent="0.25">
      <c r="I822" s="37"/>
      <c r="J822" s="35"/>
    </row>
    <row r="823" spans="9:10" x14ac:dyDescent="0.25">
      <c r="I823" s="37"/>
      <c r="J823" s="35"/>
    </row>
    <row r="824" spans="9:10" x14ac:dyDescent="0.25">
      <c r="I824" s="37"/>
      <c r="J824" s="35"/>
    </row>
    <row r="825" spans="9:10" x14ac:dyDescent="0.25">
      <c r="I825" s="37"/>
      <c r="J825" s="35"/>
    </row>
    <row r="826" spans="9:10" x14ac:dyDescent="0.25">
      <c r="I826" s="37"/>
      <c r="J826" s="35"/>
    </row>
    <row r="827" spans="9:10" x14ac:dyDescent="0.25">
      <c r="I827" s="37"/>
      <c r="J827" s="35"/>
    </row>
    <row r="828" spans="9:10" x14ac:dyDescent="0.25">
      <c r="I828" s="37"/>
      <c r="J828" s="35"/>
    </row>
    <row r="829" spans="9:10" x14ac:dyDescent="0.25">
      <c r="I829" s="37"/>
      <c r="J829" s="35"/>
    </row>
    <row r="830" spans="9:10" x14ac:dyDescent="0.25">
      <c r="I830" s="37"/>
      <c r="J830" s="35"/>
    </row>
    <row r="831" spans="9:10" x14ac:dyDescent="0.25">
      <c r="I831" s="37"/>
      <c r="J831" s="35"/>
    </row>
    <row r="832" spans="9:10" x14ac:dyDescent="0.25">
      <c r="I832" s="37"/>
      <c r="J832" s="35"/>
    </row>
    <row r="833" spans="9:10" x14ac:dyDescent="0.25">
      <c r="I833" s="37"/>
      <c r="J833" s="35"/>
    </row>
    <row r="834" spans="9:10" x14ac:dyDescent="0.25">
      <c r="I834" s="37"/>
      <c r="J834" s="35"/>
    </row>
    <row r="835" spans="9:10" x14ac:dyDescent="0.25">
      <c r="I835" s="37"/>
      <c r="J835" s="35"/>
    </row>
    <row r="836" spans="9:10" x14ac:dyDescent="0.25">
      <c r="I836" s="37"/>
      <c r="J836" s="35"/>
    </row>
    <row r="837" spans="9:10" x14ac:dyDescent="0.25">
      <c r="I837" s="37"/>
      <c r="J837" s="35"/>
    </row>
    <row r="838" spans="9:10" x14ac:dyDescent="0.25">
      <c r="I838" s="37"/>
      <c r="J838" s="35"/>
    </row>
    <row r="839" spans="9:10" x14ac:dyDescent="0.25">
      <c r="I839" s="37"/>
      <c r="J839" s="35"/>
    </row>
    <row r="840" spans="9:10" x14ac:dyDescent="0.25">
      <c r="I840" s="37"/>
      <c r="J840" s="35"/>
    </row>
    <row r="841" spans="9:10" x14ac:dyDescent="0.25">
      <c r="I841" s="37"/>
      <c r="J841" s="35"/>
    </row>
    <row r="842" spans="9:10" x14ac:dyDescent="0.25">
      <c r="I842" s="37"/>
      <c r="J842" s="35"/>
    </row>
    <row r="843" spans="9:10" x14ac:dyDescent="0.25">
      <c r="I843" s="37"/>
      <c r="J843" s="35"/>
    </row>
    <row r="844" spans="9:10" x14ac:dyDescent="0.25">
      <c r="I844" s="37"/>
      <c r="J844" s="35"/>
    </row>
    <row r="845" spans="9:10" x14ac:dyDescent="0.25">
      <c r="I845" s="37"/>
      <c r="J845" s="35"/>
    </row>
    <row r="846" spans="9:10" x14ac:dyDescent="0.25">
      <c r="I846" s="37"/>
      <c r="J846" s="35"/>
    </row>
    <row r="847" spans="9:10" x14ac:dyDescent="0.25">
      <c r="I847" s="37"/>
      <c r="J847" s="35"/>
    </row>
    <row r="848" spans="9:10" x14ac:dyDescent="0.25">
      <c r="I848" s="37"/>
      <c r="J848" s="35"/>
    </row>
    <row r="849" spans="9:10" x14ac:dyDescent="0.25">
      <c r="I849" s="37"/>
      <c r="J849" s="35"/>
    </row>
    <row r="850" spans="9:10" x14ac:dyDescent="0.25">
      <c r="I850" s="37"/>
      <c r="J850" s="35"/>
    </row>
    <row r="851" spans="9:10" x14ac:dyDescent="0.25">
      <c r="I851" s="37"/>
      <c r="J851" s="35"/>
    </row>
    <row r="852" spans="9:10" x14ac:dyDescent="0.25">
      <c r="I852" s="37"/>
      <c r="J852" s="35"/>
    </row>
    <row r="853" spans="9:10" x14ac:dyDescent="0.25">
      <c r="I853" s="37"/>
      <c r="J853" s="35"/>
    </row>
    <row r="854" spans="9:10" x14ac:dyDescent="0.25">
      <c r="I854" s="37"/>
      <c r="J854" s="35"/>
    </row>
    <row r="855" spans="9:10" x14ac:dyDescent="0.25">
      <c r="I855" s="37"/>
      <c r="J855" s="35"/>
    </row>
    <row r="856" spans="9:10" x14ac:dyDescent="0.25">
      <c r="I856" s="37"/>
      <c r="J856" s="35"/>
    </row>
    <row r="857" spans="9:10" x14ac:dyDescent="0.25">
      <c r="I857" s="37"/>
      <c r="J857" s="35"/>
    </row>
    <row r="858" spans="9:10" x14ac:dyDescent="0.25">
      <c r="I858" s="37"/>
      <c r="J858" s="35"/>
    </row>
    <row r="859" spans="9:10" x14ac:dyDescent="0.25">
      <c r="I859" s="37"/>
      <c r="J859" s="35"/>
    </row>
    <row r="860" spans="9:10" x14ac:dyDescent="0.25">
      <c r="I860" s="37"/>
      <c r="J860" s="35"/>
    </row>
    <row r="861" spans="9:10" x14ac:dyDescent="0.25">
      <c r="I861" s="37"/>
      <c r="J861" s="35"/>
    </row>
    <row r="862" spans="9:10" x14ac:dyDescent="0.25">
      <c r="I862" s="37"/>
      <c r="J862" s="35"/>
    </row>
    <row r="863" spans="9:10" x14ac:dyDescent="0.25">
      <c r="I863" s="37"/>
      <c r="J863" s="35"/>
    </row>
    <row r="864" spans="9:10" x14ac:dyDescent="0.25">
      <c r="I864" s="37"/>
      <c r="J864" s="35"/>
    </row>
    <row r="865" spans="9:10" x14ac:dyDescent="0.25">
      <c r="I865" s="37"/>
      <c r="J865" s="35"/>
    </row>
    <row r="866" spans="9:10" x14ac:dyDescent="0.25">
      <c r="I866" s="37"/>
      <c r="J866" s="35"/>
    </row>
    <row r="867" spans="9:10" x14ac:dyDescent="0.25">
      <c r="I867" s="37"/>
      <c r="J867" s="35"/>
    </row>
    <row r="868" spans="9:10" x14ac:dyDescent="0.25">
      <c r="I868" s="37"/>
      <c r="J868" s="35"/>
    </row>
    <row r="869" spans="9:10" x14ac:dyDescent="0.25">
      <c r="I869" s="37"/>
      <c r="J869" s="35"/>
    </row>
    <row r="870" spans="9:10" x14ac:dyDescent="0.25">
      <c r="I870" s="37"/>
      <c r="J870" s="35"/>
    </row>
    <row r="871" spans="9:10" x14ac:dyDescent="0.25">
      <c r="I871" s="37"/>
      <c r="J871" s="35"/>
    </row>
    <row r="872" spans="9:10" x14ac:dyDescent="0.25">
      <c r="I872" s="37"/>
      <c r="J872" s="35"/>
    </row>
    <row r="873" spans="9:10" x14ac:dyDescent="0.25">
      <c r="I873" s="37"/>
      <c r="J873" s="35"/>
    </row>
    <row r="874" spans="9:10" x14ac:dyDescent="0.25">
      <c r="I874" s="37"/>
      <c r="J874" s="35"/>
    </row>
    <row r="875" spans="9:10" x14ac:dyDescent="0.25">
      <c r="I875" s="37"/>
      <c r="J875" s="35"/>
    </row>
    <row r="876" spans="9:10" x14ac:dyDescent="0.25">
      <c r="I876" s="37"/>
      <c r="J876" s="35"/>
    </row>
    <row r="877" spans="9:10" x14ac:dyDescent="0.25">
      <c r="I877" s="37"/>
      <c r="J877" s="35"/>
    </row>
    <row r="878" spans="9:10" x14ac:dyDescent="0.25">
      <c r="I878" s="37"/>
      <c r="J878" s="35"/>
    </row>
    <row r="879" spans="9:10" x14ac:dyDescent="0.25">
      <c r="I879" s="37"/>
      <c r="J879" s="35"/>
    </row>
    <row r="880" spans="9:10" x14ac:dyDescent="0.25">
      <c r="I880" s="37"/>
      <c r="J880" s="35"/>
    </row>
    <row r="881" spans="9:10" x14ac:dyDescent="0.25">
      <c r="I881" s="37"/>
      <c r="J881" s="35"/>
    </row>
    <row r="882" spans="9:10" x14ac:dyDescent="0.25">
      <c r="I882" s="37"/>
      <c r="J882" s="35"/>
    </row>
    <row r="883" spans="9:10" x14ac:dyDescent="0.25">
      <c r="I883" s="37"/>
      <c r="J883" s="35"/>
    </row>
    <row r="884" spans="9:10" x14ac:dyDescent="0.25">
      <c r="I884" s="37"/>
      <c r="J884" s="35"/>
    </row>
    <row r="885" spans="9:10" x14ac:dyDescent="0.25">
      <c r="I885" s="37"/>
      <c r="J885" s="35"/>
    </row>
    <row r="886" spans="9:10" x14ac:dyDescent="0.25">
      <c r="I886" s="37"/>
      <c r="J886" s="35"/>
    </row>
    <row r="887" spans="9:10" x14ac:dyDescent="0.25">
      <c r="I887" s="37"/>
      <c r="J887" s="35"/>
    </row>
    <row r="888" spans="9:10" x14ac:dyDescent="0.25">
      <c r="I888" s="37"/>
      <c r="J888" s="35"/>
    </row>
    <row r="889" spans="9:10" x14ac:dyDescent="0.25">
      <c r="I889" s="37"/>
      <c r="J889" s="35"/>
    </row>
    <row r="890" spans="9:10" x14ac:dyDescent="0.25">
      <c r="I890" s="37"/>
      <c r="J890" s="35"/>
    </row>
    <row r="891" spans="9:10" x14ac:dyDescent="0.25">
      <c r="I891" s="37"/>
      <c r="J891" s="35"/>
    </row>
    <row r="892" spans="9:10" x14ac:dyDescent="0.25">
      <c r="I892" s="37"/>
      <c r="J892" s="35"/>
    </row>
    <row r="893" spans="9:10" x14ac:dyDescent="0.25">
      <c r="I893" s="37"/>
      <c r="J893" s="35"/>
    </row>
    <row r="894" spans="9:10" x14ac:dyDescent="0.25">
      <c r="I894" s="37"/>
      <c r="J894" s="35"/>
    </row>
    <row r="895" spans="9:10" x14ac:dyDescent="0.25">
      <c r="I895" s="37"/>
      <c r="J895" s="35"/>
    </row>
    <row r="896" spans="9:10" x14ac:dyDescent="0.25">
      <c r="I896" s="37"/>
      <c r="J896" s="35"/>
    </row>
    <row r="897" spans="9:10" x14ac:dyDescent="0.25">
      <c r="I897" s="37"/>
      <c r="J897" s="35"/>
    </row>
    <row r="898" spans="9:10" x14ac:dyDescent="0.25">
      <c r="I898" s="37"/>
      <c r="J898" s="35"/>
    </row>
    <row r="899" spans="9:10" x14ac:dyDescent="0.25">
      <c r="I899" s="37"/>
      <c r="J899" s="35"/>
    </row>
    <row r="900" spans="9:10" x14ac:dyDescent="0.25">
      <c r="I900" s="37"/>
      <c r="J900" s="35"/>
    </row>
    <row r="901" spans="9:10" x14ac:dyDescent="0.25">
      <c r="I901" s="37"/>
      <c r="J901" s="35"/>
    </row>
    <row r="902" spans="9:10" x14ac:dyDescent="0.25">
      <c r="I902" s="37"/>
      <c r="J902" s="35"/>
    </row>
    <row r="903" spans="9:10" x14ac:dyDescent="0.25">
      <c r="I903" s="37"/>
      <c r="J903" s="35"/>
    </row>
    <row r="904" spans="9:10" x14ac:dyDescent="0.25">
      <c r="I904" s="37"/>
      <c r="J904" s="35"/>
    </row>
    <row r="905" spans="9:10" x14ac:dyDescent="0.25">
      <c r="I905" s="37"/>
      <c r="J905" s="35"/>
    </row>
    <row r="906" spans="9:10" x14ac:dyDescent="0.25">
      <c r="I906" s="37"/>
      <c r="J906" s="35"/>
    </row>
    <row r="907" spans="9:10" x14ac:dyDescent="0.25">
      <c r="I907" s="37"/>
      <c r="J907" s="35"/>
    </row>
    <row r="908" spans="9:10" x14ac:dyDescent="0.25">
      <c r="I908" s="37"/>
      <c r="J908" s="35"/>
    </row>
    <row r="909" spans="9:10" x14ac:dyDescent="0.25">
      <c r="I909" s="37"/>
      <c r="J909" s="35"/>
    </row>
    <row r="910" spans="9:10" x14ac:dyDescent="0.25">
      <c r="I910" s="37"/>
      <c r="J910" s="35"/>
    </row>
    <row r="911" spans="9:10" x14ac:dyDescent="0.25">
      <c r="I911" s="37"/>
      <c r="J911" s="35"/>
    </row>
    <row r="912" spans="9:10" x14ac:dyDescent="0.25">
      <c r="I912" s="37"/>
      <c r="J912" s="35"/>
    </row>
    <row r="913" spans="9:10" x14ac:dyDescent="0.25">
      <c r="I913" s="37"/>
      <c r="J913" s="35"/>
    </row>
    <row r="914" spans="9:10" x14ac:dyDescent="0.25">
      <c r="I914" s="37"/>
      <c r="J914" s="35"/>
    </row>
    <row r="915" spans="9:10" x14ac:dyDescent="0.25">
      <c r="I915" s="37"/>
      <c r="J915" s="35"/>
    </row>
    <row r="916" spans="9:10" x14ac:dyDescent="0.25">
      <c r="I916" s="37"/>
      <c r="J916" s="35"/>
    </row>
    <row r="917" spans="9:10" x14ac:dyDescent="0.25">
      <c r="I917" s="37"/>
      <c r="J917" s="35"/>
    </row>
    <row r="918" spans="9:10" x14ac:dyDescent="0.25">
      <c r="I918" s="37"/>
      <c r="J918" s="35"/>
    </row>
    <row r="919" spans="9:10" x14ac:dyDescent="0.25">
      <c r="I919" s="37"/>
      <c r="J919" s="35"/>
    </row>
    <row r="920" spans="9:10" x14ac:dyDescent="0.25">
      <c r="I920" s="37"/>
      <c r="J920" s="35"/>
    </row>
    <row r="921" spans="9:10" x14ac:dyDescent="0.25">
      <c r="I921" s="37"/>
      <c r="J921" s="35"/>
    </row>
    <row r="922" spans="9:10" x14ac:dyDescent="0.25">
      <c r="I922" s="37"/>
      <c r="J922" s="35"/>
    </row>
    <row r="923" spans="9:10" x14ac:dyDescent="0.25">
      <c r="I923" s="37"/>
      <c r="J923" s="35"/>
    </row>
    <row r="924" spans="9:10" x14ac:dyDescent="0.25">
      <c r="I924" s="37"/>
      <c r="J924" s="35"/>
    </row>
    <row r="925" spans="9:10" x14ac:dyDescent="0.25">
      <c r="I925" s="37"/>
      <c r="J925" s="35"/>
    </row>
    <row r="926" spans="9:10" x14ac:dyDescent="0.25">
      <c r="I926" s="37"/>
      <c r="J926" s="35"/>
    </row>
    <row r="927" spans="9:10" x14ac:dyDescent="0.25">
      <c r="I927" s="37"/>
      <c r="J927" s="35"/>
    </row>
    <row r="928" spans="9:10" x14ac:dyDescent="0.25">
      <c r="I928" s="37"/>
      <c r="J928" s="35"/>
    </row>
    <row r="929" spans="9:10" x14ac:dyDescent="0.25">
      <c r="I929" s="37"/>
      <c r="J929" s="35"/>
    </row>
    <row r="930" spans="9:10" x14ac:dyDescent="0.25">
      <c r="I930" s="37"/>
      <c r="J930" s="35"/>
    </row>
    <row r="931" spans="9:10" x14ac:dyDescent="0.25">
      <c r="I931" s="37"/>
      <c r="J931" s="35"/>
    </row>
    <row r="932" spans="9:10" x14ac:dyDescent="0.25">
      <c r="I932" s="37"/>
      <c r="J932" s="35"/>
    </row>
    <row r="933" spans="9:10" x14ac:dyDescent="0.25">
      <c r="I933" s="37"/>
      <c r="J933" s="35"/>
    </row>
    <row r="934" spans="9:10" x14ac:dyDescent="0.25">
      <c r="I934" s="37"/>
      <c r="J934" s="35"/>
    </row>
    <row r="935" spans="9:10" x14ac:dyDescent="0.25">
      <c r="I935" s="37"/>
      <c r="J935" s="35"/>
    </row>
    <row r="936" spans="9:10" x14ac:dyDescent="0.25">
      <c r="I936" s="37"/>
      <c r="J936" s="35"/>
    </row>
    <row r="937" spans="9:10" x14ac:dyDescent="0.25">
      <c r="I937" s="37"/>
      <c r="J937" s="35"/>
    </row>
    <row r="938" spans="9:10" x14ac:dyDescent="0.25">
      <c r="I938" s="37"/>
      <c r="J938" s="35"/>
    </row>
    <row r="939" spans="9:10" x14ac:dyDescent="0.25">
      <c r="I939" s="37"/>
      <c r="J939" s="35"/>
    </row>
    <row r="940" spans="9:10" x14ac:dyDescent="0.25">
      <c r="I940" s="37"/>
      <c r="J940" s="35"/>
    </row>
    <row r="941" spans="9:10" x14ac:dyDescent="0.25">
      <c r="I941" s="37"/>
      <c r="J941" s="35"/>
    </row>
    <row r="942" spans="9:10" x14ac:dyDescent="0.25">
      <c r="I942" s="37"/>
      <c r="J942" s="35"/>
    </row>
    <row r="943" spans="9:10" x14ac:dyDescent="0.25">
      <c r="I943" s="37"/>
      <c r="J943" s="35"/>
    </row>
    <row r="944" spans="9:10" x14ac:dyDescent="0.25">
      <c r="I944" s="37"/>
      <c r="J944" s="35"/>
    </row>
    <row r="945" spans="9:10" x14ac:dyDescent="0.25">
      <c r="I945" s="37"/>
      <c r="J945" s="35"/>
    </row>
    <row r="946" spans="9:10" x14ac:dyDescent="0.25">
      <c r="I946" s="37"/>
      <c r="J946" s="35"/>
    </row>
    <row r="947" spans="9:10" x14ac:dyDescent="0.25">
      <c r="I947" s="37"/>
      <c r="J947" s="35"/>
    </row>
    <row r="948" spans="9:10" x14ac:dyDescent="0.25">
      <c r="I948" s="37"/>
      <c r="J948" s="35"/>
    </row>
    <row r="949" spans="9:10" x14ac:dyDescent="0.25">
      <c r="I949" s="37"/>
      <c r="J949" s="35"/>
    </row>
    <row r="950" spans="9:10" x14ac:dyDescent="0.25">
      <c r="I950" s="37"/>
      <c r="J950" s="35"/>
    </row>
    <row r="951" spans="9:10" x14ac:dyDescent="0.25">
      <c r="I951" s="37"/>
      <c r="J951" s="35"/>
    </row>
    <row r="952" spans="9:10" x14ac:dyDescent="0.25">
      <c r="I952" s="37"/>
      <c r="J952" s="35"/>
    </row>
    <row r="953" spans="9:10" x14ac:dyDescent="0.25">
      <c r="I953" s="37"/>
      <c r="J953" s="35"/>
    </row>
    <row r="954" spans="9:10" x14ac:dyDescent="0.25">
      <c r="I954" s="37"/>
      <c r="J954" s="35"/>
    </row>
    <row r="955" spans="9:10" x14ac:dyDescent="0.25">
      <c r="I955" s="37"/>
      <c r="J955" s="35"/>
    </row>
    <row r="956" spans="9:10" x14ac:dyDescent="0.25">
      <c r="I956" s="37"/>
      <c r="J956" s="35"/>
    </row>
    <row r="957" spans="9:10" x14ac:dyDescent="0.25">
      <c r="I957" s="37"/>
      <c r="J957" s="35"/>
    </row>
    <row r="958" spans="9:10" x14ac:dyDescent="0.25">
      <c r="I958" s="37"/>
      <c r="J958" s="35"/>
    </row>
    <row r="959" spans="9:10" x14ac:dyDescent="0.25">
      <c r="I959" s="37"/>
      <c r="J959" s="35"/>
    </row>
    <row r="960" spans="9:10" x14ac:dyDescent="0.25">
      <c r="I960" s="37"/>
      <c r="J960" s="35"/>
    </row>
    <row r="961" spans="9:10" x14ac:dyDescent="0.25">
      <c r="I961" s="37"/>
      <c r="J961" s="35"/>
    </row>
    <row r="962" spans="9:10" x14ac:dyDescent="0.25">
      <c r="I962" s="37"/>
      <c r="J962" s="35"/>
    </row>
    <row r="963" spans="9:10" x14ac:dyDescent="0.25">
      <c r="I963" s="37"/>
      <c r="J963" s="35"/>
    </row>
    <row r="964" spans="9:10" x14ac:dyDescent="0.25">
      <c r="I964" s="37"/>
      <c r="J964" s="35"/>
    </row>
    <row r="965" spans="9:10" x14ac:dyDescent="0.25">
      <c r="I965" s="37"/>
      <c r="J965" s="35"/>
    </row>
    <row r="966" spans="9:10" x14ac:dyDescent="0.25">
      <c r="I966" s="37"/>
      <c r="J966" s="35"/>
    </row>
    <row r="967" spans="9:10" x14ac:dyDescent="0.25">
      <c r="I967" s="37"/>
      <c r="J967" s="35"/>
    </row>
    <row r="968" spans="9:10" x14ac:dyDescent="0.25">
      <c r="I968" s="37"/>
      <c r="J968" s="35"/>
    </row>
    <row r="969" spans="9:10" x14ac:dyDescent="0.25">
      <c r="I969" s="37"/>
      <c r="J969" s="35"/>
    </row>
    <row r="970" spans="9:10" x14ac:dyDescent="0.25">
      <c r="I970" s="37"/>
      <c r="J970" s="35"/>
    </row>
    <row r="971" spans="9:10" x14ac:dyDescent="0.25">
      <c r="I971" s="37"/>
      <c r="J971" s="35"/>
    </row>
    <row r="972" spans="9:10" x14ac:dyDescent="0.25">
      <c r="I972" s="37"/>
      <c r="J972" s="35"/>
    </row>
    <row r="973" spans="9:10" x14ac:dyDescent="0.25">
      <c r="I973" s="37"/>
      <c r="J973" s="35"/>
    </row>
    <row r="974" spans="9:10" x14ac:dyDescent="0.25">
      <c r="I974" s="37"/>
      <c r="J974" s="35"/>
    </row>
    <row r="975" spans="9:10" x14ac:dyDescent="0.25">
      <c r="I975" s="37"/>
      <c r="J975" s="35"/>
    </row>
    <row r="976" spans="9:10" x14ac:dyDescent="0.25">
      <c r="I976" s="37"/>
      <c r="J976" s="35"/>
    </row>
    <row r="977" spans="9:10" x14ac:dyDescent="0.25">
      <c r="I977" s="37"/>
      <c r="J977" s="35"/>
    </row>
    <row r="978" spans="9:10" x14ac:dyDescent="0.25">
      <c r="I978" s="37"/>
      <c r="J978" s="35"/>
    </row>
    <row r="979" spans="9:10" x14ac:dyDescent="0.25">
      <c r="I979" s="37"/>
      <c r="J979" s="35"/>
    </row>
    <row r="980" spans="9:10" x14ac:dyDescent="0.25">
      <c r="I980" s="37"/>
      <c r="J980" s="35"/>
    </row>
    <row r="981" spans="9:10" x14ac:dyDescent="0.25">
      <c r="I981" s="37"/>
      <c r="J981" s="35"/>
    </row>
    <row r="982" spans="9:10" x14ac:dyDescent="0.25">
      <c r="I982" s="37"/>
      <c r="J982" s="35"/>
    </row>
    <row r="983" spans="9:10" x14ac:dyDescent="0.25">
      <c r="I983" s="37"/>
      <c r="J983" s="35"/>
    </row>
    <row r="984" spans="9:10" x14ac:dyDescent="0.25">
      <c r="I984" s="37"/>
      <c r="J984" s="35"/>
    </row>
    <row r="985" spans="9:10" x14ac:dyDescent="0.25">
      <c r="I985" s="37"/>
      <c r="J985" s="35"/>
    </row>
    <row r="986" spans="9:10" x14ac:dyDescent="0.25">
      <c r="I986" s="37"/>
      <c r="J986" s="35"/>
    </row>
    <row r="987" spans="9:10" x14ac:dyDescent="0.25">
      <c r="I987" s="37"/>
      <c r="J987" s="35"/>
    </row>
    <row r="988" spans="9:10" x14ac:dyDescent="0.25">
      <c r="I988" s="37"/>
      <c r="J988" s="35"/>
    </row>
    <row r="989" spans="9:10" x14ac:dyDescent="0.25">
      <c r="I989" s="37"/>
      <c r="J989" s="35"/>
    </row>
    <row r="990" spans="9:10" x14ac:dyDescent="0.25">
      <c r="I990" s="37"/>
      <c r="J990" s="35"/>
    </row>
    <row r="991" spans="9:10" x14ac:dyDescent="0.25">
      <c r="I991" s="37"/>
      <c r="J991" s="35"/>
    </row>
    <row r="992" spans="9:10" x14ac:dyDescent="0.25">
      <c r="I992" s="37"/>
      <c r="J992" s="35"/>
    </row>
    <row r="993" spans="9:10" x14ac:dyDescent="0.25">
      <c r="I993" s="37"/>
      <c r="J993" s="35"/>
    </row>
    <row r="994" spans="9:10" x14ac:dyDescent="0.25">
      <c r="I994" s="37"/>
      <c r="J994" s="35"/>
    </row>
    <row r="995" spans="9:10" x14ac:dyDescent="0.25">
      <c r="I995" s="37"/>
      <c r="J995" s="35"/>
    </row>
    <row r="996" spans="9:10" x14ac:dyDescent="0.25">
      <c r="I996" s="37"/>
      <c r="J996" s="35"/>
    </row>
    <row r="997" spans="9:10" x14ac:dyDescent="0.25">
      <c r="I997" s="37"/>
      <c r="J997" s="35"/>
    </row>
    <row r="998" spans="9:10" x14ac:dyDescent="0.25">
      <c r="I998" s="37"/>
      <c r="J998" s="35"/>
    </row>
    <row r="999" spans="9:10" x14ac:dyDescent="0.25">
      <c r="I999" s="37"/>
      <c r="J999" s="35"/>
    </row>
    <row r="1000" spans="9:10" x14ac:dyDescent="0.25">
      <c r="I1000" s="37"/>
      <c r="J1000" s="35"/>
    </row>
    <row r="1001" spans="9:10" x14ac:dyDescent="0.25">
      <c r="I1001" s="37"/>
      <c r="J1001" s="35"/>
    </row>
    <row r="1002" spans="9:10" x14ac:dyDescent="0.25">
      <c r="I1002" s="37"/>
      <c r="J1002" s="35"/>
    </row>
    <row r="1003" spans="9:10" x14ac:dyDescent="0.25">
      <c r="I1003" s="37"/>
      <c r="J1003" s="35"/>
    </row>
    <row r="1004" spans="9:10" x14ac:dyDescent="0.25">
      <c r="I1004" s="37"/>
      <c r="J1004" s="35"/>
    </row>
    <row r="1005" spans="9:10" x14ac:dyDescent="0.25">
      <c r="I1005" s="37"/>
      <c r="J1005" s="35"/>
    </row>
    <row r="1006" spans="9:10" x14ac:dyDescent="0.25">
      <c r="I1006" s="37"/>
      <c r="J1006" s="35"/>
    </row>
    <row r="1007" spans="9:10" x14ac:dyDescent="0.25">
      <c r="I1007" s="37"/>
      <c r="J1007" s="35"/>
    </row>
    <row r="1008" spans="9:10" x14ac:dyDescent="0.25">
      <c r="I1008" s="37"/>
      <c r="J1008" s="35"/>
    </row>
    <row r="1009" spans="9:10" x14ac:dyDescent="0.25">
      <c r="I1009" s="37"/>
      <c r="J1009" s="35"/>
    </row>
    <row r="1010" spans="9:10" x14ac:dyDescent="0.25">
      <c r="I1010" s="37"/>
      <c r="J1010" s="35"/>
    </row>
    <row r="1011" spans="9:10" x14ac:dyDescent="0.25">
      <c r="I1011" s="37"/>
      <c r="J1011" s="35"/>
    </row>
    <row r="1012" spans="9:10" x14ac:dyDescent="0.25">
      <c r="I1012" s="37"/>
      <c r="J1012" s="35"/>
    </row>
    <row r="1013" spans="9:10" x14ac:dyDescent="0.25">
      <c r="I1013" s="37"/>
      <c r="J1013" s="35"/>
    </row>
    <row r="1014" spans="9:10" x14ac:dyDescent="0.25">
      <c r="I1014" s="37"/>
      <c r="J1014" s="35"/>
    </row>
    <row r="1015" spans="9:10" x14ac:dyDescent="0.25">
      <c r="I1015" s="37"/>
      <c r="J1015" s="35"/>
    </row>
    <row r="1016" spans="9:10" x14ac:dyDescent="0.25">
      <c r="I1016" s="37"/>
      <c r="J1016" s="35"/>
    </row>
    <row r="1017" spans="9:10" x14ac:dyDescent="0.25">
      <c r="I1017" s="37"/>
      <c r="J1017" s="35"/>
    </row>
    <row r="1018" spans="9:10" x14ac:dyDescent="0.25">
      <c r="I1018" s="37"/>
      <c r="J1018" s="35"/>
    </row>
    <row r="1019" spans="9:10" x14ac:dyDescent="0.25">
      <c r="I1019" s="37"/>
      <c r="J1019" s="35"/>
    </row>
    <row r="1020" spans="9:10" x14ac:dyDescent="0.25">
      <c r="I1020" s="37"/>
      <c r="J1020" s="35"/>
    </row>
    <row r="1021" spans="9:10" x14ac:dyDescent="0.25">
      <c r="I1021" s="37"/>
      <c r="J1021" s="35"/>
    </row>
    <row r="1022" spans="9:10" x14ac:dyDescent="0.25">
      <c r="I1022" s="37"/>
      <c r="J1022" s="35"/>
    </row>
    <row r="1023" spans="9:10" x14ac:dyDescent="0.25">
      <c r="I1023" s="37"/>
      <c r="J1023" s="35"/>
    </row>
    <row r="1024" spans="9:10" x14ac:dyDescent="0.25">
      <c r="I1024" s="37"/>
      <c r="J1024" s="35"/>
    </row>
    <row r="1025" spans="9:10" x14ac:dyDescent="0.25">
      <c r="I1025" s="37"/>
      <c r="J1025" s="35"/>
    </row>
    <row r="1026" spans="9:10" x14ac:dyDescent="0.25">
      <c r="I1026" s="37"/>
      <c r="J1026" s="35"/>
    </row>
    <row r="1027" spans="9:10" x14ac:dyDescent="0.25">
      <c r="I1027" s="37"/>
      <c r="J1027" s="35"/>
    </row>
    <row r="1028" spans="9:10" x14ac:dyDescent="0.25">
      <c r="I1028" s="37"/>
      <c r="J1028" s="35"/>
    </row>
    <row r="1029" spans="9:10" x14ac:dyDescent="0.25">
      <c r="I1029" s="37"/>
      <c r="J1029" s="35"/>
    </row>
    <row r="1030" spans="9:10" x14ac:dyDescent="0.25">
      <c r="I1030" s="37"/>
      <c r="J1030" s="35"/>
    </row>
    <row r="1031" spans="9:10" x14ac:dyDescent="0.25">
      <c r="I1031" s="37"/>
      <c r="J1031" s="35"/>
    </row>
    <row r="1032" spans="9:10" x14ac:dyDescent="0.25">
      <c r="I1032" s="37"/>
      <c r="J1032" s="35"/>
    </row>
    <row r="1033" spans="9:10" x14ac:dyDescent="0.25">
      <c r="I1033" s="37"/>
      <c r="J1033" s="35"/>
    </row>
    <row r="1034" spans="9:10" x14ac:dyDescent="0.25">
      <c r="I1034" s="37"/>
      <c r="J1034" s="35"/>
    </row>
    <row r="1035" spans="9:10" x14ac:dyDescent="0.25">
      <c r="I1035" s="37"/>
      <c r="J1035" s="35"/>
    </row>
    <row r="1036" spans="9:10" x14ac:dyDescent="0.25">
      <c r="I1036" s="37"/>
      <c r="J1036" s="35"/>
    </row>
    <row r="1037" spans="9:10" x14ac:dyDescent="0.25">
      <c r="I1037" s="37"/>
      <c r="J1037" s="35"/>
    </row>
    <row r="1038" spans="9:10" x14ac:dyDescent="0.25">
      <c r="I1038" s="37"/>
      <c r="J1038" s="35"/>
    </row>
    <row r="1039" spans="9:10" x14ac:dyDescent="0.25">
      <c r="I1039" s="37"/>
      <c r="J1039" s="35"/>
    </row>
    <row r="1040" spans="9:10" x14ac:dyDescent="0.25">
      <c r="I1040" s="37"/>
      <c r="J1040" s="35"/>
    </row>
    <row r="1041" spans="9:10" x14ac:dyDescent="0.25">
      <c r="I1041" s="37"/>
      <c r="J1041" s="35"/>
    </row>
    <row r="1042" spans="9:10" x14ac:dyDescent="0.25">
      <c r="I1042" s="37"/>
      <c r="J1042" s="35"/>
    </row>
    <row r="1043" spans="9:10" x14ac:dyDescent="0.25">
      <c r="I1043" s="37"/>
      <c r="J1043" s="35"/>
    </row>
    <row r="1044" spans="9:10" x14ac:dyDescent="0.25">
      <c r="I1044" s="37"/>
      <c r="J1044" s="35"/>
    </row>
    <row r="1045" spans="9:10" x14ac:dyDescent="0.25">
      <c r="I1045" s="37"/>
      <c r="J1045" s="35"/>
    </row>
    <row r="1046" spans="9:10" x14ac:dyDescent="0.25">
      <c r="I1046" s="37"/>
      <c r="J1046" s="35"/>
    </row>
    <row r="1047" spans="9:10" x14ac:dyDescent="0.25">
      <c r="I1047" s="37"/>
      <c r="J1047" s="35"/>
    </row>
    <row r="1048" spans="9:10" x14ac:dyDescent="0.25">
      <c r="I1048" s="37"/>
      <c r="J1048" s="35"/>
    </row>
    <row r="1049" spans="9:10" x14ac:dyDescent="0.25">
      <c r="I1049" s="37"/>
      <c r="J1049" s="35"/>
    </row>
    <row r="1050" spans="9:10" x14ac:dyDescent="0.25">
      <c r="I1050" s="37"/>
      <c r="J1050" s="35"/>
    </row>
    <row r="1051" spans="9:10" x14ac:dyDescent="0.25">
      <c r="I1051" s="37"/>
      <c r="J1051" s="35"/>
    </row>
    <row r="1052" spans="9:10" x14ac:dyDescent="0.25">
      <c r="I1052" s="37"/>
      <c r="J1052" s="35"/>
    </row>
    <row r="1053" spans="9:10" x14ac:dyDescent="0.25">
      <c r="I1053" s="37"/>
      <c r="J1053" s="35"/>
    </row>
    <row r="1054" spans="9:10" x14ac:dyDescent="0.25">
      <c r="I1054" s="37"/>
      <c r="J1054" s="35"/>
    </row>
    <row r="1055" spans="9:10" x14ac:dyDescent="0.25">
      <c r="I1055" s="37"/>
      <c r="J1055" s="35"/>
    </row>
    <row r="1056" spans="9:10" x14ac:dyDescent="0.25">
      <c r="I1056" s="37"/>
      <c r="J1056" s="35"/>
    </row>
    <row r="1057" spans="9:10" x14ac:dyDescent="0.25">
      <c r="I1057" s="37"/>
      <c r="J1057" s="35"/>
    </row>
    <row r="1058" spans="9:10" x14ac:dyDescent="0.25">
      <c r="I1058" s="37"/>
      <c r="J1058" s="35"/>
    </row>
    <row r="1059" spans="9:10" x14ac:dyDescent="0.25">
      <c r="I1059" s="37"/>
      <c r="J1059" s="35"/>
    </row>
    <row r="1060" spans="9:10" x14ac:dyDescent="0.25">
      <c r="I1060" s="37"/>
      <c r="J1060" s="35"/>
    </row>
    <row r="1061" spans="9:10" x14ac:dyDescent="0.25">
      <c r="I1061" s="37"/>
      <c r="J1061" s="35"/>
    </row>
    <row r="1062" spans="9:10" x14ac:dyDescent="0.25">
      <c r="I1062" s="37"/>
      <c r="J1062" s="35"/>
    </row>
    <row r="1063" spans="9:10" x14ac:dyDescent="0.25">
      <c r="I1063" s="37"/>
      <c r="J1063" s="35"/>
    </row>
    <row r="1064" spans="9:10" x14ac:dyDescent="0.25">
      <c r="I1064" s="37"/>
      <c r="J1064" s="35"/>
    </row>
    <row r="1065" spans="9:10" x14ac:dyDescent="0.25">
      <c r="I1065" s="37"/>
      <c r="J1065" s="35"/>
    </row>
    <row r="1066" spans="9:10" x14ac:dyDescent="0.25">
      <c r="I1066" s="37"/>
      <c r="J1066" s="35"/>
    </row>
    <row r="1067" spans="9:10" x14ac:dyDescent="0.25">
      <c r="I1067" s="37"/>
      <c r="J1067" s="35"/>
    </row>
    <row r="1068" spans="9:10" x14ac:dyDescent="0.25">
      <c r="I1068" s="37"/>
      <c r="J1068" s="35"/>
    </row>
    <row r="1069" spans="9:10" x14ac:dyDescent="0.25">
      <c r="I1069" s="37"/>
      <c r="J1069" s="35"/>
    </row>
    <row r="1070" spans="9:10" x14ac:dyDescent="0.25">
      <c r="I1070" s="37"/>
      <c r="J1070" s="35"/>
    </row>
    <row r="1071" spans="9:10" x14ac:dyDescent="0.25">
      <c r="I1071" s="37"/>
      <c r="J1071" s="35"/>
    </row>
    <row r="1072" spans="9:10" x14ac:dyDescent="0.25">
      <c r="I1072" s="37"/>
      <c r="J1072" s="35"/>
    </row>
    <row r="1073" spans="9:10" x14ac:dyDescent="0.25">
      <c r="I1073" s="37"/>
      <c r="J1073" s="35"/>
    </row>
    <row r="1074" spans="9:10" x14ac:dyDescent="0.25">
      <c r="I1074" s="37"/>
      <c r="J1074" s="35"/>
    </row>
    <row r="1075" spans="9:10" x14ac:dyDescent="0.25">
      <c r="I1075" s="37"/>
      <c r="J1075" s="35"/>
    </row>
    <row r="1076" spans="9:10" x14ac:dyDescent="0.25">
      <c r="I1076" s="37"/>
      <c r="J1076" s="35"/>
    </row>
    <row r="1077" spans="9:10" x14ac:dyDescent="0.25">
      <c r="I1077" s="37"/>
      <c r="J1077" s="35"/>
    </row>
    <row r="1078" spans="9:10" x14ac:dyDescent="0.25">
      <c r="I1078" s="37"/>
      <c r="J1078" s="35"/>
    </row>
    <row r="1079" spans="9:10" x14ac:dyDescent="0.25">
      <c r="I1079" s="37"/>
      <c r="J1079" s="35"/>
    </row>
    <row r="1080" spans="9:10" x14ac:dyDescent="0.25">
      <c r="I1080" s="37"/>
      <c r="J1080" s="35"/>
    </row>
    <row r="1081" spans="9:10" x14ac:dyDescent="0.25">
      <c r="I1081" s="37"/>
      <c r="J1081" s="35"/>
    </row>
    <row r="1082" spans="9:10" x14ac:dyDescent="0.25">
      <c r="I1082" s="37"/>
      <c r="J1082" s="35"/>
    </row>
    <row r="1083" spans="9:10" x14ac:dyDescent="0.25">
      <c r="I1083" s="37"/>
      <c r="J1083" s="35"/>
    </row>
    <row r="1084" spans="9:10" x14ac:dyDescent="0.25">
      <c r="I1084" s="37"/>
      <c r="J1084" s="35"/>
    </row>
    <row r="1085" spans="9:10" x14ac:dyDescent="0.25">
      <c r="I1085" s="37"/>
      <c r="J1085" s="35"/>
    </row>
    <row r="1086" spans="9:10" x14ac:dyDescent="0.25">
      <c r="I1086" s="37"/>
      <c r="J1086" s="35"/>
    </row>
    <row r="1087" spans="9:10" x14ac:dyDescent="0.25">
      <c r="I1087" s="37"/>
      <c r="J1087" s="35"/>
    </row>
    <row r="1088" spans="9:10" x14ac:dyDescent="0.25">
      <c r="I1088" s="37"/>
      <c r="J1088" s="35"/>
    </row>
    <row r="1089" spans="9:10" x14ac:dyDescent="0.25">
      <c r="I1089" s="37"/>
      <c r="J1089" s="35"/>
    </row>
    <row r="1090" spans="9:10" x14ac:dyDescent="0.25">
      <c r="I1090" s="37"/>
      <c r="J1090" s="35"/>
    </row>
    <row r="1091" spans="9:10" x14ac:dyDescent="0.25">
      <c r="I1091" s="37"/>
      <c r="J1091" s="35"/>
    </row>
    <row r="1092" spans="9:10" x14ac:dyDescent="0.25">
      <c r="I1092" s="37"/>
      <c r="J1092" s="35"/>
    </row>
    <row r="1093" spans="9:10" x14ac:dyDescent="0.25">
      <c r="I1093" s="37"/>
      <c r="J1093" s="35"/>
    </row>
    <row r="1094" spans="9:10" x14ac:dyDescent="0.25">
      <c r="I1094" s="37"/>
      <c r="J1094" s="35"/>
    </row>
    <row r="1095" spans="9:10" x14ac:dyDescent="0.25">
      <c r="I1095" s="37"/>
      <c r="J1095" s="35"/>
    </row>
    <row r="1096" spans="9:10" x14ac:dyDescent="0.25">
      <c r="I1096" s="37"/>
      <c r="J1096" s="35"/>
    </row>
    <row r="1097" spans="9:10" x14ac:dyDescent="0.25">
      <c r="I1097" s="37"/>
      <c r="J1097" s="35"/>
    </row>
    <row r="1098" spans="9:10" x14ac:dyDescent="0.25">
      <c r="I1098" s="37"/>
      <c r="J1098" s="35"/>
    </row>
    <row r="1099" spans="9:10" x14ac:dyDescent="0.25">
      <c r="I1099" s="37"/>
      <c r="J1099" s="35"/>
    </row>
    <row r="1100" spans="9:10" x14ac:dyDescent="0.25">
      <c r="I1100" s="37"/>
      <c r="J1100" s="35"/>
    </row>
    <row r="1101" spans="9:10" x14ac:dyDescent="0.25">
      <c r="I1101" s="37"/>
      <c r="J1101" s="35"/>
    </row>
    <row r="1102" spans="9:10" x14ac:dyDescent="0.25">
      <c r="I1102" s="37"/>
      <c r="J1102" s="35"/>
    </row>
    <row r="1103" spans="9:10" x14ac:dyDescent="0.25">
      <c r="I1103" s="37"/>
      <c r="J1103" s="35"/>
    </row>
    <row r="1104" spans="9:10" x14ac:dyDescent="0.25">
      <c r="I1104" s="37"/>
      <c r="J1104" s="35"/>
    </row>
    <row r="1105" spans="9:10" x14ac:dyDescent="0.25">
      <c r="I1105" s="37"/>
      <c r="J1105" s="35"/>
    </row>
    <row r="1106" spans="9:10" x14ac:dyDescent="0.25">
      <c r="I1106" s="37"/>
      <c r="J1106" s="35"/>
    </row>
    <row r="1107" spans="9:10" x14ac:dyDescent="0.25">
      <c r="I1107" s="37"/>
      <c r="J1107" s="35"/>
    </row>
    <row r="1108" spans="9:10" x14ac:dyDescent="0.25">
      <c r="I1108" s="37"/>
      <c r="J1108" s="35"/>
    </row>
    <row r="1109" spans="9:10" x14ac:dyDescent="0.25">
      <c r="I1109" s="37"/>
      <c r="J1109" s="35"/>
    </row>
    <row r="1110" spans="9:10" x14ac:dyDescent="0.25">
      <c r="I1110" s="37"/>
      <c r="J1110" s="35"/>
    </row>
    <row r="1111" spans="9:10" x14ac:dyDescent="0.25">
      <c r="I1111" s="37"/>
      <c r="J1111" s="35"/>
    </row>
    <row r="1112" spans="9:10" x14ac:dyDescent="0.25">
      <c r="I1112" s="37"/>
      <c r="J1112" s="35"/>
    </row>
    <row r="1113" spans="9:10" x14ac:dyDescent="0.25">
      <c r="I1113" s="37"/>
      <c r="J1113" s="35"/>
    </row>
    <row r="1114" spans="9:10" x14ac:dyDescent="0.25">
      <c r="I1114" s="37"/>
      <c r="J1114" s="35"/>
    </row>
    <row r="1115" spans="9:10" x14ac:dyDescent="0.25">
      <c r="I1115" s="37"/>
      <c r="J1115" s="35"/>
    </row>
    <row r="1116" spans="9:10" x14ac:dyDescent="0.25">
      <c r="I1116" s="37"/>
      <c r="J1116" s="35"/>
    </row>
    <row r="1117" spans="9:10" x14ac:dyDescent="0.25">
      <c r="I1117" s="37"/>
      <c r="J1117" s="35"/>
    </row>
    <row r="1118" spans="9:10" x14ac:dyDescent="0.25">
      <c r="I1118" s="37"/>
      <c r="J1118" s="35"/>
    </row>
    <row r="1119" spans="9:10" x14ac:dyDescent="0.25">
      <c r="I1119" s="37"/>
      <c r="J1119" s="35"/>
    </row>
    <row r="1120" spans="9:10" x14ac:dyDescent="0.25">
      <c r="I1120" s="37"/>
      <c r="J1120" s="35"/>
    </row>
    <row r="1121" spans="9:10" x14ac:dyDescent="0.25">
      <c r="I1121" s="37"/>
      <c r="J1121" s="35"/>
    </row>
    <row r="1122" spans="9:10" x14ac:dyDescent="0.25">
      <c r="I1122" s="37"/>
      <c r="J1122" s="35"/>
    </row>
    <row r="1123" spans="9:10" x14ac:dyDescent="0.25">
      <c r="I1123" s="37"/>
      <c r="J1123" s="35"/>
    </row>
    <row r="1124" spans="9:10" x14ac:dyDescent="0.25">
      <c r="I1124" s="37"/>
      <c r="J1124" s="35"/>
    </row>
    <row r="1125" spans="9:10" x14ac:dyDescent="0.25">
      <c r="I1125" s="37"/>
      <c r="J1125" s="35"/>
    </row>
    <row r="1126" spans="9:10" x14ac:dyDescent="0.25">
      <c r="I1126" s="37"/>
      <c r="J1126" s="35"/>
    </row>
    <row r="1127" spans="9:10" x14ac:dyDescent="0.25">
      <c r="I1127" s="37"/>
      <c r="J1127" s="35"/>
    </row>
    <row r="1128" spans="9:10" x14ac:dyDescent="0.25">
      <c r="I1128" s="37"/>
      <c r="J1128" s="35"/>
    </row>
    <row r="1129" spans="9:10" x14ac:dyDescent="0.25">
      <c r="I1129" s="37"/>
      <c r="J1129" s="35"/>
    </row>
    <row r="1130" spans="9:10" x14ac:dyDescent="0.25">
      <c r="I1130" s="37"/>
      <c r="J1130" s="35"/>
    </row>
    <row r="1131" spans="9:10" x14ac:dyDescent="0.25">
      <c r="I1131" s="37"/>
      <c r="J1131" s="35"/>
    </row>
    <row r="1132" spans="9:10" x14ac:dyDescent="0.25">
      <c r="I1132" s="37"/>
      <c r="J1132" s="35"/>
    </row>
    <row r="1133" spans="9:10" x14ac:dyDescent="0.25">
      <c r="I1133" s="37"/>
      <c r="J1133" s="35"/>
    </row>
    <row r="1134" spans="9:10" x14ac:dyDescent="0.25">
      <c r="I1134" s="37"/>
      <c r="J1134" s="35"/>
    </row>
    <row r="1135" spans="9:10" x14ac:dyDescent="0.25">
      <c r="I1135" s="37"/>
      <c r="J1135" s="35"/>
    </row>
    <row r="1136" spans="9:10" x14ac:dyDescent="0.25">
      <c r="I1136" s="37"/>
      <c r="J1136" s="35"/>
    </row>
    <row r="1137" spans="9:10" x14ac:dyDescent="0.25">
      <c r="I1137" s="37"/>
      <c r="J1137" s="35"/>
    </row>
    <row r="1138" spans="9:10" x14ac:dyDescent="0.25">
      <c r="I1138" s="37"/>
      <c r="J1138" s="35"/>
    </row>
    <row r="1139" spans="9:10" x14ac:dyDescent="0.25">
      <c r="I1139" s="37"/>
      <c r="J1139" s="35"/>
    </row>
    <row r="1140" spans="9:10" x14ac:dyDescent="0.25">
      <c r="I1140" s="37"/>
      <c r="J1140" s="35"/>
    </row>
    <row r="1141" spans="9:10" x14ac:dyDescent="0.25">
      <c r="I1141" s="37"/>
      <c r="J1141" s="35"/>
    </row>
    <row r="1142" spans="9:10" x14ac:dyDescent="0.25">
      <c r="I1142" s="37"/>
      <c r="J1142" s="35"/>
    </row>
    <row r="1143" spans="9:10" x14ac:dyDescent="0.25">
      <c r="I1143" s="37"/>
      <c r="J1143" s="35"/>
    </row>
    <row r="1144" spans="9:10" x14ac:dyDescent="0.25">
      <c r="I1144" s="37"/>
      <c r="J1144" s="35"/>
    </row>
    <row r="1145" spans="9:10" x14ac:dyDescent="0.25">
      <c r="I1145" s="37"/>
      <c r="J1145" s="35"/>
    </row>
    <row r="1146" spans="9:10" x14ac:dyDescent="0.25">
      <c r="I1146" s="37"/>
      <c r="J1146" s="35"/>
    </row>
    <row r="1147" spans="9:10" x14ac:dyDescent="0.25">
      <c r="I1147" s="37"/>
      <c r="J1147" s="35"/>
    </row>
    <row r="1148" spans="9:10" x14ac:dyDescent="0.25">
      <c r="I1148" s="37"/>
      <c r="J1148" s="35"/>
    </row>
    <row r="1149" spans="9:10" x14ac:dyDescent="0.25">
      <c r="I1149" s="37"/>
      <c r="J1149" s="35"/>
    </row>
    <row r="1150" spans="9:10" x14ac:dyDescent="0.25">
      <c r="I1150" s="37"/>
      <c r="J1150" s="35"/>
    </row>
    <row r="1151" spans="9:10" x14ac:dyDescent="0.25">
      <c r="I1151" s="37"/>
      <c r="J1151" s="35"/>
    </row>
    <row r="1152" spans="9:10" x14ac:dyDescent="0.25">
      <c r="I1152" s="37"/>
      <c r="J1152" s="35"/>
    </row>
    <row r="1153" spans="9:10" x14ac:dyDescent="0.25">
      <c r="I1153" s="37"/>
      <c r="J1153" s="35"/>
    </row>
    <row r="1154" spans="9:10" x14ac:dyDescent="0.25">
      <c r="I1154" s="37"/>
      <c r="J1154" s="35"/>
    </row>
    <row r="1155" spans="9:10" x14ac:dyDescent="0.25">
      <c r="I1155" s="37"/>
      <c r="J1155" s="35"/>
    </row>
    <row r="1156" spans="9:10" x14ac:dyDescent="0.25">
      <c r="I1156" s="37"/>
      <c r="J1156" s="35"/>
    </row>
    <row r="1157" spans="9:10" x14ac:dyDescent="0.25">
      <c r="I1157" s="37"/>
      <c r="J1157" s="35"/>
    </row>
    <row r="1158" spans="9:10" x14ac:dyDescent="0.25">
      <c r="I1158" s="37"/>
      <c r="J1158" s="35"/>
    </row>
    <row r="1159" spans="9:10" x14ac:dyDescent="0.25">
      <c r="I1159" s="37"/>
      <c r="J1159" s="35"/>
    </row>
    <row r="1160" spans="9:10" x14ac:dyDescent="0.25">
      <c r="I1160" s="37"/>
      <c r="J1160" s="35"/>
    </row>
    <row r="1161" spans="9:10" x14ac:dyDescent="0.25">
      <c r="I1161" s="37"/>
      <c r="J1161" s="35"/>
    </row>
    <row r="1162" spans="9:10" x14ac:dyDescent="0.25">
      <c r="I1162" s="37"/>
      <c r="J1162" s="35"/>
    </row>
    <row r="1163" spans="9:10" x14ac:dyDescent="0.25">
      <c r="I1163" s="37"/>
      <c r="J1163" s="35"/>
    </row>
    <row r="1164" spans="9:10" x14ac:dyDescent="0.25">
      <c r="I1164" s="37"/>
      <c r="J1164" s="35"/>
    </row>
    <row r="1165" spans="9:10" x14ac:dyDescent="0.25">
      <c r="I1165" s="37"/>
      <c r="J1165" s="35"/>
    </row>
    <row r="1166" spans="9:10" x14ac:dyDescent="0.25">
      <c r="I1166" s="37"/>
      <c r="J1166" s="35"/>
    </row>
    <row r="1167" spans="9:10" x14ac:dyDescent="0.25">
      <c r="I1167" s="37"/>
      <c r="J1167" s="35"/>
    </row>
    <row r="1168" spans="9:10" x14ac:dyDescent="0.25">
      <c r="I1168" s="37"/>
      <c r="J1168" s="35"/>
    </row>
    <row r="1169" spans="9:10" x14ac:dyDescent="0.25">
      <c r="I1169" s="37"/>
      <c r="J1169" s="35"/>
    </row>
    <row r="1170" spans="9:10" x14ac:dyDescent="0.25">
      <c r="I1170" s="37"/>
      <c r="J1170" s="35"/>
    </row>
    <row r="1171" spans="9:10" x14ac:dyDescent="0.25">
      <c r="I1171" s="37"/>
      <c r="J1171" s="35"/>
    </row>
    <row r="1172" spans="9:10" x14ac:dyDescent="0.25">
      <c r="I1172" s="37"/>
      <c r="J1172" s="35"/>
    </row>
    <row r="1173" spans="9:10" x14ac:dyDescent="0.25">
      <c r="I1173" s="37"/>
      <c r="J1173" s="35"/>
    </row>
    <row r="1174" spans="9:10" x14ac:dyDescent="0.25">
      <c r="I1174" s="37"/>
      <c r="J1174" s="35"/>
    </row>
    <row r="1175" spans="9:10" x14ac:dyDescent="0.25">
      <c r="I1175" s="37"/>
      <c r="J1175" s="35"/>
    </row>
    <row r="1176" spans="9:10" x14ac:dyDescent="0.25">
      <c r="I1176" s="37"/>
      <c r="J1176" s="35"/>
    </row>
    <row r="1177" spans="9:10" x14ac:dyDescent="0.25">
      <c r="I1177" s="37"/>
      <c r="J1177" s="35"/>
    </row>
    <row r="1178" spans="9:10" x14ac:dyDescent="0.25">
      <c r="I1178" s="37"/>
      <c r="J1178" s="35"/>
    </row>
    <row r="1179" spans="9:10" x14ac:dyDescent="0.25">
      <c r="I1179" s="37"/>
      <c r="J1179" s="35"/>
    </row>
    <row r="1180" spans="9:10" x14ac:dyDescent="0.25">
      <c r="I1180" s="37"/>
      <c r="J1180" s="35"/>
    </row>
    <row r="1181" spans="9:10" x14ac:dyDescent="0.25">
      <c r="I1181" s="37"/>
      <c r="J1181" s="35"/>
    </row>
    <row r="1182" spans="9:10" x14ac:dyDescent="0.25">
      <c r="I1182" s="37"/>
      <c r="J1182" s="35"/>
    </row>
    <row r="1183" spans="9:10" x14ac:dyDescent="0.25">
      <c r="I1183" s="37"/>
      <c r="J1183" s="35"/>
    </row>
    <row r="1184" spans="9:10" x14ac:dyDescent="0.25">
      <c r="I1184" s="37"/>
      <c r="J1184" s="35"/>
    </row>
    <row r="1185" spans="9:10" x14ac:dyDescent="0.25">
      <c r="I1185" s="37"/>
      <c r="J1185" s="35"/>
    </row>
    <row r="1186" spans="9:10" x14ac:dyDescent="0.25">
      <c r="I1186" s="37"/>
      <c r="J1186" s="35"/>
    </row>
    <row r="1187" spans="9:10" x14ac:dyDescent="0.25">
      <c r="I1187" s="37"/>
      <c r="J1187" s="35"/>
    </row>
    <row r="1188" spans="9:10" x14ac:dyDescent="0.25">
      <c r="I1188" s="37"/>
      <c r="J1188" s="35"/>
    </row>
    <row r="1189" spans="9:10" x14ac:dyDescent="0.25">
      <c r="I1189" s="37"/>
      <c r="J1189" s="35"/>
    </row>
    <row r="1190" spans="9:10" x14ac:dyDescent="0.25">
      <c r="I1190" s="37"/>
      <c r="J1190" s="35"/>
    </row>
    <row r="1191" spans="9:10" x14ac:dyDescent="0.25">
      <c r="I1191" s="37"/>
      <c r="J1191" s="35"/>
    </row>
    <row r="1192" spans="9:10" x14ac:dyDescent="0.25">
      <c r="I1192" s="37"/>
      <c r="J1192" s="35"/>
    </row>
    <row r="1193" spans="9:10" x14ac:dyDescent="0.25">
      <c r="I1193" s="37"/>
      <c r="J1193" s="35"/>
    </row>
    <row r="1194" spans="9:10" x14ac:dyDescent="0.25">
      <c r="I1194" s="37"/>
      <c r="J1194" s="35"/>
    </row>
    <row r="1195" spans="9:10" x14ac:dyDescent="0.25">
      <c r="I1195" s="37"/>
      <c r="J1195" s="35"/>
    </row>
    <row r="1196" spans="9:10" x14ac:dyDescent="0.25">
      <c r="I1196" s="37"/>
      <c r="J1196" s="35"/>
    </row>
    <row r="1197" spans="9:10" x14ac:dyDescent="0.25">
      <c r="I1197" s="37"/>
      <c r="J1197" s="35"/>
    </row>
    <row r="1198" spans="9:10" x14ac:dyDescent="0.25">
      <c r="I1198" s="37"/>
      <c r="J1198" s="35"/>
    </row>
    <row r="1199" spans="9:10" x14ac:dyDescent="0.25">
      <c r="I1199" s="37"/>
      <c r="J1199" s="35"/>
    </row>
    <row r="1200" spans="9:10" x14ac:dyDescent="0.25">
      <c r="I1200" s="37"/>
      <c r="J1200" s="35"/>
    </row>
    <row r="1201" spans="9:10" x14ac:dyDescent="0.25">
      <c r="I1201" s="37"/>
      <c r="J1201" s="35"/>
    </row>
    <row r="1202" spans="9:10" x14ac:dyDescent="0.25">
      <c r="I1202" s="37"/>
      <c r="J1202" s="35"/>
    </row>
    <row r="1203" spans="9:10" x14ac:dyDescent="0.25">
      <c r="I1203" s="37"/>
      <c r="J1203" s="35"/>
    </row>
    <row r="1204" spans="9:10" x14ac:dyDescent="0.25">
      <c r="I1204" s="37"/>
      <c r="J1204" s="35"/>
    </row>
    <row r="1205" spans="9:10" x14ac:dyDescent="0.25">
      <c r="I1205" s="37"/>
      <c r="J1205" s="35"/>
    </row>
    <row r="1206" spans="9:10" x14ac:dyDescent="0.25">
      <c r="I1206" s="37"/>
      <c r="J1206" s="35"/>
    </row>
    <row r="1207" spans="9:10" x14ac:dyDescent="0.25">
      <c r="I1207" s="37"/>
      <c r="J1207" s="35"/>
    </row>
    <row r="1208" spans="9:10" x14ac:dyDescent="0.25">
      <c r="I1208" s="37"/>
      <c r="J1208" s="35"/>
    </row>
    <row r="1209" spans="9:10" x14ac:dyDescent="0.25">
      <c r="I1209" s="37"/>
      <c r="J1209" s="35"/>
    </row>
    <row r="1210" spans="9:10" x14ac:dyDescent="0.25">
      <c r="I1210" s="37"/>
      <c r="J1210" s="35"/>
    </row>
    <row r="1211" spans="9:10" x14ac:dyDescent="0.25">
      <c r="I1211" s="37"/>
      <c r="J1211" s="35"/>
    </row>
    <row r="1212" spans="9:10" x14ac:dyDescent="0.25">
      <c r="I1212" s="37"/>
      <c r="J1212" s="35"/>
    </row>
    <row r="1213" spans="9:10" x14ac:dyDescent="0.25">
      <c r="I1213" s="37"/>
      <c r="J1213" s="35"/>
    </row>
    <row r="1214" spans="9:10" x14ac:dyDescent="0.25">
      <c r="I1214" s="37"/>
      <c r="J1214" s="35"/>
    </row>
    <row r="1215" spans="9:10" x14ac:dyDescent="0.25">
      <c r="I1215" s="37"/>
      <c r="J1215" s="35"/>
    </row>
    <row r="1216" spans="9:10" x14ac:dyDescent="0.25">
      <c r="I1216" s="37"/>
      <c r="J1216" s="35"/>
    </row>
    <row r="1217" spans="9:10" x14ac:dyDescent="0.25">
      <c r="I1217" s="37"/>
      <c r="J1217" s="35"/>
    </row>
    <row r="1218" spans="9:10" x14ac:dyDescent="0.25">
      <c r="I1218" s="37"/>
      <c r="J1218" s="35"/>
    </row>
    <row r="1219" spans="9:10" x14ac:dyDescent="0.25">
      <c r="I1219" s="37"/>
      <c r="J1219" s="35"/>
    </row>
    <row r="1220" spans="9:10" x14ac:dyDescent="0.25">
      <c r="I1220" s="37"/>
      <c r="J1220" s="35"/>
    </row>
    <row r="1221" spans="9:10" x14ac:dyDescent="0.25">
      <c r="I1221" s="37"/>
      <c r="J1221" s="35"/>
    </row>
    <row r="1222" spans="9:10" x14ac:dyDescent="0.25">
      <c r="I1222" s="37"/>
      <c r="J1222" s="35"/>
    </row>
    <row r="1223" spans="9:10" x14ac:dyDescent="0.25">
      <c r="I1223" s="37"/>
      <c r="J1223" s="35"/>
    </row>
    <row r="1224" spans="9:10" x14ac:dyDescent="0.25">
      <c r="I1224" s="37"/>
      <c r="J1224" s="35"/>
    </row>
    <row r="1225" spans="9:10" x14ac:dyDescent="0.25">
      <c r="I1225" s="37"/>
      <c r="J1225" s="35"/>
    </row>
    <row r="1226" spans="9:10" x14ac:dyDescent="0.25">
      <c r="I1226" s="37"/>
      <c r="J1226" s="35"/>
    </row>
    <row r="1227" spans="9:10" x14ac:dyDescent="0.25">
      <c r="I1227" s="37"/>
      <c r="J1227" s="35"/>
    </row>
    <row r="1228" spans="9:10" x14ac:dyDescent="0.25">
      <c r="I1228" s="37"/>
      <c r="J1228" s="35"/>
    </row>
    <row r="1229" spans="9:10" x14ac:dyDescent="0.25">
      <c r="I1229" s="37"/>
      <c r="J1229" s="35"/>
    </row>
    <row r="1230" spans="9:10" x14ac:dyDescent="0.25">
      <c r="I1230" s="37"/>
      <c r="J1230" s="35"/>
    </row>
    <row r="1231" spans="9:10" x14ac:dyDescent="0.25">
      <c r="I1231" s="37"/>
      <c r="J1231" s="35"/>
    </row>
    <row r="1232" spans="9:10" x14ac:dyDescent="0.25">
      <c r="I1232" s="37"/>
      <c r="J1232" s="35"/>
    </row>
    <row r="1233" spans="9:10" x14ac:dyDescent="0.25">
      <c r="I1233" s="37"/>
      <c r="J1233" s="35"/>
    </row>
    <row r="1234" spans="9:10" x14ac:dyDescent="0.25">
      <c r="I1234" s="37"/>
      <c r="J1234" s="35"/>
    </row>
    <row r="1235" spans="9:10" x14ac:dyDescent="0.25">
      <c r="I1235" s="37"/>
      <c r="J1235" s="35"/>
    </row>
    <row r="1236" spans="9:10" x14ac:dyDescent="0.25">
      <c r="I1236" s="37"/>
      <c r="J1236" s="35"/>
    </row>
    <row r="1237" spans="9:10" x14ac:dyDescent="0.25">
      <c r="I1237" s="37"/>
      <c r="J1237" s="35"/>
    </row>
    <row r="1238" spans="9:10" x14ac:dyDescent="0.25">
      <c r="I1238" s="37"/>
      <c r="J1238" s="35"/>
    </row>
    <row r="1239" spans="9:10" x14ac:dyDescent="0.25">
      <c r="I1239" s="37"/>
      <c r="J1239" s="35"/>
    </row>
    <row r="1240" spans="9:10" x14ac:dyDescent="0.25">
      <c r="I1240" s="37"/>
      <c r="J1240" s="35"/>
    </row>
    <row r="1241" spans="9:10" x14ac:dyDescent="0.25">
      <c r="I1241" s="37"/>
      <c r="J1241" s="35"/>
    </row>
    <row r="1242" spans="9:10" x14ac:dyDescent="0.25">
      <c r="I1242" s="37"/>
      <c r="J1242" s="35"/>
    </row>
    <row r="1243" spans="9:10" x14ac:dyDescent="0.25">
      <c r="I1243" s="37"/>
      <c r="J1243" s="35"/>
    </row>
    <row r="1244" spans="9:10" x14ac:dyDescent="0.25">
      <c r="I1244" s="37"/>
      <c r="J1244" s="35"/>
    </row>
    <row r="1245" spans="9:10" x14ac:dyDescent="0.25">
      <c r="I1245" s="37"/>
      <c r="J1245" s="35"/>
    </row>
    <row r="1246" spans="9:10" x14ac:dyDescent="0.25">
      <c r="I1246" s="37"/>
      <c r="J1246" s="35"/>
    </row>
    <row r="1247" spans="9:10" x14ac:dyDescent="0.25">
      <c r="I1247" s="37"/>
      <c r="J1247" s="35"/>
    </row>
    <row r="1248" spans="9:10" x14ac:dyDescent="0.25">
      <c r="I1248" s="37"/>
      <c r="J1248" s="35"/>
    </row>
    <row r="1249" spans="9:10" x14ac:dyDescent="0.25">
      <c r="I1249" s="37"/>
      <c r="J1249" s="35"/>
    </row>
    <row r="1250" spans="9:10" x14ac:dyDescent="0.25">
      <c r="I1250" s="37"/>
      <c r="J1250" s="35"/>
    </row>
    <row r="1251" spans="9:10" x14ac:dyDescent="0.25">
      <c r="I1251" s="37"/>
      <c r="J1251" s="35"/>
    </row>
    <row r="1252" spans="9:10" x14ac:dyDescent="0.25">
      <c r="I1252" s="37"/>
      <c r="J1252" s="35"/>
    </row>
    <row r="1253" spans="9:10" x14ac:dyDescent="0.25">
      <c r="I1253" s="37"/>
      <c r="J1253" s="35"/>
    </row>
    <row r="1254" spans="9:10" x14ac:dyDescent="0.25">
      <c r="I1254" s="37"/>
      <c r="J1254" s="35"/>
    </row>
    <row r="1255" spans="9:10" x14ac:dyDescent="0.25">
      <c r="I1255" s="37"/>
      <c r="J1255" s="35"/>
    </row>
    <row r="1256" spans="9:10" x14ac:dyDescent="0.25">
      <c r="I1256" s="37"/>
      <c r="J1256" s="35"/>
    </row>
    <row r="1257" spans="9:10" x14ac:dyDescent="0.25">
      <c r="I1257" s="37"/>
      <c r="J1257" s="35"/>
    </row>
    <row r="1258" spans="9:10" x14ac:dyDescent="0.25">
      <c r="I1258" s="37"/>
      <c r="J1258" s="35"/>
    </row>
    <row r="1259" spans="9:10" x14ac:dyDescent="0.25">
      <c r="I1259" s="37"/>
      <c r="J1259" s="35"/>
    </row>
    <row r="1260" spans="9:10" x14ac:dyDescent="0.25">
      <c r="I1260" s="37"/>
      <c r="J1260" s="35"/>
    </row>
    <row r="1261" spans="9:10" x14ac:dyDescent="0.25">
      <c r="I1261" s="37"/>
      <c r="J1261" s="35"/>
    </row>
    <row r="1262" spans="9:10" x14ac:dyDescent="0.25">
      <c r="I1262" s="37"/>
      <c r="J1262" s="35"/>
    </row>
    <row r="1263" spans="9:10" x14ac:dyDescent="0.25">
      <c r="I1263" s="37"/>
      <c r="J1263" s="35"/>
    </row>
    <row r="1264" spans="9:10" x14ac:dyDescent="0.25">
      <c r="I1264" s="37"/>
      <c r="J1264" s="35"/>
    </row>
    <row r="1265" spans="9:10" x14ac:dyDescent="0.25">
      <c r="I1265" s="37"/>
      <c r="J1265" s="35"/>
    </row>
    <row r="1266" spans="9:10" x14ac:dyDescent="0.25">
      <c r="I1266" s="37"/>
      <c r="J1266" s="35"/>
    </row>
    <row r="1267" spans="9:10" x14ac:dyDescent="0.25">
      <c r="I1267" s="37"/>
      <c r="J1267" s="35"/>
    </row>
    <row r="1268" spans="9:10" x14ac:dyDescent="0.25">
      <c r="I1268" s="37"/>
      <c r="J1268" s="35"/>
    </row>
    <row r="1269" spans="9:10" x14ac:dyDescent="0.25">
      <c r="I1269" s="37"/>
      <c r="J1269" s="35"/>
    </row>
    <row r="1270" spans="9:10" x14ac:dyDescent="0.25">
      <c r="I1270" s="37"/>
      <c r="J1270" s="35"/>
    </row>
    <row r="1271" spans="9:10" x14ac:dyDescent="0.25">
      <c r="I1271" s="37"/>
      <c r="J1271" s="35"/>
    </row>
    <row r="1272" spans="9:10" x14ac:dyDescent="0.25">
      <c r="I1272" s="37"/>
      <c r="J1272" s="35"/>
    </row>
    <row r="1273" spans="9:10" x14ac:dyDescent="0.25">
      <c r="I1273" s="37"/>
      <c r="J1273" s="35"/>
    </row>
    <row r="1274" spans="9:10" x14ac:dyDescent="0.25">
      <c r="I1274" s="37"/>
      <c r="J1274" s="35"/>
    </row>
    <row r="1275" spans="9:10" x14ac:dyDescent="0.25">
      <c r="I1275" s="37"/>
      <c r="J1275" s="35"/>
    </row>
    <row r="1276" spans="9:10" x14ac:dyDescent="0.25">
      <c r="I1276" s="37"/>
      <c r="J1276" s="35"/>
    </row>
    <row r="1277" spans="9:10" x14ac:dyDescent="0.25">
      <c r="I1277" s="37"/>
      <c r="J1277" s="35"/>
    </row>
    <row r="1278" spans="9:10" x14ac:dyDescent="0.25">
      <c r="I1278" s="37"/>
      <c r="J1278" s="35"/>
    </row>
    <row r="1279" spans="9:10" x14ac:dyDescent="0.25">
      <c r="I1279" s="37"/>
      <c r="J1279" s="35"/>
    </row>
    <row r="1280" spans="9:10" x14ac:dyDescent="0.25">
      <c r="I1280" s="37"/>
      <c r="J1280" s="35"/>
    </row>
    <row r="1281" spans="9:10" x14ac:dyDescent="0.25">
      <c r="I1281" s="37"/>
      <c r="J1281" s="35"/>
    </row>
    <row r="1282" spans="9:10" x14ac:dyDescent="0.25">
      <c r="I1282" s="37"/>
      <c r="J1282" s="35"/>
    </row>
    <row r="1283" spans="9:10" x14ac:dyDescent="0.25">
      <c r="I1283" s="37"/>
      <c r="J1283" s="35"/>
    </row>
    <row r="1284" spans="9:10" x14ac:dyDescent="0.25">
      <c r="I1284" s="37"/>
      <c r="J1284" s="35"/>
    </row>
    <row r="1285" spans="9:10" x14ac:dyDescent="0.25">
      <c r="I1285" s="37"/>
      <c r="J1285" s="35"/>
    </row>
    <row r="1286" spans="9:10" x14ac:dyDescent="0.25">
      <c r="I1286" s="37"/>
      <c r="J1286" s="35"/>
    </row>
    <row r="1287" spans="9:10" x14ac:dyDescent="0.25">
      <c r="I1287" s="37"/>
      <c r="J1287" s="35"/>
    </row>
    <row r="1288" spans="9:10" x14ac:dyDescent="0.25">
      <c r="I1288" s="37"/>
      <c r="J1288" s="35"/>
    </row>
    <row r="1289" spans="9:10" x14ac:dyDescent="0.25">
      <c r="I1289" s="37"/>
      <c r="J1289" s="35"/>
    </row>
    <row r="1290" spans="9:10" x14ac:dyDescent="0.25">
      <c r="I1290" s="37"/>
      <c r="J1290" s="35"/>
    </row>
    <row r="1291" spans="9:10" x14ac:dyDescent="0.25">
      <c r="I1291" s="37"/>
      <c r="J1291" s="35"/>
    </row>
    <row r="1292" spans="9:10" x14ac:dyDescent="0.25">
      <c r="I1292" s="37"/>
      <c r="J1292" s="35"/>
    </row>
    <row r="1293" spans="9:10" x14ac:dyDescent="0.25">
      <c r="I1293" s="37"/>
      <c r="J1293" s="35"/>
    </row>
    <row r="1294" spans="9:10" x14ac:dyDescent="0.25">
      <c r="I1294" s="37"/>
      <c r="J1294" s="35"/>
    </row>
    <row r="1295" spans="9:10" x14ac:dyDescent="0.25">
      <c r="I1295" s="37"/>
      <c r="J1295" s="35"/>
    </row>
    <row r="1296" spans="9:10" x14ac:dyDescent="0.25">
      <c r="I1296" s="37"/>
      <c r="J1296" s="35"/>
    </row>
    <row r="1297" spans="9:10" x14ac:dyDescent="0.25">
      <c r="I1297" s="37"/>
      <c r="J1297" s="35"/>
    </row>
    <row r="1298" spans="9:10" x14ac:dyDescent="0.25">
      <c r="I1298" s="37"/>
      <c r="J1298" s="35"/>
    </row>
    <row r="1299" spans="9:10" x14ac:dyDescent="0.25">
      <c r="I1299" s="37"/>
      <c r="J1299" s="35"/>
    </row>
    <row r="1300" spans="9:10" x14ac:dyDescent="0.25">
      <c r="I1300" s="37"/>
      <c r="J1300" s="35"/>
    </row>
    <row r="1301" spans="9:10" x14ac:dyDescent="0.25">
      <c r="I1301" s="37"/>
      <c r="J1301" s="35"/>
    </row>
    <row r="1302" spans="9:10" x14ac:dyDescent="0.25">
      <c r="I1302" s="37"/>
      <c r="J1302" s="35"/>
    </row>
    <row r="1303" spans="9:10" x14ac:dyDescent="0.25">
      <c r="I1303" s="37"/>
      <c r="J1303" s="35"/>
    </row>
    <row r="1304" spans="9:10" x14ac:dyDescent="0.25">
      <c r="I1304" s="37"/>
      <c r="J1304" s="35"/>
    </row>
    <row r="1305" spans="9:10" x14ac:dyDescent="0.25">
      <c r="I1305" s="37"/>
      <c r="J1305" s="35"/>
    </row>
    <row r="1306" spans="9:10" x14ac:dyDescent="0.25">
      <c r="I1306" s="37"/>
      <c r="J1306" s="35"/>
    </row>
    <row r="1307" spans="9:10" x14ac:dyDescent="0.25">
      <c r="I1307" s="37"/>
      <c r="J1307" s="35"/>
    </row>
    <row r="1308" spans="9:10" x14ac:dyDescent="0.25">
      <c r="I1308" s="37"/>
      <c r="J1308" s="35"/>
    </row>
    <row r="1309" spans="9:10" x14ac:dyDescent="0.25">
      <c r="I1309" s="37"/>
      <c r="J1309" s="35"/>
    </row>
    <row r="1310" spans="9:10" x14ac:dyDescent="0.25">
      <c r="I1310" s="37"/>
      <c r="J1310" s="35"/>
    </row>
    <row r="1311" spans="9:10" x14ac:dyDescent="0.25">
      <c r="I1311" s="37"/>
      <c r="J1311" s="35"/>
    </row>
    <row r="1312" spans="9:10" x14ac:dyDescent="0.25">
      <c r="I1312" s="37"/>
      <c r="J1312" s="35"/>
    </row>
    <row r="1313" spans="9:10" x14ac:dyDescent="0.25">
      <c r="I1313" s="37"/>
      <c r="J1313" s="35"/>
    </row>
    <row r="1314" spans="9:10" x14ac:dyDescent="0.25">
      <c r="I1314" s="37"/>
      <c r="J1314" s="35"/>
    </row>
    <row r="1315" spans="9:10" x14ac:dyDescent="0.25">
      <c r="I1315" s="37"/>
      <c r="J1315" s="35"/>
    </row>
    <row r="1316" spans="9:10" x14ac:dyDescent="0.25">
      <c r="I1316" s="37"/>
      <c r="J1316" s="35"/>
    </row>
    <row r="1317" spans="9:10" x14ac:dyDescent="0.25">
      <c r="I1317" s="37"/>
      <c r="J1317" s="35"/>
    </row>
    <row r="1318" spans="9:10" x14ac:dyDescent="0.25">
      <c r="I1318" s="37"/>
      <c r="J1318" s="35"/>
    </row>
    <row r="1319" spans="9:10" x14ac:dyDescent="0.25">
      <c r="I1319" s="37"/>
      <c r="J1319" s="35"/>
    </row>
    <row r="1320" spans="9:10" x14ac:dyDescent="0.25">
      <c r="I1320" s="37"/>
      <c r="J1320" s="35"/>
    </row>
    <row r="1321" spans="9:10" x14ac:dyDescent="0.25">
      <c r="I1321" s="37"/>
      <c r="J1321" s="35"/>
    </row>
    <row r="1322" spans="9:10" x14ac:dyDescent="0.25">
      <c r="I1322" s="37"/>
      <c r="J1322" s="35"/>
    </row>
    <row r="1323" spans="9:10" x14ac:dyDescent="0.25">
      <c r="I1323" s="37"/>
      <c r="J1323" s="35"/>
    </row>
    <row r="1324" spans="9:10" x14ac:dyDescent="0.25">
      <c r="I1324" s="37"/>
      <c r="J1324" s="35"/>
    </row>
    <row r="1325" spans="9:10" x14ac:dyDescent="0.25">
      <c r="I1325" s="37"/>
      <c r="J1325" s="35"/>
    </row>
    <row r="1326" spans="9:10" x14ac:dyDescent="0.25">
      <c r="I1326" s="37"/>
      <c r="J1326" s="35"/>
    </row>
    <row r="1327" spans="9:10" x14ac:dyDescent="0.25">
      <c r="I1327" s="37"/>
      <c r="J1327" s="35"/>
    </row>
    <row r="1328" spans="9:10" x14ac:dyDescent="0.25">
      <c r="I1328" s="37"/>
      <c r="J1328" s="35"/>
    </row>
    <row r="1329" spans="9:10" x14ac:dyDescent="0.25">
      <c r="I1329" s="37"/>
      <c r="J1329" s="35"/>
    </row>
    <row r="1330" spans="9:10" x14ac:dyDescent="0.25">
      <c r="I1330" s="37"/>
      <c r="J1330" s="35"/>
    </row>
    <row r="1331" spans="9:10" x14ac:dyDescent="0.25">
      <c r="I1331" s="37"/>
      <c r="J1331" s="35"/>
    </row>
    <row r="1332" spans="9:10" x14ac:dyDescent="0.25">
      <c r="I1332" s="37"/>
      <c r="J1332" s="35"/>
    </row>
    <row r="1333" spans="9:10" x14ac:dyDescent="0.25">
      <c r="I1333" s="37"/>
      <c r="J1333" s="35"/>
    </row>
    <row r="1334" spans="9:10" x14ac:dyDescent="0.25">
      <c r="I1334" s="37"/>
      <c r="J1334" s="35"/>
    </row>
  </sheetData>
  <mergeCells count="18">
    <mergeCell ref="T2:U2"/>
    <mergeCell ref="J2:K2"/>
    <mergeCell ref="L2:M2"/>
    <mergeCell ref="N2:O2"/>
    <mergeCell ref="P2:Q2"/>
    <mergeCell ref="R2:S2"/>
    <mergeCell ref="T29:U29"/>
    <mergeCell ref="J16:K16"/>
    <mergeCell ref="L16:M16"/>
    <mergeCell ref="N16:O16"/>
    <mergeCell ref="P16:Q16"/>
    <mergeCell ref="R16:S16"/>
    <mergeCell ref="T16:U16"/>
    <mergeCell ref="J29:K29"/>
    <mergeCell ref="L29:M29"/>
    <mergeCell ref="N29:O29"/>
    <mergeCell ref="P29:Q29"/>
    <mergeCell ref="R29:S29"/>
  </mergeCells>
  <conditionalFormatting sqref="AE3:AI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:AI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0:AI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3DA5-B1FF-43F5-AF20-36A349120FCB}">
  <dimension ref="B1:AQ1334"/>
  <sheetViews>
    <sheetView showGridLines="0" topLeftCell="A3" zoomScale="85" zoomScaleNormal="85" workbookViewId="0">
      <selection activeCell="I8" sqref="I8"/>
    </sheetView>
  </sheetViews>
  <sheetFormatPr defaultRowHeight="15" outlineLevelRow="1" outlineLevelCol="1" x14ac:dyDescent="0.25"/>
  <cols>
    <col min="1" max="1" width="2.5703125" customWidth="1"/>
    <col min="2" max="2" width="9.140625" customWidth="1"/>
    <col min="3" max="3" width="16.28515625" bestFit="1" customWidth="1"/>
    <col min="4" max="4" width="15.28515625" bestFit="1" customWidth="1"/>
    <col min="5" max="5" width="2.5703125" customWidth="1"/>
    <col min="6" max="6" width="18.140625" bestFit="1" customWidth="1"/>
    <col min="7" max="7" width="2.5703125" customWidth="1"/>
    <col min="8" max="8" width="25.140625" bestFit="1" customWidth="1"/>
    <col min="9" max="9" width="24.28515625" style="11" customWidth="1" outlineLevel="1"/>
    <col min="10" max="10" width="9.42578125" style="6" customWidth="1"/>
    <col min="11" max="11" width="19" style="11" hidden="1" customWidth="1" outlineLevel="1"/>
    <col min="12" max="12" width="9.28515625" style="6" customWidth="1" collapsed="1"/>
    <col min="13" max="13" width="19.5703125" style="11" hidden="1" customWidth="1" outlineLevel="1"/>
    <col min="14" max="14" width="10.42578125" style="6" customWidth="1" collapsed="1"/>
    <col min="15" max="15" width="17.85546875" style="11" hidden="1" customWidth="1" outlineLevel="1"/>
    <col min="16" max="16" width="8.5703125" style="6" bestFit="1" customWidth="1" collapsed="1"/>
    <col min="17" max="17" width="18" style="11" hidden="1" customWidth="1" outlineLevel="1"/>
    <col min="18" max="18" width="11.42578125" style="5" customWidth="1" collapsed="1"/>
    <col min="19" max="19" width="19.5703125" style="10" hidden="1" customWidth="1" outlineLevel="1"/>
    <col min="20" max="20" width="9.85546875" style="10" bestFit="1" customWidth="1" collapsed="1"/>
    <col min="21" max="21" width="19.5703125" style="10" hidden="1" customWidth="1" outlineLevel="1"/>
    <col min="22" max="22" width="2.5703125" customWidth="1" collapsed="1"/>
    <col min="23" max="24" width="7.140625" hidden="1" customWidth="1" outlineLevel="1"/>
    <col min="25" max="25" width="17.85546875" bestFit="1" customWidth="1" collapsed="1"/>
    <col min="26" max="27" width="17.85546875" bestFit="1" customWidth="1"/>
    <col min="28" max="28" width="16.140625" bestFit="1" customWidth="1"/>
    <col min="29" max="29" width="15.140625" bestFit="1" customWidth="1"/>
    <col min="30" max="30" width="2.5703125" customWidth="1"/>
    <col min="31" max="31" width="7.85546875" bestFit="1" customWidth="1"/>
    <col min="32" max="32" width="11.140625" bestFit="1" customWidth="1"/>
    <col min="33" max="33" width="13.28515625" bestFit="1" customWidth="1"/>
    <col min="34" max="34" width="7.85546875" bestFit="1" customWidth="1"/>
    <col min="35" max="35" width="8.140625" bestFit="1" customWidth="1"/>
    <col min="36" max="36" width="2.5703125" customWidth="1"/>
    <col min="37" max="37" width="17.85546875" bestFit="1" customWidth="1"/>
    <col min="38" max="38" width="8.140625" bestFit="1" customWidth="1"/>
    <col min="39" max="39" width="2.5703125" customWidth="1"/>
    <col min="41" max="41" width="16.28515625" bestFit="1" customWidth="1"/>
  </cols>
  <sheetData>
    <row r="1" spans="2:43" ht="9" customHeight="1" x14ac:dyDescent="0.25"/>
    <row r="2" spans="2:43" x14ac:dyDescent="0.25">
      <c r="B2" s="1"/>
      <c r="C2" s="1" t="s">
        <v>20</v>
      </c>
      <c r="D2" s="1"/>
      <c r="H2" s="4" t="s">
        <v>1</v>
      </c>
      <c r="I2" s="9" t="s">
        <v>4</v>
      </c>
      <c r="J2" s="112" t="s">
        <v>7</v>
      </c>
      <c r="K2" s="112"/>
      <c r="L2" s="112" t="s">
        <v>8</v>
      </c>
      <c r="M2" s="112"/>
      <c r="N2" s="112" t="s">
        <v>10</v>
      </c>
      <c r="O2" s="112"/>
      <c r="P2" s="112" t="s">
        <v>9</v>
      </c>
      <c r="Q2" s="112"/>
      <c r="R2" s="112" t="s">
        <v>21</v>
      </c>
      <c r="S2" s="112"/>
      <c r="T2" s="112" t="s">
        <v>55</v>
      </c>
      <c r="U2" s="112"/>
      <c r="W2" s="1" t="s">
        <v>46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27" t="s">
        <v>49</v>
      </c>
      <c r="AF2" s="27" t="s">
        <v>50</v>
      </c>
      <c r="AG2" s="27" t="s">
        <v>51</v>
      </c>
      <c r="AH2" s="27" t="s">
        <v>52</v>
      </c>
      <c r="AI2" s="27" t="s">
        <v>53</v>
      </c>
      <c r="AK2" s="75" t="s">
        <v>60</v>
      </c>
      <c r="AL2" s="75" t="s">
        <v>61</v>
      </c>
      <c r="AN2" s="1"/>
      <c r="AO2" s="1" t="s">
        <v>20</v>
      </c>
      <c r="AP2" s="1"/>
    </row>
    <row r="3" spans="2:43" x14ac:dyDescent="0.25">
      <c r="B3" t="s">
        <v>11</v>
      </c>
      <c r="C3" s="2" t="s">
        <v>10</v>
      </c>
      <c r="D3" t="s">
        <v>7</v>
      </c>
      <c r="F3" s="7">
        <f>J3+L3+N3+P3+R3+T3</f>
        <v>1.0000000000000002</v>
      </c>
      <c r="H3" s="97" t="s">
        <v>5</v>
      </c>
      <c r="I3" s="80">
        <v>546430573.94000006</v>
      </c>
      <c r="J3" s="81">
        <v>0.47589999999999999</v>
      </c>
      <c r="K3" s="80">
        <f t="shared" ref="K3:Q13" si="0">+J3*$I3</f>
        <v>260046310.13804603</v>
      </c>
      <c r="L3" s="81">
        <v>0.25559999999999999</v>
      </c>
      <c r="M3" s="80">
        <f t="shared" si="0"/>
        <v>139667654.69906402</v>
      </c>
      <c r="N3" s="81">
        <v>0.2225</v>
      </c>
      <c r="O3" s="80">
        <f t="shared" si="0"/>
        <v>121580802.70165001</v>
      </c>
      <c r="P3" s="81">
        <v>4.4900000000000002E-2</v>
      </c>
      <c r="Q3" s="80">
        <f t="shared" si="0"/>
        <v>24534732.769906003</v>
      </c>
      <c r="R3" s="82">
        <v>0</v>
      </c>
      <c r="S3" s="80">
        <f t="shared" ref="S3:S13" si="1">+R3*$I3</f>
        <v>0</v>
      </c>
      <c r="T3" s="81">
        <v>1.1000000000000001E-3</v>
      </c>
      <c r="U3" s="65">
        <f t="shared" ref="U3:U13" si="2">+T3*$I3</f>
        <v>601073.63133400015</v>
      </c>
      <c r="Y3" s="12">
        <f>K3-'Jul25'!K3</f>
        <v>155932681.82345003</v>
      </c>
      <c r="Z3" s="12">
        <f>M3-'Jul25'!M3</f>
        <v>55520575.945114017</v>
      </c>
      <c r="AA3" s="12">
        <f>O3-'Jul25'!O3</f>
        <v>23774120.483952001</v>
      </c>
      <c r="AB3" s="12">
        <f>Q3-'Jul25'!Q3</f>
        <v>3947292.1427260004</v>
      </c>
      <c r="AC3" s="12">
        <f>+S3-'Jul25'!S3</f>
        <v>0</v>
      </c>
      <c r="AD3" s="98"/>
      <c r="AE3" s="28">
        <f>J3-'Jul25'!J3</f>
        <v>0.1573</v>
      </c>
      <c r="AF3" s="28">
        <f>L3-'Jul25'!L3</f>
        <v>-1.9000000000000128E-3</v>
      </c>
      <c r="AG3" s="28">
        <f>N3-'Jul25'!N3</f>
        <v>-7.6800000000000007E-2</v>
      </c>
      <c r="AH3" s="28">
        <f>P3-'Jul25'!P3</f>
        <v>-1.8099999999999998E-2</v>
      </c>
      <c r="AI3" s="28">
        <f>R3-'Jul25'!R3</f>
        <v>0</v>
      </c>
      <c r="AJ3" s="98"/>
      <c r="AK3" s="10">
        <f>I3-'Jul25'!I3</f>
        <v>219645802.08000004</v>
      </c>
      <c r="AL3" s="76">
        <f>I3/'Jul25'!I3-1</f>
        <v>0.67214209777835032</v>
      </c>
      <c r="AM3" s="98"/>
      <c r="AN3" t="s">
        <v>11</v>
      </c>
      <c r="AO3" s="2" t="s">
        <v>10</v>
      </c>
      <c r="AP3" t="s">
        <v>7</v>
      </c>
      <c r="AQ3" s="98"/>
    </row>
    <row r="4" spans="2:43" x14ac:dyDescent="0.25">
      <c r="B4" t="s">
        <v>12</v>
      </c>
      <c r="C4" s="2" t="s">
        <v>16</v>
      </c>
      <c r="D4" t="s">
        <v>58</v>
      </c>
      <c r="F4" s="7">
        <f t="shared" ref="F4:F36" si="3">J4+L4+N4+P4+R4+T4</f>
        <v>1</v>
      </c>
      <c r="H4" s="3" t="s">
        <v>0</v>
      </c>
      <c r="I4" s="78">
        <v>1691911423.95</v>
      </c>
      <c r="J4" s="77">
        <v>0.38</v>
      </c>
      <c r="K4" s="78">
        <f t="shared" si="0"/>
        <v>642926341.10100007</v>
      </c>
      <c r="L4" s="77">
        <v>0.22</v>
      </c>
      <c r="M4" s="78">
        <f t="shared" si="0"/>
        <v>372220513.26899999</v>
      </c>
      <c r="N4" s="77">
        <v>0.28000000000000003</v>
      </c>
      <c r="O4" s="78">
        <f t="shared" si="0"/>
        <v>473735198.70600003</v>
      </c>
      <c r="P4" s="77">
        <v>0.12</v>
      </c>
      <c r="Q4" s="78">
        <f t="shared" si="0"/>
        <v>203029370.87400001</v>
      </c>
      <c r="R4" s="77">
        <v>0</v>
      </c>
      <c r="S4" s="78">
        <f t="shared" si="1"/>
        <v>0</v>
      </c>
      <c r="T4" s="77">
        <v>0</v>
      </c>
      <c r="U4" s="57">
        <f t="shared" si="2"/>
        <v>0</v>
      </c>
      <c r="Y4" s="12">
        <f>K4-'Jul25'!K4</f>
        <v>36715737.405000091</v>
      </c>
      <c r="Z4" s="12">
        <f>M4-'Jul25'!M4</f>
        <v>85954394.856999993</v>
      </c>
      <c r="AA4" s="12">
        <f>O4-'Jul25'!O4</f>
        <v>-98797038.117999971</v>
      </c>
      <c r="AB4" s="12">
        <f>Q4-'Jul25'!Q4</f>
        <v>17798353.078000009</v>
      </c>
      <c r="AC4" s="12">
        <f>+S4-'Jul25'!S4</f>
        <v>0</v>
      </c>
      <c r="AE4" s="28">
        <f>J4-'Jul25'!J4</f>
        <v>2.0000000000000018E-2</v>
      </c>
      <c r="AF4" s="28">
        <f>L4-'Jul25'!L4</f>
        <v>4.9999999999999989E-2</v>
      </c>
      <c r="AG4" s="28">
        <f>N4-'Jul25'!N4</f>
        <v>-0.06</v>
      </c>
      <c r="AH4" s="28">
        <f>P4-'Jul25'!P4</f>
        <v>9.999999999999995E-3</v>
      </c>
      <c r="AI4" s="28">
        <f>R4-'Jul25'!R4</f>
        <v>0</v>
      </c>
      <c r="AJ4" s="93"/>
      <c r="AK4" s="10">
        <f>I4-'Jul25'!I4</f>
        <v>7993080.3500001431</v>
      </c>
      <c r="AL4" s="76">
        <f>I4/'Jul25'!I4-1</f>
        <v>4.7467149344735393E-3</v>
      </c>
      <c r="AN4" t="s">
        <v>12</v>
      </c>
      <c r="AO4" s="2" t="s">
        <v>16</v>
      </c>
      <c r="AP4" t="s">
        <v>58</v>
      </c>
    </row>
    <row r="5" spans="2:43" x14ac:dyDescent="0.25">
      <c r="B5" t="s">
        <v>13</v>
      </c>
      <c r="C5" s="2" t="s">
        <v>17</v>
      </c>
      <c r="D5" t="s">
        <v>59</v>
      </c>
      <c r="F5" s="7">
        <f>J5+L5+N5+P5+R5+T5</f>
        <v>1</v>
      </c>
      <c r="H5" s="3" t="s">
        <v>3</v>
      </c>
      <c r="I5" s="78">
        <v>283390314.24000001</v>
      </c>
      <c r="J5" s="77">
        <v>0.49</v>
      </c>
      <c r="K5" s="78">
        <f t="shared" si="0"/>
        <v>138861253.97760001</v>
      </c>
      <c r="L5" s="77">
        <v>0</v>
      </c>
      <c r="M5" s="78">
        <f t="shared" si="0"/>
        <v>0</v>
      </c>
      <c r="N5" s="77">
        <v>0.35</v>
      </c>
      <c r="O5" s="78">
        <f t="shared" si="0"/>
        <v>99186609.983999997</v>
      </c>
      <c r="P5" s="77">
        <v>0.03</v>
      </c>
      <c r="Q5" s="78">
        <f t="shared" si="0"/>
        <v>8501709.4272000007</v>
      </c>
      <c r="R5" s="77">
        <v>0.1</v>
      </c>
      <c r="S5" s="78">
        <f t="shared" si="1"/>
        <v>28339031.424000002</v>
      </c>
      <c r="T5" s="77">
        <v>0.03</v>
      </c>
      <c r="U5" s="57">
        <f t="shared" si="2"/>
        <v>8501709.4272000007</v>
      </c>
      <c r="Y5" s="12">
        <f>K5-'Jul25'!K5</f>
        <v>-36346037.886699975</v>
      </c>
      <c r="Z5" s="12">
        <f>M5-'Jul25'!M5</f>
        <v>0</v>
      </c>
      <c r="AA5" s="12">
        <f>O5-'Jul25'!O5</f>
        <v>21635841.453899994</v>
      </c>
      <c r="AB5" s="12">
        <f>Q5-'Jul25'!Q5</f>
        <v>-115042.63169999793</v>
      </c>
      <c r="AC5" s="12">
        <f>+S5-'Jul25'!S5</f>
        <v>8233276.6198999994</v>
      </c>
      <c r="AE5" s="28">
        <f>J5-'Jul25'!J5</f>
        <v>-0.12</v>
      </c>
      <c r="AF5" s="28">
        <f>L5-'Jul25'!L5</f>
        <v>0</v>
      </c>
      <c r="AG5" s="28">
        <f>N5-'Jul25'!N5</f>
        <v>7.999999999999996E-2</v>
      </c>
      <c r="AH5" s="28">
        <f>P5-'Jul25'!P5</f>
        <v>0</v>
      </c>
      <c r="AI5" s="28">
        <f>R5-'Jul25'!R5</f>
        <v>0.03</v>
      </c>
      <c r="AK5" s="10">
        <f>I5-'Jul25'!I5</f>
        <v>-3834754.3899999857</v>
      </c>
      <c r="AL5" s="76">
        <f>I5/'Jul25'!I5-1</f>
        <v>-1.335104351542471E-2</v>
      </c>
      <c r="AN5" t="s">
        <v>13</v>
      </c>
      <c r="AO5" s="2" t="s">
        <v>17</v>
      </c>
      <c r="AP5" t="s">
        <v>59</v>
      </c>
    </row>
    <row r="6" spans="2:43" x14ac:dyDescent="0.25">
      <c r="B6" t="s">
        <v>14</v>
      </c>
      <c r="C6" s="2" t="s">
        <v>18</v>
      </c>
      <c r="F6" s="7">
        <f t="shared" si="3"/>
        <v>1</v>
      </c>
      <c r="H6" s="3" t="s">
        <v>62</v>
      </c>
      <c r="I6" s="78">
        <v>4855939457.2200003</v>
      </c>
      <c r="J6" s="77">
        <v>0.27200000000000002</v>
      </c>
      <c r="K6" s="78">
        <f t="shared" si="0"/>
        <v>1320815532.3638401</v>
      </c>
      <c r="L6" s="77">
        <v>0.23400000000000001</v>
      </c>
      <c r="M6" s="78">
        <f t="shared" si="0"/>
        <v>1136289832.98948</v>
      </c>
      <c r="N6" s="77">
        <v>0.38400000000000001</v>
      </c>
      <c r="O6" s="78">
        <f t="shared" si="0"/>
        <v>1864680751.5724802</v>
      </c>
      <c r="P6" s="77">
        <v>0.03</v>
      </c>
      <c r="Q6" s="78">
        <f t="shared" si="0"/>
        <v>145678183.7166</v>
      </c>
      <c r="R6" s="77">
        <v>0.06</v>
      </c>
      <c r="S6" s="78">
        <f t="shared" si="1"/>
        <v>291356367.4332</v>
      </c>
      <c r="T6" s="77">
        <v>0.02</v>
      </c>
      <c r="U6" s="57">
        <f t="shared" si="2"/>
        <v>97118789.144400001</v>
      </c>
      <c r="Y6" s="12">
        <f>K6-'Jul25'!K6</f>
        <v>29177940.093859911</v>
      </c>
      <c r="Z6" s="12">
        <f>M6-'Jul25'!M6</f>
        <v>-636732987.39587998</v>
      </c>
      <c r="AA6" s="12">
        <f>O6-'Jul25'!O6</f>
        <v>434823638.35848022</v>
      </c>
      <c r="AB6" s="12">
        <f>Q6-'Jul25'!Q6</f>
        <v>-6839908.3595600128</v>
      </c>
      <c r="AC6" s="12">
        <f>+S6-'Jul25'!S6</f>
        <v>291356367.4332</v>
      </c>
      <c r="AE6" s="28">
        <f>J6-'Jul25'!J6</f>
        <v>1.0000000000000009E-3</v>
      </c>
      <c r="AF6" s="28">
        <f>L6-'Jul25'!L6</f>
        <v>-0.13799999999999998</v>
      </c>
      <c r="AG6" s="28">
        <f>N6-'Jul25'!N6</f>
        <v>8.4000000000000019E-2</v>
      </c>
      <c r="AH6" s="28">
        <f>P6-'Jul25'!P6</f>
        <v>-2.0000000000000018E-3</v>
      </c>
      <c r="AI6" s="28">
        <f>R6-'Jul25'!R6</f>
        <v>0.06</v>
      </c>
      <c r="AK6" s="10">
        <f>I6-'Jul25'!I6</f>
        <v>89749079.840000153</v>
      </c>
      <c r="AL6" s="76">
        <f>I6/'Jul25'!I6-1</f>
        <v>1.8830359833283739E-2</v>
      </c>
      <c r="AN6" t="s">
        <v>14</v>
      </c>
      <c r="AO6" s="2" t="s">
        <v>18</v>
      </c>
    </row>
    <row r="7" spans="2:43" x14ac:dyDescent="0.25">
      <c r="B7" t="s">
        <v>15</v>
      </c>
      <c r="C7" s="2" t="s">
        <v>19</v>
      </c>
      <c r="F7" s="7">
        <f t="shared" si="3"/>
        <v>1</v>
      </c>
      <c r="H7" s="3" t="s">
        <v>22</v>
      </c>
      <c r="I7" s="78">
        <v>3037302608.3099999</v>
      </c>
      <c r="J7" s="77">
        <v>0.249</v>
      </c>
      <c r="K7" s="78">
        <f t="shared" si="0"/>
        <v>756288349.46919</v>
      </c>
      <c r="L7" s="77">
        <v>0.31</v>
      </c>
      <c r="M7" s="78">
        <f t="shared" si="0"/>
        <v>941563808.57609999</v>
      </c>
      <c r="N7" s="77">
        <v>0.38200000000000001</v>
      </c>
      <c r="O7" s="78">
        <f t="shared" si="0"/>
        <v>1160249596.3744199</v>
      </c>
      <c r="P7" s="77">
        <v>5.3999999999999999E-2</v>
      </c>
      <c r="Q7" s="78">
        <f t="shared" si="0"/>
        <v>164014340.84873998</v>
      </c>
      <c r="R7" s="77">
        <v>0</v>
      </c>
      <c r="S7" s="78">
        <f t="shared" si="1"/>
        <v>0</v>
      </c>
      <c r="T7" s="77">
        <v>5.0000000000000001E-3</v>
      </c>
      <c r="U7" s="57">
        <f t="shared" si="2"/>
        <v>15186513.041549999</v>
      </c>
      <c r="Y7" s="12">
        <f>K7-'Jul25'!K7</f>
        <v>-35912740.923490047</v>
      </c>
      <c r="Z7" s="12">
        <f>M7-'Jul25'!M7</f>
        <v>28875860.329020023</v>
      </c>
      <c r="AA7" s="12">
        <f>O7-'Jul25'!O7</f>
        <v>9600103.8648998737</v>
      </c>
      <c r="AB7" s="12">
        <f>Q7-'Jul25'!Q7</f>
        <v>22442282.869819969</v>
      </c>
      <c r="AC7" s="12">
        <f>+S7-'Jul25'!S7</f>
        <v>0</v>
      </c>
      <c r="AE7" s="28">
        <f>J7-'Jul25'!J7</f>
        <v>-1.4000000000000012E-2</v>
      </c>
      <c r="AF7" s="28">
        <f>L7-'Jul25'!L7</f>
        <v>7.0000000000000062E-3</v>
      </c>
      <c r="AG7" s="28">
        <f>N7-'Jul25'!N7</f>
        <v>0</v>
      </c>
      <c r="AH7" s="28">
        <f>P7-'Jul25'!P7</f>
        <v>6.9999999999999993E-3</v>
      </c>
      <c r="AI7" s="28">
        <f>R7-'Jul25'!R7</f>
        <v>0</v>
      </c>
      <c r="AK7" s="10">
        <f>I7-'Jul25'!I7</f>
        <v>25131161.949999809</v>
      </c>
      <c r="AL7" s="76">
        <f>I7/'Jul25'!I7-1</f>
        <v>8.3432043618796303E-3</v>
      </c>
      <c r="AN7" t="s">
        <v>15</v>
      </c>
      <c r="AO7" s="2" t="s">
        <v>19</v>
      </c>
    </row>
    <row r="8" spans="2:43" x14ac:dyDescent="0.25">
      <c r="B8" t="s">
        <v>57</v>
      </c>
      <c r="F8" s="7">
        <f t="shared" si="3"/>
        <v>1</v>
      </c>
      <c r="H8" s="3" t="s">
        <v>23</v>
      </c>
      <c r="I8" s="78">
        <v>180288299.78999999</v>
      </c>
      <c r="J8" s="77">
        <v>0.16</v>
      </c>
      <c r="K8" s="78">
        <f t="shared" si="0"/>
        <v>28846127.966399997</v>
      </c>
      <c r="L8" s="77">
        <v>0.35</v>
      </c>
      <c r="M8" s="78">
        <f t="shared" si="0"/>
        <v>63100904.926499993</v>
      </c>
      <c r="N8" s="77">
        <v>0.32</v>
      </c>
      <c r="O8" s="78">
        <f t="shared" si="0"/>
        <v>57692255.932799995</v>
      </c>
      <c r="P8" s="77">
        <v>0.09</v>
      </c>
      <c r="Q8" s="78">
        <f t="shared" si="0"/>
        <v>16225946.981099999</v>
      </c>
      <c r="R8" s="77">
        <v>0</v>
      </c>
      <c r="S8" s="78">
        <f t="shared" si="1"/>
        <v>0</v>
      </c>
      <c r="T8" s="77">
        <v>0.08</v>
      </c>
      <c r="U8" s="57">
        <f t="shared" si="2"/>
        <v>14423063.983199999</v>
      </c>
      <c r="Y8" s="12">
        <f>K8-'Jul25'!K8</f>
        <v>-2587410.2087999992</v>
      </c>
      <c r="Z8" s="12">
        <f>M8-'Jul25'!M8</f>
        <v>1980136.2525000051</v>
      </c>
      <c r="AA8" s="12">
        <f>O8-'Jul25'!O8</f>
        <v>7049333.3172000051</v>
      </c>
      <c r="AB8" s="12">
        <f>Q8-'Jul25'!Q8</f>
        <v>509177.89350000024</v>
      </c>
      <c r="AC8" s="12">
        <f>+S8-'Jul25'!S8</f>
        <v>0</v>
      </c>
      <c r="AE8" s="28">
        <f>J8-'Jul25'!J8</f>
        <v>-1.999999999999999E-2</v>
      </c>
      <c r="AF8" s="28">
        <f>L8-'Jul25'!L8</f>
        <v>0</v>
      </c>
      <c r="AG8" s="28">
        <f>N8-'Jul25'!N8</f>
        <v>3.0000000000000027E-2</v>
      </c>
      <c r="AH8" s="28">
        <f>P8-'Jul25'!P8</f>
        <v>0</v>
      </c>
      <c r="AI8" s="28">
        <f>R8-'Jul25'!R8</f>
        <v>0</v>
      </c>
      <c r="AK8" s="10">
        <f>I8-'Jul25'!I8</f>
        <v>5657532.150000006</v>
      </c>
      <c r="AL8" s="76">
        <f>I8/'Jul25'!I8-1</f>
        <v>3.239710977886201E-2</v>
      </c>
      <c r="AN8" t="s">
        <v>57</v>
      </c>
    </row>
    <row r="9" spans="2:43" x14ac:dyDescent="0.25">
      <c r="F9" s="7">
        <f t="shared" si="3"/>
        <v>1</v>
      </c>
      <c r="H9" s="3" t="s">
        <v>24</v>
      </c>
      <c r="I9" s="78">
        <v>1538695777.48</v>
      </c>
      <c r="J9" s="77">
        <v>0.62</v>
      </c>
      <c r="K9" s="78">
        <f t="shared" si="0"/>
        <v>953991382.03760004</v>
      </c>
      <c r="L9" s="77">
        <v>0.14299999999999999</v>
      </c>
      <c r="M9" s="78">
        <f t="shared" si="0"/>
        <v>220033496.17964</v>
      </c>
      <c r="N9" s="77">
        <v>0.19700000000000001</v>
      </c>
      <c r="O9" s="78">
        <f t="shared" si="0"/>
        <v>303123068.16356003</v>
      </c>
      <c r="P9" s="77">
        <v>3.6999999999999998E-2</v>
      </c>
      <c r="Q9" s="78">
        <f t="shared" si="0"/>
        <v>56931743.766759999</v>
      </c>
      <c r="R9" s="77">
        <v>0</v>
      </c>
      <c r="S9" s="78">
        <f t="shared" si="1"/>
        <v>0</v>
      </c>
      <c r="T9" s="77">
        <v>3.0000000000000001E-3</v>
      </c>
      <c r="U9" s="57">
        <f t="shared" si="2"/>
        <v>4616087.33244</v>
      </c>
      <c r="Y9" s="12">
        <f>K9-'Jul25'!K9</f>
        <v>88870819.647575021</v>
      </c>
      <c r="Z9" s="12">
        <f>M9-'Jul25'!M9</f>
        <v>-20523375.617974013</v>
      </c>
      <c r="AA9" s="12">
        <f>O9-'Jul25'!O9</f>
        <v>-51614473.454340994</v>
      </c>
      <c r="AB9" s="12">
        <f>Q9-'Jul25'!Q9</f>
        <v>-2826363.8027360067</v>
      </c>
      <c r="AC9" s="12">
        <f>+S9-'Jul25'!S9</f>
        <v>0</v>
      </c>
      <c r="AE9" s="28">
        <f>J9-'Jul25'!J9</f>
        <v>5.2499999999999991E-2</v>
      </c>
      <c r="AF9" s="28">
        <f>L9-'Jul25'!L9</f>
        <v>-1.4800000000000008E-2</v>
      </c>
      <c r="AG9" s="28">
        <f>N9-'Jul25'!N9</f>
        <v>-3.5699999999999982E-2</v>
      </c>
      <c r="AH9" s="28">
        <f>P9-'Jul25'!P9</f>
        <v>-2.2000000000000006E-3</v>
      </c>
      <c r="AI9" s="28">
        <f>R9-'Jul25'!R9</f>
        <v>0</v>
      </c>
      <c r="AK9" s="10">
        <f>I9-'Jul25'!I9</f>
        <v>14254257.849999905</v>
      </c>
      <c r="AL9" s="76">
        <f>I9/'Jul25'!I9-1</f>
        <v>9.3504786286977559E-3</v>
      </c>
    </row>
    <row r="10" spans="2:43" x14ac:dyDescent="0.25">
      <c r="F10" s="7">
        <f t="shared" si="3"/>
        <v>1</v>
      </c>
      <c r="H10" s="3" t="s">
        <v>73</v>
      </c>
      <c r="I10" s="78">
        <v>7856001613.4200001</v>
      </c>
      <c r="J10" s="77">
        <v>0.32200000000000001</v>
      </c>
      <c r="K10" s="78">
        <f t="shared" si="0"/>
        <v>2529632519.5212402</v>
      </c>
      <c r="L10" s="77">
        <v>0.433</v>
      </c>
      <c r="M10" s="78">
        <f t="shared" si="0"/>
        <v>3401648698.6108599</v>
      </c>
      <c r="N10" s="77">
        <v>0.20899999999999999</v>
      </c>
      <c r="O10" s="78">
        <f t="shared" si="0"/>
        <v>1641904337.2047799</v>
      </c>
      <c r="P10" s="77">
        <v>3.5999999999999997E-2</v>
      </c>
      <c r="Q10" s="78">
        <f t="shared" si="0"/>
        <v>282816058.08311999</v>
      </c>
      <c r="R10" s="77">
        <v>0</v>
      </c>
      <c r="S10" s="78">
        <f t="shared" si="1"/>
        <v>0</v>
      </c>
      <c r="T10" s="77">
        <v>0</v>
      </c>
      <c r="U10" s="57">
        <f t="shared" si="2"/>
        <v>0</v>
      </c>
      <c r="Y10" s="12">
        <f>K10-'Jul25'!K10</f>
        <v>185146694.05988026</v>
      </c>
      <c r="Z10" s="12">
        <f>M10-'Jul25'!M10</f>
        <v>-80029587.041059971</v>
      </c>
      <c r="AA10" s="12">
        <f>O10-'Jul25'!O10</f>
        <v>-40517384.720979929</v>
      </c>
      <c r="AB10" s="12">
        <f>Q10-'Jul25'!Q10</f>
        <v>2412437.7621600032</v>
      </c>
      <c r="AC10" s="12">
        <f>+S10-'Jul25'!S10</f>
        <v>0</v>
      </c>
      <c r="AE10" s="28">
        <f>J10-'Jul25'!J10</f>
        <v>2.1000000000000019E-2</v>
      </c>
      <c r="AF10" s="28">
        <f>L10-'Jul25'!L10</f>
        <v>-1.4000000000000012E-2</v>
      </c>
      <c r="AG10" s="28">
        <f>N10-'Jul25'!N10</f>
        <v>-7.0000000000000062E-3</v>
      </c>
      <c r="AH10" s="28">
        <f>P10-'Jul25'!P10</f>
        <v>0</v>
      </c>
      <c r="AI10" s="28">
        <f>R10-'Jul25'!R10</f>
        <v>0</v>
      </c>
      <c r="AJ10" s="93"/>
      <c r="AK10" s="10">
        <f>I10-'Jul25'!I10</f>
        <v>67012160.06000042</v>
      </c>
      <c r="AL10" s="76">
        <f>I10/'Jul25'!I10-1</f>
        <v>8.6034472714675569E-3</v>
      </c>
    </row>
    <row r="11" spans="2:43" x14ac:dyDescent="0.25">
      <c r="F11" s="7">
        <f t="shared" si="3"/>
        <v>1</v>
      </c>
      <c r="H11" s="3" t="s">
        <v>47</v>
      </c>
      <c r="I11" s="78">
        <v>3130494560.4899998</v>
      </c>
      <c r="J11" s="77">
        <v>0.63</v>
      </c>
      <c r="K11" s="78">
        <f t="shared" si="0"/>
        <v>1972211573.1086998</v>
      </c>
      <c r="L11" s="77">
        <v>0.22</v>
      </c>
      <c r="M11" s="78">
        <f t="shared" si="0"/>
        <v>688708803.30779994</v>
      </c>
      <c r="N11" s="77">
        <v>0.14000000000000001</v>
      </c>
      <c r="O11" s="78">
        <f t="shared" si="0"/>
        <v>438269238.46860003</v>
      </c>
      <c r="P11" s="77">
        <v>0</v>
      </c>
      <c r="Q11" s="78">
        <f t="shared" si="0"/>
        <v>0</v>
      </c>
      <c r="R11" s="77">
        <v>0</v>
      </c>
      <c r="S11" s="78">
        <f t="shared" si="1"/>
        <v>0</v>
      </c>
      <c r="T11" s="77">
        <v>0.01</v>
      </c>
      <c r="U11" s="57">
        <f t="shared" si="2"/>
        <v>31304945.604899999</v>
      </c>
      <c r="Y11" s="12">
        <f>K11-'Jul25'!K11</f>
        <v>-195248945737.76129</v>
      </c>
      <c r="Z11" s="12">
        <f>M11-'Jul25'!M11</f>
        <v>-74443160648.452194</v>
      </c>
      <c r="AA11" s="12">
        <f>O11-'Jul25'!O11</f>
        <v>-40258160047.901405</v>
      </c>
      <c r="AB11" s="12">
        <f>Q11-'Jul25'!Q11</f>
        <v>0</v>
      </c>
      <c r="AC11" s="12">
        <f>+S11-'Jul25'!S12</f>
        <v>0</v>
      </c>
      <c r="AE11" s="28">
        <f>J11-'Jul25'!J11</f>
        <v>0</v>
      </c>
      <c r="AF11" s="28">
        <f>L11-'Jul25'!L11</f>
        <v>-1.999999999999999E-2</v>
      </c>
      <c r="AG11" s="28">
        <f>N11-'Jul25'!N11</f>
        <v>1.0000000000000009E-2</v>
      </c>
      <c r="AH11" s="28">
        <f>P11-'Jul25'!P11</f>
        <v>0</v>
      </c>
      <c r="AI11" s="28">
        <f>R11-'Jul25'!R11</f>
        <v>0</v>
      </c>
      <c r="AK11" s="10">
        <f>I11-'Jul25'!I11</f>
        <v>-309918961488.51001</v>
      </c>
      <c r="AL11" s="76">
        <f>I11/'Jul25'!I11-1</f>
        <v>-0.99</v>
      </c>
    </row>
    <row r="12" spans="2:43" x14ac:dyDescent="0.25">
      <c r="B12" t="s">
        <v>70</v>
      </c>
      <c r="F12" s="7">
        <f t="shared" si="3"/>
        <v>1</v>
      </c>
      <c r="H12" s="3" t="s">
        <v>30</v>
      </c>
      <c r="I12" s="78">
        <v>1370892641.4100001</v>
      </c>
      <c r="J12" s="77">
        <v>0.222</v>
      </c>
      <c r="K12" s="78">
        <f t="shared" si="0"/>
        <v>304338166.39302003</v>
      </c>
      <c r="L12" s="77">
        <v>0.436</v>
      </c>
      <c r="M12" s="78">
        <f t="shared" si="0"/>
        <v>597709191.65476</v>
      </c>
      <c r="N12" s="77">
        <v>0.316</v>
      </c>
      <c r="O12" s="78">
        <f t="shared" si="0"/>
        <v>433202074.68556005</v>
      </c>
      <c r="P12" s="77">
        <v>2.5999999999999999E-2</v>
      </c>
      <c r="Q12" s="78">
        <f t="shared" si="0"/>
        <v>35643208.676660001</v>
      </c>
      <c r="R12" s="77">
        <v>0</v>
      </c>
      <c r="S12" s="78">
        <f t="shared" si="1"/>
        <v>0</v>
      </c>
      <c r="T12" s="77">
        <v>0</v>
      </c>
      <c r="U12" s="57">
        <f t="shared" si="2"/>
        <v>0</v>
      </c>
      <c r="Y12" s="12">
        <f>K12-'Jul25'!K12</f>
        <v>-82730814.327419996</v>
      </c>
      <c r="Z12" s="12">
        <f>M12-'Jul25'!M12</f>
        <v>7288753.6717699766</v>
      </c>
      <c r="AA12" s="12">
        <f>O12-'Jul25'!O12</f>
        <v>44730670.121930003</v>
      </c>
      <c r="AB12" s="12">
        <f>Q12-'Jul25'!Q12</f>
        <v>-819811.24627999961</v>
      </c>
      <c r="AC12" s="12">
        <f>+S12-'Jul25'!S12</f>
        <v>0</v>
      </c>
      <c r="AE12" s="28">
        <f>J12-'Jul25'!J12</f>
        <v>-5.400000000000002E-2</v>
      </c>
      <c r="AF12" s="28">
        <f>L12-'Jul25'!L12</f>
        <v>1.5000000000000013E-2</v>
      </c>
      <c r="AG12" s="28">
        <f>N12-'Jul25'!N12</f>
        <v>3.8999999999999979E-2</v>
      </c>
      <c r="AH12" s="28">
        <f>P12-'Jul25'!P12</f>
        <v>0</v>
      </c>
      <c r="AI12" s="28">
        <f>R12-'Jul25'!R12</f>
        <v>0</v>
      </c>
      <c r="AJ12" s="93"/>
      <c r="AK12" s="10">
        <f>I12-'Jul25'!I12</f>
        <v>-31531201.779999971</v>
      </c>
      <c r="AL12" s="76">
        <f>I12/'Jul25'!I12-1</f>
        <v>-2.2483361170099636E-2</v>
      </c>
    </row>
    <row r="13" spans="2:43" x14ac:dyDescent="0.25">
      <c r="B13" t="s">
        <v>74</v>
      </c>
      <c r="F13" s="7">
        <f t="shared" si="3"/>
        <v>1</v>
      </c>
      <c r="H13" s="3" t="s">
        <v>64</v>
      </c>
      <c r="I13" s="102">
        <v>1318504356.3900001</v>
      </c>
      <c r="J13" s="77">
        <v>0.5</v>
      </c>
      <c r="K13" s="78">
        <f t="shared" si="0"/>
        <v>659252178.19500005</v>
      </c>
      <c r="L13" s="77">
        <v>0.26</v>
      </c>
      <c r="M13" s="78">
        <f t="shared" si="0"/>
        <v>342811132.66140002</v>
      </c>
      <c r="N13" s="77">
        <v>0.2</v>
      </c>
      <c r="O13" s="78">
        <f t="shared" si="0"/>
        <v>263700871.27800003</v>
      </c>
      <c r="P13" s="77">
        <v>0.05</v>
      </c>
      <c r="Q13" s="78">
        <f t="shared" si="0"/>
        <v>65925217.819500007</v>
      </c>
      <c r="R13" s="77">
        <v>0</v>
      </c>
      <c r="S13" s="78">
        <f t="shared" si="1"/>
        <v>0</v>
      </c>
      <c r="T13" s="77">
        <v>-0.01</v>
      </c>
      <c r="U13" s="57">
        <f t="shared" si="2"/>
        <v>-13185043.563900001</v>
      </c>
      <c r="Y13" s="12">
        <f>K13-'Jul25'!K13</f>
        <v>15472270.695000052</v>
      </c>
      <c r="Z13" s="12">
        <f>M13-'Jul25'!M13</f>
        <v>-4830017.3885999918</v>
      </c>
      <c r="AA13" s="12">
        <f>O13-'Jul25'!O13</f>
        <v>19064506.428000033</v>
      </c>
      <c r="AB13" s="12">
        <f>Q13-'Jul25'!Q13</f>
        <v>14422825.219500005</v>
      </c>
      <c r="AC13" s="12">
        <f>+S13-'Jul25'!S13</f>
        <v>0</v>
      </c>
      <c r="AE13" s="28">
        <f>J13-'Jul25'!J13</f>
        <v>0</v>
      </c>
      <c r="AF13" s="28">
        <f>L13-'Jul25'!L13</f>
        <v>-1.0000000000000009E-2</v>
      </c>
      <c r="AG13" s="28">
        <f>N13-'Jul25'!N13</f>
        <v>1.0000000000000009E-2</v>
      </c>
      <c r="AH13" s="28">
        <f>P13-'Jul25'!P13</f>
        <v>1.0000000000000002E-2</v>
      </c>
      <c r="AI13" s="28">
        <f>R13-'Jul25'!R13</f>
        <v>0</v>
      </c>
      <c r="AK13" s="10">
        <f>I13-'Jul25'!I13</f>
        <v>30944541.390000105</v>
      </c>
      <c r="AL13" s="76">
        <f>I13/'Jul25'!I13-1</f>
        <v>2.4033478700948852E-2</v>
      </c>
    </row>
    <row r="14" spans="2:43" s="8" customFormat="1" x14ac:dyDescent="0.25">
      <c r="B14" t="s">
        <v>42</v>
      </c>
      <c r="E14"/>
      <c r="F14" s="7">
        <f>J14+L14+N14+P14+R14+T14</f>
        <v>1</v>
      </c>
      <c r="G14"/>
      <c r="H14" s="21" t="s">
        <v>45</v>
      </c>
      <c r="I14" s="20">
        <f>SUM(I3:I13)</f>
        <v>25809851626.639996</v>
      </c>
      <c r="J14" s="15">
        <f>K14/$I$14</f>
        <v>0.37068053984458821</v>
      </c>
      <c r="K14" s="17">
        <f>SUM(K3:K13)</f>
        <v>9567209734.271637</v>
      </c>
      <c r="L14" s="15">
        <f>M14/$I$14</f>
        <v>0.30623012294718638</v>
      </c>
      <c r="M14" s="20">
        <f>SUM(M3:M13)</f>
        <v>7903754036.8746042</v>
      </c>
      <c r="N14" s="15">
        <f>O14/$I$14</f>
        <v>0.26568633188088414</v>
      </c>
      <c r="O14" s="17">
        <f>SUM(O3:O13)</f>
        <v>6857324805.0718508</v>
      </c>
      <c r="P14" s="15">
        <f>Q14/$I$14</f>
        <v>3.887277336875565E-2</v>
      </c>
      <c r="Q14" s="17">
        <f>SUM(Q3:Q13)</f>
        <v>1003300512.9635859</v>
      </c>
      <c r="R14" s="15">
        <f>S14/$I$14</f>
        <v>1.238656476921479E-2</v>
      </c>
      <c r="S14" s="17">
        <f>SUM(S3:S13)</f>
        <v>319695398.85720003</v>
      </c>
      <c r="T14" s="15">
        <f>U14/$I$14</f>
        <v>6.1436671893710815E-3</v>
      </c>
      <c r="U14" s="63">
        <f>SUM(U3:U13)</f>
        <v>158567138.60112399</v>
      </c>
      <c r="Y14" s="12">
        <f>K14-'Jul25'!K14</f>
        <v>-194895206597.38293</v>
      </c>
      <c r="Z14" s="12">
        <f>M14-'Jul25'!M14</f>
        <v>-75005656894.840302</v>
      </c>
      <c r="AA14" s="12">
        <f>O14-'Jul25'!O14</f>
        <v>-39888410730.166359</v>
      </c>
      <c r="AB14" s="12">
        <f>Q14-'Jul25'!Q14</f>
        <v>50931242.925429702</v>
      </c>
      <c r="AC14" s="12">
        <f>+S14-'Jul25'!S14</f>
        <v>299589644.05310005</v>
      </c>
      <c r="AE14" s="28">
        <f>J14-'Jul25'!J14</f>
        <v>-0.23910205594421724</v>
      </c>
      <c r="AF14" s="28">
        <f>L14-'Jul25'!L14</f>
        <v>5.8963575283703801E-2</v>
      </c>
      <c r="AG14" s="28">
        <f>N14-'Jul25'!N14</f>
        <v>0.12627324820443195</v>
      </c>
      <c r="AH14" s="28">
        <f>P14-'Jul25'!P14</f>
        <v>3.6032455739468942E-2</v>
      </c>
      <c r="AI14" s="28">
        <f>R14-'Jul25'!R14</f>
        <v>1.2326601967372272E-2</v>
      </c>
      <c r="AK14" s="92">
        <f>I14-'Jul25'!I14</f>
        <v>-309493939829.01001</v>
      </c>
      <c r="AL14" s="76">
        <f>I14/'Jul25'!I14-1</f>
        <v>-0.92302547038137561</v>
      </c>
    </row>
    <row r="15" spans="2:43" x14ac:dyDescent="0.25">
      <c r="B15" t="s">
        <v>66</v>
      </c>
      <c r="F15" s="7"/>
      <c r="I15" s="10"/>
      <c r="J15" s="10"/>
      <c r="K15" s="10"/>
      <c r="L15" s="5"/>
      <c r="M15" s="10"/>
      <c r="N15" s="10"/>
      <c r="O15" s="10"/>
      <c r="P15" s="5"/>
      <c r="Q15" s="10"/>
    </row>
    <row r="16" spans="2:43" x14ac:dyDescent="0.25">
      <c r="F16" s="7"/>
      <c r="H16" s="4" t="s">
        <v>2</v>
      </c>
      <c r="I16" s="9" t="s">
        <v>4</v>
      </c>
      <c r="J16" s="112" t="s">
        <v>7</v>
      </c>
      <c r="K16" s="112"/>
      <c r="L16" s="112" t="s">
        <v>8</v>
      </c>
      <c r="M16" s="112"/>
      <c r="N16" s="112" t="s">
        <v>10</v>
      </c>
      <c r="O16" s="112"/>
      <c r="P16" s="112" t="s">
        <v>9</v>
      </c>
      <c r="Q16" s="112"/>
      <c r="R16" s="112" t="s">
        <v>21</v>
      </c>
      <c r="S16" s="112"/>
      <c r="T16" s="112" t="s">
        <v>55</v>
      </c>
      <c r="U16" s="112"/>
      <c r="Y16" s="27" t="s">
        <v>49</v>
      </c>
      <c r="Z16" s="27" t="s">
        <v>50</v>
      </c>
      <c r="AA16" s="27" t="s">
        <v>51</v>
      </c>
      <c r="AB16" s="27" t="s">
        <v>52</v>
      </c>
      <c r="AC16" s="27" t="s">
        <v>53</v>
      </c>
      <c r="AE16" s="27" t="s">
        <v>49</v>
      </c>
      <c r="AF16" s="27" t="s">
        <v>50</v>
      </c>
      <c r="AG16" s="27" t="s">
        <v>51</v>
      </c>
      <c r="AH16" s="27" t="s">
        <v>52</v>
      </c>
      <c r="AI16" s="27" t="s">
        <v>53</v>
      </c>
    </row>
    <row r="17" spans="2:39" x14ac:dyDescent="0.25">
      <c r="F17" s="7">
        <f t="shared" si="3"/>
        <v>1</v>
      </c>
      <c r="H17" s="21" t="s">
        <v>6</v>
      </c>
      <c r="I17" s="80">
        <v>328657938.42000002</v>
      </c>
      <c r="J17" s="81">
        <v>0.35</v>
      </c>
      <c r="K17" s="80">
        <f t="shared" ref="K17:K26" si="4">+J17*$I17</f>
        <v>115030278.447</v>
      </c>
      <c r="L17" s="81">
        <v>0.249</v>
      </c>
      <c r="M17" s="80">
        <f t="shared" ref="M17:M26" si="5">+L17*$I17</f>
        <v>81835826.666580006</v>
      </c>
      <c r="N17" s="81">
        <v>0.28799999999999998</v>
      </c>
      <c r="O17" s="80">
        <f t="shared" ref="O17:O26" si="6">+N17*$I17</f>
        <v>94653486.264959991</v>
      </c>
      <c r="P17" s="81">
        <v>5.6000000000000001E-2</v>
      </c>
      <c r="Q17" s="80">
        <f t="shared" ref="Q17:Q26" si="7">+P17*$I17</f>
        <v>18404844.551520001</v>
      </c>
      <c r="R17" s="81">
        <v>0</v>
      </c>
      <c r="S17" s="80">
        <f t="shared" ref="S17:S26" si="8">+R17*$I17</f>
        <v>0</v>
      </c>
      <c r="T17" s="81">
        <v>5.7000000000000002E-2</v>
      </c>
      <c r="U17" s="80">
        <f t="shared" ref="U17:U26" si="9">+T17*$I17</f>
        <v>18733502.489940003</v>
      </c>
      <c r="Y17" s="12">
        <f>K17-'Jul25'!K17</f>
        <v>10916650.132404</v>
      </c>
      <c r="Z17" s="12">
        <f>M17-'Jul25'!M17</f>
        <v>-2311252.0873699933</v>
      </c>
      <c r="AA17" s="12">
        <f>O17-'Jul25'!O17</f>
        <v>-3153195.9527380168</v>
      </c>
      <c r="AB17" s="12">
        <f>Q17-'Jul25'!Q17</f>
        <v>-2182596.0756600015</v>
      </c>
      <c r="AC17" s="12">
        <f>+S17-'Jul25'!S17</f>
        <v>0</v>
      </c>
      <c r="AD17" s="98"/>
      <c r="AE17" s="28">
        <f>J17-'Jul25'!J17</f>
        <v>3.1399999999999983E-2</v>
      </c>
      <c r="AF17" s="28">
        <f>L17-'Jul25'!L17</f>
        <v>-8.5000000000000075E-3</v>
      </c>
      <c r="AG17" s="28">
        <f>N17-'Jul25'!N17</f>
        <v>-1.1300000000000032E-2</v>
      </c>
      <c r="AH17" s="28">
        <f>P17-'Jul25'!P17</f>
        <v>-6.9999999999999993E-3</v>
      </c>
      <c r="AI17" s="28">
        <f>R17-'Jul25'!R17</f>
        <v>0</v>
      </c>
      <c r="AJ17" s="98"/>
      <c r="AK17" s="10">
        <f>I17-'Jul25'!I17</f>
        <v>1873166.5600000024</v>
      </c>
      <c r="AL17" s="76">
        <f>I17/'Jul25'!I17-1</f>
        <v>5.7321109222387978E-3</v>
      </c>
      <c r="AM17" s="98"/>
    </row>
    <row r="18" spans="2:39" x14ac:dyDescent="0.25">
      <c r="F18" s="7">
        <f t="shared" si="3"/>
        <v>1</v>
      </c>
      <c r="H18" s="3" t="s">
        <v>26</v>
      </c>
      <c r="I18" s="78">
        <v>865976624.30999994</v>
      </c>
      <c r="J18" s="77">
        <v>0.1</v>
      </c>
      <c r="K18" s="78">
        <f t="shared" si="4"/>
        <v>86597662.430999994</v>
      </c>
      <c r="L18" s="77">
        <v>0.19</v>
      </c>
      <c r="M18" s="78">
        <f t="shared" si="5"/>
        <v>164535558.6189</v>
      </c>
      <c r="N18" s="77">
        <v>0.45</v>
      </c>
      <c r="O18" s="78">
        <f t="shared" si="6"/>
        <v>389689480.93949997</v>
      </c>
      <c r="P18" s="77">
        <v>0.16</v>
      </c>
      <c r="Q18" s="78">
        <f t="shared" si="7"/>
        <v>138556259.88959998</v>
      </c>
      <c r="R18" s="77">
        <v>0</v>
      </c>
      <c r="S18" s="78">
        <f t="shared" si="8"/>
        <v>0</v>
      </c>
      <c r="T18" s="77">
        <v>0.1</v>
      </c>
      <c r="U18" s="78">
        <f t="shared" si="9"/>
        <v>86597662.430999994</v>
      </c>
      <c r="Y18" s="12">
        <f>K18-'Jul25'!K18</f>
        <v>-42730177.456499994</v>
      </c>
      <c r="Z18" s="12">
        <f>M18-'Jul25'!M18</f>
        <v>9342150.7539000213</v>
      </c>
      <c r="AA18" s="12">
        <f>O18-'Jul25'!O18</f>
        <v>1705961.2769999504</v>
      </c>
      <c r="AB18" s="12">
        <f>Q18-'Jul25'!Q18</f>
        <v>606564.00959998369</v>
      </c>
      <c r="AC18" s="12">
        <f>+S18-'Jul25'!S18</f>
        <v>0</v>
      </c>
      <c r="AE18" s="28">
        <f>J18-'Jul25'!J18</f>
        <v>-4.9999999999999989E-2</v>
      </c>
      <c r="AF18" s="28">
        <f>L18-'Jul25'!L18</f>
        <v>1.0000000000000009E-2</v>
      </c>
      <c r="AG18" s="28">
        <f>N18-'Jul25'!N18</f>
        <v>0</v>
      </c>
      <c r="AH18" s="28">
        <f>P18-'Jul25'!P18</f>
        <v>0</v>
      </c>
      <c r="AI18" s="28">
        <f>R18-'Jul25'!R18</f>
        <v>0</v>
      </c>
      <c r="AK18" s="10">
        <f>I18-'Jul25'!I18</f>
        <v>3791025.0599999428</v>
      </c>
      <c r="AL18" s="76">
        <f>I18/'Jul25'!I18-1</f>
        <v>4.396994177701119E-3</v>
      </c>
    </row>
    <row r="19" spans="2:39" x14ac:dyDescent="0.25">
      <c r="F19" s="7">
        <f t="shared" si="3"/>
        <v>1</v>
      </c>
      <c r="H19" s="3" t="s">
        <v>27</v>
      </c>
      <c r="I19" s="78">
        <v>717170719.02999997</v>
      </c>
      <c r="J19" s="77">
        <v>5.6000000000000001E-2</v>
      </c>
      <c r="K19" s="78">
        <f t="shared" si="4"/>
        <v>40161560.26568</v>
      </c>
      <c r="L19" s="77">
        <v>0.28699999999999998</v>
      </c>
      <c r="M19" s="78">
        <f t="shared" si="5"/>
        <v>205827996.36160997</v>
      </c>
      <c r="N19" s="77">
        <v>0.56100000000000005</v>
      </c>
      <c r="O19" s="78">
        <f t="shared" si="6"/>
        <v>402332773.37582999</v>
      </c>
      <c r="P19" s="77">
        <v>5.0999999999999997E-2</v>
      </c>
      <c r="Q19" s="78">
        <f t="shared" si="7"/>
        <v>36575706.670529999</v>
      </c>
      <c r="R19" s="77">
        <v>0</v>
      </c>
      <c r="S19" s="78">
        <f t="shared" si="8"/>
        <v>0</v>
      </c>
      <c r="T19" s="77">
        <v>4.4999999999999998E-2</v>
      </c>
      <c r="U19" s="78">
        <f t="shared" si="9"/>
        <v>32272682.356349997</v>
      </c>
      <c r="Y19" s="12">
        <f>K19-'Jul25'!K19</f>
        <v>-23377852.594230004</v>
      </c>
      <c r="Z19" s="12">
        <f>M19-'Jul25'!M19</f>
        <v>-77600620.552820057</v>
      </c>
      <c r="AA19" s="12">
        <f>O19-'Jul25'!O19</f>
        <v>75354671.242809951</v>
      </c>
      <c r="AB19" s="12">
        <f>Q19-'Jul25'!Q19</f>
        <v>5162963.2341699973</v>
      </c>
      <c r="AC19" s="12">
        <f>+S19-'Jul25'!S19</f>
        <v>0</v>
      </c>
      <c r="AE19" s="28">
        <f>J19-'Jul25'!J19</f>
        <v>-3.2999999999999995E-2</v>
      </c>
      <c r="AF19" s="28">
        <f>L19-'Jul25'!L19</f>
        <v>-0.11000000000000004</v>
      </c>
      <c r="AG19" s="28">
        <f>N19-'Jul25'!N19</f>
        <v>0.10300000000000004</v>
      </c>
      <c r="AH19" s="28">
        <f>P19-'Jul25'!P19</f>
        <v>6.9999999999999993E-3</v>
      </c>
      <c r="AI19" s="28">
        <f>R19-'Jul25'!R19</f>
        <v>0</v>
      </c>
      <c r="AJ19" s="93"/>
      <c r="AK19" s="10">
        <f>I19-'Jul25'!I19</f>
        <v>3244731.8399999142</v>
      </c>
      <c r="AL19" s="76">
        <f>I19/'Jul25'!I19-1</f>
        <v>4.5449134759347753E-3</v>
      </c>
    </row>
    <row r="20" spans="2:39" x14ac:dyDescent="0.25">
      <c r="B20" s="1"/>
      <c r="C20" s="1" t="s">
        <v>20</v>
      </c>
      <c r="D20" s="1"/>
      <c r="F20" s="7">
        <f t="shared" si="3"/>
        <v>1</v>
      </c>
      <c r="H20" s="3" t="s">
        <v>67</v>
      </c>
      <c r="I20" s="78">
        <v>1271884636.75</v>
      </c>
      <c r="J20" s="77">
        <v>0.22</v>
      </c>
      <c r="K20" s="78">
        <f t="shared" si="4"/>
        <v>279814620.08499998</v>
      </c>
      <c r="L20" s="77">
        <v>0.3</v>
      </c>
      <c r="M20" s="78">
        <f t="shared" si="5"/>
        <v>381565391.02499998</v>
      </c>
      <c r="N20" s="77">
        <v>0.31</v>
      </c>
      <c r="O20" s="78">
        <f t="shared" si="6"/>
        <v>394284237.39249998</v>
      </c>
      <c r="P20" s="77">
        <v>0.17</v>
      </c>
      <c r="Q20" s="78">
        <f t="shared" si="7"/>
        <v>216220388.2475</v>
      </c>
      <c r="R20" s="77">
        <v>0</v>
      </c>
      <c r="S20" s="78">
        <f t="shared" si="8"/>
        <v>0</v>
      </c>
      <c r="T20" s="77">
        <v>0</v>
      </c>
      <c r="U20" s="78">
        <f t="shared" si="9"/>
        <v>0</v>
      </c>
      <c r="Y20" s="12">
        <f>K20-'Jul25'!K20</f>
        <v>2401932.2249999642</v>
      </c>
      <c r="Z20" s="12">
        <f>M20-'Jul25'!M20</f>
        <v>15885029.754999995</v>
      </c>
      <c r="AA20" s="12">
        <f>O20-'Jul25'!O20</f>
        <v>-21834794.397500038</v>
      </c>
      <c r="AB20" s="12">
        <f>Q20-'Jul25'!Q20</f>
        <v>14465706.167499989</v>
      </c>
      <c r="AC20" s="12">
        <f>+S20-'Jul25'!S20</f>
        <v>0</v>
      </c>
      <c r="AE20" s="28">
        <f>J20-'Jul25'!J20</f>
        <v>0</v>
      </c>
      <c r="AF20" s="28">
        <f>L20-'Jul25'!L20</f>
        <v>1.0000000000000009E-2</v>
      </c>
      <c r="AG20" s="28">
        <f>N20-'Jul25'!N20</f>
        <v>-2.0000000000000018E-2</v>
      </c>
      <c r="AH20" s="28">
        <f>P20-'Jul25'!P20</f>
        <v>1.0000000000000009E-2</v>
      </c>
      <c r="AI20" s="28">
        <f>R20-'Jul25'!R20</f>
        <v>0</v>
      </c>
      <c r="AJ20" s="93"/>
      <c r="AK20" s="10">
        <f>I20-'Jul25'!I20</f>
        <v>10917873.75</v>
      </c>
      <c r="AL20" s="76">
        <f>I20/'Jul25'!I20-1</f>
        <v>8.6583358660659027E-3</v>
      </c>
    </row>
    <row r="21" spans="2:39" x14ac:dyDescent="0.25">
      <c r="B21" t="s">
        <v>11</v>
      </c>
      <c r="C21" s="2" t="s">
        <v>10</v>
      </c>
      <c r="D21" t="s">
        <v>7</v>
      </c>
      <c r="F21" s="7">
        <f t="shared" si="3"/>
        <v>1</v>
      </c>
      <c r="H21" s="3" t="s">
        <v>32</v>
      </c>
      <c r="I21" s="78">
        <v>190739578.38999999</v>
      </c>
      <c r="J21" s="77">
        <v>0.14000000000000001</v>
      </c>
      <c r="K21" s="78">
        <f t="shared" si="4"/>
        <v>26703540.974600002</v>
      </c>
      <c r="L21" s="77">
        <v>0.26</v>
      </c>
      <c r="M21" s="78">
        <f t="shared" si="5"/>
        <v>49592290.381399997</v>
      </c>
      <c r="N21" s="77">
        <v>0.5</v>
      </c>
      <c r="O21" s="78">
        <f t="shared" si="6"/>
        <v>95369789.194999993</v>
      </c>
      <c r="P21" s="77">
        <v>0.11</v>
      </c>
      <c r="Q21" s="78">
        <f t="shared" si="7"/>
        <v>20981353.622899998</v>
      </c>
      <c r="R21" s="77">
        <v>0</v>
      </c>
      <c r="S21" s="78">
        <f t="shared" si="8"/>
        <v>0</v>
      </c>
      <c r="T21" s="77">
        <v>-0.01</v>
      </c>
      <c r="U21" s="78">
        <f t="shared" si="9"/>
        <v>-1907395.7838999999</v>
      </c>
      <c r="Y21" s="12">
        <f>K21-'Jul25'!K21</f>
        <v>-65210996.279799998</v>
      </c>
      <c r="Z21" s="12">
        <f>M21-'Jul25'!M21</f>
        <v>5549907.9469999969</v>
      </c>
      <c r="AA21" s="12">
        <f>O21-'Jul25'!O21</f>
        <v>62816723.917399988</v>
      </c>
      <c r="AB21" s="12">
        <f>Q21-'Jul25'!Q21</f>
        <v>-1997280.690700002</v>
      </c>
      <c r="AC21" s="12">
        <f>+S21-'Jul25'!S21</f>
        <v>0</v>
      </c>
      <c r="AE21" s="28">
        <f>J21-'Jul25'!J21</f>
        <v>-0.33999999999999997</v>
      </c>
      <c r="AF21" s="28">
        <f>L21-'Jul25'!L21</f>
        <v>0.03</v>
      </c>
      <c r="AG21" s="28">
        <f>N21-'Jul25'!N21</f>
        <v>0.32999999999999996</v>
      </c>
      <c r="AH21" s="28">
        <f>P21-'Jul25'!P21</f>
        <v>-9.999999999999995E-3</v>
      </c>
      <c r="AI21" s="28">
        <f>R21-'Jul25'!R21</f>
        <v>0</v>
      </c>
      <c r="AK21" s="10">
        <f>I21-'Jul25'!I21</f>
        <v>-749040.8900000155</v>
      </c>
      <c r="AL21" s="76">
        <f>I21/'Jul25'!I21-1</f>
        <v>-3.9116731470331123E-3</v>
      </c>
    </row>
    <row r="22" spans="2:39" x14ac:dyDescent="0.25">
      <c r="B22" t="s">
        <v>12</v>
      </c>
      <c r="C22" s="2" t="s">
        <v>16</v>
      </c>
      <c r="D22" t="s">
        <v>58</v>
      </c>
      <c r="F22" s="7">
        <f t="shared" si="3"/>
        <v>1</v>
      </c>
      <c r="H22" s="3" t="s">
        <v>33</v>
      </c>
      <c r="I22" s="78">
        <v>1315549447.96</v>
      </c>
      <c r="J22" s="77">
        <v>0.22</v>
      </c>
      <c r="K22" s="78">
        <f t="shared" si="4"/>
        <v>289420878.55120003</v>
      </c>
      <c r="L22" s="77">
        <v>0.25</v>
      </c>
      <c r="M22" s="78">
        <f t="shared" si="5"/>
        <v>328887361.99000001</v>
      </c>
      <c r="N22" s="77">
        <v>0.5</v>
      </c>
      <c r="O22" s="78">
        <f t="shared" si="6"/>
        <v>657774723.98000002</v>
      </c>
      <c r="P22" s="77">
        <v>0.03</v>
      </c>
      <c r="Q22" s="78">
        <f t="shared" si="7"/>
        <v>39466483.4388</v>
      </c>
      <c r="R22" s="77">
        <v>0</v>
      </c>
      <c r="S22" s="78">
        <f t="shared" si="8"/>
        <v>0</v>
      </c>
      <c r="T22" s="77">
        <v>0</v>
      </c>
      <c r="U22" s="78">
        <f t="shared" si="9"/>
        <v>0</v>
      </c>
      <c r="Y22" s="12">
        <f>K22-'Jul25'!K22</f>
        <v>54006441.776800066</v>
      </c>
      <c r="Z22" s="12">
        <f>M22-'Jul25'!M22</f>
        <v>54237185.753200054</v>
      </c>
      <c r="AA22" s="12">
        <f>O22-'Jul25'!O22</f>
        <v>-100782905.62639987</v>
      </c>
      <c r="AB22" s="12">
        <f>Q22-'Jul25'!Q22</f>
        <v>230743.97640000284</v>
      </c>
      <c r="AC22" s="12">
        <f>+S22-'Jul25'!S22</f>
        <v>0</v>
      </c>
      <c r="AE22" s="28">
        <f>J22-'Jul25'!J22</f>
        <v>4.0000000000000008E-2</v>
      </c>
      <c r="AF22" s="28">
        <f>L22-'Jul25'!L22</f>
        <v>4.0000000000000008E-2</v>
      </c>
      <c r="AG22" s="28">
        <f>N22-'Jul25'!N22</f>
        <v>-7.999999999999996E-2</v>
      </c>
      <c r="AH22" s="28">
        <f>P22-'Jul25'!P22</f>
        <v>0</v>
      </c>
      <c r="AI22" s="28">
        <f>R22-'Jul25'!R22</f>
        <v>0</v>
      </c>
      <c r="AK22" s="10">
        <f>I22-'Jul25'!I22</f>
        <v>7691465.8800001144</v>
      </c>
      <c r="AL22" s="76">
        <f>I22/'Jul25'!I22-1</f>
        <v>5.8809641301937887E-3</v>
      </c>
    </row>
    <row r="23" spans="2:39" x14ac:dyDescent="0.25">
      <c r="B23" t="s">
        <v>13</v>
      </c>
      <c r="C23" s="2" t="s">
        <v>17</v>
      </c>
      <c r="D23" t="s">
        <v>59</v>
      </c>
      <c r="F23" s="7">
        <f t="shared" si="3"/>
        <v>1</v>
      </c>
      <c r="H23" s="3" t="s">
        <v>68</v>
      </c>
      <c r="I23" s="78">
        <v>231781708.53999999</v>
      </c>
      <c r="J23" s="77">
        <v>0.54200000000000004</v>
      </c>
      <c r="K23" s="78">
        <f t="shared" si="4"/>
        <v>125625686.02868</v>
      </c>
      <c r="L23" s="77">
        <v>0.114</v>
      </c>
      <c r="M23" s="78">
        <f t="shared" si="5"/>
        <v>26423114.773559999</v>
      </c>
      <c r="N23" s="77">
        <v>0.25900000000000001</v>
      </c>
      <c r="O23" s="78">
        <f t="shared" si="6"/>
        <v>60031462.511859998</v>
      </c>
      <c r="P23" s="77">
        <v>7.5999999999999998E-2</v>
      </c>
      <c r="Q23" s="78">
        <f t="shared" si="7"/>
        <v>17615409.849039998</v>
      </c>
      <c r="R23" s="77">
        <v>0</v>
      </c>
      <c r="S23" s="78">
        <f t="shared" si="8"/>
        <v>0</v>
      </c>
      <c r="T23" s="77">
        <v>8.9999999999999993E-3</v>
      </c>
      <c r="U23" s="78">
        <f t="shared" si="9"/>
        <v>2086035.3768599997</v>
      </c>
      <c r="Y23" s="12">
        <f>K23-'Jul25'!K23</f>
        <v>10378266.559393987</v>
      </c>
      <c r="Z23" s="12">
        <f>M23-'Jul25'!M23</f>
        <v>-2325086.6686680019</v>
      </c>
      <c r="AA23" s="12">
        <f>O23-'Jul25'!O23</f>
        <v>-9200317.2898339927</v>
      </c>
      <c r="AB23" s="12">
        <f>Q23-'Jul25'!Q23</f>
        <v>-462162.87751400471</v>
      </c>
      <c r="AC23" s="12">
        <f>+S23-'Jul25'!S23</f>
        <v>0</v>
      </c>
      <c r="AE23" s="28">
        <f>J23-'Jul25'!J23</f>
        <v>4.4100000000000028E-2</v>
      </c>
      <c r="AF23" s="28">
        <f>L23-'Jul25'!L23</f>
        <v>-1.0200000000000001E-2</v>
      </c>
      <c r="AG23" s="28">
        <f>N23-'Jul25'!N23</f>
        <v>-4.0099999999999969E-2</v>
      </c>
      <c r="AH23" s="28">
        <f>P23-'Jul25'!P23</f>
        <v>-2.1000000000000046E-3</v>
      </c>
      <c r="AI23" s="28">
        <f>R23-'Jul25'!R23</f>
        <v>0</v>
      </c>
      <c r="AJ23" s="93"/>
      <c r="AK23" s="10">
        <f>I23-'Jul25'!I23</f>
        <v>314708.19999998808</v>
      </c>
      <c r="AL23" s="76">
        <f>I23/'Jul25'!I23-1</f>
        <v>1.3596244801103996E-3</v>
      </c>
    </row>
    <row r="24" spans="2:39" x14ac:dyDescent="0.25">
      <c r="B24" t="s">
        <v>14</v>
      </c>
      <c r="C24" s="2" t="s">
        <v>18</v>
      </c>
      <c r="F24" s="7">
        <f t="shared" si="3"/>
        <v>0.99999999999999989</v>
      </c>
      <c r="H24" s="3" t="s">
        <v>35</v>
      </c>
      <c r="I24" s="78">
        <v>498225459.31999999</v>
      </c>
      <c r="J24" s="77">
        <v>0.15</v>
      </c>
      <c r="K24" s="78">
        <f t="shared" si="4"/>
        <v>74733818.898000002</v>
      </c>
      <c r="L24" s="77">
        <v>0.43</v>
      </c>
      <c r="M24" s="78">
        <f t="shared" si="5"/>
        <v>214236947.50759998</v>
      </c>
      <c r="N24" s="77">
        <v>0.33600000000000002</v>
      </c>
      <c r="O24" s="78">
        <f t="shared" si="6"/>
        <v>167403754.33152002</v>
      </c>
      <c r="P24" s="77">
        <v>8.4000000000000005E-2</v>
      </c>
      <c r="Q24" s="78">
        <f t="shared" si="7"/>
        <v>41850938.582880005</v>
      </c>
      <c r="R24" s="77">
        <v>0</v>
      </c>
      <c r="S24" s="78">
        <f t="shared" si="8"/>
        <v>0</v>
      </c>
      <c r="T24" s="77">
        <v>0</v>
      </c>
      <c r="U24" s="78">
        <f t="shared" si="9"/>
        <v>0</v>
      </c>
      <c r="Y24" s="12">
        <f>K24-'Jul25'!K24</f>
        <v>4119689.352940008</v>
      </c>
      <c r="Z24" s="12">
        <f>M24-'Jul25'!M24</f>
        <v>-3572832.3567400277</v>
      </c>
      <c r="AA24" s="12">
        <f>O24-'Jul25'!O24</f>
        <v>-1175047.8922500014</v>
      </c>
      <c r="AB24" s="12">
        <f>Q24-'Jul25'!Q24</f>
        <v>1073765.1836200058</v>
      </c>
      <c r="AC24" s="12">
        <f>+S24-'Jul25'!S24</f>
        <v>0</v>
      </c>
      <c r="AE24" s="28">
        <f>J24-'Jul25'!J24</f>
        <v>8.0000000000000071E-3</v>
      </c>
      <c r="AF24" s="28">
        <f>L24-'Jul25'!L24</f>
        <v>-8.0000000000000071E-3</v>
      </c>
      <c r="AG24" s="28">
        <f>N24-'Jul25'!N24</f>
        <v>-3.0000000000000027E-3</v>
      </c>
      <c r="AH24" s="28">
        <f>P24-'Jul25'!P24</f>
        <v>2.0000000000000018E-3</v>
      </c>
      <c r="AI24" s="28">
        <f>R24-'Jul25'!R24</f>
        <v>0</v>
      </c>
      <c r="AJ24" s="93"/>
      <c r="AK24" s="10">
        <f>I24-'Jul25'!I24</f>
        <v>942856.88999998569</v>
      </c>
      <c r="AL24" s="76">
        <f>I24/'Jul25'!I24-1</f>
        <v>1.8960182507745671E-3</v>
      </c>
    </row>
    <row r="25" spans="2:39" x14ac:dyDescent="0.25">
      <c r="B25" t="s">
        <v>15</v>
      </c>
      <c r="C25" s="2" t="s">
        <v>19</v>
      </c>
      <c r="F25" s="7">
        <f t="shared" si="3"/>
        <v>0.99999999999999989</v>
      </c>
      <c r="H25" s="3" t="s">
        <v>36</v>
      </c>
      <c r="I25" s="78">
        <v>758645126.30999994</v>
      </c>
      <c r="J25" s="77">
        <v>0.24</v>
      </c>
      <c r="K25" s="78">
        <f t="shared" si="4"/>
        <v>182074830.31439999</v>
      </c>
      <c r="L25" s="77">
        <v>0.23</v>
      </c>
      <c r="M25" s="78">
        <f t="shared" si="5"/>
        <v>174488379.05129999</v>
      </c>
      <c r="N25" s="77">
        <v>0.45</v>
      </c>
      <c r="O25" s="78">
        <f t="shared" si="6"/>
        <v>341390306.83950001</v>
      </c>
      <c r="P25" s="77">
        <v>0.08</v>
      </c>
      <c r="Q25" s="78">
        <f t="shared" si="7"/>
        <v>60691610.104799993</v>
      </c>
      <c r="R25" s="77">
        <v>0</v>
      </c>
      <c r="S25" s="78">
        <f t="shared" si="8"/>
        <v>0</v>
      </c>
      <c r="T25" s="77">
        <v>0</v>
      </c>
      <c r="U25" s="78">
        <f t="shared" si="9"/>
        <v>0</v>
      </c>
      <c r="Y25" s="12">
        <f>K25-'Jul25'!K25</f>
        <v>29889930.83039999</v>
      </c>
      <c r="Z25" s="12">
        <f>M25-'Jul25'!M25</f>
        <v>7084989.618900001</v>
      </c>
      <c r="AA25" s="12">
        <f>O25-'Jul25'!O25</f>
        <v>-31462696.896299958</v>
      </c>
      <c r="AB25" s="12">
        <f>Q25-'Jul25'!Q25</f>
        <v>-7791594.6629999951</v>
      </c>
      <c r="AC25" s="12">
        <f>+S25-'Jul25'!S25</f>
        <v>0</v>
      </c>
      <c r="AE25" s="28">
        <f>J25-'Jul25'!J25</f>
        <v>3.999999999999998E-2</v>
      </c>
      <c r="AF25" s="28">
        <f>L25-'Jul25'!L25</f>
        <v>1.0000000000000009E-2</v>
      </c>
      <c r="AG25" s="28">
        <f>N25-'Jul25'!N25</f>
        <v>-3.999999999999998E-2</v>
      </c>
      <c r="AH25" s="28">
        <f>P25-'Jul25'!P25</f>
        <v>-9.999999999999995E-3</v>
      </c>
      <c r="AI25" s="28">
        <f>R25-'Jul25'!R25</f>
        <v>0</v>
      </c>
      <c r="AJ25" s="93"/>
      <c r="AK25" s="10">
        <f>I25-'Jul25'!I25</f>
        <v>-2279371.1100000143</v>
      </c>
      <c r="AL25" s="76">
        <f>I25/'Jul25'!I25-1</f>
        <v>-2.9955286204196296E-3</v>
      </c>
    </row>
    <row r="26" spans="2:39" x14ac:dyDescent="0.25">
      <c r="B26" t="s">
        <v>57</v>
      </c>
      <c r="F26" s="7">
        <f>J26+L26+N26+P26+R26+T26</f>
        <v>0.99999999999999989</v>
      </c>
      <c r="H26" s="3" t="s">
        <v>65</v>
      </c>
      <c r="I26" s="78">
        <v>1821901565.1400001</v>
      </c>
      <c r="J26" s="77">
        <v>0.28999999999999998</v>
      </c>
      <c r="K26" s="78">
        <f t="shared" si="4"/>
        <v>528351453.89059997</v>
      </c>
      <c r="L26" s="77">
        <v>0.19</v>
      </c>
      <c r="M26" s="78">
        <f t="shared" si="5"/>
        <v>346161297.37660003</v>
      </c>
      <c r="N26" s="77">
        <v>0.44</v>
      </c>
      <c r="O26" s="78">
        <f t="shared" si="6"/>
        <v>801636688.66159999</v>
      </c>
      <c r="P26" s="77">
        <v>0.08</v>
      </c>
      <c r="Q26" s="78">
        <f t="shared" si="7"/>
        <v>145752125.2112</v>
      </c>
      <c r="R26" s="77">
        <v>0</v>
      </c>
      <c r="S26" s="78">
        <f t="shared" si="8"/>
        <v>0</v>
      </c>
      <c r="T26" s="77">
        <v>0</v>
      </c>
      <c r="U26" s="78">
        <f t="shared" si="9"/>
        <v>0</v>
      </c>
      <c r="Y26" s="12">
        <f>K26-'Jul25'!K26</f>
        <v>-27419232.857700109</v>
      </c>
      <c r="Z26" s="12">
        <f>M26-'Jul25'!M26</f>
        <v>-30328522.67869997</v>
      </c>
      <c r="AA26" s="12">
        <f>O26-'Jul25'!O26</f>
        <v>48657048.550999999</v>
      </c>
      <c r="AB26" s="12">
        <f>Q26-'Jul25'!Q26</f>
        <v>20255518.52609998</v>
      </c>
      <c r="AC26" s="12">
        <f>+S26-'Jul25'!S26</f>
        <v>0</v>
      </c>
      <c r="AE26" s="28">
        <f>J26-'Jul25'!J26</f>
        <v>-2.0000000000000018E-2</v>
      </c>
      <c r="AF26" s="28">
        <f>L26-'Jul25'!L26</f>
        <v>-1.999999999999999E-2</v>
      </c>
      <c r="AG26" s="28">
        <f>N26-'Jul25'!N26</f>
        <v>2.0000000000000018E-2</v>
      </c>
      <c r="AH26" s="28">
        <f>P26-'Jul25'!P26</f>
        <v>9.999999999999995E-3</v>
      </c>
      <c r="AI26" s="28">
        <f>R26-'Jul25'!R26</f>
        <v>0</v>
      </c>
      <c r="AK26" s="10">
        <f>I26-'Jul25'!I26</f>
        <v>29092898.210000038</v>
      </c>
      <c r="AL26" s="76">
        <f>I26/'Jul25'!I26-1</f>
        <v>1.6227553305963482E-2</v>
      </c>
    </row>
    <row r="27" spans="2:39" s="8" customFormat="1" x14ac:dyDescent="0.25">
      <c r="B27"/>
      <c r="C27"/>
      <c r="E27"/>
      <c r="F27" s="7">
        <f t="shared" si="3"/>
        <v>0.99999999999999978</v>
      </c>
      <c r="G27"/>
      <c r="H27" s="21" t="s">
        <v>45</v>
      </c>
      <c r="I27" s="20">
        <f>SUM(I17:I26)</f>
        <v>8000532804.170001</v>
      </c>
      <c r="J27" s="15">
        <f>K27/$I$27</f>
        <v>0.21854973570945266</v>
      </c>
      <c r="K27" s="63">
        <f>SUM(K17:K26)</f>
        <v>1748514329.8861599</v>
      </c>
      <c r="L27" s="15">
        <f>M27/$I$27</f>
        <v>0.2466778415962376</v>
      </c>
      <c r="M27" s="62">
        <f>SUM(M17:M26)</f>
        <v>1973554163.7525501</v>
      </c>
      <c r="N27" s="15">
        <f>O27/$I$27</f>
        <v>0.42554249658444715</v>
      </c>
      <c r="O27" s="63">
        <f>SUM(O17:O26)</f>
        <v>3404566703.49227</v>
      </c>
      <c r="P27" s="15">
        <f>Q27/$I$27</f>
        <v>9.200826222287288E-2</v>
      </c>
      <c r="Q27" s="63">
        <f>SUM(Q17:Q26)</f>
        <v>736115120.16876996</v>
      </c>
      <c r="R27" s="15">
        <f>S27/$I$27</f>
        <v>0</v>
      </c>
      <c r="S27" s="63">
        <f>SUM(S17:S26)</f>
        <v>0</v>
      </c>
      <c r="T27" s="15">
        <f>U27/$I$27</f>
        <v>1.7221663886989581E-2</v>
      </c>
      <c r="U27" s="17">
        <f>SUM(U17:U26)</f>
        <v>137782486.87024999</v>
      </c>
      <c r="Y27" s="12">
        <f>K27-'Jul25'!K27</f>
        <v>-47025348.311292171</v>
      </c>
      <c r="Z27" s="12">
        <f>M27-'Jul25'!M27</f>
        <v>-24039050.516297817</v>
      </c>
      <c r="AA27" s="12">
        <f>O27-'Jul25'!O27</f>
        <v>20925446.933187962</v>
      </c>
      <c r="AB27" s="12">
        <f>Q27-'Jul25'!Q27</f>
        <v>29361626.790516019</v>
      </c>
      <c r="AC27" s="12">
        <f>+S27-'Jul25'!S27</f>
        <v>0</v>
      </c>
      <c r="AE27" s="28">
        <f>J27-'Jul25'!J27</f>
        <v>-7.4267516145825607E-3</v>
      </c>
      <c r="AF27" s="28">
        <f>L27-'Jul25'!L27</f>
        <v>-4.7279631008627365E-3</v>
      </c>
      <c r="AG27" s="28">
        <f>N27-'Jul25'!N27</f>
        <v>-3.0348989328626841E-4</v>
      </c>
      <c r="AH27" s="28">
        <f>P27-'Jul25'!P27</f>
        <v>3.0602574659177734E-3</v>
      </c>
      <c r="AI27" s="28">
        <f>R27-'Jul25'!R27</f>
        <v>0</v>
      </c>
      <c r="AK27" s="92">
        <f>I27-'Jul25'!I27</f>
        <v>54840314.390000343</v>
      </c>
      <c r="AL27" s="76">
        <f>I27/'Jul25'!I27-1</f>
        <v>6.9018923725701065E-3</v>
      </c>
    </row>
    <row r="28" spans="2:39" x14ac:dyDescent="0.25">
      <c r="F28" s="7"/>
      <c r="I28" s="10"/>
      <c r="J28" s="10"/>
      <c r="K28" s="10"/>
      <c r="L28" s="5"/>
      <c r="M28" s="10"/>
      <c r="N28" s="10"/>
      <c r="O28" s="10"/>
      <c r="P28" s="5"/>
      <c r="Q28" s="10"/>
    </row>
    <row r="29" spans="2:39" x14ac:dyDescent="0.25">
      <c r="F29" s="7"/>
      <c r="H29" s="4" t="s">
        <v>38</v>
      </c>
      <c r="I29" s="9" t="s">
        <v>4</v>
      </c>
      <c r="J29" s="113" t="s">
        <v>7</v>
      </c>
      <c r="K29" s="113"/>
      <c r="L29" s="112" t="s">
        <v>8</v>
      </c>
      <c r="M29" s="112"/>
      <c r="N29" s="112" t="s">
        <v>10</v>
      </c>
      <c r="O29" s="112"/>
      <c r="P29" s="112" t="s">
        <v>9</v>
      </c>
      <c r="Q29" s="112"/>
      <c r="R29" s="112" t="s">
        <v>40</v>
      </c>
      <c r="S29" s="112"/>
      <c r="T29" s="112" t="s">
        <v>55</v>
      </c>
      <c r="U29" s="112"/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  <c r="AE29" s="27" t="s">
        <v>49</v>
      </c>
      <c r="AF29" s="27" t="s">
        <v>50</v>
      </c>
      <c r="AG29" s="27" t="s">
        <v>51</v>
      </c>
      <c r="AH29" s="27" t="s">
        <v>52</v>
      </c>
      <c r="AI29" s="27" t="s">
        <v>54</v>
      </c>
    </row>
    <row r="30" spans="2:39" x14ac:dyDescent="0.25">
      <c r="F30" s="7">
        <f>J30+L30+N30+P30+R30+T30</f>
        <v>0.99999999999999989</v>
      </c>
      <c r="H30" s="21" t="s">
        <v>39</v>
      </c>
      <c r="I30" s="94">
        <v>270124017.52999997</v>
      </c>
      <c r="J30" s="81">
        <v>0.35</v>
      </c>
      <c r="K30" s="80">
        <f t="shared" ref="K30:K35" si="10">+J30*$I30</f>
        <v>94543406.135499984</v>
      </c>
      <c r="L30" s="81">
        <v>0.17499999999999999</v>
      </c>
      <c r="M30" s="80">
        <f t="shared" ref="M30:M35" si="11">+L30*$I30</f>
        <v>47271703.067749992</v>
      </c>
      <c r="N30" s="81">
        <v>0.32900000000000001</v>
      </c>
      <c r="O30" s="80">
        <f t="shared" ref="O30:O35" si="12">+N30*$I30</f>
        <v>88870801.76737</v>
      </c>
      <c r="P30" s="81">
        <v>8.5000000000000006E-2</v>
      </c>
      <c r="Q30" s="80">
        <f t="shared" ref="Q30:Q35" si="13">+P30*$I30</f>
        <v>22960541.490049999</v>
      </c>
      <c r="R30" s="88">
        <v>2.9000000000000001E-2</v>
      </c>
      <c r="S30" s="80">
        <f t="shared" ref="S30:S35" si="14">+R30*$I30</f>
        <v>7833596.5083699999</v>
      </c>
      <c r="T30" s="81">
        <v>3.2000000000000001E-2</v>
      </c>
      <c r="U30" s="80">
        <f t="shared" ref="U30:U35" si="15">+T30*$I30</f>
        <v>8643968.5609599985</v>
      </c>
      <c r="V30" s="98"/>
      <c r="Y30" s="12">
        <f>K30-'Jul25'!K30</f>
        <v>53695661.955987982</v>
      </c>
      <c r="Z30" s="12">
        <f>M30-'Jul25'!M30</f>
        <v>-10362416.193448007</v>
      </c>
      <c r="AA30" s="12">
        <f>O30-'Jul25'!O30</f>
        <v>-34022708.260831997</v>
      </c>
      <c r="AB30" s="12">
        <f>Q30-'Jul25'!Q30</f>
        <v>-5654434.9734340012</v>
      </c>
      <c r="AC30" s="12">
        <f>+S30-'Jul25'!S30</f>
        <v>-2135839.7359699989</v>
      </c>
      <c r="AD30" s="98"/>
      <c r="AE30" s="28">
        <f>J30-'Jul25'!J30</f>
        <v>0.19839999999999997</v>
      </c>
      <c r="AF30" s="28">
        <f>L30-'Jul25'!L30</f>
        <v>-3.8900000000000018E-2</v>
      </c>
      <c r="AG30" s="28">
        <f>N30-'Jul25'!N30</f>
        <v>-0.12709999999999999</v>
      </c>
      <c r="AH30" s="28">
        <f>P30-'Jul25'!P30</f>
        <v>-2.1199999999999997E-2</v>
      </c>
      <c r="AI30" s="28">
        <f>R30-'Jul25'!R30</f>
        <v>-7.9999999999999967E-3</v>
      </c>
      <c r="AJ30" s="98"/>
      <c r="AK30" s="10">
        <f>I30-'Jul25'!I30</f>
        <v>679794.70999997854</v>
      </c>
      <c r="AL30" s="76">
        <f>I30/'Jul25'!I30-1</f>
        <v>2.5229515143625481E-3</v>
      </c>
      <c r="AM30" s="98"/>
    </row>
    <row r="31" spans="2:39" hidden="1" outlineLevel="1" x14ac:dyDescent="0.25">
      <c r="F31" s="7">
        <f t="shared" si="3"/>
        <v>0</v>
      </c>
      <c r="H31" s="3" t="s">
        <v>56</v>
      </c>
      <c r="I31" s="78"/>
      <c r="J31" s="77"/>
      <c r="K31" s="78">
        <f t="shared" si="10"/>
        <v>0</v>
      </c>
      <c r="L31" s="77"/>
      <c r="M31" s="78">
        <f t="shared" si="11"/>
        <v>0</v>
      </c>
      <c r="N31" s="77"/>
      <c r="O31" s="78">
        <f t="shared" si="12"/>
        <v>0</v>
      </c>
      <c r="P31" s="77"/>
      <c r="Q31" s="78">
        <f t="shared" si="13"/>
        <v>0</v>
      </c>
      <c r="R31" s="77"/>
      <c r="S31" s="78">
        <f t="shared" si="14"/>
        <v>0</v>
      </c>
      <c r="T31" s="77"/>
      <c r="U31" s="78">
        <f t="shared" si="15"/>
        <v>0</v>
      </c>
      <c r="Y31" s="12">
        <f>K31-'Jul25'!K31</f>
        <v>0</v>
      </c>
      <c r="Z31" s="12">
        <f>M31-'Jul25'!M31</f>
        <v>0</v>
      </c>
      <c r="AA31" s="12">
        <f>O31-'Jul25'!O31</f>
        <v>0</v>
      </c>
      <c r="AB31" s="12">
        <f>Q31-'Jul25'!Q31</f>
        <v>0</v>
      </c>
      <c r="AC31" s="12">
        <f>+S31-'Jul25'!S31</f>
        <v>0</v>
      </c>
      <c r="AE31" s="28">
        <f>J31-'Jul25'!J31</f>
        <v>0</v>
      </c>
      <c r="AF31" s="28">
        <f>L31-'Jul25'!L31</f>
        <v>0</v>
      </c>
      <c r="AG31" s="28">
        <f>N31-'Jul25'!N31</f>
        <v>0</v>
      </c>
      <c r="AH31" s="28">
        <f>P31-'Jul25'!P31</f>
        <v>0</v>
      </c>
      <c r="AI31" s="28">
        <f>R31-'Jul25'!R31</f>
        <v>0</v>
      </c>
      <c r="AK31" s="10">
        <f>I31-'Jul25'!I31</f>
        <v>0</v>
      </c>
      <c r="AL31" s="76" t="e">
        <f>I31/'Jul25'!I31-1</f>
        <v>#DIV/0!</v>
      </c>
    </row>
    <row r="32" spans="2:39" collapsed="1" x14ac:dyDescent="0.25">
      <c r="F32" s="7">
        <f t="shared" si="3"/>
        <v>1</v>
      </c>
      <c r="H32" s="3" t="s">
        <v>42</v>
      </c>
      <c r="I32" s="84">
        <v>223139844</v>
      </c>
      <c r="J32" s="77">
        <v>0.03</v>
      </c>
      <c r="K32" s="78">
        <f t="shared" si="10"/>
        <v>6694195.3199999994</v>
      </c>
      <c r="L32" s="77">
        <v>0.14000000000000001</v>
      </c>
      <c r="M32" s="78">
        <f t="shared" si="11"/>
        <v>31239578.160000004</v>
      </c>
      <c r="N32" s="77">
        <v>0.53</v>
      </c>
      <c r="O32" s="78">
        <f t="shared" si="12"/>
        <v>118264117.32000001</v>
      </c>
      <c r="P32" s="77">
        <v>0.06</v>
      </c>
      <c r="Q32" s="78">
        <f t="shared" si="13"/>
        <v>13388390.639999999</v>
      </c>
      <c r="R32" s="77">
        <v>0.16</v>
      </c>
      <c r="S32" s="78">
        <f t="shared" si="14"/>
        <v>35702375.039999999</v>
      </c>
      <c r="T32" s="77">
        <v>0.08</v>
      </c>
      <c r="U32" s="78">
        <f t="shared" si="15"/>
        <v>17851187.52</v>
      </c>
      <c r="Y32" s="12">
        <f>K32-'Jul25'!K32</f>
        <v>-12217557.959999997</v>
      </c>
      <c r="Z32" s="12">
        <f>M32-'Jul25'!M32</f>
        <v>8125213.0400000028</v>
      </c>
      <c r="AA32" s="12">
        <f>O32-'Jul25'!O32</f>
        <v>13198821.320000008</v>
      </c>
      <c r="AB32" s="12">
        <f>Q32-'Jul25'!Q32</f>
        <v>2881861.0399999972</v>
      </c>
      <c r="AC32" s="12">
        <f>+S32-'Jul25'!S32</f>
        <v>-4222437.4400000051</v>
      </c>
      <c r="AE32" s="28">
        <f>J32-'Jul25'!J32</f>
        <v>-0.06</v>
      </c>
      <c r="AF32" s="28">
        <f>L32-'Jul25'!L32</f>
        <v>3.0000000000000013E-2</v>
      </c>
      <c r="AG32" s="28">
        <f>N32-'Jul25'!N32</f>
        <v>3.0000000000000027E-2</v>
      </c>
      <c r="AH32" s="28">
        <f>P32-'Jul25'!P32</f>
        <v>9.999999999999995E-3</v>
      </c>
      <c r="AI32" s="28">
        <f>R32-'Jul25'!R32</f>
        <v>-0.03</v>
      </c>
      <c r="AK32" s="10">
        <f>I32-'Jul25'!I32</f>
        <v>13009252</v>
      </c>
      <c r="AL32" s="76">
        <f>I32/'Jul25'!I32-1</f>
        <v>6.1910319083858134E-2</v>
      </c>
    </row>
    <row r="33" spans="5:38" x14ac:dyDescent="0.25">
      <c r="F33" s="7">
        <f t="shared" si="3"/>
        <v>1</v>
      </c>
      <c r="H33" s="3" t="s">
        <v>69</v>
      </c>
      <c r="I33" s="84">
        <v>468940850</v>
      </c>
      <c r="J33" s="77">
        <v>0.16</v>
      </c>
      <c r="K33" s="78">
        <f t="shared" si="10"/>
        <v>75030536</v>
      </c>
      <c r="L33" s="77">
        <v>0.18</v>
      </c>
      <c r="M33" s="78">
        <f t="shared" si="11"/>
        <v>84409353</v>
      </c>
      <c r="N33" s="77">
        <v>0.47</v>
      </c>
      <c r="O33" s="78">
        <f t="shared" si="12"/>
        <v>220402199.5</v>
      </c>
      <c r="P33" s="77">
        <v>0.18</v>
      </c>
      <c r="Q33" s="78">
        <f t="shared" si="13"/>
        <v>84409353</v>
      </c>
      <c r="R33" s="77">
        <v>0</v>
      </c>
      <c r="S33" s="78">
        <f t="shared" si="14"/>
        <v>0</v>
      </c>
      <c r="T33" s="77">
        <v>0.01</v>
      </c>
      <c r="U33" s="78">
        <f t="shared" si="15"/>
        <v>4689408.5</v>
      </c>
      <c r="Y33" s="12">
        <f>K33-'Jul25'!K33</f>
        <v>-4977069.8962000012</v>
      </c>
      <c r="Z33" s="12">
        <f>M33-'Jul25'!M33</f>
        <v>-42661550.482200012</v>
      </c>
      <c r="AA33" s="12">
        <f>O33-'Jul25'!O33</f>
        <v>-29033277.705800027</v>
      </c>
      <c r="AB33" s="12">
        <f>Q33-'Jul25'!Q33</f>
        <v>79703023.241400003</v>
      </c>
      <c r="AC33" s="12">
        <f>+S33-'Jul25'!S33</f>
        <v>0</v>
      </c>
      <c r="AE33" s="28">
        <f>J33-'Jul25'!J33</f>
        <v>-1.0000000000000009E-2</v>
      </c>
      <c r="AF33" s="28">
        <f>L33-'Jul25'!L33</f>
        <v>-9.0000000000000024E-2</v>
      </c>
      <c r="AG33" s="28">
        <f>N33-'Jul25'!N33</f>
        <v>-6.0000000000000053E-2</v>
      </c>
      <c r="AH33" s="28">
        <f>P33-'Jul25'!P33</f>
        <v>0.16999999999999998</v>
      </c>
      <c r="AI33" s="28">
        <f>R33-'Jul25'!R33</f>
        <v>0</v>
      </c>
      <c r="AK33" s="10">
        <f>I33-'Jul25'!I33</f>
        <v>-1692125.8600000143</v>
      </c>
      <c r="AL33" s="76">
        <f>I33/'Jul25'!I33-1</f>
        <v>-3.5954256220740444E-3</v>
      </c>
    </row>
    <row r="34" spans="5:38" x14ac:dyDescent="0.25">
      <c r="F34" s="7">
        <f t="shared" si="3"/>
        <v>1</v>
      </c>
      <c r="H34" s="3" t="s">
        <v>44</v>
      </c>
      <c r="I34" s="84">
        <v>75129431.530000001</v>
      </c>
      <c r="J34" s="77">
        <v>0.08</v>
      </c>
      <c r="K34" s="78">
        <f t="shared" si="10"/>
        <v>6010354.5224000001</v>
      </c>
      <c r="L34" s="77">
        <v>0.19</v>
      </c>
      <c r="M34" s="78">
        <f t="shared" si="11"/>
        <v>14274591.990700001</v>
      </c>
      <c r="N34" s="77">
        <v>0.56999999999999995</v>
      </c>
      <c r="O34" s="78">
        <f t="shared" si="12"/>
        <v>42823775.972099997</v>
      </c>
      <c r="P34" s="77">
        <v>0.03</v>
      </c>
      <c r="Q34" s="78">
        <f t="shared" si="13"/>
        <v>2253882.9459000002</v>
      </c>
      <c r="R34" s="77">
        <v>0.13</v>
      </c>
      <c r="S34" s="78">
        <f t="shared" si="14"/>
        <v>9766826.0988999996</v>
      </c>
      <c r="T34" s="77">
        <v>0</v>
      </c>
      <c r="U34" s="78">
        <f t="shared" si="15"/>
        <v>0</v>
      </c>
      <c r="Y34" s="12">
        <f>K34-'Jul25'!K34</f>
        <v>3778523.9975000001</v>
      </c>
      <c r="Z34" s="12">
        <f>M34-'Jul25'!M34</f>
        <v>3859382.8745000008</v>
      </c>
      <c r="AA34" s="12">
        <f>O34-'Jul25'!O34</f>
        <v>-7020439.0840000063</v>
      </c>
      <c r="AB34" s="12">
        <f>Q34-'Jul25'!Q34</f>
        <v>22052.421000000089</v>
      </c>
      <c r="AC34" s="12">
        <f>+S34-'Jul25'!S34</f>
        <v>95560.491000000387</v>
      </c>
      <c r="AE34" s="28">
        <f>J34-'Jul25'!J34</f>
        <v>0.05</v>
      </c>
      <c r="AF34" s="28">
        <f>L34-'Jul25'!L34</f>
        <v>4.9999999999999989E-2</v>
      </c>
      <c r="AG34" s="28">
        <f>N34-'Jul25'!N34</f>
        <v>-0.10000000000000009</v>
      </c>
      <c r="AH34" s="28">
        <f>P34-'Jul25'!P34</f>
        <v>0</v>
      </c>
      <c r="AI34" s="28">
        <f>R34-'Jul25'!R34</f>
        <v>0</v>
      </c>
      <c r="AK34" s="10">
        <f>I34-'Jul25'!I34</f>
        <v>735080.70000000298</v>
      </c>
      <c r="AL34" s="76">
        <f>I34/'Jul25'!I34-1</f>
        <v>9.8808671868075848E-3</v>
      </c>
    </row>
    <row r="35" spans="5:38" x14ac:dyDescent="0.25">
      <c r="F35" s="7">
        <f t="shared" si="3"/>
        <v>1</v>
      </c>
      <c r="H35" s="3" t="s">
        <v>66</v>
      </c>
      <c r="I35" s="84">
        <v>318300000</v>
      </c>
      <c r="J35" s="77">
        <v>0.04</v>
      </c>
      <c r="K35" s="78">
        <f t="shared" si="10"/>
        <v>12732000</v>
      </c>
      <c r="L35" s="77">
        <v>0.02</v>
      </c>
      <c r="M35" s="78">
        <f t="shared" si="11"/>
        <v>6366000</v>
      </c>
      <c r="N35" s="77">
        <v>0.45</v>
      </c>
      <c r="O35" s="78">
        <f t="shared" si="12"/>
        <v>143235000</v>
      </c>
      <c r="P35" s="77">
        <v>0.3</v>
      </c>
      <c r="Q35" s="78">
        <f t="shared" si="13"/>
        <v>95490000</v>
      </c>
      <c r="R35" s="77">
        <v>0.2</v>
      </c>
      <c r="S35" s="78">
        <f t="shared" si="14"/>
        <v>63660000</v>
      </c>
      <c r="T35" s="77">
        <v>-0.01</v>
      </c>
      <c r="U35" s="78">
        <f t="shared" si="15"/>
        <v>-3183000</v>
      </c>
      <c r="Y35" s="12">
        <f>K35-'Jul25'!K35</f>
        <v>56000</v>
      </c>
      <c r="Z35" s="12">
        <f>M35-'Jul25'!M35</f>
        <v>28000</v>
      </c>
      <c r="AA35" s="12">
        <f>O35-'Jul25'!O35</f>
        <v>-12046000</v>
      </c>
      <c r="AB35" s="12">
        <f>Q35-'Jul25'!Q35</f>
        <v>6757999.9999999851</v>
      </c>
      <c r="AC35" s="12">
        <f>+S35-'Jul25'!S35</f>
        <v>6618000</v>
      </c>
      <c r="AE35" s="28">
        <f>J35-'Jul25'!J35</f>
        <v>0</v>
      </c>
      <c r="AF35" s="28">
        <f>L35-'Jul25'!L35</f>
        <v>0</v>
      </c>
      <c r="AG35" s="28">
        <f>N35-'Jul25'!N35</f>
        <v>-3.999999999999998E-2</v>
      </c>
      <c r="AH35" s="28">
        <f>P35-'Jul25'!P35</f>
        <v>1.9999999999999962E-2</v>
      </c>
      <c r="AI35" s="28">
        <f>R35-'Jul25'!R35</f>
        <v>2.0000000000000018E-2</v>
      </c>
      <c r="AK35" s="10">
        <f>I35-'Jul25'!I35</f>
        <v>1400000</v>
      </c>
      <c r="AL35" s="76">
        <f>I35/'Jul25'!I35-1</f>
        <v>4.4177974124328667E-3</v>
      </c>
    </row>
    <row r="36" spans="5:38" s="8" customFormat="1" x14ac:dyDescent="0.25">
      <c r="E36"/>
      <c r="F36" s="7">
        <f t="shared" si="3"/>
        <v>1</v>
      </c>
      <c r="G36"/>
      <c r="H36" s="3" t="s">
        <v>45</v>
      </c>
      <c r="I36" s="17">
        <f>SUM(I30:I35)</f>
        <v>1355634143.0599999</v>
      </c>
      <c r="J36" s="15">
        <f>+K36/$I$36</f>
        <v>0.14385185927651045</v>
      </c>
      <c r="K36" s="17">
        <f>SUM(K30:K35)</f>
        <v>195010491.97789997</v>
      </c>
      <c r="L36" s="15">
        <f>+M36/$I$36</f>
        <v>0.13540616925161469</v>
      </c>
      <c r="M36" s="17">
        <f>SUM(M30:M35)</f>
        <v>183561226.21845001</v>
      </c>
      <c r="N36" s="15">
        <f>+O36/$I$36</f>
        <v>0.45262646835851528</v>
      </c>
      <c r="O36" s="17">
        <f>SUM(O30:O35)</f>
        <v>613595894.55947006</v>
      </c>
      <c r="P36" s="15">
        <f>+Q36/$I$36</f>
        <v>0.16118077963331376</v>
      </c>
      <c r="Q36" s="17">
        <f>SUM(Q30:Q35)</f>
        <v>218502168.07595</v>
      </c>
      <c r="R36" s="15">
        <f>+S36/$I$36</f>
        <v>8.6279029077311498E-2</v>
      </c>
      <c r="S36" s="17">
        <f>SUM(S30:S35)</f>
        <v>116962797.64726999</v>
      </c>
      <c r="T36" s="15">
        <f>+U36/$I$36</f>
        <v>2.0655694402734334E-2</v>
      </c>
      <c r="U36" s="63">
        <f>SUM(U30:U35)</f>
        <v>28001564.580959998</v>
      </c>
      <c r="Y36" s="12">
        <f>K36-'Jul25'!K36</f>
        <v>40335558.097287983</v>
      </c>
      <c r="Z36" s="12">
        <f>M36-'Jul25'!M36</f>
        <v>-41011370.761148006</v>
      </c>
      <c r="AA36" s="12">
        <f>O36-'Jul25'!O36</f>
        <v>-68923603.730631948</v>
      </c>
      <c r="AB36" s="12">
        <f>Q36-'Jul25'!Q36</f>
        <v>83710501.728965998</v>
      </c>
      <c r="AC36" s="12">
        <f>+S36-'Jul25'!S36</f>
        <v>355283.31502997875</v>
      </c>
      <c r="AE36" s="28">
        <f>J36-'Jul25'!J36</f>
        <v>2.8552055351852346E-2</v>
      </c>
      <c r="AF36" s="28">
        <f>L36-'Jul25'!L36</f>
        <v>-3.1997661149146484E-2</v>
      </c>
      <c r="AG36" s="28">
        <f>N36-'Jul25'!N36</f>
        <v>-5.6146106183822209E-2</v>
      </c>
      <c r="AH36" s="28">
        <f>P36-'Jul25'!P36</f>
        <v>6.0702619982176742E-2</v>
      </c>
      <c r="AI36" s="28">
        <f>R36-'Jul25'!R36</f>
        <v>-6.4406312214344841E-4</v>
      </c>
      <c r="AK36" s="92">
        <f>I36-'Jul25'!I36</f>
        <v>14132001.549999714</v>
      </c>
      <c r="AL36" s="76">
        <f>I36/'Jul25'!I36-1</f>
        <v>1.0534460671149271E-2</v>
      </c>
    </row>
    <row r="37" spans="5:38" x14ac:dyDescent="0.25">
      <c r="F37" s="7"/>
    </row>
    <row r="38" spans="5:38" x14ac:dyDescent="0.25">
      <c r="F38" s="7"/>
      <c r="K38"/>
    </row>
    <row r="39" spans="5:38" x14ac:dyDescent="0.25">
      <c r="F39" s="7"/>
      <c r="J39" s="38"/>
    </row>
    <row r="40" spans="5:38" x14ac:dyDescent="0.25">
      <c r="F40" s="7"/>
      <c r="I40" s="30"/>
      <c r="J40" s="35"/>
    </row>
    <row r="41" spans="5:38" x14ac:dyDescent="0.25">
      <c r="F41" s="7"/>
      <c r="I41" s="37"/>
      <c r="J41" s="35"/>
    </row>
    <row r="42" spans="5:38" x14ac:dyDescent="0.25">
      <c r="F42" s="7"/>
      <c r="I42" s="37"/>
      <c r="J42" s="35"/>
    </row>
    <row r="43" spans="5:38" x14ac:dyDescent="0.25">
      <c r="F43" s="7"/>
      <c r="I43" s="37"/>
      <c r="J43" s="35"/>
    </row>
    <row r="44" spans="5:38" x14ac:dyDescent="0.25">
      <c r="F44" s="7"/>
      <c r="I44" s="37"/>
      <c r="J44" s="35"/>
    </row>
    <row r="45" spans="5:38" x14ac:dyDescent="0.25">
      <c r="F45" s="7"/>
      <c r="I45" s="37"/>
      <c r="J45" s="35"/>
      <c r="K45" s="37"/>
    </row>
    <row r="46" spans="5:38" x14ac:dyDescent="0.25">
      <c r="F46" s="7"/>
      <c r="I46" s="37"/>
      <c r="J46" s="35"/>
    </row>
    <row r="47" spans="5:38" x14ac:dyDescent="0.25">
      <c r="F47" s="7"/>
      <c r="I47" s="37"/>
      <c r="J47" s="35"/>
    </row>
    <row r="48" spans="5:38" x14ac:dyDescent="0.25">
      <c r="F48" s="7"/>
      <c r="I48" s="37"/>
      <c r="J48" s="35"/>
    </row>
    <row r="49" spans="9:10" x14ac:dyDescent="0.25">
      <c r="I49" s="37"/>
      <c r="J49" s="35"/>
    </row>
    <row r="50" spans="9:10" x14ac:dyDescent="0.25">
      <c r="I50" s="37"/>
      <c r="J50" s="35"/>
    </row>
    <row r="51" spans="9:10" x14ac:dyDescent="0.25">
      <c r="I51" s="37"/>
      <c r="J51" s="35"/>
    </row>
    <row r="52" spans="9:10" x14ac:dyDescent="0.25">
      <c r="I52" s="37"/>
      <c r="J52" s="35"/>
    </row>
    <row r="53" spans="9:10" x14ac:dyDescent="0.25">
      <c r="I53" s="37"/>
      <c r="J53" s="35"/>
    </row>
    <row r="54" spans="9:10" x14ac:dyDescent="0.25">
      <c r="I54" s="37"/>
      <c r="J54" s="35"/>
    </row>
    <row r="55" spans="9:10" x14ac:dyDescent="0.25">
      <c r="I55" s="37"/>
      <c r="J55" s="35"/>
    </row>
    <row r="56" spans="9:10" x14ac:dyDescent="0.25">
      <c r="I56" s="37"/>
      <c r="J56" s="35"/>
    </row>
    <row r="57" spans="9:10" x14ac:dyDescent="0.25">
      <c r="I57" s="37"/>
      <c r="J57" s="35"/>
    </row>
    <row r="58" spans="9:10" x14ac:dyDescent="0.25">
      <c r="I58" s="37"/>
      <c r="J58" s="35"/>
    </row>
    <row r="59" spans="9:10" x14ac:dyDescent="0.25">
      <c r="I59" s="37"/>
      <c r="J59" s="35"/>
    </row>
    <row r="60" spans="9:10" x14ac:dyDescent="0.25">
      <c r="I60" s="37"/>
      <c r="J60" s="35"/>
    </row>
    <row r="61" spans="9:10" x14ac:dyDescent="0.25">
      <c r="I61" s="37"/>
      <c r="J61" s="35"/>
    </row>
    <row r="62" spans="9:10" x14ac:dyDescent="0.25">
      <c r="I62" s="37"/>
      <c r="J62" s="35"/>
    </row>
    <row r="63" spans="9:10" x14ac:dyDescent="0.25">
      <c r="I63" s="37"/>
      <c r="J63" s="35"/>
    </row>
    <row r="64" spans="9:10" x14ac:dyDescent="0.25">
      <c r="I64" s="37"/>
      <c r="J64" s="35"/>
    </row>
    <row r="65" spans="9:10" x14ac:dyDescent="0.25">
      <c r="I65" s="37"/>
      <c r="J65" s="35"/>
    </row>
    <row r="66" spans="9:10" x14ac:dyDescent="0.25">
      <c r="I66" s="37"/>
      <c r="J66" s="35"/>
    </row>
    <row r="67" spans="9:10" x14ac:dyDescent="0.25">
      <c r="I67" s="37"/>
      <c r="J67" s="35"/>
    </row>
    <row r="68" spans="9:10" x14ac:dyDescent="0.25">
      <c r="I68" s="37"/>
      <c r="J68" s="35"/>
    </row>
    <row r="69" spans="9:10" x14ac:dyDescent="0.25">
      <c r="I69" s="37"/>
      <c r="J69" s="35"/>
    </row>
    <row r="70" spans="9:10" x14ac:dyDescent="0.25">
      <c r="I70" s="37"/>
      <c r="J70" s="35"/>
    </row>
    <row r="71" spans="9:10" x14ac:dyDescent="0.25">
      <c r="I71" s="37"/>
      <c r="J71" s="35"/>
    </row>
    <row r="72" spans="9:10" x14ac:dyDescent="0.25">
      <c r="I72" s="37"/>
      <c r="J72" s="35"/>
    </row>
    <row r="73" spans="9:10" x14ac:dyDescent="0.25">
      <c r="I73" s="37"/>
      <c r="J73" s="35"/>
    </row>
    <row r="74" spans="9:10" x14ac:dyDescent="0.25">
      <c r="I74" s="37"/>
      <c r="J74" s="35"/>
    </row>
    <row r="75" spans="9:10" x14ac:dyDescent="0.25">
      <c r="I75" s="37"/>
      <c r="J75" s="35"/>
    </row>
    <row r="76" spans="9:10" x14ac:dyDescent="0.25">
      <c r="I76" s="37"/>
      <c r="J76" s="35"/>
    </row>
    <row r="77" spans="9:10" x14ac:dyDescent="0.25">
      <c r="I77" s="37"/>
      <c r="J77" s="35"/>
    </row>
    <row r="78" spans="9:10" x14ac:dyDescent="0.25">
      <c r="I78" s="37"/>
      <c r="J78" s="35"/>
    </row>
    <row r="79" spans="9:10" x14ac:dyDescent="0.25">
      <c r="I79" s="37"/>
      <c r="J79" s="35"/>
    </row>
    <row r="80" spans="9:10" x14ac:dyDescent="0.25">
      <c r="I80" s="37"/>
      <c r="J80" s="35"/>
    </row>
    <row r="81" spans="9:10" x14ac:dyDescent="0.25">
      <c r="I81" s="37"/>
      <c r="J81" s="35"/>
    </row>
    <row r="82" spans="9:10" x14ac:dyDescent="0.25">
      <c r="I82" s="37"/>
      <c r="J82" s="35"/>
    </row>
    <row r="83" spans="9:10" x14ac:dyDescent="0.25">
      <c r="I83" s="37"/>
      <c r="J83" s="35"/>
    </row>
    <row r="84" spans="9:10" x14ac:dyDescent="0.25">
      <c r="I84" s="37"/>
      <c r="J84" s="35"/>
    </row>
    <row r="85" spans="9:10" x14ac:dyDescent="0.25">
      <c r="I85" s="37"/>
      <c r="J85" s="35"/>
    </row>
    <row r="86" spans="9:10" x14ac:dyDescent="0.25">
      <c r="I86" s="37"/>
      <c r="J86" s="35"/>
    </row>
    <row r="87" spans="9:10" x14ac:dyDescent="0.25">
      <c r="I87" s="37"/>
      <c r="J87" s="35"/>
    </row>
    <row r="88" spans="9:10" x14ac:dyDescent="0.25">
      <c r="I88" s="37"/>
      <c r="J88" s="35"/>
    </row>
    <row r="89" spans="9:10" x14ac:dyDescent="0.25">
      <c r="I89" s="37"/>
      <c r="J89" s="35"/>
    </row>
    <row r="90" spans="9:10" x14ac:dyDescent="0.25">
      <c r="I90" s="37"/>
      <c r="J90" s="35"/>
    </row>
    <row r="91" spans="9:10" x14ac:dyDescent="0.25">
      <c r="I91" s="37"/>
      <c r="J91" s="35"/>
    </row>
    <row r="92" spans="9:10" x14ac:dyDescent="0.25">
      <c r="I92" s="37"/>
      <c r="J92" s="35"/>
    </row>
    <row r="93" spans="9:10" x14ac:dyDescent="0.25">
      <c r="I93" s="37"/>
      <c r="J93" s="35"/>
    </row>
    <row r="94" spans="9:10" x14ac:dyDescent="0.25">
      <c r="I94" s="37"/>
      <c r="J94" s="35"/>
    </row>
    <row r="95" spans="9:10" x14ac:dyDescent="0.25">
      <c r="I95" s="37"/>
      <c r="J95" s="35"/>
    </row>
    <row r="96" spans="9:10" x14ac:dyDescent="0.25">
      <c r="I96" s="37"/>
      <c r="J96" s="35"/>
    </row>
    <row r="97" spans="9:10" x14ac:dyDescent="0.25">
      <c r="I97" s="37"/>
      <c r="J97" s="35"/>
    </row>
    <row r="98" spans="9:10" x14ac:dyDescent="0.25">
      <c r="I98" s="37"/>
      <c r="J98" s="35"/>
    </row>
    <row r="99" spans="9:10" x14ac:dyDescent="0.25">
      <c r="I99" s="37"/>
      <c r="J99" s="35"/>
    </row>
    <row r="100" spans="9:10" x14ac:dyDescent="0.25">
      <c r="I100" s="37"/>
      <c r="J100" s="35"/>
    </row>
    <row r="101" spans="9:10" x14ac:dyDescent="0.25">
      <c r="I101" s="37"/>
      <c r="J101" s="35"/>
    </row>
    <row r="102" spans="9:10" x14ac:dyDescent="0.25">
      <c r="I102" s="37"/>
      <c r="J102" s="35"/>
    </row>
    <row r="103" spans="9:10" x14ac:dyDescent="0.25">
      <c r="I103" s="37"/>
      <c r="J103" s="35"/>
    </row>
    <row r="104" spans="9:10" x14ac:dyDescent="0.25">
      <c r="I104" s="37"/>
      <c r="J104" s="35"/>
    </row>
    <row r="105" spans="9:10" x14ac:dyDescent="0.25">
      <c r="I105" s="37"/>
      <c r="J105" s="35"/>
    </row>
    <row r="106" spans="9:10" x14ac:dyDescent="0.25">
      <c r="I106" s="37"/>
      <c r="J106" s="35"/>
    </row>
    <row r="107" spans="9:10" x14ac:dyDescent="0.25">
      <c r="I107" s="37"/>
      <c r="J107" s="35"/>
    </row>
    <row r="108" spans="9:10" x14ac:dyDescent="0.25">
      <c r="I108" s="37"/>
      <c r="J108" s="35"/>
    </row>
    <row r="109" spans="9:10" x14ac:dyDescent="0.25">
      <c r="I109" s="37"/>
      <c r="J109" s="35"/>
    </row>
    <row r="110" spans="9:10" x14ac:dyDescent="0.25">
      <c r="I110" s="37"/>
      <c r="J110" s="35"/>
    </row>
    <row r="111" spans="9:10" x14ac:dyDescent="0.25">
      <c r="I111" s="37"/>
      <c r="J111" s="35"/>
    </row>
    <row r="112" spans="9:10" x14ac:dyDescent="0.25">
      <c r="I112" s="37"/>
      <c r="J112" s="35"/>
    </row>
    <row r="113" spans="9:10" x14ac:dyDescent="0.25">
      <c r="I113" s="37"/>
      <c r="J113" s="35"/>
    </row>
    <row r="114" spans="9:10" x14ac:dyDescent="0.25">
      <c r="I114" s="37"/>
      <c r="J114" s="35"/>
    </row>
    <row r="115" spans="9:10" x14ac:dyDescent="0.25">
      <c r="I115" s="37"/>
      <c r="J115" s="35"/>
    </row>
    <row r="116" spans="9:10" x14ac:dyDescent="0.25">
      <c r="I116" s="37"/>
      <c r="J116" s="35"/>
    </row>
    <row r="117" spans="9:10" x14ac:dyDescent="0.25">
      <c r="I117" s="37"/>
      <c r="J117" s="35"/>
    </row>
    <row r="118" spans="9:10" x14ac:dyDescent="0.25">
      <c r="I118" s="37"/>
      <c r="J118" s="35"/>
    </row>
    <row r="119" spans="9:10" x14ac:dyDescent="0.25">
      <c r="I119" s="37"/>
      <c r="J119" s="35"/>
    </row>
    <row r="120" spans="9:10" x14ac:dyDescent="0.25">
      <c r="I120" s="37"/>
      <c r="J120" s="35"/>
    </row>
    <row r="121" spans="9:10" x14ac:dyDescent="0.25">
      <c r="I121" s="37"/>
      <c r="J121" s="35"/>
    </row>
    <row r="122" spans="9:10" x14ac:dyDescent="0.25">
      <c r="I122" s="37"/>
      <c r="J122" s="35"/>
    </row>
    <row r="123" spans="9:10" x14ac:dyDescent="0.25">
      <c r="I123" s="37"/>
      <c r="J123" s="35"/>
    </row>
    <row r="124" spans="9:10" x14ac:dyDescent="0.25">
      <c r="I124" s="37"/>
      <c r="J124" s="35"/>
    </row>
    <row r="125" spans="9:10" x14ac:dyDescent="0.25">
      <c r="I125" s="37"/>
      <c r="J125" s="35"/>
    </row>
    <row r="126" spans="9:10" x14ac:dyDescent="0.25">
      <c r="I126" s="37"/>
      <c r="J126" s="35"/>
    </row>
    <row r="127" spans="9:10" x14ac:dyDescent="0.25">
      <c r="I127" s="37"/>
      <c r="J127" s="35"/>
    </row>
    <row r="128" spans="9:10" x14ac:dyDescent="0.25">
      <c r="I128" s="37"/>
      <c r="J128" s="35"/>
    </row>
    <row r="129" spans="9:10" x14ac:dyDescent="0.25">
      <c r="I129" s="37"/>
      <c r="J129" s="35"/>
    </row>
    <row r="130" spans="9:10" x14ac:dyDescent="0.25">
      <c r="I130" s="37"/>
      <c r="J130" s="35"/>
    </row>
    <row r="131" spans="9:10" x14ac:dyDescent="0.25">
      <c r="I131" s="37"/>
      <c r="J131" s="35"/>
    </row>
    <row r="132" spans="9:10" x14ac:dyDescent="0.25">
      <c r="I132" s="37"/>
      <c r="J132" s="35"/>
    </row>
    <row r="133" spans="9:10" x14ac:dyDescent="0.25">
      <c r="I133" s="37"/>
      <c r="J133" s="35"/>
    </row>
    <row r="134" spans="9:10" x14ac:dyDescent="0.25">
      <c r="I134" s="37"/>
      <c r="J134" s="35"/>
    </row>
    <row r="135" spans="9:10" x14ac:dyDescent="0.25">
      <c r="I135" s="37"/>
      <c r="J135" s="35"/>
    </row>
    <row r="136" spans="9:10" x14ac:dyDescent="0.25">
      <c r="I136" s="37"/>
      <c r="J136" s="35"/>
    </row>
    <row r="137" spans="9:10" x14ac:dyDescent="0.25">
      <c r="I137" s="37"/>
      <c r="J137" s="35"/>
    </row>
    <row r="138" spans="9:10" x14ac:dyDescent="0.25">
      <c r="I138" s="37"/>
      <c r="J138" s="35"/>
    </row>
    <row r="139" spans="9:10" x14ac:dyDescent="0.25">
      <c r="I139" s="37"/>
      <c r="J139" s="35"/>
    </row>
    <row r="140" spans="9:10" x14ac:dyDescent="0.25">
      <c r="I140" s="37"/>
      <c r="J140" s="35"/>
    </row>
    <row r="141" spans="9:10" x14ac:dyDescent="0.25">
      <c r="I141" s="37"/>
      <c r="J141" s="35"/>
    </row>
    <row r="142" spans="9:10" x14ac:dyDescent="0.25">
      <c r="I142" s="37"/>
      <c r="J142" s="35"/>
    </row>
    <row r="143" spans="9:10" x14ac:dyDescent="0.25">
      <c r="I143" s="37"/>
      <c r="J143" s="35"/>
    </row>
    <row r="144" spans="9:10" x14ac:dyDescent="0.25">
      <c r="I144" s="37"/>
      <c r="J144" s="35"/>
    </row>
    <row r="145" spans="9:10" x14ac:dyDescent="0.25">
      <c r="I145" s="37"/>
      <c r="J145" s="35"/>
    </row>
    <row r="146" spans="9:10" x14ac:dyDescent="0.25">
      <c r="I146" s="37"/>
      <c r="J146" s="35"/>
    </row>
    <row r="147" spans="9:10" x14ac:dyDescent="0.25">
      <c r="I147" s="37"/>
      <c r="J147" s="35"/>
    </row>
    <row r="148" spans="9:10" x14ac:dyDescent="0.25">
      <c r="I148" s="37"/>
      <c r="J148" s="35"/>
    </row>
    <row r="149" spans="9:10" x14ac:dyDescent="0.25">
      <c r="I149" s="37"/>
      <c r="J149" s="35"/>
    </row>
    <row r="150" spans="9:10" x14ac:dyDescent="0.25">
      <c r="I150" s="37"/>
      <c r="J150" s="35"/>
    </row>
    <row r="151" spans="9:10" x14ac:dyDescent="0.25">
      <c r="I151" s="37"/>
      <c r="J151" s="35"/>
    </row>
    <row r="152" spans="9:10" x14ac:dyDescent="0.25">
      <c r="I152" s="37"/>
      <c r="J152" s="35"/>
    </row>
    <row r="153" spans="9:10" x14ac:dyDescent="0.25">
      <c r="I153" s="37"/>
      <c r="J153" s="35"/>
    </row>
    <row r="154" spans="9:10" x14ac:dyDescent="0.25">
      <c r="I154" s="37"/>
      <c r="J154" s="35"/>
    </row>
    <row r="155" spans="9:10" x14ac:dyDescent="0.25">
      <c r="I155" s="37"/>
      <c r="J155" s="35"/>
    </row>
    <row r="156" spans="9:10" x14ac:dyDescent="0.25">
      <c r="I156" s="37"/>
      <c r="J156" s="35"/>
    </row>
    <row r="157" spans="9:10" x14ac:dyDescent="0.25">
      <c r="I157" s="37"/>
      <c r="J157" s="35"/>
    </row>
    <row r="158" spans="9:10" x14ac:dyDescent="0.25">
      <c r="I158" s="37"/>
      <c r="J158" s="35"/>
    </row>
    <row r="159" spans="9:10" x14ac:dyDescent="0.25">
      <c r="I159" s="37"/>
      <c r="J159" s="35"/>
    </row>
    <row r="160" spans="9:10" x14ac:dyDescent="0.25">
      <c r="I160" s="37"/>
      <c r="J160" s="35"/>
    </row>
    <row r="161" spans="9:10" x14ac:dyDescent="0.25">
      <c r="I161" s="37"/>
      <c r="J161" s="35"/>
    </row>
    <row r="162" spans="9:10" x14ac:dyDescent="0.25">
      <c r="I162" s="37"/>
      <c r="J162" s="35"/>
    </row>
    <row r="163" spans="9:10" x14ac:dyDescent="0.25">
      <c r="I163" s="37"/>
      <c r="J163" s="35"/>
    </row>
    <row r="164" spans="9:10" x14ac:dyDescent="0.25">
      <c r="I164" s="37"/>
      <c r="J164" s="35"/>
    </row>
    <row r="165" spans="9:10" x14ac:dyDescent="0.25">
      <c r="I165" s="37"/>
      <c r="J165" s="35"/>
    </row>
    <row r="166" spans="9:10" x14ac:dyDescent="0.25">
      <c r="I166" s="37"/>
      <c r="J166" s="35"/>
    </row>
    <row r="167" spans="9:10" x14ac:dyDescent="0.25">
      <c r="I167" s="37"/>
      <c r="J167" s="35"/>
    </row>
    <row r="168" spans="9:10" x14ac:dyDescent="0.25">
      <c r="I168" s="37"/>
      <c r="J168" s="35"/>
    </row>
    <row r="169" spans="9:10" x14ac:dyDescent="0.25">
      <c r="I169" s="37"/>
      <c r="J169" s="35"/>
    </row>
    <row r="170" spans="9:10" x14ac:dyDescent="0.25">
      <c r="I170" s="37"/>
      <c r="J170" s="35"/>
    </row>
    <row r="171" spans="9:10" x14ac:dyDescent="0.25">
      <c r="I171" s="37"/>
      <c r="J171" s="35"/>
    </row>
    <row r="172" spans="9:10" x14ac:dyDescent="0.25">
      <c r="I172" s="37"/>
      <c r="J172" s="35"/>
    </row>
    <row r="173" spans="9:10" x14ac:dyDescent="0.25">
      <c r="I173" s="37"/>
      <c r="J173" s="35"/>
    </row>
    <row r="174" spans="9:10" x14ac:dyDescent="0.25">
      <c r="I174" s="37"/>
      <c r="J174" s="35"/>
    </row>
    <row r="175" spans="9:10" x14ac:dyDescent="0.25">
      <c r="I175" s="37"/>
      <c r="J175" s="35"/>
    </row>
    <row r="176" spans="9:10" x14ac:dyDescent="0.25">
      <c r="I176" s="37"/>
      <c r="J176" s="35"/>
    </row>
    <row r="177" spans="9:10" x14ac:dyDescent="0.25">
      <c r="I177" s="37"/>
      <c r="J177" s="35"/>
    </row>
    <row r="178" spans="9:10" x14ac:dyDescent="0.25">
      <c r="I178" s="37"/>
      <c r="J178" s="35"/>
    </row>
    <row r="179" spans="9:10" x14ac:dyDescent="0.25">
      <c r="I179" s="37"/>
      <c r="J179" s="35"/>
    </row>
    <row r="180" spans="9:10" x14ac:dyDescent="0.25">
      <c r="I180" s="37"/>
      <c r="J180" s="35"/>
    </row>
    <row r="181" spans="9:10" x14ac:dyDescent="0.25">
      <c r="I181" s="37"/>
      <c r="J181" s="35"/>
    </row>
    <row r="182" spans="9:10" x14ac:dyDescent="0.25">
      <c r="I182" s="37"/>
      <c r="J182" s="35"/>
    </row>
    <row r="183" spans="9:10" x14ac:dyDescent="0.25">
      <c r="I183" s="37"/>
      <c r="J183" s="35"/>
    </row>
    <row r="184" spans="9:10" x14ac:dyDescent="0.25">
      <c r="I184" s="37"/>
      <c r="J184" s="35"/>
    </row>
    <row r="185" spans="9:10" x14ac:dyDescent="0.25">
      <c r="I185" s="37"/>
      <c r="J185" s="35"/>
    </row>
    <row r="186" spans="9:10" x14ac:dyDescent="0.25">
      <c r="I186" s="37"/>
      <c r="J186" s="35"/>
    </row>
    <row r="187" spans="9:10" x14ac:dyDescent="0.25">
      <c r="I187" s="37"/>
      <c r="J187" s="35"/>
    </row>
    <row r="188" spans="9:10" x14ac:dyDescent="0.25">
      <c r="I188" s="37"/>
      <c r="J188" s="35"/>
    </row>
    <row r="189" spans="9:10" x14ac:dyDescent="0.25">
      <c r="I189" s="37"/>
      <c r="J189" s="35"/>
    </row>
    <row r="190" spans="9:10" x14ac:dyDescent="0.25">
      <c r="I190" s="37"/>
      <c r="J190" s="35"/>
    </row>
    <row r="191" spans="9:10" x14ac:dyDescent="0.25">
      <c r="I191" s="37"/>
      <c r="J191" s="35"/>
    </row>
    <row r="192" spans="9:10" x14ac:dyDescent="0.25">
      <c r="I192" s="37"/>
      <c r="J192" s="35"/>
    </row>
    <row r="193" spans="9:10" x14ac:dyDescent="0.25">
      <c r="I193" s="37"/>
      <c r="J193" s="35"/>
    </row>
    <row r="194" spans="9:10" x14ac:dyDescent="0.25">
      <c r="I194" s="37"/>
      <c r="J194" s="35"/>
    </row>
    <row r="195" spans="9:10" x14ac:dyDescent="0.25">
      <c r="I195" s="37"/>
      <c r="J195" s="35"/>
    </row>
    <row r="196" spans="9:10" x14ac:dyDescent="0.25">
      <c r="I196" s="37"/>
      <c r="J196" s="35"/>
    </row>
    <row r="197" spans="9:10" x14ac:dyDescent="0.25">
      <c r="I197" s="37"/>
      <c r="J197" s="35"/>
    </row>
    <row r="198" spans="9:10" x14ac:dyDescent="0.25">
      <c r="I198" s="37"/>
      <c r="J198" s="35"/>
    </row>
    <row r="199" spans="9:10" x14ac:dyDescent="0.25">
      <c r="I199" s="37"/>
      <c r="J199" s="35"/>
    </row>
    <row r="200" spans="9:10" x14ac:dyDescent="0.25">
      <c r="I200" s="37"/>
      <c r="J200" s="35"/>
    </row>
    <row r="201" spans="9:10" x14ac:dyDescent="0.25">
      <c r="I201" s="37"/>
      <c r="J201" s="35"/>
    </row>
    <row r="202" spans="9:10" x14ac:dyDescent="0.25">
      <c r="I202" s="37"/>
      <c r="J202" s="35"/>
    </row>
    <row r="203" spans="9:10" x14ac:dyDescent="0.25">
      <c r="I203" s="37"/>
      <c r="J203" s="35"/>
    </row>
    <row r="204" spans="9:10" x14ac:dyDescent="0.25">
      <c r="I204" s="37"/>
      <c r="J204" s="35"/>
    </row>
    <row r="205" spans="9:10" x14ac:dyDescent="0.25">
      <c r="I205" s="37"/>
      <c r="J205" s="35"/>
    </row>
    <row r="206" spans="9:10" x14ac:dyDescent="0.25">
      <c r="I206" s="37"/>
      <c r="J206" s="35"/>
    </row>
    <row r="207" spans="9:10" x14ac:dyDescent="0.25">
      <c r="I207" s="37"/>
      <c r="J207" s="35"/>
    </row>
    <row r="208" spans="9:10" x14ac:dyDescent="0.25">
      <c r="I208" s="37"/>
      <c r="J208" s="35"/>
    </row>
    <row r="209" spans="9:10" x14ac:dyDescent="0.25">
      <c r="I209" s="37"/>
      <c r="J209" s="35"/>
    </row>
    <row r="210" spans="9:10" x14ac:dyDescent="0.25">
      <c r="I210" s="37"/>
      <c r="J210" s="35"/>
    </row>
    <row r="211" spans="9:10" x14ac:dyDescent="0.25">
      <c r="I211" s="37"/>
      <c r="J211" s="35"/>
    </row>
    <row r="212" spans="9:10" x14ac:dyDescent="0.25">
      <c r="I212" s="37"/>
      <c r="J212" s="35"/>
    </row>
    <row r="213" spans="9:10" x14ac:dyDescent="0.25">
      <c r="I213" s="37"/>
      <c r="J213" s="35"/>
    </row>
    <row r="214" spans="9:10" x14ac:dyDescent="0.25">
      <c r="I214" s="37"/>
      <c r="J214" s="35"/>
    </row>
    <row r="215" spans="9:10" x14ac:dyDescent="0.25">
      <c r="I215" s="37"/>
      <c r="J215" s="35"/>
    </row>
    <row r="216" spans="9:10" x14ac:dyDescent="0.25">
      <c r="I216" s="37"/>
      <c r="J216" s="35"/>
    </row>
    <row r="217" spans="9:10" x14ac:dyDescent="0.25">
      <c r="I217" s="37"/>
      <c r="J217" s="35"/>
    </row>
    <row r="218" spans="9:10" x14ac:dyDescent="0.25">
      <c r="I218" s="37"/>
      <c r="J218" s="35"/>
    </row>
    <row r="219" spans="9:10" x14ac:dyDescent="0.25">
      <c r="I219" s="37"/>
      <c r="J219" s="35"/>
    </row>
    <row r="220" spans="9:10" x14ac:dyDescent="0.25">
      <c r="I220" s="37"/>
      <c r="J220" s="35"/>
    </row>
    <row r="221" spans="9:10" x14ac:dyDescent="0.25">
      <c r="I221" s="37"/>
      <c r="J221" s="35"/>
    </row>
    <row r="222" spans="9:10" x14ac:dyDescent="0.25">
      <c r="I222" s="37"/>
      <c r="J222" s="35"/>
    </row>
    <row r="223" spans="9:10" x14ac:dyDescent="0.25">
      <c r="I223" s="37"/>
      <c r="J223" s="35"/>
    </row>
    <row r="224" spans="9:10" x14ac:dyDescent="0.25">
      <c r="I224" s="37"/>
      <c r="J224" s="35"/>
    </row>
    <row r="225" spans="9:10" x14ac:dyDescent="0.25">
      <c r="I225" s="37"/>
      <c r="J225" s="35"/>
    </row>
    <row r="226" spans="9:10" x14ac:dyDescent="0.25">
      <c r="I226" s="37"/>
      <c r="J226" s="35"/>
    </row>
    <row r="227" spans="9:10" x14ac:dyDescent="0.25">
      <c r="I227" s="37"/>
      <c r="J227" s="35"/>
    </row>
    <row r="228" spans="9:10" x14ac:dyDescent="0.25">
      <c r="I228" s="37"/>
      <c r="J228" s="35"/>
    </row>
    <row r="229" spans="9:10" x14ac:dyDescent="0.25">
      <c r="I229" s="37"/>
      <c r="J229" s="35"/>
    </row>
    <row r="230" spans="9:10" x14ac:dyDescent="0.25">
      <c r="I230" s="37"/>
      <c r="J230" s="35"/>
    </row>
    <row r="231" spans="9:10" x14ac:dyDescent="0.25">
      <c r="I231" s="37"/>
      <c r="J231" s="35"/>
    </row>
    <row r="232" spans="9:10" x14ac:dyDescent="0.25">
      <c r="I232" s="37"/>
      <c r="J232" s="35"/>
    </row>
    <row r="233" spans="9:10" x14ac:dyDescent="0.25">
      <c r="I233" s="37"/>
      <c r="J233" s="35"/>
    </row>
    <row r="234" spans="9:10" x14ac:dyDescent="0.25">
      <c r="I234" s="37"/>
      <c r="J234" s="35"/>
    </row>
    <row r="235" spans="9:10" x14ac:dyDescent="0.25">
      <c r="I235" s="37"/>
      <c r="J235" s="35"/>
    </row>
    <row r="236" spans="9:10" x14ac:dyDescent="0.25">
      <c r="I236" s="37"/>
      <c r="J236" s="35"/>
    </row>
    <row r="237" spans="9:10" x14ac:dyDescent="0.25">
      <c r="I237" s="37"/>
      <c r="J237" s="35"/>
    </row>
    <row r="238" spans="9:10" x14ac:dyDescent="0.25">
      <c r="I238" s="37"/>
      <c r="J238" s="35"/>
    </row>
    <row r="239" spans="9:10" x14ac:dyDescent="0.25">
      <c r="I239" s="37"/>
      <c r="J239" s="35"/>
    </row>
    <row r="240" spans="9:10" x14ac:dyDescent="0.25">
      <c r="I240" s="37"/>
      <c r="J240" s="35"/>
    </row>
    <row r="241" spans="9:10" x14ac:dyDescent="0.25">
      <c r="I241" s="37"/>
      <c r="J241" s="35"/>
    </row>
    <row r="242" spans="9:10" x14ac:dyDescent="0.25">
      <c r="I242" s="37"/>
      <c r="J242" s="35"/>
    </row>
    <row r="243" spans="9:10" x14ac:dyDescent="0.25">
      <c r="I243" s="37"/>
      <c r="J243" s="35"/>
    </row>
    <row r="244" spans="9:10" x14ac:dyDescent="0.25">
      <c r="I244" s="37"/>
      <c r="J244" s="35"/>
    </row>
    <row r="245" spans="9:10" x14ac:dyDescent="0.25">
      <c r="I245" s="37"/>
      <c r="J245" s="35"/>
    </row>
    <row r="246" spans="9:10" x14ac:dyDescent="0.25">
      <c r="I246" s="37"/>
      <c r="J246" s="35"/>
    </row>
    <row r="247" spans="9:10" x14ac:dyDescent="0.25">
      <c r="I247" s="37"/>
      <c r="J247" s="35"/>
    </row>
    <row r="248" spans="9:10" x14ac:dyDescent="0.25">
      <c r="I248" s="37"/>
      <c r="J248" s="35"/>
    </row>
    <row r="249" spans="9:10" x14ac:dyDescent="0.25">
      <c r="I249" s="37"/>
      <c r="J249" s="35"/>
    </row>
    <row r="250" spans="9:10" x14ac:dyDescent="0.25">
      <c r="I250" s="37"/>
      <c r="J250" s="35"/>
    </row>
    <row r="251" spans="9:10" x14ac:dyDescent="0.25">
      <c r="I251" s="37"/>
      <c r="J251" s="35"/>
    </row>
    <row r="252" spans="9:10" x14ac:dyDescent="0.25">
      <c r="I252" s="37"/>
      <c r="J252" s="35"/>
    </row>
    <row r="253" spans="9:10" x14ac:dyDescent="0.25">
      <c r="I253" s="37"/>
      <c r="J253" s="35"/>
    </row>
    <row r="254" spans="9:10" x14ac:dyDescent="0.25">
      <c r="I254" s="37"/>
      <c r="J254" s="35"/>
    </row>
    <row r="255" spans="9:10" x14ac:dyDescent="0.25">
      <c r="I255" s="37"/>
      <c r="J255" s="35"/>
    </row>
    <row r="256" spans="9:10" x14ac:dyDescent="0.25">
      <c r="I256" s="37"/>
      <c r="J256" s="35"/>
    </row>
    <row r="257" spans="9:10" x14ac:dyDescent="0.25">
      <c r="I257" s="37"/>
      <c r="J257" s="35"/>
    </row>
    <row r="258" spans="9:10" x14ac:dyDescent="0.25">
      <c r="I258" s="37"/>
      <c r="J258" s="35"/>
    </row>
    <row r="259" spans="9:10" x14ac:dyDescent="0.25">
      <c r="I259" s="37"/>
      <c r="J259" s="35"/>
    </row>
    <row r="260" spans="9:10" x14ac:dyDescent="0.25">
      <c r="I260" s="37"/>
      <c r="J260" s="35"/>
    </row>
    <row r="261" spans="9:10" x14ac:dyDescent="0.25">
      <c r="I261" s="37"/>
      <c r="J261" s="35"/>
    </row>
    <row r="262" spans="9:10" x14ac:dyDescent="0.25">
      <c r="I262" s="37"/>
      <c r="J262" s="35"/>
    </row>
    <row r="263" spans="9:10" x14ac:dyDescent="0.25">
      <c r="I263" s="37"/>
      <c r="J263" s="35"/>
    </row>
    <row r="264" spans="9:10" x14ac:dyDescent="0.25">
      <c r="I264" s="37"/>
      <c r="J264" s="35"/>
    </row>
    <row r="265" spans="9:10" x14ac:dyDescent="0.25">
      <c r="I265" s="37"/>
      <c r="J265" s="35"/>
    </row>
    <row r="266" spans="9:10" x14ac:dyDescent="0.25">
      <c r="I266" s="37"/>
      <c r="J266" s="35"/>
    </row>
    <row r="267" spans="9:10" x14ac:dyDescent="0.25">
      <c r="I267" s="37"/>
      <c r="J267" s="35"/>
    </row>
    <row r="268" spans="9:10" x14ac:dyDescent="0.25">
      <c r="I268" s="37"/>
      <c r="J268" s="35"/>
    </row>
    <row r="269" spans="9:10" x14ac:dyDescent="0.25">
      <c r="I269" s="37"/>
      <c r="J269" s="35"/>
    </row>
    <row r="270" spans="9:10" x14ac:dyDescent="0.25">
      <c r="I270" s="37"/>
      <c r="J270" s="35"/>
    </row>
    <row r="271" spans="9:10" x14ac:dyDescent="0.25">
      <c r="I271" s="37"/>
      <c r="J271" s="35"/>
    </row>
    <row r="272" spans="9:10" x14ac:dyDescent="0.25">
      <c r="I272" s="37"/>
      <c r="J272" s="35"/>
    </row>
    <row r="273" spans="9:10" x14ac:dyDescent="0.25">
      <c r="I273" s="37"/>
      <c r="J273" s="35"/>
    </row>
    <row r="274" spans="9:10" x14ac:dyDescent="0.25">
      <c r="I274" s="37"/>
      <c r="J274" s="35"/>
    </row>
    <row r="275" spans="9:10" x14ac:dyDescent="0.25">
      <c r="I275" s="37"/>
      <c r="J275" s="35"/>
    </row>
    <row r="276" spans="9:10" x14ac:dyDescent="0.25">
      <c r="I276" s="37"/>
      <c r="J276" s="35"/>
    </row>
    <row r="277" spans="9:10" x14ac:dyDescent="0.25">
      <c r="I277" s="37"/>
      <c r="J277" s="35"/>
    </row>
    <row r="278" spans="9:10" x14ac:dyDescent="0.25">
      <c r="I278" s="37"/>
      <c r="J278" s="35"/>
    </row>
    <row r="279" spans="9:10" x14ac:dyDescent="0.25">
      <c r="I279" s="37"/>
      <c r="J279" s="35"/>
    </row>
    <row r="280" spans="9:10" x14ac:dyDescent="0.25">
      <c r="I280" s="37"/>
      <c r="J280" s="35"/>
    </row>
    <row r="281" spans="9:10" x14ac:dyDescent="0.25">
      <c r="I281" s="37"/>
      <c r="J281" s="35"/>
    </row>
    <row r="282" spans="9:10" x14ac:dyDescent="0.25">
      <c r="I282" s="37"/>
      <c r="J282" s="35"/>
    </row>
    <row r="283" spans="9:10" x14ac:dyDescent="0.25">
      <c r="I283" s="37"/>
      <c r="J283" s="35"/>
    </row>
    <row r="284" spans="9:10" x14ac:dyDescent="0.25">
      <c r="I284" s="37"/>
      <c r="J284" s="35"/>
    </row>
    <row r="285" spans="9:10" x14ac:dyDescent="0.25">
      <c r="I285" s="37"/>
      <c r="J285" s="35"/>
    </row>
    <row r="286" spans="9:10" x14ac:dyDescent="0.25">
      <c r="I286" s="37"/>
      <c r="J286" s="35"/>
    </row>
    <row r="287" spans="9:10" x14ac:dyDescent="0.25">
      <c r="I287" s="37"/>
      <c r="J287" s="35"/>
    </row>
    <row r="288" spans="9:10" x14ac:dyDescent="0.25">
      <c r="I288" s="37"/>
      <c r="J288" s="35"/>
    </row>
    <row r="289" spans="9:10" x14ac:dyDescent="0.25">
      <c r="I289" s="37"/>
      <c r="J289" s="35"/>
    </row>
    <row r="290" spans="9:10" x14ac:dyDescent="0.25">
      <c r="I290" s="37"/>
      <c r="J290" s="35"/>
    </row>
    <row r="291" spans="9:10" x14ac:dyDescent="0.25">
      <c r="I291" s="37"/>
      <c r="J291" s="35"/>
    </row>
    <row r="292" spans="9:10" x14ac:dyDescent="0.25">
      <c r="I292" s="37"/>
      <c r="J292" s="35"/>
    </row>
    <row r="293" spans="9:10" x14ac:dyDescent="0.25">
      <c r="I293" s="37"/>
      <c r="J293" s="35"/>
    </row>
    <row r="294" spans="9:10" x14ac:dyDescent="0.25">
      <c r="I294" s="37"/>
      <c r="J294" s="35"/>
    </row>
    <row r="295" spans="9:10" x14ac:dyDescent="0.25">
      <c r="I295" s="37"/>
      <c r="J295" s="35"/>
    </row>
    <row r="296" spans="9:10" x14ac:dyDescent="0.25">
      <c r="I296" s="37"/>
      <c r="J296" s="35"/>
    </row>
    <row r="297" spans="9:10" x14ac:dyDescent="0.25">
      <c r="I297" s="37"/>
      <c r="J297" s="35"/>
    </row>
    <row r="298" spans="9:10" x14ac:dyDescent="0.25">
      <c r="I298" s="37"/>
      <c r="J298" s="35"/>
    </row>
    <row r="299" spans="9:10" x14ac:dyDescent="0.25">
      <c r="I299" s="37"/>
      <c r="J299" s="35"/>
    </row>
    <row r="300" spans="9:10" x14ac:dyDescent="0.25">
      <c r="I300" s="37"/>
      <c r="J300" s="35"/>
    </row>
    <row r="301" spans="9:10" x14ac:dyDescent="0.25">
      <c r="I301" s="37"/>
      <c r="J301" s="35"/>
    </row>
    <row r="302" spans="9:10" x14ac:dyDescent="0.25">
      <c r="I302" s="37"/>
      <c r="J302" s="35"/>
    </row>
    <row r="303" spans="9:10" x14ac:dyDescent="0.25">
      <c r="I303" s="37"/>
      <c r="J303" s="35"/>
    </row>
    <row r="304" spans="9:10" x14ac:dyDescent="0.25">
      <c r="I304" s="37"/>
      <c r="J304" s="35"/>
    </row>
    <row r="305" spans="9:12" x14ac:dyDescent="0.25">
      <c r="I305" s="37"/>
      <c r="J305" s="35"/>
    </row>
    <row r="306" spans="9:12" x14ac:dyDescent="0.25">
      <c r="I306" s="37"/>
      <c r="J306" s="35"/>
    </row>
    <row r="307" spans="9:12" x14ac:dyDescent="0.25">
      <c r="I307" s="37"/>
      <c r="J307" s="35"/>
    </row>
    <row r="308" spans="9:12" x14ac:dyDescent="0.25">
      <c r="I308" s="37"/>
      <c r="J308" s="35"/>
    </row>
    <row r="309" spans="9:12" x14ac:dyDescent="0.25">
      <c r="I309" s="37"/>
      <c r="J309" s="35"/>
    </row>
    <row r="310" spans="9:12" x14ac:dyDescent="0.25">
      <c r="I310" s="37"/>
      <c r="J310" s="35"/>
    </row>
    <row r="311" spans="9:12" x14ac:dyDescent="0.25">
      <c r="I311" s="37"/>
      <c r="J311" s="35"/>
    </row>
    <row r="312" spans="9:12" x14ac:dyDescent="0.25">
      <c r="I312" s="37"/>
      <c r="J312" s="35"/>
      <c r="L312" s="36"/>
    </row>
    <row r="313" spans="9:12" x14ac:dyDescent="0.25">
      <c r="I313" s="37"/>
      <c r="J313" s="35"/>
    </row>
    <row r="314" spans="9:12" x14ac:dyDescent="0.25">
      <c r="I314" s="37"/>
      <c r="J314" s="35"/>
    </row>
    <row r="315" spans="9:12" x14ac:dyDescent="0.25">
      <c r="I315" s="37"/>
      <c r="J315" s="35"/>
    </row>
    <row r="316" spans="9:12" x14ac:dyDescent="0.25">
      <c r="I316" s="37"/>
      <c r="J316" s="35"/>
    </row>
    <row r="317" spans="9:12" x14ac:dyDescent="0.25">
      <c r="I317" s="37"/>
      <c r="J317" s="35"/>
    </row>
    <row r="318" spans="9:12" x14ac:dyDescent="0.25">
      <c r="I318" s="37"/>
      <c r="J318" s="35"/>
    </row>
    <row r="319" spans="9:12" x14ac:dyDescent="0.25">
      <c r="I319" s="37"/>
      <c r="J319" s="35"/>
    </row>
    <row r="320" spans="9:12" x14ac:dyDescent="0.25">
      <c r="I320" s="37"/>
      <c r="J320" s="35"/>
    </row>
    <row r="321" spans="9:10" x14ac:dyDescent="0.25">
      <c r="I321" s="37"/>
      <c r="J321" s="35"/>
    </row>
    <row r="322" spans="9:10" x14ac:dyDescent="0.25">
      <c r="I322" s="37"/>
      <c r="J322" s="35"/>
    </row>
    <row r="323" spans="9:10" x14ac:dyDescent="0.25">
      <c r="I323" s="37"/>
      <c r="J323" s="35"/>
    </row>
    <row r="324" spans="9:10" x14ac:dyDescent="0.25">
      <c r="I324" s="37"/>
      <c r="J324" s="35"/>
    </row>
    <row r="325" spans="9:10" x14ac:dyDescent="0.25">
      <c r="I325" s="37"/>
      <c r="J325" s="35"/>
    </row>
    <row r="326" spans="9:10" x14ac:dyDescent="0.25">
      <c r="I326" s="37"/>
      <c r="J326" s="35"/>
    </row>
    <row r="327" spans="9:10" x14ac:dyDescent="0.25">
      <c r="I327" s="37"/>
      <c r="J327" s="35"/>
    </row>
    <row r="328" spans="9:10" x14ac:dyDescent="0.25">
      <c r="I328" s="37"/>
      <c r="J328" s="35"/>
    </row>
    <row r="329" spans="9:10" x14ac:dyDescent="0.25">
      <c r="I329" s="37"/>
      <c r="J329" s="35"/>
    </row>
    <row r="330" spans="9:10" x14ac:dyDescent="0.25">
      <c r="I330" s="37"/>
      <c r="J330" s="35"/>
    </row>
    <row r="331" spans="9:10" x14ac:dyDescent="0.25">
      <c r="I331" s="37"/>
      <c r="J331" s="35"/>
    </row>
    <row r="332" spans="9:10" x14ac:dyDescent="0.25">
      <c r="I332" s="37"/>
      <c r="J332" s="35"/>
    </row>
    <row r="333" spans="9:10" x14ac:dyDescent="0.25">
      <c r="I333" s="37"/>
      <c r="J333" s="35"/>
    </row>
    <row r="334" spans="9:10" x14ac:dyDescent="0.25">
      <c r="I334" s="37"/>
      <c r="J334" s="35"/>
    </row>
    <row r="335" spans="9:10" x14ac:dyDescent="0.25">
      <c r="I335" s="37"/>
      <c r="J335" s="35"/>
    </row>
    <row r="336" spans="9:10" x14ac:dyDescent="0.25">
      <c r="I336" s="37"/>
      <c r="J336" s="35"/>
    </row>
    <row r="337" spans="9:10" x14ac:dyDescent="0.25">
      <c r="I337" s="37"/>
      <c r="J337" s="35"/>
    </row>
    <row r="338" spans="9:10" x14ac:dyDescent="0.25">
      <c r="I338" s="37"/>
      <c r="J338" s="35"/>
    </row>
    <row r="339" spans="9:10" x14ac:dyDescent="0.25">
      <c r="I339" s="37"/>
      <c r="J339" s="35"/>
    </row>
    <row r="340" spans="9:10" x14ac:dyDescent="0.25">
      <c r="I340" s="37"/>
      <c r="J340" s="35"/>
    </row>
    <row r="341" spans="9:10" x14ac:dyDescent="0.25">
      <c r="I341" s="37"/>
      <c r="J341" s="35"/>
    </row>
    <row r="342" spans="9:10" x14ac:dyDescent="0.25">
      <c r="I342" s="37"/>
      <c r="J342" s="35"/>
    </row>
    <row r="343" spans="9:10" x14ac:dyDescent="0.25">
      <c r="I343" s="37"/>
      <c r="J343" s="35"/>
    </row>
    <row r="344" spans="9:10" x14ac:dyDescent="0.25">
      <c r="I344" s="37"/>
      <c r="J344" s="35"/>
    </row>
    <row r="345" spans="9:10" x14ac:dyDescent="0.25">
      <c r="I345" s="37"/>
      <c r="J345" s="35"/>
    </row>
    <row r="346" spans="9:10" x14ac:dyDescent="0.25">
      <c r="I346" s="37"/>
      <c r="J346" s="35"/>
    </row>
    <row r="347" spans="9:10" x14ac:dyDescent="0.25">
      <c r="I347" s="37"/>
      <c r="J347" s="35"/>
    </row>
    <row r="348" spans="9:10" x14ac:dyDescent="0.25">
      <c r="I348" s="37"/>
      <c r="J348" s="35"/>
    </row>
    <row r="349" spans="9:10" x14ac:dyDescent="0.25">
      <c r="I349" s="37"/>
      <c r="J349" s="35"/>
    </row>
    <row r="350" spans="9:10" x14ac:dyDescent="0.25">
      <c r="I350" s="37"/>
      <c r="J350" s="35"/>
    </row>
    <row r="351" spans="9:10" x14ac:dyDescent="0.25">
      <c r="I351" s="37"/>
      <c r="J351" s="35"/>
    </row>
    <row r="352" spans="9:10" x14ac:dyDescent="0.25">
      <c r="I352" s="37"/>
      <c r="J352" s="35"/>
    </row>
    <row r="353" spans="9:10" x14ac:dyDescent="0.25">
      <c r="I353" s="37"/>
      <c r="J353" s="35"/>
    </row>
    <row r="354" spans="9:10" x14ac:dyDescent="0.25">
      <c r="I354" s="37"/>
      <c r="J354" s="35"/>
    </row>
    <row r="355" spans="9:10" x14ac:dyDescent="0.25">
      <c r="I355" s="37"/>
      <c r="J355" s="35"/>
    </row>
    <row r="356" spans="9:10" x14ac:dyDescent="0.25">
      <c r="I356" s="37"/>
      <c r="J356" s="35"/>
    </row>
    <row r="357" spans="9:10" x14ac:dyDescent="0.25">
      <c r="I357" s="37"/>
      <c r="J357" s="35"/>
    </row>
    <row r="358" spans="9:10" x14ac:dyDescent="0.25">
      <c r="I358" s="37"/>
      <c r="J358" s="35"/>
    </row>
    <row r="359" spans="9:10" x14ac:dyDescent="0.25">
      <c r="I359" s="37"/>
      <c r="J359" s="35"/>
    </row>
    <row r="360" spans="9:10" x14ac:dyDescent="0.25">
      <c r="I360" s="37"/>
      <c r="J360" s="35"/>
    </row>
    <row r="361" spans="9:10" x14ac:dyDescent="0.25">
      <c r="I361" s="37"/>
      <c r="J361" s="35"/>
    </row>
    <row r="362" spans="9:10" x14ac:dyDescent="0.25">
      <c r="I362" s="37"/>
      <c r="J362" s="35"/>
    </row>
    <row r="363" spans="9:10" x14ac:dyDescent="0.25">
      <c r="I363" s="37"/>
      <c r="J363" s="35"/>
    </row>
    <row r="364" spans="9:10" x14ac:dyDescent="0.25">
      <c r="I364" s="37"/>
      <c r="J364" s="35"/>
    </row>
    <row r="365" spans="9:10" x14ac:dyDescent="0.25">
      <c r="I365" s="37"/>
      <c r="J365" s="35"/>
    </row>
    <row r="366" spans="9:10" x14ac:dyDescent="0.25">
      <c r="I366" s="37"/>
      <c r="J366" s="35"/>
    </row>
    <row r="367" spans="9:10" x14ac:dyDescent="0.25">
      <c r="I367" s="37"/>
      <c r="J367" s="35"/>
    </row>
    <row r="368" spans="9:10" x14ac:dyDescent="0.25">
      <c r="I368" s="37"/>
      <c r="J368" s="35"/>
    </row>
    <row r="369" spans="9:10" x14ac:dyDescent="0.25">
      <c r="I369" s="37"/>
      <c r="J369" s="35"/>
    </row>
    <row r="370" spans="9:10" x14ac:dyDescent="0.25">
      <c r="I370" s="37"/>
      <c r="J370" s="35"/>
    </row>
    <row r="371" spans="9:10" x14ac:dyDescent="0.25">
      <c r="I371" s="37"/>
      <c r="J371" s="35"/>
    </row>
    <row r="372" spans="9:10" x14ac:dyDescent="0.25">
      <c r="I372" s="37"/>
      <c r="J372" s="35"/>
    </row>
    <row r="373" spans="9:10" x14ac:dyDescent="0.25">
      <c r="I373" s="37"/>
      <c r="J373" s="35"/>
    </row>
    <row r="374" spans="9:10" x14ac:dyDescent="0.25">
      <c r="I374" s="37"/>
      <c r="J374" s="35"/>
    </row>
    <row r="375" spans="9:10" x14ac:dyDescent="0.25">
      <c r="I375" s="37"/>
      <c r="J375" s="35"/>
    </row>
    <row r="376" spans="9:10" x14ac:dyDescent="0.25">
      <c r="I376" s="37"/>
      <c r="J376" s="35"/>
    </row>
    <row r="377" spans="9:10" x14ac:dyDescent="0.25">
      <c r="I377" s="37"/>
      <c r="J377" s="35"/>
    </row>
    <row r="378" spans="9:10" x14ac:dyDescent="0.25">
      <c r="I378" s="37"/>
      <c r="J378" s="35"/>
    </row>
    <row r="379" spans="9:10" x14ac:dyDescent="0.25">
      <c r="I379" s="37"/>
      <c r="J379" s="35"/>
    </row>
    <row r="380" spans="9:10" x14ac:dyDescent="0.25">
      <c r="I380" s="37"/>
      <c r="J380" s="35"/>
    </row>
    <row r="381" spans="9:10" x14ac:dyDescent="0.25">
      <c r="I381" s="37"/>
      <c r="J381" s="35"/>
    </row>
    <row r="382" spans="9:10" x14ac:dyDescent="0.25">
      <c r="I382" s="37"/>
      <c r="J382" s="35"/>
    </row>
    <row r="383" spans="9:10" x14ac:dyDescent="0.25">
      <c r="I383" s="37"/>
      <c r="J383" s="35"/>
    </row>
    <row r="384" spans="9:10" x14ac:dyDescent="0.25">
      <c r="I384" s="37"/>
      <c r="J384" s="35"/>
    </row>
    <row r="385" spans="9:10" x14ac:dyDescent="0.25">
      <c r="I385" s="37"/>
      <c r="J385" s="35"/>
    </row>
    <row r="386" spans="9:10" x14ac:dyDescent="0.25">
      <c r="I386" s="37"/>
      <c r="J386" s="35"/>
    </row>
    <row r="387" spans="9:10" x14ac:dyDescent="0.25">
      <c r="I387" s="37"/>
      <c r="J387" s="35"/>
    </row>
    <row r="388" spans="9:10" x14ac:dyDescent="0.25">
      <c r="I388" s="37"/>
      <c r="J388" s="35"/>
    </row>
    <row r="389" spans="9:10" x14ac:dyDescent="0.25">
      <c r="I389" s="37"/>
      <c r="J389" s="35"/>
    </row>
    <row r="390" spans="9:10" x14ac:dyDescent="0.25">
      <c r="I390" s="37"/>
      <c r="J390" s="35"/>
    </row>
    <row r="391" spans="9:10" x14ac:dyDescent="0.25">
      <c r="I391" s="37"/>
      <c r="J391" s="35"/>
    </row>
    <row r="392" spans="9:10" x14ac:dyDescent="0.25">
      <c r="I392" s="37"/>
      <c r="J392" s="35"/>
    </row>
    <row r="393" spans="9:10" x14ac:dyDescent="0.25">
      <c r="I393" s="37"/>
      <c r="J393" s="35"/>
    </row>
    <row r="394" spans="9:10" x14ac:dyDescent="0.25">
      <c r="I394" s="37"/>
      <c r="J394" s="35"/>
    </row>
    <row r="395" spans="9:10" x14ac:dyDescent="0.25">
      <c r="I395" s="37"/>
      <c r="J395" s="35"/>
    </row>
    <row r="396" spans="9:10" x14ac:dyDescent="0.25">
      <c r="I396" s="37"/>
      <c r="J396" s="35"/>
    </row>
    <row r="397" spans="9:10" x14ac:dyDescent="0.25">
      <c r="I397" s="37"/>
      <c r="J397" s="35"/>
    </row>
    <row r="398" spans="9:10" x14ac:dyDescent="0.25">
      <c r="I398" s="37"/>
      <c r="J398" s="35"/>
    </row>
    <row r="399" spans="9:10" x14ac:dyDescent="0.25">
      <c r="I399" s="37"/>
      <c r="J399" s="35"/>
    </row>
    <row r="400" spans="9:10" x14ac:dyDescent="0.25">
      <c r="I400" s="37"/>
      <c r="J400" s="35"/>
    </row>
    <row r="401" spans="9:10" x14ac:dyDescent="0.25">
      <c r="I401" s="37"/>
      <c r="J401" s="35"/>
    </row>
    <row r="402" spans="9:10" x14ac:dyDescent="0.25">
      <c r="I402" s="37"/>
      <c r="J402" s="35"/>
    </row>
    <row r="403" spans="9:10" x14ac:dyDescent="0.25">
      <c r="I403" s="37"/>
      <c r="J403" s="35"/>
    </row>
    <row r="404" spans="9:10" x14ac:dyDescent="0.25">
      <c r="I404" s="37"/>
      <c r="J404" s="35"/>
    </row>
    <row r="405" spans="9:10" x14ac:dyDescent="0.25">
      <c r="I405" s="37"/>
      <c r="J405" s="35"/>
    </row>
    <row r="406" spans="9:10" x14ac:dyDescent="0.25">
      <c r="I406" s="37"/>
      <c r="J406" s="35"/>
    </row>
    <row r="407" spans="9:10" x14ac:dyDescent="0.25">
      <c r="I407" s="37"/>
      <c r="J407" s="35"/>
    </row>
    <row r="408" spans="9:10" x14ac:dyDescent="0.25">
      <c r="I408" s="37"/>
      <c r="J408" s="35"/>
    </row>
    <row r="409" spans="9:10" x14ac:dyDescent="0.25">
      <c r="I409" s="37"/>
      <c r="J409" s="35"/>
    </row>
    <row r="410" spans="9:10" x14ac:dyDescent="0.25">
      <c r="I410" s="37"/>
      <c r="J410" s="35"/>
    </row>
    <row r="411" spans="9:10" x14ac:dyDescent="0.25">
      <c r="I411" s="37"/>
      <c r="J411" s="35"/>
    </row>
    <row r="412" spans="9:10" x14ac:dyDescent="0.25">
      <c r="I412" s="37"/>
      <c r="J412" s="35"/>
    </row>
    <row r="413" spans="9:10" x14ac:dyDescent="0.25">
      <c r="I413" s="37"/>
      <c r="J413" s="35"/>
    </row>
    <row r="414" spans="9:10" x14ac:dyDescent="0.25">
      <c r="I414" s="37"/>
      <c r="J414" s="35"/>
    </row>
    <row r="415" spans="9:10" x14ac:dyDescent="0.25">
      <c r="I415" s="37"/>
      <c r="J415" s="35"/>
    </row>
    <row r="416" spans="9:10" x14ac:dyDescent="0.25">
      <c r="I416" s="37"/>
      <c r="J416" s="35"/>
    </row>
    <row r="417" spans="9:10" x14ac:dyDescent="0.25">
      <c r="I417" s="37"/>
      <c r="J417" s="35"/>
    </row>
    <row r="418" spans="9:10" x14ac:dyDescent="0.25">
      <c r="I418" s="37"/>
      <c r="J418" s="35"/>
    </row>
    <row r="419" spans="9:10" x14ac:dyDescent="0.25">
      <c r="I419" s="37"/>
      <c r="J419" s="35"/>
    </row>
    <row r="420" spans="9:10" x14ac:dyDescent="0.25">
      <c r="I420" s="37"/>
      <c r="J420" s="35"/>
    </row>
    <row r="421" spans="9:10" x14ac:dyDescent="0.25">
      <c r="I421" s="37"/>
      <c r="J421" s="35"/>
    </row>
    <row r="422" spans="9:10" x14ac:dyDescent="0.25">
      <c r="I422" s="37"/>
      <c r="J422" s="35"/>
    </row>
    <row r="423" spans="9:10" x14ac:dyDescent="0.25">
      <c r="I423" s="37"/>
      <c r="J423" s="35"/>
    </row>
    <row r="424" spans="9:10" x14ac:dyDescent="0.25">
      <c r="I424" s="37"/>
      <c r="J424" s="35"/>
    </row>
    <row r="425" spans="9:10" x14ac:dyDescent="0.25">
      <c r="I425" s="37"/>
      <c r="J425" s="35"/>
    </row>
    <row r="426" spans="9:10" x14ac:dyDescent="0.25">
      <c r="I426" s="37"/>
      <c r="J426" s="35"/>
    </row>
    <row r="427" spans="9:10" x14ac:dyDescent="0.25">
      <c r="I427" s="37"/>
      <c r="J427" s="35"/>
    </row>
    <row r="428" spans="9:10" x14ac:dyDescent="0.25">
      <c r="I428" s="37"/>
      <c r="J428" s="35"/>
    </row>
    <row r="429" spans="9:10" x14ac:dyDescent="0.25">
      <c r="I429" s="37"/>
      <c r="J429" s="35"/>
    </row>
    <row r="430" spans="9:10" x14ac:dyDescent="0.25">
      <c r="I430" s="37"/>
      <c r="J430" s="35"/>
    </row>
    <row r="431" spans="9:10" x14ac:dyDescent="0.25">
      <c r="I431" s="37"/>
      <c r="J431" s="35"/>
    </row>
    <row r="432" spans="9:10" x14ac:dyDescent="0.25">
      <c r="I432" s="37"/>
      <c r="J432" s="35"/>
    </row>
    <row r="433" spans="9:10" x14ac:dyDescent="0.25">
      <c r="I433" s="37"/>
      <c r="J433" s="35"/>
    </row>
    <row r="434" spans="9:10" x14ac:dyDescent="0.25">
      <c r="I434" s="37"/>
      <c r="J434" s="35"/>
    </row>
    <row r="435" spans="9:10" x14ac:dyDescent="0.25">
      <c r="I435" s="37"/>
      <c r="J435" s="35"/>
    </row>
    <row r="436" spans="9:10" x14ac:dyDescent="0.25">
      <c r="I436" s="37"/>
      <c r="J436" s="35"/>
    </row>
    <row r="437" spans="9:10" x14ac:dyDescent="0.25">
      <c r="I437" s="37"/>
      <c r="J437" s="35"/>
    </row>
    <row r="438" spans="9:10" x14ac:dyDescent="0.25">
      <c r="I438" s="37"/>
      <c r="J438" s="35"/>
    </row>
    <row r="439" spans="9:10" x14ac:dyDescent="0.25">
      <c r="I439" s="37"/>
      <c r="J439" s="35"/>
    </row>
    <row r="440" spans="9:10" x14ac:dyDescent="0.25">
      <c r="I440" s="37"/>
      <c r="J440" s="35"/>
    </row>
    <row r="441" spans="9:10" x14ac:dyDescent="0.25">
      <c r="I441" s="37"/>
      <c r="J441" s="35"/>
    </row>
    <row r="442" spans="9:10" x14ac:dyDescent="0.25">
      <c r="I442" s="37"/>
      <c r="J442" s="35"/>
    </row>
    <row r="443" spans="9:10" x14ac:dyDescent="0.25">
      <c r="I443" s="37"/>
      <c r="J443" s="35"/>
    </row>
    <row r="444" spans="9:10" x14ac:dyDescent="0.25">
      <c r="I444" s="37"/>
      <c r="J444" s="35"/>
    </row>
    <row r="445" spans="9:10" x14ac:dyDescent="0.25">
      <c r="I445" s="37"/>
      <c r="J445" s="35"/>
    </row>
    <row r="446" spans="9:10" x14ac:dyDescent="0.25">
      <c r="I446" s="37"/>
      <c r="J446" s="35"/>
    </row>
    <row r="447" spans="9:10" x14ac:dyDescent="0.25">
      <c r="I447" s="37"/>
      <c r="J447" s="35"/>
    </row>
    <row r="448" spans="9:10" x14ac:dyDescent="0.25">
      <c r="I448" s="37"/>
      <c r="J448" s="35"/>
    </row>
    <row r="449" spans="9:10" x14ac:dyDescent="0.25">
      <c r="I449" s="37"/>
      <c r="J449" s="35"/>
    </row>
    <row r="450" spans="9:10" x14ac:dyDescent="0.25">
      <c r="I450" s="37"/>
      <c r="J450" s="35"/>
    </row>
    <row r="451" spans="9:10" x14ac:dyDescent="0.25">
      <c r="I451" s="37"/>
      <c r="J451" s="35"/>
    </row>
    <row r="452" spans="9:10" x14ac:dyDescent="0.25">
      <c r="I452" s="37"/>
      <c r="J452" s="35"/>
    </row>
    <row r="453" spans="9:10" x14ac:dyDescent="0.25">
      <c r="I453" s="37"/>
      <c r="J453" s="35"/>
    </row>
    <row r="454" spans="9:10" x14ac:dyDescent="0.25">
      <c r="I454" s="37"/>
      <c r="J454" s="35"/>
    </row>
    <row r="455" spans="9:10" x14ac:dyDescent="0.25">
      <c r="I455" s="37"/>
      <c r="J455" s="35"/>
    </row>
    <row r="456" spans="9:10" x14ac:dyDescent="0.25">
      <c r="I456" s="37"/>
      <c r="J456" s="35"/>
    </row>
    <row r="457" spans="9:10" x14ac:dyDescent="0.25">
      <c r="I457" s="37"/>
      <c r="J457" s="35"/>
    </row>
    <row r="458" spans="9:10" x14ac:dyDescent="0.25">
      <c r="I458" s="37"/>
      <c r="J458" s="35"/>
    </row>
    <row r="459" spans="9:10" x14ac:dyDescent="0.25">
      <c r="I459" s="37"/>
      <c r="J459" s="35"/>
    </row>
    <row r="460" spans="9:10" x14ac:dyDescent="0.25">
      <c r="I460" s="37"/>
      <c r="J460" s="35"/>
    </row>
    <row r="461" spans="9:10" x14ac:dyDescent="0.25">
      <c r="I461" s="37"/>
      <c r="J461" s="35"/>
    </row>
    <row r="462" spans="9:10" x14ac:dyDescent="0.25">
      <c r="I462" s="37"/>
      <c r="J462" s="35"/>
    </row>
    <row r="463" spans="9:10" x14ac:dyDescent="0.25">
      <c r="I463" s="37"/>
      <c r="J463" s="35"/>
    </row>
    <row r="464" spans="9:10" x14ac:dyDescent="0.25">
      <c r="I464" s="37"/>
      <c r="J464" s="35"/>
    </row>
    <row r="465" spans="9:10" x14ac:dyDescent="0.25">
      <c r="I465" s="37"/>
      <c r="J465" s="35"/>
    </row>
    <row r="466" spans="9:10" x14ac:dyDescent="0.25">
      <c r="I466" s="37"/>
      <c r="J466" s="35"/>
    </row>
    <row r="467" spans="9:10" x14ac:dyDescent="0.25">
      <c r="I467" s="37"/>
      <c r="J467" s="35"/>
    </row>
    <row r="468" spans="9:10" x14ac:dyDescent="0.25">
      <c r="I468" s="37"/>
      <c r="J468" s="35"/>
    </row>
    <row r="469" spans="9:10" x14ac:dyDescent="0.25">
      <c r="I469" s="37"/>
      <c r="J469" s="35"/>
    </row>
    <row r="470" spans="9:10" x14ac:dyDescent="0.25">
      <c r="I470" s="37"/>
      <c r="J470" s="35"/>
    </row>
    <row r="471" spans="9:10" x14ac:dyDescent="0.25">
      <c r="I471" s="37"/>
      <c r="J471" s="35"/>
    </row>
    <row r="472" spans="9:10" x14ac:dyDescent="0.25">
      <c r="I472" s="37"/>
      <c r="J472" s="35"/>
    </row>
    <row r="473" spans="9:10" x14ac:dyDescent="0.25">
      <c r="I473" s="37"/>
      <c r="J473" s="35"/>
    </row>
    <row r="474" spans="9:10" x14ac:dyDescent="0.25">
      <c r="I474" s="37"/>
      <c r="J474" s="35"/>
    </row>
    <row r="475" spans="9:10" x14ac:dyDescent="0.25">
      <c r="I475" s="37"/>
      <c r="J475" s="35"/>
    </row>
    <row r="476" spans="9:10" x14ac:dyDescent="0.25">
      <c r="I476" s="37"/>
      <c r="J476" s="35"/>
    </row>
    <row r="477" spans="9:10" x14ac:dyDescent="0.25">
      <c r="I477" s="37"/>
      <c r="J477" s="35"/>
    </row>
    <row r="478" spans="9:10" x14ac:dyDescent="0.25">
      <c r="I478" s="37"/>
      <c r="J478" s="35"/>
    </row>
    <row r="479" spans="9:10" x14ac:dyDescent="0.25">
      <c r="I479" s="37"/>
      <c r="J479" s="35"/>
    </row>
    <row r="480" spans="9:10" x14ac:dyDescent="0.25">
      <c r="I480" s="37"/>
      <c r="J480" s="35"/>
    </row>
    <row r="481" spans="9:10" x14ac:dyDescent="0.25">
      <c r="I481" s="37"/>
      <c r="J481" s="35"/>
    </row>
    <row r="482" spans="9:10" x14ac:dyDescent="0.25">
      <c r="I482" s="37"/>
      <c r="J482" s="35"/>
    </row>
    <row r="483" spans="9:10" x14ac:dyDescent="0.25">
      <c r="I483" s="37"/>
      <c r="J483" s="35"/>
    </row>
    <row r="484" spans="9:10" x14ac:dyDescent="0.25">
      <c r="I484" s="37"/>
      <c r="J484" s="35"/>
    </row>
    <row r="485" spans="9:10" x14ac:dyDescent="0.25">
      <c r="I485" s="37"/>
      <c r="J485" s="35"/>
    </row>
    <row r="486" spans="9:10" x14ac:dyDescent="0.25">
      <c r="I486" s="37"/>
      <c r="J486" s="35"/>
    </row>
    <row r="487" spans="9:10" x14ac:dyDescent="0.25">
      <c r="I487" s="37"/>
      <c r="J487" s="35"/>
    </row>
    <row r="488" spans="9:10" x14ac:dyDescent="0.25">
      <c r="I488" s="37"/>
      <c r="J488" s="35"/>
    </row>
    <row r="489" spans="9:10" x14ac:dyDescent="0.25">
      <c r="I489" s="37"/>
      <c r="J489" s="35"/>
    </row>
    <row r="490" spans="9:10" x14ac:dyDescent="0.25">
      <c r="I490" s="37"/>
      <c r="J490" s="35"/>
    </row>
    <row r="491" spans="9:10" x14ac:dyDescent="0.25">
      <c r="I491" s="37"/>
      <c r="J491" s="35"/>
    </row>
    <row r="492" spans="9:10" x14ac:dyDescent="0.25">
      <c r="I492" s="37"/>
      <c r="J492" s="35"/>
    </row>
    <row r="493" spans="9:10" x14ac:dyDescent="0.25">
      <c r="I493" s="37"/>
      <c r="J493" s="35"/>
    </row>
    <row r="494" spans="9:10" x14ac:dyDescent="0.25">
      <c r="I494" s="37"/>
      <c r="J494" s="35"/>
    </row>
    <row r="495" spans="9:10" x14ac:dyDescent="0.25">
      <c r="I495" s="37"/>
      <c r="J495" s="35"/>
    </row>
    <row r="496" spans="9:10" x14ac:dyDescent="0.25">
      <c r="I496" s="37"/>
      <c r="J496" s="35"/>
    </row>
    <row r="497" spans="9:10" x14ac:dyDescent="0.25">
      <c r="I497" s="37"/>
      <c r="J497" s="35"/>
    </row>
    <row r="498" spans="9:10" x14ac:dyDescent="0.25">
      <c r="I498" s="37"/>
      <c r="J498" s="35"/>
    </row>
    <row r="499" spans="9:10" x14ac:dyDescent="0.25">
      <c r="I499" s="37"/>
      <c r="J499" s="35"/>
    </row>
    <row r="500" spans="9:10" x14ac:dyDescent="0.25">
      <c r="I500" s="37"/>
      <c r="J500" s="35"/>
    </row>
    <row r="501" spans="9:10" x14ac:dyDescent="0.25">
      <c r="I501" s="37"/>
      <c r="J501" s="35"/>
    </row>
    <row r="502" spans="9:10" x14ac:dyDescent="0.25">
      <c r="I502" s="37"/>
      <c r="J502" s="35"/>
    </row>
    <row r="503" spans="9:10" x14ac:dyDescent="0.25">
      <c r="I503" s="37"/>
      <c r="J503" s="35"/>
    </row>
    <row r="504" spans="9:10" x14ac:dyDescent="0.25">
      <c r="I504" s="37"/>
      <c r="J504" s="35"/>
    </row>
    <row r="505" spans="9:10" x14ac:dyDescent="0.25">
      <c r="I505" s="37"/>
      <c r="J505" s="35"/>
    </row>
    <row r="506" spans="9:10" x14ac:dyDescent="0.25">
      <c r="I506" s="37"/>
      <c r="J506" s="35"/>
    </row>
    <row r="507" spans="9:10" x14ac:dyDescent="0.25">
      <c r="I507" s="37"/>
      <c r="J507" s="35"/>
    </row>
    <row r="508" spans="9:10" x14ac:dyDescent="0.25">
      <c r="I508" s="37"/>
      <c r="J508" s="35"/>
    </row>
    <row r="509" spans="9:10" x14ac:dyDescent="0.25">
      <c r="I509" s="37"/>
      <c r="J509" s="35"/>
    </row>
    <row r="510" spans="9:10" x14ac:dyDescent="0.25">
      <c r="I510" s="37"/>
      <c r="J510" s="35"/>
    </row>
    <row r="511" spans="9:10" x14ac:dyDescent="0.25">
      <c r="I511" s="37"/>
      <c r="J511" s="35"/>
    </row>
    <row r="512" spans="9:10" x14ac:dyDescent="0.25">
      <c r="I512" s="37"/>
      <c r="J512" s="35"/>
    </row>
    <row r="513" spans="9:10" x14ac:dyDescent="0.25">
      <c r="I513" s="37"/>
      <c r="J513" s="35"/>
    </row>
    <row r="514" spans="9:10" x14ac:dyDescent="0.25">
      <c r="I514" s="37"/>
      <c r="J514" s="35"/>
    </row>
    <row r="515" spans="9:10" x14ac:dyDescent="0.25">
      <c r="I515" s="37"/>
      <c r="J515" s="35"/>
    </row>
    <row r="516" spans="9:10" x14ac:dyDescent="0.25">
      <c r="I516" s="37"/>
      <c r="J516" s="35"/>
    </row>
    <row r="517" spans="9:10" x14ac:dyDescent="0.25">
      <c r="I517" s="37"/>
      <c r="J517" s="35"/>
    </row>
    <row r="518" spans="9:10" x14ac:dyDescent="0.25">
      <c r="I518" s="37"/>
      <c r="J518" s="35"/>
    </row>
    <row r="519" spans="9:10" x14ac:dyDescent="0.25">
      <c r="I519" s="37"/>
      <c r="J519" s="35"/>
    </row>
    <row r="520" spans="9:10" x14ac:dyDescent="0.25">
      <c r="I520" s="37"/>
      <c r="J520" s="35"/>
    </row>
    <row r="521" spans="9:10" x14ac:dyDescent="0.25">
      <c r="I521" s="37"/>
      <c r="J521" s="35"/>
    </row>
    <row r="522" spans="9:10" x14ac:dyDescent="0.25">
      <c r="I522" s="37"/>
      <c r="J522" s="35"/>
    </row>
    <row r="523" spans="9:10" x14ac:dyDescent="0.25">
      <c r="I523" s="37"/>
      <c r="J523" s="35"/>
    </row>
    <row r="524" spans="9:10" x14ac:dyDescent="0.25">
      <c r="I524" s="37"/>
      <c r="J524" s="35"/>
    </row>
    <row r="525" spans="9:10" x14ac:dyDescent="0.25">
      <c r="I525" s="37"/>
      <c r="J525" s="35"/>
    </row>
    <row r="526" spans="9:10" x14ac:dyDescent="0.25">
      <c r="I526" s="37"/>
      <c r="J526" s="35"/>
    </row>
    <row r="527" spans="9:10" x14ac:dyDescent="0.25">
      <c r="I527" s="37"/>
      <c r="J527" s="35"/>
    </row>
    <row r="528" spans="9:10" x14ac:dyDescent="0.25">
      <c r="I528" s="37"/>
      <c r="J528" s="35"/>
    </row>
    <row r="529" spans="9:10" x14ac:dyDescent="0.25">
      <c r="I529" s="37"/>
      <c r="J529" s="35"/>
    </row>
    <row r="530" spans="9:10" x14ac:dyDescent="0.25">
      <c r="I530" s="37"/>
      <c r="J530" s="35"/>
    </row>
    <row r="531" spans="9:10" x14ac:dyDescent="0.25">
      <c r="I531" s="37"/>
      <c r="J531" s="35"/>
    </row>
    <row r="532" spans="9:10" x14ac:dyDescent="0.25">
      <c r="I532" s="37"/>
      <c r="J532" s="35"/>
    </row>
    <row r="533" spans="9:10" x14ac:dyDescent="0.25">
      <c r="I533" s="37"/>
      <c r="J533" s="35"/>
    </row>
    <row r="534" spans="9:10" x14ac:dyDescent="0.25">
      <c r="I534" s="37"/>
      <c r="J534" s="35"/>
    </row>
    <row r="535" spans="9:10" x14ac:dyDescent="0.25">
      <c r="I535" s="37"/>
      <c r="J535" s="35"/>
    </row>
    <row r="536" spans="9:10" x14ac:dyDescent="0.25">
      <c r="I536" s="37"/>
      <c r="J536" s="35"/>
    </row>
    <row r="537" spans="9:10" x14ac:dyDescent="0.25">
      <c r="I537" s="37"/>
      <c r="J537" s="35"/>
    </row>
    <row r="538" spans="9:10" x14ac:dyDescent="0.25">
      <c r="I538" s="37"/>
      <c r="J538" s="35"/>
    </row>
    <row r="539" spans="9:10" x14ac:dyDescent="0.25">
      <c r="I539" s="37"/>
      <c r="J539" s="35"/>
    </row>
    <row r="540" spans="9:10" x14ac:dyDescent="0.25">
      <c r="I540" s="37"/>
      <c r="J540" s="35"/>
    </row>
    <row r="541" spans="9:10" x14ac:dyDescent="0.25">
      <c r="I541" s="37"/>
      <c r="J541" s="35"/>
    </row>
    <row r="542" spans="9:10" x14ac:dyDescent="0.25">
      <c r="I542" s="37"/>
      <c r="J542" s="35"/>
    </row>
    <row r="543" spans="9:10" x14ac:dyDescent="0.25">
      <c r="I543" s="37"/>
      <c r="J543" s="35"/>
    </row>
    <row r="544" spans="9:10" x14ac:dyDescent="0.25">
      <c r="I544" s="37"/>
      <c r="J544" s="35"/>
    </row>
    <row r="545" spans="9:10" x14ac:dyDescent="0.25">
      <c r="I545" s="37"/>
      <c r="J545" s="35"/>
    </row>
    <row r="546" spans="9:10" x14ac:dyDescent="0.25">
      <c r="I546" s="37"/>
      <c r="J546" s="35"/>
    </row>
    <row r="547" spans="9:10" x14ac:dyDescent="0.25">
      <c r="I547" s="37"/>
      <c r="J547" s="35"/>
    </row>
    <row r="548" spans="9:10" x14ac:dyDescent="0.25">
      <c r="I548" s="37"/>
      <c r="J548" s="35"/>
    </row>
    <row r="549" spans="9:10" x14ac:dyDescent="0.25">
      <c r="I549" s="37"/>
      <c r="J549" s="35"/>
    </row>
    <row r="550" spans="9:10" x14ac:dyDescent="0.25">
      <c r="I550" s="37"/>
      <c r="J550" s="35"/>
    </row>
    <row r="551" spans="9:10" x14ac:dyDescent="0.25">
      <c r="I551" s="37"/>
      <c r="J551" s="35"/>
    </row>
    <row r="552" spans="9:10" x14ac:dyDescent="0.25">
      <c r="I552" s="37"/>
      <c r="J552" s="35"/>
    </row>
    <row r="553" spans="9:10" x14ac:dyDescent="0.25">
      <c r="I553" s="37"/>
      <c r="J553" s="35"/>
    </row>
    <row r="554" spans="9:10" x14ac:dyDescent="0.25">
      <c r="I554" s="37"/>
      <c r="J554" s="35"/>
    </row>
    <row r="555" spans="9:10" x14ac:dyDescent="0.25">
      <c r="I555" s="37"/>
      <c r="J555" s="35"/>
    </row>
    <row r="556" spans="9:10" x14ac:dyDescent="0.25">
      <c r="I556" s="37"/>
      <c r="J556" s="35"/>
    </row>
    <row r="557" spans="9:10" x14ac:dyDescent="0.25">
      <c r="I557" s="37"/>
      <c r="J557" s="35"/>
    </row>
    <row r="558" spans="9:10" x14ac:dyDescent="0.25">
      <c r="I558" s="37"/>
      <c r="J558" s="35"/>
    </row>
    <row r="559" spans="9:10" x14ac:dyDescent="0.25">
      <c r="I559" s="37"/>
      <c r="J559" s="35"/>
    </row>
    <row r="560" spans="9:10" x14ac:dyDescent="0.25">
      <c r="I560" s="37"/>
      <c r="J560" s="35"/>
    </row>
    <row r="561" spans="9:10" x14ac:dyDescent="0.25">
      <c r="I561" s="37"/>
      <c r="J561" s="35"/>
    </row>
    <row r="562" spans="9:10" x14ac:dyDescent="0.25">
      <c r="I562" s="37"/>
      <c r="J562" s="35"/>
    </row>
    <row r="563" spans="9:10" x14ac:dyDescent="0.25">
      <c r="I563" s="37"/>
      <c r="J563" s="35"/>
    </row>
    <row r="564" spans="9:10" x14ac:dyDescent="0.25">
      <c r="I564" s="37"/>
      <c r="J564" s="35"/>
    </row>
    <row r="565" spans="9:10" x14ac:dyDescent="0.25">
      <c r="I565" s="37"/>
      <c r="J565" s="35"/>
    </row>
    <row r="566" spans="9:10" x14ac:dyDescent="0.25">
      <c r="I566" s="37"/>
      <c r="J566" s="35"/>
    </row>
    <row r="567" spans="9:10" x14ac:dyDescent="0.25">
      <c r="I567" s="37"/>
      <c r="J567" s="35"/>
    </row>
    <row r="568" spans="9:10" x14ac:dyDescent="0.25">
      <c r="I568" s="37"/>
      <c r="J568" s="35"/>
    </row>
    <row r="569" spans="9:10" x14ac:dyDescent="0.25">
      <c r="I569" s="37"/>
      <c r="J569" s="35"/>
    </row>
    <row r="570" spans="9:10" x14ac:dyDescent="0.25">
      <c r="I570" s="37"/>
      <c r="J570" s="35"/>
    </row>
    <row r="571" spans="9:10" x14ac:dyDescent="0.25">
      <c r="I571" s="37"/>
      <c r="J571" s="35"/>
    </row>
    <row r="572" spans="9:10" x14ac:dyDescent="0.25">
      <c r="I572" s="37"/>
      <c r="J572" s="35"/>
    </row>
    <row r="573" spans="9:10" x14ac:dyDescent="0.25">
      <c r="I573" s="37"/>
      <c r="J573" s="35"/>
    </row>
    <row r="574" spans="9:10" x14ac:dyDescent="0.25">
      <c r="I574" s="37"/>
      <c r="J574" s="35"/>
    </row>
    <row r="575" spans="9:10" x14ac:dyDescent="0.25">
      <c r="I575" s="37"/>
      <c r="J575" s="35"/>
    </row>
    <row r="576" spans="9:10" x14ac:dyDescent="0.25">
      <c r="I576" s="37"/>
      <c r="J576" s="35"/>
    </row>
    <row r="577" spans="9:10" x14ac:dyDescent="0.25">
      <c r="I577" s="37"/>
      <c r="J577" s="35"/>
    </row>
    <row r="578" spans="9:10" x14ac:dyDescent="0.25">
      <c r="I578" s="37"/>
      <c r="J578" s="35"/>
    </row>
    <row r="579" spans="9:10" x14ac:dyDescent="0.25">
      <c r="I579" s="37"/>
      <c r="J579" s="35"/>
    </row>
    <row r="580" spans="9:10" x14ac:dyDescent="0.25">
      <c r="I580" s="37"/>
      <c r="J580" s="35"/>
    </row>
    <row r="581" spans="9:10" x14ac:dyDescent="0.25">
      <c r="I581" s="37"/>
      <c r="J581" s="35"/>
    </row>
    <row r="582" spans="9:10" x14ac:dyDescent="0.25">
      <c r="I582" s="37"/>
      <c r="J582" s="35"/>
    </row>
    <row r="583" spans="9:10" x14ac:dyDescent="0.25">
      <c r="I583" s="37"/>
      <c r="J583" s="35"/>
    </row>
    <row r="584" spans="9:10" x14ac:dyDescent="0.25">
      <c r="I584" s="37"/>
      <c r="J584" s="35"/>
    </row>
    <row r="585" spans="9:10" x14ac:dyDescent="0.25">
      <c r="I585" s="37"/>
      <c r="J585" s="35"/>
    </row>
    <row r="586" spans="9:10" x14ac:dyDescent="0.25">
      <c r="I586" s="37"/>
      <c r="J586" s="35"/>
    </row>
    <row r="587" spans="9:10" x14ac:dyDescent="0.25">
      <c r="I587" s="37"/>
      <c r="J587" s="35"/>
    </row>
    <row r="588" spans="9:10" x14ac:dyDescent="0.25">
      <c r="I588" s="37"/>
      <c r="J588" s="35"/>
    </row>
    <row r="589" spans="9:10" x14ac:dyDescent="0.25">
      <c r="I589" s="37"/>
      <c r="J589" s="35"/>
    </row>
    <row r="590" spans="9:10" x14ac:dyDescent="0.25">
      <c r="I590" s="37"/>
      <c r="J590" s="35"/>
    </row>
    <row r="591" spans="9:10" x14ac:dyDescent="0.25">
      <c r="I591" s="37"/>
      <c r="J591" s="35"/>
    </row>
    <row r="592" spans="9:10" x14ac:dyDescent="0.25">
      <c r="I592" s="37"/>
      <c r="J592" s="35"/>
    </row>
    <row r="593" spans="9:10" x14ac:dyDescent="0.25">
      <c r="I593" s="37"/>
      <c r="J593" s="35"/>
    </row>
    <row r="594" spans="9:10" x14ac:dyDescent="0.25">
      <c r="I594" s="37"/>
      <c r="J594" s="35"/>
    </row>
    <row r="595" spans="9:10" x14ac:dyDescent="0.25">
      <c r="I595" s="37"/>
      <c r="J595" s="35"/>
    </row>
    <row r="596" spans="9:10" x14ac:dyDescent="0.25">
      <c r="I596" s="37"/>
      <c r="J596" s="35"/>
    </row>
    <row r="597" spans="9:10" x14ac:dyDescent="0.25">
      <c r="I597" s="37"/>
      <c r="J597" s="35"/>
    </row>
    <row r="598" spans="9:10" x14ac:dyDescent="0.25">
      <c r="I598" s="37"/>
      <c r="J598" s="35"/>
    </row>
    <row r="599" spans="9:10" x14ac:dyDescent="0.25">
      <c r="I599" s="37"/>
      <c r="J599" s="35"/>
    </row>
    <row r="600" spans="9:10" x14ac:dyDescent="0.25">
      <c r="I600" s="37"/>
      <c r="J600" s="35"/>
    </row>
    <row r="601" spans="9:10" x14ac:dyDescent="0.25">
      <c r="I601" s="37"/>
      <c r="J601" s="35"/>
    </row>
    <row r="602" spans="9:10" x14ac:dyDescent="0.25">
      <c r="I602" s="37"/>
      <c r="J602" s="35"/>
    </row>
    <row r="603" spans="9:10" x14ac:dyDescent="0.25">
      <c r="I603" s="37"/>
      <c r="J603" s="35"/>
    </row>
    <row r="604" spans="9:10" x14ac:dyDescent="0.25">
      <c r="I604" s="37"/>
      <c r="J604" s="35"/>
    </row>
    <row r="605" spans="9:10" x14ac:dyDescent="0.25">
      <c r="I605" s="37"/>
      <c r="J605" s="35"/>
    </row>
    <row r="606" spans="9:10" x14ac:dyDescent="0.25">
      <c r="I606" s="37"/>
      <c r="J606" s="35"/>
    </row>
    <row r="607" spans="9:10" x14ac:dyDescent="0.25">
      <c r="I607" s="37"/>
      <c r="J607" s="35"/>
    </row>
    <row r="608" spans="9:10" x14ac:dyDescent="0.25">
      <c r="I608" s="37"/>
      <c r="J608" s="35"/>
    </row>
    <row r="609" spans="9:10" x14ac:dyDescent="0.25">
      <c r="I609" s="37"/>
      <c r="J609" s="35"/>
    </row>
    <row r="610" spans="9:10" x14ac:dyDescent="0.25">
      <c r="I610" s="37"/>
      <c r="J610" s="35"/>
    </row>
    <row r="611" spans="9:10" x14ac:dyDescent="0.25">
      <c r="I611" s="37"/>
      <c r="J611" s="35"/>
    </row>
    <row r="612" spans="9:10" x14ac:dyDescent="0.25">
      <c r="I612" s="37"/>
      <c r="J612" s="35"/>
    </row>
    <row r="613" spans="9:10" x14ac:dyDescent="0.25">
      <c r="I613" s="37"/>
      <c r="J613" s="35"/>
    </row>
    <row r="614" spans="9:10" x14ac:dyDescent="0.25">
      <c r="I614" s="37"/>
      <c r="J614" s="35"/>
    </row>
    <row r="615" spans="9:10" x14ac:dyDescent="0.25">
      <c r="I615" s="37"/>
      <c r="J615" s="35"/>
    </row>
    <row r="616" spans="9:10" x14ac:dyDescent="0.25">
      <c r="I616" s="37"/>
      <c r="J616" s="35"/>
    </row>
    <row r="617" spans="9:10" x14ac:dyDescent="0.25">
      <c r="I617" s="37"/>
      <c r="J617" s="35"/>
    </row>
    <row r="618" spans="9:10" x14ac:dyDescent="0.25">
      <c r="I618" s="37"/>
      <c r="J618" s="35"/>
    </row>
    <row r="619" spans="9:10" x14ac:dyDescent="0.25">
      <c r="I619" s="37"/>
      <c r="J619" s="35"/>
    </row>
    <row r="620" spans="9:10" x14ac:dyDescent="0.25">
      <c r="I620" s="37"/>
      <c r="J620" s="35"/>
    </row>
    <row r="621" spans="9:10" x14ac:dyDescent="0.25">
      <c r="I621" s="37"/>
      <c r="J621" s="35"/>
    </row>
    <row r="622" spans="9:10" x14ac:dyDescent="0.25">
      <c r="I622" s="37"/>
      <c r="J622" s="35"/>
    </row>
    <row r="623" spans="9:10" x14ac:dyDescent="0.25">
      <c r="I623" s="37"/>
      <c r="J623" s="35"/>
    </row>
    <row r="624" spans="9:10" x14ac:dyDescent="0.25">
      <c r="I624" s="37"/>
      <c r="J624" s="35"/>
    </row>
    <row r="625" spans="9:10" x14ac:dyDescent="0.25">
      <c r="I625" s="37"/>
      <c r="J625" s="35"/>
    </row>
    <row r="626" spans="9:10" x14ac:dyDescent="0.25">
      <c r="I626" s="37"/>
      <c r="J626" s="35"/>
    </row>
    <row r="627" spans="9:10" x14ac:dyDescent="0.25">
      <c r="I627" s="37"/>
      <c r="J627" s="35"/>
    </row>
    <row r="628" spans="9:10" x14ac:dyDescent="0.25">
      <c r="I628" s="37"/>
      <c r="J628" s="35"/>
    </row>
    <row r="629" spans="9:10" x14ac:dyDescent="0.25">
      <c r="I629" s="37"/>
      <c r="J629" s="35"/>
    </row>
    <row r="630" spans="9:10" x14ac:dyDescent="0.25">
      <c r="I630" s="37"/>
      <c r="J630" s="35"/>
    </row>
    <row r="631" spans="9:10" x14ac:dyDescent="0.25">
      <c r="I631" s="37"/>
      <c r="J631" s="35"/>
    </row>
    <row r="632" spans="9:10" x14ac:dyDescent="0.25">
      <c r="I632" s="37"/>
      <c r="J632" s="35"/>
    </row>
    <row r="633" spans="9:10" x14ac:dyDescent="0.25">
      <c r="I633" s="37"/>
      <c r="J633" s="35"/>
    </row>
    <row r="634" spans="9:10" x14ac:dyDescent="0.25">
      <c r="I634" s="37"/>
      <c r="J634" s="35"/>
    </row>
    <row r="635" spans="9:10" x14ac:dyDescent="0.25">
      <c r="I635" s="37"/>
      <c r="J635" s="35"/>
    </row>
    <row r="636" spans="9:10" x14ac:dyDescent="0.25">
      <c r="I636" s="37"/>
      <c r="J636" s="35"/>
    </row>
    <row r="637" spans="9:10" x14ac:dyDescent="0.25">
      <c r="I637" s="37"/>
      <c r="J637" s="35"/>
    </row>
    <row r="638" spans="9:10" x14ac:dyDescent="0.25">
      <c r="I638" s="37"/>
      <c r="J638" s="35"/>
    </row>
    <row r="639" spans="9:10" x14ac:dyDescent="0.25">
      <c r="I639" s="37"/>
      <c r="J639" s="35"/>
    </row>
    <row r="640" spans="9:10" x14ac:dyDescent="0.25">
      <c r="I640" s="37"/>
      <c r="J640" s="35"/>
    </row>
    <row r="641" spans="9:10" x14ac:dyDescent="0.25">
      <c r="I641" s="37"/>
      <c r="J641" s="35"/>
    </row>
    <row r="642" spans="9:10" x14ac:dyDescent="0.25">
      <c r="I642" s="37"/>
      <c r="J642" s="35"/>
    </row>
    <row r="643" spans="9:10" x14ac:dyDescent="0.25">
      <c r="I643" s="37"/>
      <c r="J643" s="35"/>
    </row>
    <row r="644" spans="9:10" x14ac:dyDescent="0.25">
      <c r="I644" s="37"/>
      <c r="J644" s="35"/>
    </row>
    <row r="645" spans="9:10" x14ac:dyDescent="0.25">
      <c r="I645" s="37"/>
      <c r="J645" s="35"/>
    </row>
    <row r="646" spans="9:10" x14ac:dyDescent="0.25">
      <c r="I646" s="37"/>
      <c r="J646" s="35"/>
    </row>
    <row r="647" spans="9:10" x14ac:dyDescent="0.25">
      <c r="I647" s="37"/>
      <c r="J647" s="35"/>
    </row>
    <row r="648" spans="9:10" x14ac:dyDescent="0.25">
      <c r="I648" s="37"/>
      <c r="J648" s="35"/>
    </row>
    <row r="649" spans="9:10" x14ac:dyDescent="0.25">
      <c r="I649" s="37"/>
      <c r="J649" s="35"/>
    </row>
    <row r="650" spans="9:10" x14ac:dyDescent="0.25">
      <c r="I650" s="37"/>
      <c r="J650" s="35"/>
    </row>
    <row r="651" spans="9:10" x14ac:dyDescent="0.25">
      <c r="I651" s="37"/>
      <c r="J651" s="35"/>
    </row>
    <row r="652" spans="9:10" x14ac:dyDescent="0.25">
      <c r="I652" s="37"/>
      <c r="J652" s="35"/>
    </row>
    <row r="653" spans="9:10" x14ac:dyDescent="0.25">
      <c r="I653" s="37"/>
      <c r="J653" s="35"/>
    </row>
    <row r="654" spans="9:10" x14ac:dyDescent="0.25">
      <c r="I654" s="37"/>
      <c r="J654" s="35"/>
    </row>
    <row r="655" spans="9:10" x14ac:dyDescent="0.25">
      <c r="I655" s="37"/>
      <c r="J655" s="35"/>
    </row>
    <row r="656" spans="9:10" x14ac:dyDescent="0.25">
      <c r="I656" s="37"/>
      <c r="J656" s="35"/>
    </row>
    <row r="657" spans="9:10" x14ac:dyDescent="0.25">
      <c r="I657" s="37"/>
      <c r="J657" s="35"/>
    </row>
    <row r="658" spans="9:10" x14ac:dyDescent="0.25">
      <c r="I658" s="37"/>
      <c r="J658" s="35"/>
    </row>
    <row r="659" spans="9:10" x14ac:dyDescent="0.25">
      <c r="I659" s="37"/>
      <c r="J659" s="35"/>
    </row>
    <row r="660" spans="9:10" x14ac:dyDescent="0.25">
      <c r="I660" s="37"/>
      <c r="J660" s="35"/>
    </row>
    <row r="661" spans="9:10" x14ac:dyDescent="0.25">
      <c r="I661" s="37"/>
      <c r="J661" s="35"/>
    </row>
    <row r="662" spans="9:10" x14ac:dyDescent="0.25">
      <c r="I662" s="37"/>
      <c r="J662" s="35"/>
    </row>
    <row r="663" spans="9:10" x14ac:dyDescent="0.25">
      <c r="I663" s="37"/>
      <c r="J663" s="35"/>
    </row>
    <row r="664" spans="9:10" x14ac:dyDescent="0.25">
      <c r="I664" s="37"/>
      <c r="J664" s="35"/>
    </row>
    <row r="665" spans="9:10" x14ac:dyDescent="0.25">
      <c r="I665" s="37"/>
      <c r="J665" s="35"/>
    </row>
    <row r="666" spans="9:10" x14ac:dyDescent="0.25">
      <c r="I666" s="37"/>
      <c r="J666" s="35"/>
    </row>
    <row r="667" spans="9:10" x14ac:dyDescent="0.25">
      <c r="I667" s="37"/>
      <c r="J667" s="35"/>
    </row>
    <row r="668" spans="9:10" x14ac:dyDescent="0.25">
      <c r="I668" s="37"/>
      <c r="J668" s="35"/>
    </row>
    <row r="669" spans="9:10" x14ac:dyDescent="0.25">
      <c r="I669" s="37"/>
      <c r="J669" s="35"/>
    </row>
    <row r="670" spans="9:10" x14ac:dyDescent="0.25">
      <c r="I670" s="37"/>
      <c r="J670" s="35"/>
    </row>
    <row r="671" spans="9:10" x14ac:dyDescent="0.25">
      <c r="I671" s="37"/>
      <c r="J671" s="35"/>
    </row>
    <row r="672" spans="9:10" x14ac:dyDescent="0.25">
      <c r="I672" s="37"/>
      <c r="J672" s="35"/>
    </row>
    <row r="673" spans="9:10" x14ac:dyDescent="0.25">
      <c r="I673" s="37"/>
      <c r="J673" s="35"/>
    </row>
    <row r="674" spans="9:10" x14ac:dyDescent="0.25">
      <c r="I674" s="37"/>
      <c r="J674" s="35"/>
    </row>
    <row r="675" spans="9:10" x14ac:dyDescent="0.25">
      <c r="I675" s="37"/>
      <c r="J675" s="35"/>
    </row>
    <row r="676" spans="9:10" x14ac:dyDescent="0.25">
      <c r="I676" s="37"/>
      <c r="J676" s="35"/>
    </row>
    <row r="677" spans="9:10" x14ac:dyDescent="0.25">
      <c r="I677" s="37"/>
      <c r="J677" s="35"/>
    </row>
    <row r="678" spans="9:10" x14ac:dyDescent="0.25">
      <c r="I678" s="37"/>
      <c r="J678" s="35"/>
    </row>
    <row r="679" spans="9:10" x14ac:dyDescent="0.25">
      <c r="I679" s="37"/>
      <c r="J679" s="35"/>
    </row>
    <row r="680" spans="9:10" x14ac:dyDescent="0.25">
      <c r="I680" s="37"/>
      <c r="J680" s="35"/>
    </row>
    <row r="681" spans="9:10" x14ac:dyDescent="0.25">
      <c r="I681" s="37"/>
      <c r="J681" s="35"/>
    </row>
    <row r="682" spans="9:10" x14ac:dyDescent="0.25">
      <c r="I682" s="37"/>
      <c r="J682" s="35"/>
    </row>
    <row r="683" spans="9:10" x14ac:dyDescent="0.25">
      <c r="I683" s="37"/>
      <c r="J683" s="35"/>
    </row>
    <row r="684" spans="9:10" x14ac:dyDescent="0.25">
      <c r="I684" s="37"/>
      <c r="J684" s="35"/>
    </row>
    <row r="685" spans="9:10" x14ac:dyDescent="0.25">
      <c r="I685" s="37"/>
      <c r="J685" s="35"/>
    </row>
    <row r="686" spans="9:10" x14ac:dyDescent="0.25">
      <c r="I686" s="37"/>
      <c r="J686" s="35"/>
    </row>
    <row r="687" spans="9:10" x14ac:dyDescent="0.25">
      <c r="I687" s="37"/>
      <c r="J687" s="35"/>
    </row>
    <row r="688" spans="9:10" x14ac:dyDescent="0.25">
      <c r="I688" s="37"/>
      <c r="J688" s="35"/>
    </row>
    <row r="689" spans="9:10" x14ac:dyDescent="0.25">
      <c r="I689" s="37"/>
      <c r="J689" s="35"/>
    </row>
    <row r="690" spans="9:10" x14ac:dyDescent="0.25">
      <c r="I690" s="37"/>
      <c r="J690" s="35"/>
    </row>
    <row r="691" spans="9:10" x14ac:dyDescent="0.25">
      <c r="I691" s="37"/>
      <c r="J691" s="35"/>
    </row>
    <row r="692" spans="9:10" x14ac:dyDescent="0.25">
      <c r="I692" s="37"/>
      <c r="J692" s="35"/>
    </row>
    <row r="693" spans="9:10" x14ac:dyDescent="0.25">
      <c r="I693" s="37"/>
      <c r="J693" s="35"/>
    </row>
    <row r="694" spans="9:10" x14ac:dyDescent="0.25">
      <c r="I694" s="37"/>
      <c r="J694" s="35"/>
    </row>
    <row r="695" spans="9:10" x14ac:dyDescent="0.25">
      <c r="I695" s="37"/>
      <c r="J695" s="35"/>
    </row>
    <row r="696" spans="9:10" x14ac:dyDescent="0.25">
      <c r="I696" s="37"/>
      <c r="J696" s="35"/>
    </row>
    <row r="697" spans="9:10" x14ac:dyDescent="0.25">
      <c r="I697" s="37"/>
      <c r="J697" s="35"/>
    </row>
    <row r="698" spans="9:10" x14ac:dyDescent="0.25">
      <c r="I698" s="37"/>
      <c r="J698" s="35"/>
    </row>
    <row r="699" spans="9:10" x14ac:dyDescent="0.25">
      <c r="I699" s="37"/>
      <c r="J699" s="35"/>
    </row>
    <row r="700" spans="9:10" x14ac:dyDescent="0.25">
      <c r="I700" s="37"/>
      <c r="J700" s="35"/>
    </row>
    <row r="701" spans="9:10" x14ac:dyDescent="0.25">
      <c r="I701" s="37"/>
      <c r="J701" s="35"/>
    </row>
    <row r="702" spans="9:10" x14ac:dyDescent="0.25">
      <c r="I702" s="37"/>
      <c r="J702" s="35"/>
    </row>
    <row r="703" spans="9:10" x14ac:dyDescent="0.25">
      <c r="I703" s="37"/>
      <c r="J703" s="35"/>
    </row>
    <row r="704" spans="9:10" x14ac:dyDescent="0.25">
      <c r="I704" s="37"/>
      <c r="J704" s="35"/>
    </row>
    <row r="705" spans="9:10" x14ac:dyDescent="0.25">
      <c r="I705" s="37"/>
      <c r="J705" s="35"/>
    </row>
    <row r="706" spans="9:10" x14ac:dyDescent="0.25">
      <c r="I706" s="37"/>
      <c r="J706" s="35"/>
    </row>
    <row r="707" spans="9:10" x14ac:dyDescent="0.25">
      <c r="I707" s="37"/>
      <c r="J707" s="35"/>
    </row>
    <row r="708" spans="9:10" x14ac:dyDescent="0.25">
      <c r="I708" s="37"/>
      <c r="J708" s="35"/>
    </row>
    <row r="709" spans="9:10" x14ac:dyDescent="0.25">
      <c r="I709" s="37"/>
      <c r="J709" s="35"/>
    </row>
    <row r="710" spans="9:10" x14ac:dyDescent="0.25">
      <c r="I710" s="37"/>
      <c r="J710" s="35"/>
    </row>
    <row r="711" spans="9:10" x14ac:dyDescent="0.25">
      <c r="I711" s="37"/>
      <c r="J711" s="35"/>
    </row>
    <row r="712" spans="9:10" x14ac:dyDescent="0.25">
      <c r="I712" s="37"/>
      <c r="J712" s="35"/>
    </row>
    <row r="713" spans="9:10" x14ac:dyDescent="0.25">
      <c r="I713" s="37"/>
      <c r="J713" s="35"/>
    </row>
    <row r="714" spans="9:10" x14ac:dyDescent="0.25">
      <c r="I714" s="37"/>
      <c r="J714" s="35"/>
    </row>
    <row r="715" spans="9:10" x14ac:dyDescent="0.25">
      <c r="I715" s="37"/>
      <c r="J715" s="35"/>
    </row>
    <row r="716" spans="9:10" x14ac:dyDescent="0.25">
      <c r="I716" s="37"/>
      <c r="J716" s="35"/>
    </row>
    <row r="717" spans="9:10" x14ac:dyDescent="0.25">
      <c r="I717" s="37"/>
      <c r="J717" s="35"/>
    </row>
    <row r="718" spans="9:10" x14ac:dyDescent="0.25">
      <c r="I718" s="37"/>
      <c r="J718" s="35"/>
    </row>
    <row r="719" spans="9:10" x14ac:dyDescent="0.25">
      <c r="I719" s="37"/>
      <c r="J719" s="35"/>
    </row>
    <row r="720" spans="9:10" x14ac:dyDescent="0.25">
      <c r="I720" s="37"/>
      <c r="J720" s="35"/>
    </row>
    <row r="721" spans="9:10" x14ac:dyDescent="0.25">
      <c r="I721" s="37"/>
      <c r="J721" s="35"/>
    </row>
    <row r="722" spans="9:10" x14ac:dyDescent="0.25">
      <c r="I722" s="37"/>
      <c r="J722" s="35"/>
    </row>
    <row r="723" spans="9:10" x14ac:dyDescent="0.25">
      <c r="I723" s="37"/>
      <c r="J723" s="35"/>
    </row>
    <row r="724" spans="9:10" x14ac:dyDescent="0.25">
      <c r="I724" s="37"/>
      <c r="J724" s="35"/>
    </row>
    <row r="725" spans="9:10" x14ac:dyDescent="0.25">
      <c r="I725" s="37"/>
      <c r="J725" s="35"/>
    </row>
    <row r="726" spans="9:10" x14ac:dyDescent="0.25">
      <c r="I726" s="37"/>
      <c r="J726" s="35"/>
    </row>
    <row r="727" spans="9:10" x14ac:dyDescent="0.25">
      <c r="I727" s="37"/>
      <c r="J727" s="35"/>
    </row>
    <row r="728" spans="9:10" x14ac:dyDescent="0.25">
      <c r="I728" s="37"/>
      <c r="J728" s="35"/>
    </row>
    <row r="729" spans="9:10" x14ac:dyDescent="0.25">
      <c r="I729" s="37"/>
      <c r="J729" s="35"/>
    </row>
    <row r="730" spans="9:10" x14ac:dyDescent="0.25">
      <c r="I730" s="37"/>
      <c r="J730" s="35"/>
    </row>
    <row r="731" spans="9:10" x14ac:dyDescent="0.25">
      <c r="I731" s="37"/>
      <c r="J731" s="35"/>
    </row>
    <row r="732" spans="9:10" x14ac:dyDescent="0.25">
      <c r="I732" s="37"/>
      <c r="J732" s="35"/>
    </row>
    <row r="733" spans="9:10" x14ac:dyDescent="0.25">
      <c r="I733" s="37"/>
      <c r="J733" s="35"/>
    </row>
    <row r="734" spans="9:10" x14ac:dyDescent="0.25">
      <c r="I734" s="37"/>
      <c r="J734" s="35"/>
    </row>
    <row r="735" spans="9:10" x14ac:dyDescent="0.25">
      <c r="I735" s="37"/>
      <c r="J735" s="35"/>
    </row>
    <row r="736" spans="9:10" x14ac:dyDescent="0.25">
      <c r="I736" s="37"/>
      <c r="J736" s="35"/>
    </row>
    <row r="737" spans="9:10" x14ac:dyDescent="0.25">
      <c r="I737" s="37"/>
      <c r="J737" s="35"/>
    </row>
    <row r="738" spans="9:10" x14ac:dyDescent="0.25">
      <c r="I738" s="37"/>
      <c r="J738" s="35"/>
    </row>
    <row r="739" spans="9:10" x14ac:dyDescent="0.25">
      <c r="I739" s="37"/>
      <c r="J739" s="35"/>
    </row>
    <row r="740" spans="9:10" x14ac:dyDescent="0.25">
      <c r="I740" s="37"/>
      <c r="J740" s="35"/>
    </row>
    <row r="741" spans="9:10" x14ac:dyDescent="0.25">
      <c r="I741" s="37"/>
      <c r="J741" s="35"/>
    </row>
    <row r="742" spans="9:10" x14ac:dyDescent="0.25">
      <c r="I742" s="37"/>
      <c r="J742" s="35"/>
    </row>
    <row r="743" spans="9:10" x14ac:dyDescent="0.25">
      <c r="I743" s="37"/>
      <c r="J743" s="35"/>
    </row>
    <row r="744" spans="9:10" x14ac:dyDescent="0.25">
      <c r="I744" s="37"/>
      <c r="J744" s="35"/>
    </row>
    <row r="745" spans="9:10" x14ac:dyDescent="0.25">
      <c r="I745" s="37"/>
      <c r="J745" s="35"/>
    </row>
    <row r="746" spans="9:10" x14ac:dyDescent="0.25">
      <c r="I746" s="37"/>
      <c r="J746" s="35"/>
    </row>
    <row r="747" spans="9:10" x14ac:dyDescent="0.25">
      <c r="I747" s="37"/>
      <c r="J747" s="35"/>
    </row>
    <row r="748" spans="9:10" x14ac:dyDescent="0.25">
      <c r="I748" s="37"/>
      <c r="J748" s="35"/>
    </row>
    <row r="749" spans="9:10" x14ac:dyDescent="0.25">
      <c r="I749" s="37"/>
      <c r="J749" s="35"/>
    </row>
    <row r="750" spans="9:10" x14ac:dyDescent="0.25">
      <c r="I750" s="37"/>
      <c r="J750" s="35"/>
    </row>
    <row r="751" spans="9:10" x14ac:dyDescent="0.25">
      <c r="I751" s="37"/>
      <c r="J751" s="35"/>
    </row>
    <row r="752" spans="9:10" x14ac:dyDescent="0.25">
      <c r="I752" s="37"/>
      <c r="J752" s="35"/>
    </row>
    <row r="753" spans="9:10" x14ac:dyDescent="0.25">
      <c r="I753" s="37"/>
      <c r="J753" s="35"/>
    </row>
    <row r="754" spans="9:10" x14ac:dyDescent="0.25">
      <c r="I754" s="37"/>
      <c r="J754" s="35"/>
    </row>
    <row r="755" spans="9:10" x14ac:dyDescent="0.25">
      <c r="I755" s="37"/>
      <c r="J755" s="35"/>
    </row>
    <row r="756" spans="9:10" x14ac:dyDescent="0.25">
      <c r="I756" s="37"/>
      <c r="J756" s="35"/>
    </row>
    <row r="757" spans="9:10" x14ac:dyDescent="0.25">
      <c r="I757" s="37"/>
      <c r="J757" s="35"/>
    </row>
    <row r="758" spans="9:10" x14ac:dyDescent="0.25">
      <c r="I758" s="37"/>
      <c r="J758" s="35"/>
    </row>
    <row r="759" spans="9:10" x14ac:dyDescent="0.25">
      <c r="I759" s="37"/>
      <c r="J759" s="35"/>
    </row>
    <row r="760" spans="9:10" x14ac:dyDescent="0.25">
      <c r="I760" s="37"/>
      <c r="J760" s="35"/>
    </row>
    <row r="761" spans="9:10" x14ac:dyDescent="0.25">
      <c r="I761" s="37"/>
      <c r="J761" s="35"/>
    </row>
    <row r="762" spans="9:10" x14ac:dyDescent="0.25">
      <c r="I762" s="37"/>
      <c r="J762" s="35"/>
    </row>
    <row r="763" spans="9:10" x14ac:dyDescent="0.25">
      <c r="I763" s="37"/>
      <c r="J763" s="35"/>
    </row>
    <row r="764" spans="9:10" x14ac:dyDescent="0.25">
      <c r="I764" s="37"/>
      <c r="J764" s="35"/>
    </row>
    <row r="765" spans="9:10" x14ac:dyDescent="0.25">
      <c r="I765" s="37"/>
      <c r="J765" s="35"/>
    </row>
    <row r="766" spans="9:10" x14ac:dyDescent="0.25">
      <c r="I766" s="37"/>
      <c r="J766" s="35"/>
    </row>
    <row r="767" spans="9:10" x14ac:dyDescent="0.25">
      <c r="I767" s="37"/>
      <c r="J767" s="35"/>
    </row>
    <row r="768" spans="9:10" x14ac:dyDescent="0.25">
      <c r="I768" s="37"/>
      <c r="J768" s="35"/>
    </row>
    <row r="769" spans="9:10" x14ac:dyDescent="0.25">
      <c r="I769" s="37"/>
      <c r="J769" s="35"/>
    </row>
    <row r="770" spans="9:10" x14ac:dyDescent="0.25">
      <c r="I770" s="37"/>
      <c r="J770" s="35"/>
    </row>
    <row r="771" spans="9:10" x14ac:dyDescent="0.25">
      <c r="I771" s="37"/>
      <c r="J771" s="35"/>
    </row>
    <row r="772" spans="9:10" x14ac:dyDescent="0.25">
      <c r="I772" s="37"/>
      <c r="J772" s="35"/>
    </row>
    <row r="773" spans="9:10" x14ac:dyDescent="0.25">
      <c r="I773" s="37"/>
      <c r="J773" s="35"/>
    </row>
    <row r="774" spans="9:10" x14ac:dyDescent="0.25">
      <c r="I774" s="37"/>
      <c r="J774" s="35"/>
    </row>
    <row r="775" spans="9:10" x14ac:dyDescent="0.25">
      <c r="I775" s="37"/>
      <c r="J775" s="35"/>
    </row>
    <row r="776" spans="9:10" x14ac:dyDescent="0.25">
      <c r="I776" s="37"/>
      <c r="J776" s="35"/>
    </row>
    <row r="777" spans="9:10" x14ac:dyDescent="0.25">
      <c r="I777" s="37"/>
      <c r="J777" s="35"/>
    </row>
    <row r="778" spans="9:10" x14ac:dyDescent="0.25">
      <c r="I778" s="37"/>
      <c r="J778" s="35"/>
    </row>
    <row r="779" spans="9:10" x14ac:dyDescent="0.25">
      <c r="I779" s="37"/>
      <c r="J779" s="35"/>
    </row>
    <row r="780" spans="9:10" x14ac:dyDescent="0.25">
      <c r="I780" s="37"/>
      <c r="J780" s="35"/>
    </row>
    <row r="781" spans="9:10" x14ac:dyDescent="0.25">
      <c r="I781" s="37"/>
      <c r="J781" s="35"/>
    </row>
    <row r="782" spans="9:10" x14ac:dyDescent="0.25">
      <c r="I782" s="37"/>
      <c r="J782" s="35"/>
    </row>
    <row r="783" spans="9:10" x14ac:dyDescent="0.25">
      <c r="I783" s="37"/>
      <c r="J783" s="35"/>
    </row>
    <row r="784" spans="9:10" x14ac:dyDescent="0.25">
      <c r="I784" s="37"/>
      <c r="J784" s="35"/>
    </row>
    <row r="785" spans="9:10" x14ac:dyDescent="0.25">
      <c r="I785" s="37"/>
      <c r="J785" s="35"/>
    </row>
    <row r="786" spans="9:10" x14ac:dyDescent="0.25">
      <c r="I786" s="37"/>
      <c r="J786" s="35"/>
    </row>
    <row r="787" spans="9:10" x14ac:dyDescent="0.25">
      <c r="I787" s="37"/>
      <c r="J787" s="35"/>
    </row>
    <row r="788" spans="9:10" x14ac:dyDescent="0.25">
      <c r="I788" s="37"/>
      <c r="J788" s="35"/>
    </row>
    <row r="789" spans="9:10" x14ac:dyDescent="0.25">
      <c r="I789" s="37"/>
      <c r="J789" s="35"/>
    </row>
    <row r="790" spans="9:10" x14ac:dyDescent="0.25">
      <c r="I790" s="37"/>
      <c r="J790" s="35"/>
    </row>
    <row r="791" spans="9:10" x14ac:dyDescent="0.25">
      <c r="I791" s="37"/>
      <c r="J791" s="35"/>
    </row>
    <row r="792" spans="9:10" x14ac:dyDescent="0.25">
      <c r="I792" s="37"/>
      <c r="J792" s="35"/>
    </row>
    <row r="793" spans="9:10" x14ac:dyDescent="0.25">
      <c r="I793" s="37"/>
      <c r="J793" s="35"/>
    </row>
    <row r="794" spans="9:10" x14ac:dyDescent="0.25">
      <c r="I794" s="37"/>
      <c r="J794" s="35"/>
    </row>
    <row r="795" spans="9:10" x14ac:dyDescent="0.25">
      <c r="I795" s="37"/>
      <c r="J795" s="35"/>
    </row>
    <row r="796" spans="9:10" x14ac:dyDescent="0.25">
      <c r="I796" s="37"/>
      <c r="J796" s="35"/>
    </row>
    <row r="797" spans="9:10" x14ac:dyDescent="0.25">
      <c r="I797" s="37"/>
      <c r="J797" s="35"/>
    </row>
    <row r="798" spans="9:10" x14ac:dyDescent="0.25">
      <c r="I798" s="37"/>
      <c r="J798" s="35"/>
    </row>
    <row r="799" spans="9:10" x14ac:dyDescent="0.25">
      <c r="I799" s="37"/>
      <c r="J799" s="35"/>
    </row>
    <row r="800" spans="9:10" x14ac:dyDescent="0.25">
      <c r="I800" s="37"/>
      <c r="J800" s="35"/>
    </row>
    <row r="801" spans="9:10" x14ac:dyDescent="0.25">
      <c r="I801" s="37"/>
      <c r="J801" s="35"/>
    </row>
    <row r="802" spans="9:10" x14ac:dyDescent="0.25">
      <c r="I802" s="37"/>
      <c r="J802" s="35"/>
    </row>
    <row r="803" spans="9:10" x14ac:dyDescent="0.25">
      <c r="I803" s="37"/>
      <c r="J803" s="35"/>
    </row>
    <row r="804" spans="9:10" x14ac:dyDescent="0.25">
      <c r="I804" s="37"/>
      <c r="J804" s="35"/>
    </row>
    <row r="805" spans="9:10" x14ac:dyDescent="0.25">
      <c r="I805" s="37"/>
      <c r="J805" s="35"/>
    </row>
    <row r="806" spans="9:10" x14ac:dyDescent="0.25">
      <c r="I806" s="37"/>
      <c r="J806" s="35"/>
    </row>
    <row r="807" spans="9:10" x14ac:dyDescent="0.25">
      <c r="I807" s="37"/>
      <c r="J807" s="35"/>
    </row>
    <row r="808" spans="9:10" x14ac:dyDescent="0.25">
      <c r="I808" s="37"/>
      <c r="J808" s="35"/>
    </row>
    <row r="809" spans="9:10" x14ac:dyDescent="0.25">
      <c r="I809" s="37"/>
      <c r="J809" s="35"/>
    </row>
    <row r="810" spans="9:10" x14ac:dyDescent="0.25">
      <c r="I810" s="37"/>
      <c r="J810" s="35"/>
    </row>
    <row r="811" spans="9:10" x14ac:dyDescent="0.25">
      <c r="I811" s="37"/>
      <c r="J811" s="35"/>
    </row>
    <row r="812" spans="9:10" x14ac:dyDescent="0.25">
      <c r="I812" s="37"/>
      <c r="J812" s="35"/>
    </row>
    <row r="813" spans="9:10" x14ac:dyDescent="0.25">
      <c r="I813" s="37"/>
      <c r="J813" s="35"/>
    </row>
    <row r="814" spans="9:10" x14ac:dyDescent="0.25">
      <c r="I814" s="37"/>
      <c r="J814" s="35"/>
    </row>
    <row r="815" spans="9:10" x14ac:dyDescent="0.25">
      <c r="I815" s="37"/>
      <c r="J815" s="35"/>
    </row>
    <row r="816" spans="9:10" x14ac:dyDescent="0.25">
      <c r="I816" s="37"/>
      <c r="J816" s="35"/>
    </row>
    <row r="817" spans="9:10" x14ac:dyDescent="0.25">
      <c r="I817" s="37"/>
      <c r="J817" s="35"/>
    </row>
    <row r="818" spans="9:10" x14ac:dyDescent="0.25">
      <c r="I818" s="37"/>
      <c r="J818" s="35"/>
    </row>
    <row r="819" spans="9:10" x14ac:dyDescent="0.25">
      <c r="I819" s="37"/>
      <c r="J819" s="35"/>
    </row>
    <row r="820" spans="9:10" x14ac:dyDescent="0.25">
      <c r="I820" s="37"/>
      <c r="J820" s="35"/>
    </row>
    <row r="821" spans="9:10" x14ac:dyDescent="0.25">
      <c r="I821" s="37"/>
      <c r="J821" s="35"/>
    </row>
    <row r="822" spans="9:10" x14ac:dyDescent="0.25">
      <c r="I822" s="37"/>
      <c r="J822" s="35"/>
    </row>
    <row r="823" spans="9:10" x14ac:dyDescent="0.25">
      <c r="I823" s="37"/>
      <c r="J823" s="35"/>
    </row>
    <row r="824" spans="9:10" x14ac:dyDescent="0.25">
      <c r="I824" s="37"/>
      <c r="J824" s="35"/>
    </row>
    <row r="825" spans="9:10" x14ac:dyDescent="0.25">
      <c r="I825" s="37"/>
      <c r="J825" s="35"/>
    </row>
    <row r="826" spans="9:10" x14ac:dyDescent="0.25">
      <c r="I826" s="37"/>
      <c r="J826" s="35"/>
    </row>
    <row r="827" spans="9:10" x14ac:dyDescent="0.25">
      <c r="I827" s="37"/>
      <c r="J827" s="35"/>
    </row>
    <row r="828" spans="9:10" x14ac:dyDescent="0.25">
      <c r="I828" s="37"/>
      <c r="J828" s="35"/>
    </row>
    <row r="829" spans="9:10" x14ac:dyDescent="0.25">
      <c r="I829" s="37"/>
      <c r="J829" s="35"/>
    </row>
    <row r="830" spans="9:10" x14ac:dyDescent="0.25">
      <c r="I830" s="37"/>
      <c r="J830" s="35"/>
    </row>
    <row r="831" spans="9:10" x14ac:dyDescent="0.25">
      <c r="I831" s="37"/>
      <c r="J831" s="35"/>
    </row>
    <row r="832" spans="9:10" x14ac:dyDescent="0.25">
      <c r="I832" s="37"/>
      <c r="J832" s="35"/>
    </row>
    <row r="833" spans="9:10" x14ac:dyDescent="0.25">
      <c r="I833" s="37"/>
      <c r="J833" s="35"/>
    </row>
    <row r="834" spans="9:10" x14ac:dyDescent="0.25">
      <c r="I834" s="37"/>
      <c r="J834" s="35"/>
    </row>
    <row r="835" spans="9:10" x14ac:dyDescent="0.25">
      <c r="I835" s="37"/>
      <c r="J835" s="35"/>
    </row>
    <row r="836" spans="9:10" x14ac:dyDescent="0.25">
      <c r="I836" s="37"/>
      <c r="J836" s="35"/>
    </row>
    <row r="837" spans="9:10" x14ac:dyDescent="0.25">
      <c r="I837" s="37"/>
      <c r="J837" s="35"/>
    </row>
    <row r="838" spans="9:10" x14ac:dyDescent="0.25">
      <c r="I838" s="37"/>
      <c r="J838" s="35"/>
    </row>
    <row r="839" spans="9:10" x14ac:dyDescent="0.25">
      <c r="I839" s="37"/>
      <c r="J839" s="35"/>
    </row>
    <row r="840" spans="9:10" x14ac:dyDescent="0.25">
      <c r="I840" s="37"/>
      <c r="J840" s="35"/>
    </row>
    <row r="841" spans="9:10" x14ac:dyDescent="0.25">
      <c r="I841" s="37"/>
      <c r="J841" s="35"/>
    </row>
    <row r="842" spans="9:10" x14ac:dyDescent="0.25">
      <c r="I842" s="37"/>
      <c r="J842" s="35"/>
    </row>
    <row r="843" spans="9:10" x14ac:dyDescent="0.25">
      <c r="I843" s="37"/>
      <c r="J843" s="35"/>
    </row>
    <row r="844" spans="9:10" x14ac:dyDescent="0.25">
      <c r="I844" s="37"/>
      <c r="J844" s="35"/>
    </row>
    <row r="845" spans="9:10" x14ac:dyDescent="0.25">
      <c r="I845" s="37"/>
      <c r="J845" s="35"/>
    </row>
    <row r="846" spans="9:10" x14ac:dyDescent="0.25">
      <c r="I846" s="37"/>
      <c r="J846" s="35"/>
    </row>
    <row r="847" spans="9:10" x14ac:dyDescent="0.25">
      <c r="I847" s="37"/>
      <c r="J847" s="35"/>
    </row>
    <row r="848" spans="9:10" x14ac:dyDescent="0.25">
      <c r="I848" s="37"/>
      <c r="J848" s="35"/>
    </row>
    <row r="849" spans="9:10" x14ac:dyDescent="0.25">
      <c r="I849" s="37"/>
      <c r="J849" s="35"/>
    </row>
    <row r="850" spans="9:10" x14ac:dyDescent="0.25">
      <c r="I850" s="37"/>
      <c r="J850" s="35"/>
    </row>
    <row r="851" spans="9:10" x14ac:dyDescent="0.25">
      <c r="I851" s="37"/>
      <c r="J851" s="35"/>
    </row>
    <row r="852" spans="9:10" x14ac:dyDescent="0.25">
      <c r="I852" s="37"/>
      <c r="J852" s="35"/>
    </row>
    <row r="853" spans="9:10" x14ac:dyDescent="0.25">
      <c r="I853" s="37"/>
      <c r="J853" s="35"/>
    </row>
    <row r="854" spans="9:10" x14ac:dyDescent="0.25">
      <c r="I854" s="37"/>
      <c r="J854" s="35"/>
    </row>
    <row r="855" spans="9:10" x14ac:dyDescent="0.25">
      <c r="I855" s="37"/>
      <c r="J855" s="35"/>
    </row>
    <row r="856" spans="9:10" x14ac:dyDescent="0.25">
      <c r="I856" s="37"/>
      <c r="J856" s="35"/>
    </row>
    <row r="857" spans="9:10" x14ac:dyDescent="0.25">
      <c r="I857" s="37"/>
      <c r="J857" s="35"/>
    </row>
    <row r="858" spans="9:10" x14ac:dyDescent="0.25">
      <c r="I858" s="37"/>
      <c r="J858" s="35"/>
    </row>
    <row r="859" spans="9:10" x14ac:dyDescent="0.25">
      <c r="I859" s="37"/>
      <c r="J859" s="35"/>
    </row>
    <row r="860" spans="9:10" x14ac:dyDescent="0.25">
      <c r="I860" s="37"/>
      <c r="J860" s="35"/>
    </row>
    <row r="861" spans="9:10" x14ac:dyDescent="0.25">
      <c r="I861" s="37"/>
      <c r="J861" s="35"/>
    </row>
    <row r="862" spans="9:10" x14ac:dyDescent="0.25">
      <c r="I862" s="37"/>
      <c r="J862" s="35"/>
    </row>
    <row r="863" spans="9:10" x14ac:dyDescent="0.25">
      <c r="I863" s="37"/>
      <c r="J863" s="35"/>
    </row>
    <row r="864" spans="9:10" x14ac:dyDescent="0.25">
      <c r="I864" s="37"/>
      <c r="J864" s="35"/>
    </row>
    <row r="865" spans="9:10" x14ac:dyDescent="0.25">
      <c r="I865" s="37"/>
      <c r="J865" s="35"/>
    </row>
    <row r="866" spans="9:10" x14ac:dyDescent="0.25">
      <c r="I866" s="37"/>
      <c r="J866" s="35"/>
    </row>
    <row r="867" spans="9:10" x14ac:dyDescent="0.25">
      <c r="I867" s="37"/>
      <c r="J867" s="35"/>
    </row>
    <row r="868" spans="9:10" x14ac:dyDescent="0.25">
      <c r="I868" s="37"/>
      <c r="J868" s="35"/>
    </row>
    <row r="869" spans="9:10" x14ac:dyDescent="0.25">
      <c r="I869" s="37"/>
      <c r="J869" s="35"/>
    </row>
    <row r="870" spans="9:10" x14ac:dyDescent="0.25">
      <c r="I870" s="37"/>
      <c r="J870" s="35"/>
    </row>
    <row r="871" spans="9:10" x14ac:dyDescent="0.25">
      <c r="I871" s="37"/>
      <c r="J871" s="35"/>
    </row>
    <row r="872" spans="9:10" x14ac:dyDescent="0.25">
      <c r="I872" s="37"/>
      <c r="J872" s="35"/>
    </row>
    <row r="873" spans="9:10" x14ac:dyDescent="0.25">
      <c r="I873" s="37"/>
      <c r="J873" s="35"/>
    </row>
    <row r="874" spans="9:10" x14ac:dyDescent="0.25">
      <c r="I874" s="37"/>
      <c r="J874" s="35"/>
    </row>
    <row r="875" spans="9:10" x14ac:dyDescent="0.25">
      <c r="I875" s="37"/>
      <c r="J875" s="35"/>
    </row>
    <row r="876" spans="9:10" x14ac:dyDescent="0.25">
      <c r="I876" s="37"/>
      <c r="J876" s="35"/>
    </row>
    <row r="877" spans="9:10" x14ac:dyDescent="0.25">
      <c r="I877" s="37"/>
      <c r="J877" s="35"/>
    </row>
    <row r="878" spans="9:10" x14ac:dyDescent="0.25">
      <c r="I878" s="37"/>
      <c r="J878" s="35"/>
    </row>
    <row r="879" spans="9:10" x14ac:dyDescent="0.25">
      <c r="I879" s="37"/>
      <c r="J879" s="35"/>
    </row>
    <row r="880" spans="9:10" x14ac:dyDescent="0.25">
      <c r="I880" s="37"/>
      <c r="J880" s="35"/>
    </row>
    <row r="881" spans="9:10" x14ac:dyDescent="0.25">
      <c r="I881" s="37"/>
      <c r="J881" s="35"/>
    </row>
    <row r="882" spans="9:10" x14ac:dyDescent="0.25">
      <c r="I882" s="37"/>
      <c r="J882" s="35"/>
    </row>
    <row r="883" spans="9:10" x14ac:dyDescent="0.25">
      <c r="I883" s="37"/>
      <c r="J883" s="35"/>
    </row>
    <row r="884" spans="9:10" x14ac:dyDescent="0.25">
      <c r="I884" s="37"/>
      <c r="J884" s="35"/>
    </row>
    <row r="885" spans="9:10" x14ac:dyDescent="0.25">
      <c r="I885" s="37"/>
      <c r="J885" s="35"/>
    </row>
    <row r="886" spans="9:10" x14ac:dyDescent="0.25">
      <c r="I886" s="37"/>
      <c r="J886" s="35"/>
    </row>
    <row r="887" spans="9:10" x14ac:dyDescent="0.25">
      <c r="I887" s="37"/>
      <c r="J887" s="35"/>
    </row>
    <row r="888" spans="9:10" x14ac:dyDescent="0.25">
      <c r="I888" s="37"/>
      <c r="J888" s="35"/>
    </row>
    <row r="889" spans="9:10" x14ac:dyDescent="0.25">
      <c r="I889" s="37"/>
      <c r="J889" s="35"/>
    </row>
    <row r="890" spans="9:10" x14ac:dyDescent="0.25">
      <c r="I890" s="37"/>
      <c r="J890" s="35"/>
    </row>
    <row r="891" spans="9:10" x14ac:dyDescent="0.25">
      <c r="I891" s="37"/>
      <c r="J891" s="35"/>
    </row>
    <row r="892" spans="9:10" x14ac:dyDescent="0.25">
      <c r="I892" s="37"/>
      <c r="J892" s="35"/>
    </row>
    <row r="893" spans="9:10" x14ac:dyDescent="0.25">
      <c r="I893" s="37"/>
      <c r="J893" s="35"/>
    </row>
    <row r="894" spans="9:10" x14ac:dyDescent="0.25">
      <c r="I894" s="37"/>
      <c r="J894" s="35"/>
    </row>
    <row r="895" spans="9:10" x14ac:dyDescent="0.25">
      <c r="I895" s="37"/>
      <c r="J895" s="35"/>
    </row>
    <row r="896" spans="9:10" x14ac:dyDescent="0.25">
      <c r="I896" s="37"/>
      <c r="J896" s="35"/>
    </row>
    <row r="897" spans="9:10" x14ac:dyDescent="0.25">
      <c r="I897" s="37"/>
      <c r="J897" s="35"/>
    </row>
    <row r="898" spans="9:10" x14ac:dyDescent="0.25">
      <c r="I898" s="37"/>
      <c r="J898" s="35"/>
    </row>
    <row r="899" spans="9:10" x14ac:dyDescent="0.25">
      <c r="I899" s="37"/>
      <c r="J899" s="35"/>
    </row>
    <row r="900" spans="9:10" x14ac:dyDescent="0.25">
      <c r="I900" s="37"/>
      <c r="J900" s="35"/>
    </row>
    <row r="901" spans="9:10" x14ac:dyDescent="0.25">
      <c r="I901" s="37"/>
      <c r="J901" s="35"/>
    </row>
    <row r="902" spans="9:10" x14ac:dyDescent="0.25">
      <c r="I902" s="37"/>
      <c r="J902" s="35"/>
    </row>
    <row r="903" spans="9:10" x14ac:dyDescent="0.25">
      <c r="I903" s="37"/>
      <c r="J903" s="35"/>
    </row>
    <row r="904" spans="9:10" x14ac:dyDescent="0.25">
      <c r="I904" s="37"/>
      <c r="J904" s="35"/>
    </row>
    <row r="905" spans="9:10" x14ac:dyDescent="0.25">
      <c r="I905" s="37"/>
      <c r="J905" s="35"/>
    </row>
    <row r="906" spans="9:10" x14ac:dyDescent="0.25">
      <c r="I906" s="37"/>
      <c r="J906" s="35"/>
    </row>
    <row r="907" spans="9:10" x14ac:dyDescent="0.25">
      <c r="I907" s="37"/>
      <c r="J907" s="35"/>
    </row>
    <row r="908" spans="9:10" x14ac:dyDescent="0.25">
      <c r="I908" s="37"/>
      <c r="J908" s="35"/>
    </row>
    <row r="909" spans="9:10" x14ac:dyDescent="0.25">
      <c r="I909" s="37"/>
      <c r="J909" s="35"/>
    </row>
    <row r="910" spans="9:10" x14ac:dyDescent="0.25">
      <c r="I910" s="37"/>
      <c r="J910" s="35"/>
    </row>
    <row r="911" spans="9:10" x14ac:dyDescent="0.25">
      <c r="I911" s="37"/>
      <c r="J911" s="35"/>
    </row>
    <row r="912" spans="9:10" x14ac:dyDescent="0.25">
      <c r="I912" s="37"/>
      <c r="J912" s="35"/>
    </row>
    <row r="913" spans="9:10" x14ac:dyDescent="0.25">
      <c r="I913" s="37"/>
      <c r="J913" s="35"/>
    </row>
    <row r="914" spans="9:10" x14ac:dyDescent="0.25">
      <c r="I914" s="37"/>
      <c r="J914" s="35"/>
    </row>
    <row r="915" spans="9:10" x14ac:dyDescent="0.25">
      <c r="I915" s="37"/>
      <c r="J915" s="35"/>
    </row>
    <row r="916" spans="9:10" x14ac:dyDescent="0.25">
      <c r="I916" s="37"/>
      <c r="J916" s="35"/>
    </row>
    <row r="917" spans="9:10" x14ac:dyDescent="0.25">
      <c r="I917" s="37"/>
      <c r="J917" s="35"/>
    </row>
    <row r="918" spans="9:10" x14ac:dyDescent="0.25">
      <c r="I918" s="37"/>
      <c r="J918" s="35"/>
    </row>
    <row r="919" spans="9:10" x14ac:dyDescent="0.25">
      <c r="I919" s="37"/>
      <c r="J919" s="35"/>
    </row>
    <row r="920" spans="9:10" x14ac:dyDescent="0.25">
      <c r="I920" s="37"/>
      <c r="J920" s="35"/>
    </row>
    <row r="921" spans="9:10" x14ac:dyDescent="0.25">
      <c r="I921" s="37"/>
      <c r="J921" s="35"/>
    </row>
    <row r="922" spans="9:10" x14ac:dyDescent="0.25">
      <c r="I922" s="37"/>
      <c r="J922" s="35"/>
    </row>
    <row r="923" spans="9:10" x14ac:dyDescent="0.25">
      <c r="I923" s="37"/>
      <c r="J923" s="35"/>
    </row>
    <row r="924" spans="9:10" x14ac:dyDescent="0.25">
      <c r="I924" s="37"/>
      <c r="J924" s="35"/>
    </row>
    <row r="925" spans="9:10" x14ac:dyDescent="0.25">
      <c r="I925" s="37"/>
      <c r="J925" s="35"/>
    </row>
    <row r="926" spans="9:10" x14ac:dyDescent="0.25">
      <c r="I926" s="37"/>
      <c r="J926" s="35"/>
    </row>
    <row r="927" spans="9:10" x14ac:dyDescent="0.25">
      <c r="I927" s="37"/>
      <c r="J927" s="35"/>
    </row>
    <row r="928" spans="9:10" x14ac:dyDescent="0.25">
      <c r="I928" s="37"/>
      <c r="J928" s="35"/>
    </row>
    <row r="929" spans="9:10" x14ac:dyDescent="0.25">
      <c r="I929" s="37"/>
      <c r="J929" s="35"/>
    </row>
    <row r="930" spans="9:10" x14ac:dyDescent="0.25">
      <c r="I930" s="37"/>
      <c r="J930" s="35"/>
    </row>
    <row r="931" spans="9:10" x14ac:dyDescent="0.25">
      <c r="I931" s="37"/>
      <c r="J931" s="35"/>
    </row>
    <row r="932" spans="9:10" x14ac:dyDescent="0.25">
      <c r="I932" s="37"/>
      <c r="J932" s="35"/>
    </row>
    <row r="933" spans="9:10" x14ac:dyDescent="0.25">
      <c r="I933" s="37"/>
      <c r="J933" s="35"/>
    </row>
    <row r="934" spans="9:10" x14ac:dyDescent="0.25">
      <c r="I934" s="37"/>
      <c r="J934" s="35"/>
    </row>
    <row r="935" spans="9:10" x14ac:dyDescent="0.25">
      <c r="I935" s="37"/>
      <c r="J935" s="35"/>
    </row>
    <row r="936" spans="9:10" x14ac:dyDescent="0.25">
      <c r="I936" s="37"/>
      <c r="J936" s="35"/>
    </row>
    <row r="937" spans="9:10" x14ac:dyDescent="0.25">
      <c r="I937" s="37"/>
      <c r="J937" s="35"/>
    </row>
    <row r="938" spans="9:10" x14ac:dyDescent="0.25">
      <c r="I938" s="37"/>
      <c r="J938" s="35"/>
    </row>
    <row r="939" spans="9:10" x14ac:dyDescent="0.25">
      <c r="I939" s="37"/>
      <c r="J939" s="35"/>
    </row>
    <row r="940" spans="9:10" x14ac:dyDescent="0.25">
      <c r="I940" s="37"/>
      <c r="J940" s="35"/>
    </row>
    <row r="941" spans="9:10" x14ac:dyDescent="0.25">
      <c r="I941" s="37"/>
      <c r="J941" s="35"/>
    </row>
    <row r="942" spans="9:10" x14ac:dyDescent="0.25">
      <c r="I942" s="37"/>
      <c r="J942" s="35"/>
    </row>
    <row r="943" spans="9:10" x14ac:dyDescent="0.25">
      <c r="I943" s="37"/>
      <c r="J943" s="35"/>
    </row>
    <row r="944" spans="9:10" x14ac:dyDescent="0.25">
      <c r="I944" s="37"/>
      <c r="J944" s="35"/>
    </row>
    <row r="945" spans="9:10" x14ac:dyDescent="0.25">
      <c r="I945" s="37"/>
      <c r="J945" s="35"/>
    </row>
    <row r="946" spans="9:10" x14ac:dyDescent="0.25">
      <c r="I946" s="37"/>
      <c r="J946" s="35"/>
    </row>
    <row r="947" spans="9:10" x14ac:dyDescent="0.25">
      <c r="I947" s="37"/>
      <c r="J947" s="35"/>
    </row>
    <row r="948" spans="9:10" x14ac:dyDescent="0.25">
      <c r="I948" s="37"/>
      <c r="J948" s="35"/>
    </row>
    <row r="949" spans="9:10" x14ac:dyDescent="0.25">
      <c r="I949" s="37"/>
      <c r="J949" s="35"/>
    </row>
    <row r="950" spans="9:10" x14ac:dyDescent="0.25">
      <c r="I950" s="37"/>
      <c r="J950" s="35"/>
    </row>
    <row r="951" spans="9:10" x14ac:dyDescent="0.25">
      <c r="I951" s="37"/>
      <c r="J951" s="35"/>
    </row>
    <row r="952" spans="9:10" x14ac:dyDescent="0.25">
      <c r="I952" s="37"/>
      <c r="J952" s="35"/>
    </row>
    <row r="953" spans="9:10" x14ac:dyDescent="0.25">
      <c r="I953" s="37"/>
      <c r="J953" s="35"/>
    </row>
    <row r="954" spans="9:10" x14ac:dyDescent="0.25">
      <c r="I954" s="37"/>
      <c r="J954" s="35"/>
    </row>
    <row r="955" spans="9:10" x14ac:dyDescent="0.25">
      <c r="I955" s="37"/>
      <c r="J955" s="35"/>
    </row>
    <row r="956" spans="9:10" x14ac:dyDescent="0.25">
      <c r="I956" s="37"/>
      <c r="J956" s="35"/>
    </row>
    <row r="957" spans="9:10" x14ac:dyDescent="0.25">
      <c r="I957" s="37"/>
      <c r="J957" s="35"/>
    </row>
    <row r="958" spans="9:10" x14ac:dyDescent="0.25">
      <c r="I958" s="37"/>
      <c r="J958" s="35"/>
    </row>
    <row r="959" spans="9:10" x14ac:dyDescent="0.25">
      <c r="I959" s="37"/>
      <c r="J959" s="35"/>
    </row>
    <row r="960" spans="9:10" x14ac:dyDescent="0.25">
      <c r="I960" s="37"/>
      <c r="J960" s="35"/>
    </row>
    <row r="961" spans="9:10" x14ac:dyDescent="0.25">
      <c r="I961" s="37"/>
      <c r="J961" s="35"/>
    </row>
    <row r="962" spans="9:10" x14ac:dyDescent="0.25">
      <c r="I962" s="37"/>
      <c r="J962" s="35"/>
    </row>
    <row r="963" spans="9:10" x14ac:dyDescent="0.25">
      <c r="I963" s="37"/>
      <c r="J963" s="35"/>
    </row>
    <row r="964" spans="9:10" x14ac:dyDescent="0.25">
      <c r="I964" s="37"/>
      <c r="J964" s="35"/>
    </row>
    <row r="965" spans="9:10" x14ac:dyDescent="0.25">
      <c r="I965" s="37"/>
      <c r="J965" s="35"/>
    </row>
    <row r="966" spans="9:10" x14ac:dyDescent="0.25">
      <c r="I966" s="37"/>
      <c r="J966" s="35"/>
    </row>
    <row r="967" spans="9:10" x14ac:dyDescent="0.25">
      <c r="I967" s="37"/>
      <c r="J967" s="35"/>
    </row>
    <row r="968" spans="9:10" x14ac:dyDescent="0.25">
      <c r="I968" s="37"/>
      <c r="J968" s="35"/>
    </row>
    <row r="969" spans="9:10" x14ac:dyDescent="0.25">
      <c r="I969" s="37"/>
      <c r="J969" s="35"/>
    </row>
    <row r="970" spans="9:10" x14ac:dyDescent="0.25">
      <c r="I970" s="37"/>
      <c r="J970" s="35"/>
    </row>
    <row r="971" spans="9:10" x14ac:dyDescent="0.25">
      <c r="I971" s="37"/>
      <c r="J971" s="35"/>
    </row>
    <row r="972" spans="9:10" x14ac:dyDescent="0.25">
      <c r="I972" s="37"/>
      <c r="J972" s="35"/>
    </row>
    <row r="973" spans="9:10" x14ac:dyDescent="0.25">
      <c r="I973" s="37"/>
      <c r="J973" s="35"/>
    </row>
    <row r="974" spans="9:10" x14ac:dyDescent="0.25">
      <c r="I974" s="37"/>
      <c r="J974" s="35"/>
    </row>
    <row r="975" spans="9:10" x14ac:dyDescent="0.25">
      <c r="I975" s="37"/>
      <c r="J975" s="35"/>
    </row>
    <row r="976" spans="9:10" x14ac:dyDescent="0.25">
      <c r="I976" s="37"/>
      <c r="J976" s="35"/>
    </row>
    <row r="977" spans="9:10" x14ac:dyDescent="0.25">
      <c r="I977" s="37"/>
      <c r="J977" s="35"/>
    </row>
    <row r="978" spans="9:10" x14ac:dyDescent="0.25">
      <c r="I978" s="37"/>
      <c r="J978" s="35"/>
    </row>
    <row r="979" spans="9:10" x14ac:dyDescent="0.25">
      <c r="I979" s="37"/>
      <c r="J979" s="35"/>
    </row>
    <row r="980" spans="9:10" x14ac:dyDescent="0.25">
      <c r="I980" s="37"/>
      <c r="J980" s="35"/>
    </row>
    <row r="981" spans="9:10" x14ac:dyDescent="0.25">
      <c r="I981" s="37"/>
      <c r="J981" s="35"/>
    </row>
    <row r="982" spans="9:10" x14ac:dyDescent="0.25">
      <c r="I982" s="37"/>
      <c r="J982" s="35"/>
    </row>
    <row r="983" spans="9:10" x14ac:dyDescent="0.25">
      <c r="I983" s="37"/>
      <c r="J983" s="35"/>
    </row>
    <row r="984" spans="9:10" x14ac:dyDescent="0.25">
      <c r="I984" s="37"/>
      <c r="J984" s="35"/>
    </row>
    <row r="985" spans="9:10" x14ac:dyDescent="0.25">
      <c r="I985" s="37"/>
      <c r="J985" s="35"/>
    </row>
    <row r="986" spans="9:10" x14ac:dyDescent="0.25">
      <c r="I986" s="37"/>
      <c r="J986" s="35"/>
    </row>
    <row r="987" spans="9:10" x14ac:dyDescent="0.25">
      <c r="I987" s="37"/>
      <c r="J987" s="35"/>
    </row>
    <row r="988" spans="9:10" x14ac:dyDescent="0.25">
      <c r="I988" s="37"/>
      <c r="J988" s="35"/>
    </row>
    <row r="989" spans="9:10" x14ac:dyDescent="0.25">
      <c r="I989" s="37"/>
      <c r="J989" s="35"/>
    </row>
    <row r="990" spans="9:10" x14ac:dyDescent="0.25">
      <c r="I990" s="37"/>
      <c r="J990" s="35"/>
    </row>
    <row r="991" spans="9:10" x14ac:dyDescent="0.25">
      <c r="I991" s="37"/>
      <c r="J991" s="35"/>
    </row>
    <row r="992" spans="9:10" x14ac:dyDescent="0.25">
      <c r="I992" s="37"/>
      <c r="J992" s="35"/>
    </row>
    <row r="993" spans="9:10" x14ac:dyDescent="0.25">
      <c r="I993" s="37"/>
      <c r="J993" s="35"/>
    </row>
    <row r="994" spans="9:10" x14ac:dyDescent="0.25">
      <c r="I994" s="37"/>
      <c r="J994" s="35"/>
    </row>
    <row r="995" spans="9:10" x14ac:dyDescent="0.25">
      <c r="I995" s="37"/>
      <c r="J995" s="35"/>
    </row>
    <row r="996" spans="9:10" x14ac:dyDescent="0.25">
      <c r="I996" s="37"/>
      <c r="J996" s="35"/>
    </row>
    <row r="997" spans="9:10" x14ac:dyDescent="0.25">
      <c r="I997" s="37"/>
      <c r="J997" s="35"/>
    </row>
    <row r="998" spans="9:10" x14ac:dyDescent="0.25">
      <c r="I998" s="37"/>
      <c r="J998" s="35"/>
    </row>
    <row r="999" spans="9:10" x14ac:dyDescent="0.25">
      <c r="I999" s="37"/>
      <c r="J999" s="35"/>
    </row>
    <row r="1000" spans="9:10" x14ac:dyDescent="0.25">
      <c r="I1000" s="37"/>
      <c r="J1000" s="35"/>
    </row>
    <row r="1001" spans="9:10" x14ac:dyDescent="0.25">
      <c r="I1001" s="37"/>
      <c r="J1001" s="35"/>
    </row>
    <row r="1002" spans="9:10" x14ac:dyDescent="0.25">
      <c r="I1002" s="37"/>
      <c r="J1002" s="35"/>
    </row>
    <row r="1003" spans="9:10" x14ac:dyDescent="0.25">
      <c r="I1003" s="37"/>
      <c r="J1003" s="35"/>
    </row>
    <row r="1004" spans="9:10" x14ac:dyDescent="0.25">
      <c r="I1004" s="37"/>
      <c r="J1004" s="35"/>
    </row>
    <row r="1005" spans="9:10" x14ac:dyDescent="0.25">
      <c r="I1005" s="37"/>
      <c r="J1005" s="35"/>
    </row>
    <row r="1006" spans="9:10" x14ac:dyDescent="0.25">
      <c r="I1006" s="37"/>
      <c r="J1006" s="35"/>
    </row>
    <row r="1007" spans="9:10" x14ac:dyDescent="0.25">
      <c r="I1007" s="37"/>
      <c r="J1007" s="35"/>
    </row>
    <row r="1008" spans="9:10" x14ac:dyDescent="0.25">
      <c r="I1008" s="37"/>
      <c r="J1008" s="35"/>
    </row>
    <row r="1009" spans="9:10" x14ac:dyDescent="0.25">
      <c r="I1009" s="37"/>
      <c r="J1009" s="35"/>
    </row>
    <row r="1010" spans="9:10" x14ac:dyDescent="0.25">
      <c r="I1010" s="37"/>
      <c r="J1010" s="35"/>
    </row>
    <row r="1011" spans="9:10" x14ac:dyDescent="0.25">
      <c r="I1011" s="37"/>
      <c r="J1011" s="35"/>
    </row>
    <row r="1012" spans="9:10" x14ac:dyDescent="0.25">
      <c r="I1012" s="37"/>
      <c r="J1012" s="35"/>
    </row>
    <row r="1013" spans="9:10" x14ac:dyDescent="0.25">
      <c r="I1013" s="37"/>
      <c r="J1013" s="35"/>
    </row>
    <row r="1014" spans="9:10" x14ac:dyDescent="0.25">
      <c r="I1014" s="37"/>
      <c r="J1014" s="35"/>
    </row>
    <row r="1015" spans="9:10" x14ac:dyDescent="0.25">
      <c r="I1015" s="37"/>
      <c r="J1015" s="35"/>
    </row>
    <row r="1016" spans="9:10" x14ac:dyDescent="0.25">
      <c r="I1016" s="37"/>
      <c r="J1016" s="35"/>
    </row>
    <row r="1017" spans="9:10" x14ac:dyDescent="0.25">
      <c r="I1017" s="37"/>
      <c r="J1017" s="35"/>
    </row>
    <row r="1018" spans="9:10" x14ac:dyDescent="0.25">
      <c r="I1018" s="37"/>
      <c r="J1018" s="35"/>
    </row>
    <row r="1019" spans="9:10" x14ac:dyDescent="0.25">
      <c r="I1019" s="37"/>
      <c r="J1019" s="35"/>
    </row>
    <row r="1020" spans="9:10" x14ac:dyDescent="0.25">
      <c r="I1020" s="37"/>
      <c r="J1020" s="35"/>
    </row>
    <row r="1021" spans="9:10" x14ac:dyDescent="0.25">
      <c r="I1021" s="37"/>
      <c r="J1021" s="35"/>
    </row>
    <row r="1022" spans="9:10" x14ac:dyDescent="0.25">
      <c r="I1022" s="37"/>
      <c r="J1022" s="35"/>
    </row>
    <row r="1023" spans="9:10" x14ac:dyDescent="0.25">
      <c r="I1023" s="37"/>
      <c r="J1023" s="35"/>
    </row>
    <row r="1024" spans="9:10" x14ac:dyDescent="0.25">
      <c r="I1024" s="37"/>
      <c r="J1024" s="35"/>
    </row>
    <row r="1025" spans="9:10" x14ac:dyDescent="0.25">
      <c r="I1025" s="37"/>
      <c r="J1025" s="35"/>
    </row>
    <row r="1026" spans="9:10" x14ac:dyDescent="0.25">
      <c r="I1026" s="37"/>
      <c r="J1026" s="35"/>
    </row>
    <row r="1027" spans="9:10" x14ac:dyDescent="0.25">
      <c r="I1027" s="37"/>
      <c r="J1027" s="35"/>
    </row>
    <row r="1028" spans="9:10" x14ac:dyDescent="0.25">
      <c r="I1028" s="37"/>
      <c r="J1028" s="35"/>
    </row>
    <row r="1029" spans="9:10" x14ac:dyDescent="0.25">
      <c r="I1029" s="37"/>
      <c r="J1029" s="35"/>
    </row>
    <row r="1030" spans="9:10" x14ac:dyDescent="0.25">
      <c r="I1030" s="37"/>
      <c r="J1030" s="35"/>
    </row>
    <row r="1031" spans="9:10" x14ac:dyDescent="0.25">
      <c r="I1031" s="37"/>
      <c r="J1031" s="35"/>
    </row>
    <row r="1032" spans="9:10" x14ac:dyDescent="0.25">
      <c r="I1032" s="37"/>
      <c r="J1032" s="35"/>
    </row>
    <row r="1033" spans="9:10" x14ac:dyDescent="0.25">
      <c r="I1033" s="37"/>
      <c r="J1033" s="35"/>
    </row>
    <row r="1034" spans="9:10" x14ac:dyDescent="0.25">
      <c r="I1034" s="37"/>
      <c r="J1034" s="35"/>
    </row>
    <row r="1035" spans="9:10" x14ac:dyDescent="0.25">
      <c r="I1035" s="37"/>
      <c r="J1035" s="35"/>
    </row>
    <row r="1036" spans="9:10" x14ac:dyDescent="0.25">
      <c r="I1036" s="37"/>
      <c r="J1036" s="35"/>
    </row>
    <row r="1037" spans="9:10" x14ac:dyDescent="0.25">
      <c r="I1037" s="37"/>
      <c r="J1037" s="35"/>
    </row>
    <row r="1038" spans="9:10" x14ac:dyDescent="0.25">
      <c r="I1038" s="37"/>
      <c r="J1038" s="35"/>
    </row>
    <row r="1039" spans="9:10" x14ac:dyDescent="0.25">
      <c r="I1039" s="37"/>
      <c r="J1039" s="35"/>
    </row>
    <row r="1040" spans="9:10" x14ac:dyDescent="0.25">
      <c r="I1040" s="37"/>
      <c r="J1040" s="35"/>
    </row>
    <row r="1041" spans="9:10" x14ac:dyDescent="0.25">
      <c r="I1041" s="37"/>
      <c r="J1041" s="35"/>
    </row>
    <row r="1042" spans="9:10" x14ac:dyDescent="0.25">
      <c r="I1042" s="37"/>
      <c r="J1042" s="35"/>
    </row>
    <row r="1043" spans="9:10" x14ac:dyDescent="0.25">
      <c r="I1043" s="37"/>
      <c r="J1043" s="35"/>
    </row>
    <row r="1044" spans="9:10" x14ac:dyDescent="0.25">
      <c r="I1044" s="37"/>
      <c r="J1044" s="35"/>
    </row>
    <row r="1045" spans="9:10" x14ac:dyDescent="0.25">
      <c r="I1045" s="37"/>
      <c r="J1045" s="35"/>
    </row>
    <row r="1046" spans="9:10" x14ac:dyDescent="0.25">
      <c r="I1046" s="37"/>
      <c r="J1046" s="35"/>
    </row>
    <row r="1047" spans="9:10" x14ac:dyDescent="0.25">
      <c r="I1047" s="37"/>
      <c r="J1047" s="35"/>
    </row>
    <row r="1048" spans="9:10" x14ac:dyDescent="0.25">
      <c r="I1048" s="37"/>
      <c r="J1048" s="35"/>
    </row>
    <row r="1049" spans="9:10" x14ac:dyDescent="0.25">
      <c r="I1049" s="37"/>
      <c r="J1049" s="35"/>
    </row>
    <row r="1050" spans="9:10" x14ac:dyDescent="0.25">
      <c r="I1050" s="37"/>
      <c r="J1050" s="35"/>
    </row>
    <row r="1051" spans="9:10" x14ac:dyDescent="0.25">
      <c r="I1051" s="37"/>
      <c r="J1051" s="35"/>
    </row>
    <row r="1052" spans="9:10" x14ac:dyDescent="0.25">
      <c r="I1052" s="37"/>
      <c r="J1052" s="35"/>
    </row>
    <row r="1053" spans="9:10" x14ac:dyDescent="0.25">
      <c r="I1053" s="37"/>
      <c r="J1053" s="35"/>
    </row>
    <row r="1054" spans="9:10" x14ac:dyDescent="0.25">
      <c r="I1054" s="37"/>
      <c r="J1054" s="35"/>
    </row>
    <row r="1055" spans="9:10" x14ac:dyDescent="0.25">
      <c r="I1055" s="37"/>
      <c r="J1055" s="35"/>
    </row>
    <row r="1056" spans="9:10" x14ac:dyDescent="0.25">
      <c r="I1056" s="37"/>
      <c r="J1056" s="35"/>
    </row>
    <row r="1057" spans="9:10" x14ac:dyDescent="0.25">
      <c r="I1057" s="37"/>
      <c r="J1057" s="35"/>
    </row>
    <row r="1058" spans="9:10" x14ac:dyDescent="0.25">
      <c r="I1058" s="37"/>
      <c r="J1058" s="35"/>
    </row>
    <row r="1059" spans="9:10" x14ac:dyDescent="0.25">
      <c r="I1059" s="37"/>
      <c r="J1059" s="35"/>
    </row>
    <row r="1060" spans="9:10" x14ac:dyDescent="0.25">
      <c r="I1060" s="37"/>
      <c r="J1060" s="35"/>
    </row>
    <row r="1061" spans="9:10" x14ac:dyDescent="0.25">
      <c r="I1061" s="37"/>
      <c r="J1061" s="35"/>
    </row>
    <row r="1062" spans="9:10" x14ac:dyDescent="0.25">
      <c r="I1062" s="37"/>
      <c r="J1062" s="35"/>
    </row>
    <row r="1063" spans="9:10" x14ac:dyDescent="0.25">
      <c r="I1063" s="37"/>
      <c r="J1063" s="35"/>
    </row>
    <row r="1064" spans="9:10" x14ac:dyDescent="0.25">
      <c r="I1064" s="37"/>
      <c r="J1064" s="35"/>
    </row>
    <row r="1065" spans="9:10" x14ac:dyDescent="0.25">
      <c r="I1065" s="37"/>
      <c r="J1065" s="35"/>
    </row>
    <row r="1066" spans="9:10" x14ac:dyDescent="0.25">
      <c r="I1066" s="37"/>
      <c r="J1066" s="35"/>
    </row>
    <row r="1067" spans="9:10" x14ac:dyDescent="0.25">
      <c r="I1067" s="37"/>
      <c r="J1067" s="35"/>
    </row>
    <row r="1068" spans="9:10" x14ac:dyDescent="0.25">
      <c r="I1068" s="37"/>
      <c r="J1068" s="35"/>
    </row>
    <row r="1069" spans="9:10" x14ac:dyDescent="0.25">
      <c r="I1069" s="37"/>
      <c r="J1069" s="35"/>
    </row>
    <row r="1070" spans="9:10" x14ac:dyDescent="0.25">
      <c r="I1070" s="37"/>
      <c r="J1070" s="35"/>
    </row>
    <row r="1071" spans="9:10" x14ac:dyDescent="0.25">
      <c r="I1071" s="37"/>
      <c r="J1071" s="35"/>
    </row>
    <row r="1072" spans="9:10" x14ac:dyDescent="0.25">
      <c r="I1072" s="37"/>
      <c r="J1072" s="35"/>
    </row>
    <row r="1073" spans="9:10" x14ac:dyDescent="0.25">
      <c r="I1073" s="37"/>
      <c r="J1073" s="35"/>
    </row>
    <row r="1074" spans="9:10" x14ac:dyDescent="0.25">
      <c r="I1074" s="37"/>
      <c r="J1074" s="35"/>
    </row>
    <row r="1075" spans="9:10" x14ac:dyDescent="0.25">
      <c r="I1075" s="37"/>
      <c r="J1075" s="35"/>
    </row>
    <row r="1076" spans="9:10" x14ac:dyDescent="0.25">
      <c r="I1076" s="37"/>
      <c r="J1076" s="35"/>
    </row>
    <row r="1077" spans="9:10" x14ac:dyDescent="0.25">
      <c r="I1077" s="37"/>
      <c r="J1077" s="35"/>
    </row>
    <row r="1078" spans="9:10" x14ac:dyDescent="0.25">
      <c r="I1078" s="37"/>
      <c r="J1078" s="35"/>
    </row>
    <row r="1079" spans="9:10" x14ac:dyDescent="0.25">
      <c r="I1079" s="37"/>
      <c r="J1079" s="35"/>
    </row>
    <row r="1080" spans="9:10" x14ac:dyDescent="0.25">
      <c r="I1080" s="37"/>
      <c r="J1080" s="35"/>
    </row>
    <row r="1081" spans="9:10" x14ac:dyDescent="0.25">
      <c r="I1081" s="37"/>
      <c r="J1081" s="35"/>
    </row>
    <row r="1082" spans="9:10" x14ac:dyDescent="0.25">
      <c r="I1082" s="37"/>
      <c r="J1082" s="35"/>
    </row>
    <row r="1083" spans="9:10" x14ac:dyDescent="0.25">
      <c r="I1083" s="37"/>
      <c r="J1083" s="35"/>
    </row>
    <row r="1084" spans="9:10" x14ac:dyDescent="0.25">
      <c r="I1084" s="37"/>
      <c r="J1084" s="35"/>
    </row>
    <row r="1085" spans="9:10" x14ac:dyDescent="0.25">
      <c r="I1085" s="37"/>
      <c r="J1085" s="35"/>
    </row>
    <row r="1086" spans="9:10" x14ac:dyDescent="0.25">
      <c r="I1086" s="37"/>
      <c r="J1086" s="35"/>
    </row>
    <row r="1087" spans="9:10" x14ac:dyDescent="0.25">
      <c r="I1087" s="37"/>
      <c r="J1087" s="35"/>
    </row>
    <row r="1088" spans="9:10" x14ac:dyDescent="0.25">
      <c r="I1088" s="37"/>
      <c r="J1088" s="35"/>
    </row>
    <row r="1089" spans="9:10" x14ac:dyDescent="0.25">
      <c r="I1089" s="37"/>
      <c r="J1089" s="35"/>
    </row>
    <row r="1090" spans="9:10" x14ac:dyDescent="0.25">
      <c r="I1090" s="37"/>
      <c r="J1090" s="35"/>
    </row>
    <row r="1091" spans="9:10" x14ac:dyDescent="0.25">
      <c r="I1091" s="37"/>
      <c r="J1091" s="35"/>
    </row>
    <row r="1092" spans="9:10" x14ac:dyDescent="0.25">
      <c r="I1092" s="37"/>
      <c r="J1092" s="35"/>
    </row>
    <row r="1093" spans="9:10" x14ac:dyDescent="0.25">
      <c r="I1093" s="37"/>
      <c r="J1093" s="35"/>
    </row>
    <row r="1094" spans="9:10" x14ac:dyDescent="0.25">
      <c r="I1094" s="37"/>
      <c r="J1094" s="35"/>
    </row>
    <row r="1095" spans="9:10" x14ac:dyDescent="0.25">
      <c r="I1095" s="37"/>
      <c r="J1095" s="35"/>
    </row>
    <row r="1096" spans="9:10" x14ac:dyDescent="0.25">
      <c r="I1096" s="37"/>
      <c r="J1096" s="35"/>
    </row>
    <row r="1097" spans="9:10" x14ac:dyDescent="0.25">
      <c r="I1097" s="37"/>
      <c r="J1097" s="35"/>
    </row>
    <row r="1098" spans="9:10" x14ac:dyDescent="0.25">
      <c r="I1098" s="37"/>
      <c r="J1098" s="35"/>
    </row>
    <row r="1099" spans="9:10" x14ac:dyDescent="0.25">
      <c r="I1099" s="37"/>
      <c r="J1099" s="35"/>
    </row>
    <row r="1100" spans="9:10" x14ac:dyDescent="0.25">
      <c r="I1100" s="37"/>
      <c r="J1100" s="35"/>
    </row>
    <row r="1101" spans="9:10" x14ac:dyDescent="0.25">
      <c r="I1101" s="37"/>
      <c r="J1101" s="35"/>
    </row>
    <row r="1102" spans="9:10" x14ac:dyDescent="0.25">
      <c r="I1102" s="37"/>
      <c r="J1102" s="35"/>
    </row>
    <row r="1103" spans="9:10" x14ac:dyDescent="0.25">
      <c r="I1103" s="37"/>
      <c r="J1103" s="35"/>
    </row>
    <row r="1104" spans="9:10" x14ac:dyDescent="0.25">
      <c r="I1104" s="37"/>
      <c r="J1104" s="35"/>
    </row>
    <row r="1105" spans="9:10" x14ac:dyDescent="0.25">
      <c r="I1105" s="37"/>
      <c r="J1105" s="35"/>
    </row>
    <row r="1106" spans="9:10" x14ac:dyDescent="0.25">
      <c r="I1106" s="37"/>
      <c r="J1106" s="35"/>
    </row>
    <row r="1107" spans="9:10" x14ac:dyDescent="0.25">
      <c r="I1107" s="37"/>
      <c r="J1107" s="35"/>
    </row>
    <row r="1108" spans="9:10" x14ac:dyDescent="0.25">
      <c r="I1108" s="37"/>
      <c r="J1108" s="35"/>
    </row>
    <row r="1109" spans="9:10" x14ac:dyDescent="0.25">
      <c r="I1109" s="37"/>
      <c r="J1109" s="35"/>
    </row>
    <row r="1110" spans="9:10" x14ac:dyDescent="0.25">
      <c r="I1110" s="37"/>
      <c r="J1110" s="35"/>
    </row>
    <row r="1111" spans="9:10" x14ac:dyDescent="0.25">
      <c r="I1111" s="37"/>
      <c r="J1111" s="35"/>
    </row>
    <row r="1112" spans="9:10" x14ac:dyDescent="0.25">
      <c r="I1112" s="37"/>
      <c r="J1112" s="35"/>
    </row>
    <row r="1113" spans="9:10" x14ac:dyDescent="0.25">
      <c r="I1113" s="37"/>
      <c r="J1113" s="35"/>
    </row>
    <row r="1114" spans="9:10" x14ac:dyDescent="0.25">
      <c r="I1114" s="37"/>
      <c r="J1114" s="35"/>
    </row>
    <row r="1115" spans="9:10" x14ac:dyDescent="0.25">
      <c r="I1115" s="37"/>
      <c r="J1115" s="35"/>
    </row>
    <row r="1116" spans="9:10" x14ac:dyDescent="0.25">
      <c r="I1116" s="37"/>
      <c r="J1116" s="35"/>
    </row>
    <row r="1117" spans="9:10" x14ac:dyDescent="0.25">
      <c r="I1117" s="37"/>
      <c r="J1117" s="35"/>
    </row>
    <row r="1118" spans="9:10" x14ac:dyDescent="0.25">
      <c r="I1118" s="37"/>
      <c r="J1118" s="35"/>
    </row>
    <row r="1119" spans="9:10" x14ac:dyDescent="0.25">
      <c r="I1119" s="37"/>
      <c r="J1119" s="35"/>
    </row>
    <row r="1120" spans="9:10" x14ac:dyDescent="0.25">
      <c r="I1120" s="37"/>
      <c r="J1120" s="35"/>
    </row>
    <row r="1121" spans="9:10" x14ac:dyDescent="0.25">
      <c r="I1121" s="37"/>
      <c r="J1121" s="35"/>
    </row>
    <row r="1122" spans="9:10" x14ac:dyDescent="0.25">
      <c r="I1122" s="37"/>
      <c r="J1122" s="35"/>
    </row>
    <row r="1123" spans="9:10" x14ac:dyDescent="0.25">
      <c r="I1123" s="37"/>
      <c r="J1123" s="35"/>
    </row>
    <row r="1124" spans="9:10" x14ac:dyDescent="0.25">
      <c r="I1124" s="37"/>
      <c r="J1124" s="35"/>
    </row>
    <row r="1125" spans="9:10" x14ac:dyDescent="0.25">
      <c r="I1125" s="37"/>
      <c r="J1125" s="35"/>
    </row>
    <row r="1126" spans="9:10" x14ac:dyDescent="0.25">
      <c r="I1126" s="37"/>
      <c r="J1126" s="35"/>
    </row>
    <row r="1127" spans="9:10" x14ac:dyDescent="0.25">
      <c r="I1127" s="37"/>
      <c r="J1127" s="35"/>
    </row>
    <row r="1128" spans="9:10" x14ac:dyDescent="0.25">
      <c r="I1128" s="37"/>
      <c r="J1128" s="35"/>
    </row>
    <row r="1129" spans="9:10" x14ac:dyDescent="0.25">
      <c r="I1129" s="37"/>
      <c r="J1129" s="35"/>
    </row>
    <row r="1130" spans="9:10" x14ac:dyDescent="0.25">
      <c r="I1130" s="37"/>
      <c r="J1130" s="35"/>
    </row>
    <row r="1131" spans="9:10" x14ac:dyDescent="0.25">
      <c r="I1131" s="37"/>
      <c r="J1131" s="35"/>
    </row>
    <row r="1132" spans="9:10" x14ac:dyDescent="0.25">
      <c r="I1132" s="37"/>
      <c r="J1132" s="35"/>
    </row>
    <row r="1133" spans="9:10" x14ac:dyDescent="0.25">
      <c r="I1133" s="37"/>
      <c r="J1133" s="35"/>
    </row>
    <row r="1134" spans="9:10" x14ac:dyDescent="0.25">
      <c r="I1134" s="37"/>
      <c r="J1134" s="35"/>
    </row>
    <row r="1135" spans="9:10" x14ac:dyDescent="0.25">
      <c r="I1135" s="37"/>
      <c r="J1135" s="35"/>
    </row>
    <row r="1136" spans="9:10" x14ac:dyDescent="0.25">
      <c r="I1136" s="37"/>
      <c r="J1136" s="35"/>
    </row>
    <row r="1137" spans="9:10" x14ac:dyDescent="0.25">
      <c r="I1137" s="37"/>
      <c r="J1137" s="35"/>
    </row>
    <row r="1138" spans="9:10" x14ac:dyDescent="0.25">
      <c r="I1138" s="37"/>
      <c r="J1138" s="35"/>
    </row>
    <row r="1139" spans="9:10" x14ac:dyDescent="0.25">
      <c r="I1139" s="37"/>
      <c r="J1139" s="35"/>
    </row>
    <row r="1140" spans="9:10" x14ac:dyDescent="0.25">
      <c r="I1140" s="37"/>
      <c r="J1140" s="35"/>
    </row>
    <row r="1141" spans="9:10" x14ac:dyDescent="0.25">
      <c r="I1141" s="37"/>
      <c r="J1141" s="35"/>
    </row>
    <row r="1142" spans="9:10" x14ac:dyDescent="0.25">
      <c r="I1142" s="37"/>
      <c r="J1142" s="35"/>
    </row>
    <row r="1143" spans="9:10" x14ac:dyDescent="0.25">
      <c r="I1143" s="37"/>
      <c r="J1143" s="35"/>
    </row>
    <row r="1144" spans="9:10" x14ac:dyDescent="0.25">
      <c r="I1144" s="37"/>
      <c r="J1144" s="35"/>
    </row>
    <row r="1145" spans="9:10" x14ac:dyDescent="0.25">
      <c r="I1145" s="37"/>
      <c r="J1145" s="35"/>
    </row>
    <row r="1146" spans="9:10" x14ac:dyDescent="0.25">
      <c r="I1146" s="37"/>
      <c r="J1146" s="35"/>
    </row>
    <row r="1147" spans="9:10" x14ac:dyDescent="0.25">
      <c r="I1147" s="37"/>
      <c r="J1147" s="35"/>
    </row>
    <row r="1148" spans="9:10" x14ac:dyDescent="0.25">
      <c r="I1148" s="37"/>
      <c r="J1148" s="35"/>
    </row>
    <row r="1149" spans="9:10" x14ac:dyDescent="0.25">
      <c r="I1149" s="37"/>
      <c r="J1149" s="35"/>
    </row>
    <row r="1150" spans="9:10" x14ac:dyDescent="0.25">
      <c r="I1150" s="37"/>
      <c r="J1150" s="35"/>
    </row>
    <row r="1151" spans="9:10" x14ac:dyDescent="0.25">
      <c r="I1151" s="37"/>
      <c r="J1151" s="35"/>
    </row>
    <row r="1152" spans="9:10" x14ac:dyDescent="0.25">
      <c r="I1152" s="37"/>
      <c r="J1152" s="35"/>
    </row>
    <row r="1153" spans="9:10" x14ac:dyDescent="0.25">
      <c r="I1153" s="37"/>
      <c r="J1153" s="35"/>
    </row>
    <row r="1154" spans="9:10" x14ac:dyDescent="0.25">
      <c r="I1154" s="37"/>
      <c r="J1154" s="35"/>
    </row>
    <row r="1155" spans="9:10" x14ac:dyDescent="0.25">
      <c r="I1155" s="37"/>
      <c r="J1155" s="35"/>
    </row>
    <row r="1156" spans="9:10" x14ac:dyDescent="0.25">
      <c r="I1156" s="37"/>
      <c r="J1156" s="35"/>
    </row>
    <row r="1157" spans="9:10" x14ac:dyDescent="0.25">
      <c r="I1157" s="37"/>
      <c r="J1157" s="35"/>
    </row>
    <row r="1158" spans="9:10" x14ac:dyDescent="0.25">
      <c r="I1158" s="37"/>
      <c r="J1158" s="35"/>
    </row>
    <row r="1159" spans="9:10" x14ac:dyDescent="0.25">
      <c r="I1159" s="37"/>
      <c r="J1159" s="35"/>
    </row>
    <row r="1160" spans="9:10" x14ac:dyDescent="0.25">
      <c r="I1160" s="37"/>
      <c r="J1160" s="35"/>
    </row>
    <row r="1161" spans="9:10" x14ac:dyDescent="0.25">
      <c r="I1161" s="37"/>
      <c r="J1161" s="35"/>
    </row>
    <row r="1162" spans="9:10" x14ac:dyDescent="0.25">
      <c r="I1162" s="37"/>
      <c r="J1162" s="35"/>
    </row>
    <row r="1163" spans="9:10" x14ac:dyDescent="0.25">
      <c r="I1163" s="37"/>
      <c r="J1163" s="35"/>
    </row>
    <row r="1164" spans="9:10" x14ac:dyDescent="0.25">
      <c r="I1164" s="37"/>
      <c r="J1164" s="35"/>
    </row>
    <row r="1165" spans="9:10" x14ac:dyDescent="0.25">
      <c r="I1165" s="37"/>
      <c r="J1165" s="35"/>
    </row>
    <row r="1166" spans="9:10" x14ac:dyDescent="0.25">
      <c r="I1166" s="37"/>
      <c r="J1166" s="35"/>
    </row>
    <row r="1167" spans="9:10" x14ac:dyDescent="0.25">
      <c r="I1167" s="37"/>
      <c r="J1167" s="35"/>
    </row>
    <row r="1168" spans="9:10" x14ac:dyDescent="0.25">
      <c r="I1168" s="37"/>
      <c r="J1168" s="35"/>
    </row>
    <row r="1169" spans="9:10" x14ac:dyDescent="0.25">
      <c r="I1169" s="37"/>
      <c r="J1169" s="35"/>
    </row>
    <row r="1170" spans="9:10" x14ac:dyDescent="0.25">
      <c r="I1170" s="37"/>
      <c r="J1170" s="35"/>
    </row>
    <row r="1171" spans="9:10" x14ac:dyDescent="0.25">
      <c r="I1171" s="37"/>
      <c r="J1171" s="35"/>
    </row>
    <row r="1172" spans="9:10" x14ac:dyDescent="0.25">
      <c r="I1172" s="37"/>
      <c r="J1172" s="35"/>
    </row>
    <row r="1173" spans="9:10" x14ac:dyDescent="0.25">
      <c r="I1173" s="37"/>
      <c r="J1173" s="35"/>
    </row>
    <row r="1174" spans="9:10" x14ac:dyDescent="0.25">
      <c r="I1174" s="37"/>
      <c r="J1174" s="35"/>
    </row>
    <row r="1175" spans="9:10" x14ac:dyDescent="0.25">
      <c r="I1175" s="37"/>
      <c r="J1175" s="35"/>
    </row>
    <row r="1176" spans="9:10" x14ac:dyDescent="0.25">
      <c r="I1176" s="37"/>
      <c r="J1176" s="35"/>
    </row>
    <row r="1177" spans="9:10" x14ac:dyDescent="0.25">
      <c r="I1177" s="37"/>
      <c r="J1177" s="35"/>
    </row>
    <row r="1178" spans="9:10" x14ac:dyDescent="0.25">
      <c r="I1178" s="37"/>
      <c r="J1178" s="35"/>
    </row>
    <row r="1179" spans="9:10" x14ac:dyDescent="0.25">
      <c r="I1179" s="37"/>
      <c r="J1179" s="35"/>
    </row>
    <row r="1180" spans="9:10" x14ac:dyDescent="0.25">
      <c r="I1180" s="37"/>
      <c r="J1180" s="35"/>
    </row>
    <row r="1181" spans="9:10" x14ac:dyDescent="0.25">
      <c r="I1181" s="37"/>
      <c r="J1181" s="35"/>
    </row>
    <row r="1182" spans="9:10" x14ac:dyDescent="0.25">
      <c r="I1182" s="37"/>
      <c r="J1182" s="35"/>
    </row>
    <row r="1183" spans="9:10" x14ac:dyDescent="0.25">
      <c r="I1183" s="37"/>
      <c r="J1183" s="35"/>
    </row>
    <row r="1184" spans="9:10" x14ac:dyDescent="0.25">
      <c r="I1184" s="37"/>
      <c r="J1184" s="35"/>
    </row>
    <row r="1185" spans="9:10" x14ac:dyDescent="0.25">
      <c r="I1185" s="37"/>
      <c r="J1185" s="35"/>
    </row>
    <row r="1186" spans="9:10" x14ac:dyDescent="0.25">
      <c r="I1186" s="37"/>
      <c r="J1186" s="35"/>
    </row>
    <row r="1187" spans="9:10" x14ac:dyDescent="0.25">
      <c r="I1187" s="37"/>
      <c r="J1187" s="35"/>
    </row>
    <row r="1188" spans="9:10" x14ac:dyDescent="0.25">
      <c r="I1188" s="37"/>
      <c r="J1188" s="35"/>
    </row>
    <row r="1189" spans="9:10" x14ac:dyDescent="0.25">
      <c r="I1189" s="37"/>
      <c r="J1189" s="35"/>
    </row>
    <row r="1190" spans="9:10" x14ac:dyDescent="0.25">
      <c r="I1190" s="37"/>
      <c r="J1190" s="35"/>
    </row>
    <row r="1191" spans="9:10" x14ac:dyDescent="0.25">
      <c r="I1191" s="37"/>
      <c r="J1191" s="35"/>
    </row>
    <row r="1192" spans="9:10" x14ac:dyDescent="0.25">
      <c r="I1192" s="37"/>
      <c r="J1192" s="35"/>
    </row>
    <row r="1193" spans="9:10" x14ac:dyDescent="0.25">
      <c r="I1193" s="37"/>
      <c r="J1193" s="35"/>
    </row>
    <row r="1194" spans="9:10" x14ac:dyDescent="0.25">
      <c r="I1194" s="37"/>
      <c r="J1194" s="35"/>
    </row>
    <row r="1195" spans="9:10" x14ac:dyDescent="0.25">
      <c r="I1195" s="37"/>
      <c r="J1195" s="35"/>
    </row>
    <row r="1196" spans="9:10" x14ac:dyDescent="0.25">
      <c r="I1196" s="37"/>
      <c r="J1196" s="35"/>
    </row>
    <row r="1197" spans="9:10" x14ac:dyDescent="0.25">
      <c r="I1197" s="37"/>
      <c r="J1197" s="35"/>
    </row>
    <row r="1198" spans="9:10" x14ac:dyDescent="0.25">
      <c r="I1198" s="37"/>
      <c r="J1198" s="35"/>
    </row>
    <row r="1199" spans="9:10" x14ac:dyDescent="0.25">
      <c r="I1199" s="37"/>
      <c r="J1199" s="35"/>
    </row>
    <row r="1200" spans="9:10" x14ac:dyDescent="0.25">
      <c r="I1200" s="37"/>
      <c r="J1200" s="35"/>
    </row>
    <row r="1201" spans="9:10" x14ac:dyDescent="0.25">
      <c r="I1201" s="37"/>
      <c r="J1201" s="35"/>
    </row>
    <row r="1202" spans="9:10" x14ac:dyDescent="0.25">
      <c r="I1202" s="37"/>
      <c r="J1202" s="35"/>
    </row>
    <row r="1203" spans="9:10" x14ac:dyDescent="0.25">
      <c r="I1203" s="37"/>
      <c r="J1203" s="35"/>
    </row>
    <row r="1204" spans="9:10" x14ac:dyDescent="0.25">
      <c r="I1204" s="37"/>
      <c r="J1204" s="35"/>
    </row>
    <row r="1205" spans="9:10" x14ac:dyDescent="0.25">
      <c r="I1205" s="37"/>
      <c r="J1205" s="35"/>
    </row>
    <row r="1206" spans="9:10" x14ac:dyDescent="0.25">
      <c r="I1206" s="37"/>
      <c r="J1206" s="35"/>
    </row>
    <row r="1207" spans="9:10" x14ac:dyDescent="0.25">
      <c r="I1207" s="37"/>
      <c r="J1207" s="35"/>
    </row>
    <row r="1208" spans="9:10" x14ac:dyDescent="0.25">
      <c r="I1208" s="37"/>
      <c r="J1208" s="35"/>
    </row>
    <row r="1209" spans="9:10" x14ac:dyDescent="0.25">
      <c r="I1209" s="37"/>
      <c r="J1209" s="35"/>
    </row>
    <row r="1210" spans="9:10" x14ac:dyDescent="0.25">
      <c r="I1210" s="37"/>
      <c r="J1210" s="35"/>
    </row>
    <row r="1211" spans="9:10" x14ac:dyDescent="0.25">
      <c r="I1211" s="37"/>
      <c r="J1211" s="35"/>
    </row>
    <row r="1212" spans="9:10" x14ac:dyDescent="0.25">
      <c r="I1212" s="37"/>
      <c r="J1212" s="35"/>
    </row>
    <row r="1213" spans="9:10" x14ac:dyDescent="0.25">
      <c r="I1213" s="37"/>
      <c r="J1213" s="35"/>
    </row>
    <row r="1214" spans="9:10" x14ac:dyDescent="0.25">
      <c r="I1214" s="37"/>
      <c r="J1214" s="35"/>
    </row>
    <row r="1215" spans="9:10" x14ac:dyDescent="0.25">
      <c r="I1215" s="37"/>
      <c r="J1215" s="35"/>
    </row>
    <row r="1216" spans="9:10" x14ac:dyDescent="0.25">
      <c r="I1216" s="37"/>
      <c r="J1216" s="35"/>
    </row>
    <row r="1217" spans="9:10" x14ac:dyDescent="0.25">
      <c r="I1217" s="37"/>
      <c r="J1217" s="35"/>
    </row>
    <row r="1218" spans="9:10" x14ac:dyDescent="0.25">
      <c r="I1218" s="37"/>
      <c r="J1218" s="35"/>
    </row>
    <row r="1219" spans="9:10" x14ac:dyDescent="0.25">
      <c r="I1219" s="37"/>
      <c r="J1219" s="35"/>
    </row>
    <row r="1220" spans="9:10" x14ac:dyDescent="0.25">
      <c r="I1220" s="37"/>
      <c r="J1220" s="35"/>
    </row>
    <row r="1221" spans="9:10" x14ac:dyDescent="0.25">
      <c r="I1221" s="37"/>
      <c r="J1221" s="35"/>
    </row>
    <row r="1222" spans="9:10" x14ac:dyDescent="0.25">
      <c r="I1222" s="37"/>
      <c r="J1222" s="35"/>
    </row>
    <row r="1223" spans="9:10" x14ac:dyDescent="0.25">
      <c r="I1223" s="37"/>
      <c r="J1223" s="35"/>
    </row>
    <row r="1224" spans="9:10" x14ac:dyDescent="0.25">
      <c r="I1224" s="37"/>
      <c r="J1224" s="35"/>
    </row>
    <row r="1225" spans="9:10" x14ac:dyDescent="0.25">
      <c r="I1225" s="37"/>
      <c r="J1225" s="35"/>
    </row>
    <row r="1226" spans="9:10" x14ac:dyDescent="0.25">
      <c r="I1226" s="37"/>
      <c r="J1226" s="35"/>
    </row>
    <row r="1227" spans="9:10" x14ac:dyDescent="0.25">
      <c r="I1227" s="37"/>
      <c r="J1227" s="35"/>
    </row>
    <row r="1228" spans="9:10" x14ac:dyDescent="0.25">
      <c r="I1228" s="37"/>
      <c r="J1228" s="35"/>
    </row>
    <row r="1229" spans="9:10" x14ac:dyDescent="0.25">
      <c r="I1229" s="37"/>
      <c r="J1229" s="35"/>
    </row>
    <row r="1230" spans="9:10" x14ac:dyDescent="0.25">
      <c r="I1230" s="37"/>
      <c r="J1230" s="35"/>
    </row>
    <row r="1231" spans="9:10" x14ac:dyDescent="0.25">
      <c r="I1231" s="37"/>
      <c r="J1231" s="35"/>
    </row>
    <row r="1232" spans="9:10" x14ac:dyDescent="0.25">
      <c r="I1232" s="37"/>
      <c r="J1232" s="35"/>
    </row>
    <row r="1233" spans="9:10" x14ac:dyDescent="0.25">
      <c r="I1233" s="37"/>
      <c r="J1233" s="35"/>
    </row>
    <row r="1234" spans="9:10" x14ac:dyDescent="0.25">
      <c r="I1234" s="37"/>
      <c r="J1234" s="35"/>
    </row>
    <row r="1235" spans="9:10" x14ac:dyDescent="0.25">
      <c r="I1235" s="37"/>
      <c r="J1235" s="35"/>
    </row>
    <row r="1236" spans="9:10" x14ac:dyDescent="0.25">
      <c r="I1236" s="37"/>
      <c r="J1236" s="35"/>
    </row>
    <row r="1237" spans="9:10" x14ac:dyDescent="0.25">
      <c r="I1237" s="37"/>
      <c r="J1237" s="35"/>
    </row>
    <row r="1238" spans="9:10" x14ac:dyDescent="0.25">
      <c r="I1238" s="37"/>
      <c r="J1238" s="35"/>
    </row>
    <row r="1239" spans="9:10" x14ac:dyDescent="0.25">
      <c r="I1239" s="37"/>
      <c r="J1239" s="35"/>
    </row>
    <row r="1240" spans="9:10" x14ac:dyDescent="0.25">
      <c r="I1240" s="37"/>
      <c r="J1240" s="35"/>
    </row>
    <row r="1241" spans="9:10" x14ac:dyDescent="0.25">
      <c r="I1241" s="37"/>
      <c r="J1241" s="35"/>
    </row>
    <row r="1242" spans="9:10" x14ac:dyDescent="0.25">
      <c r="I1242" s="37"/>
      <c r="J1242" s="35"/>
    </row>
    <row r="1243" spans="9:10" x14ac:dyDescent="0.25">
      <c r="I1243" s="37"/>
      <c r="J1243" s="35"/>
    </row>
    <row r="1244" spans="9:10" x14ac:dyDescent="0.25">
      <c r="I1244" s="37"/>
      <c r="J1244" s="35"/>
    </row>
    <row r="1245" spans="9:10" x14ac:dyDescent="0.25">
      <c r="I1245" s="37"/>
      <c r="J1245" s="35"/>
    </row>
    <row r="1246" spans="9:10" x14ac:dyDescent="0.25">
      <c r="I1246" s="37"/>
      <c r="J1246" s="35"/>
    </row>
    <row r="1247" spans="9:10" x14ac:dyDescent="0.25">
      <c r="I1247" s="37"/>
      <c r="J1247" s="35"/>
    </row>
    <row r="1248" spans="9:10" x14ac:dyDescent="0.25">
      <c r="I1248" s="37"/>
      <c r="J1248" s="35"/>
    </row>
    <row r="1249" spans="9:10" x14ac:dyDescent="0.25">
      <c r="I1249" s="37"/>
      <c r="J1249" s="35"/>
    </row>
    <row r="1250" spans="9:10" x14ac:dyDescent="0.25">
      <c r="I1250" s="37"/>
      <c r="J1250" s="35"/>
    </row>
    <row r="1251" spans="9:10" x14ac:dyDescent="0.25">
      <c r="I1251" s="37"/>
      <c r="J1251" s="35"/>
    </row>
    <row r="1252" spans="9:10" x14ac:dyDescent="0.25">
      <c r="I1252" s="37"/>
      <c r="J1252" s="35"/>
    </row>
    <row r="1253" spans="9:10" x14ac:dyDescent="0.25">
      <c r="I1253" s="37"/>
      <c r="J1253" s="35"/>
    </row>
    <row r="1254" spans="9:10" x14ac:dyDescent="0.25">
      <c r="I1254" s="37"/>
      <c r="J1254" s="35"/>
    </row>
    <row r="1255" spans="9:10" x14ac:dyDescent="0.25">
      <c r="I1255" s="37"/>
      <c r="J1255" s="35"/>
    </row>
    <row r="1256" spans="9:10" x14ac:dyDescent="0.25">
      <c r="I1256" s="37"/>
      <c r="J1256" s="35"/>
    </row>
    <row r="1257" spans="9:10" x14ac:dyDescent="0.25">
      <c r="I1257" s="37"/>
      <c r="J1257" s="35"/>
    </row>
    <row r="1258" spans="9:10" x14ac:dyDescent="0.25">
      <c r="I1258" s="37"/>
      <c r="J1258" s="35"/>
    </row>
    <row r="1259" spans="9:10" x14ac:dyDescent="0.25">
      <c r="I1259" s="37"/>
      <c r="J1259" s="35"/>
    </row>
    <row r="1260" spans="9:10" x14ac:dyDescent="0.25">
      <c r="I1260" s="37"/>
      <c r="J1260" s="35"/>
    </row>
    <row r="1261" spans="9:10" x14ac:dyDescent="0.25">
      <c r="I1261" s="37"/>
      <c r="J1261" s="35"/>
    </row>
    <row r="1262" spans="9:10" x14ac:dyDescent="0.25">
      <c r="I1262" s="37"/>
      <c r="J1262" s="35"/>
    </row>
    <row r="1263" spans="9:10" x14ac:dyDescent="0.25">
      <c r="I1263" s="37"/>
      <c r="J1263" s="35"/>
    </row>
    <row r="1264" spans="9:10" x14ac:dyDescent="0.25">
      <c r="I1264" s="37"/>
      <c r="J1264" s="35"/>
    </row>
    <row r="1265" spans="9:10" x14ac:dyDescent="0.25">
      <c r="I1265" s="37"/>
      <c r="J1265" s="35"/>
    </row>
    <row r="1266" spans="9:10" x14ac:dyDescent="0.25">
      <c r="I1266" s="37"/>
      <c r="J1266" s="35"/>
    </row>
    <row r="1267" spans="9:10" x14ac:dyDescent="0.25">
      <c r="I1267" s="37"/>
      <c r="J1267" s="35"/>
    </row>
    <row r="1268" spans="9:10" x14ac:dyDescent="0.25">
      <c r="I1268" s="37"/>
      <c r="J1268" s="35"/>
    </row>
    <row r="1269" spans="9:10" x14ac:dyDescent="0.25">
      <c r="I1269" s="37"/>
      <c r="J1269" s="35"/>
    </row>
    <row r="1270" spans="9:10" x14ac:dyDescent="0.25">
      <c r="I1270" s="37"/>
      <c r="J1270" s="35"/>
    </row>
    <row r="1271" spans="9:10" x14ac:dyDescent="0.25">
      <c r="I1271" s="37"/>
      <c r="J1271" s="35"/>
    </row>
    <row r="1272" spans="9:10" x14ac:dyDescent="0.25">
      <c r="I1272" s="37"/>
      <c r="J1272" s="35"/>
    </row>
    <row r="1273" spans="9:10" x14ac:dyDescent="0.25">
      <c r="I1273" s="37"/>
      <c r="J1273" s="35"/>
    </row>
    <row r="1274" spans="9:10" x14ac:dyDescent="0.25">
      <c r="I1274" s="37"/>
      <c r="J1274" s="35"/>
    </row>
    <row r="1275" spans="9:10" x14ac:dyDescent="0.25">
      <c r="I1275" s="37"/>
      <c r="J1275" s="35"/>
    </row>
    <row r="1276" spans="9:10" x14ac:dyDescent="0.25">
      <c r="I1276" s="37"/>
      <c r="J1276" s="35"/>
    </row>
    <row r="1277" spans="9:10" x14ac:dyDescent="0.25">
      <c r="I1277" s="37"/>
      <c r="J1277" s="35"/>
    </row>
    <row r="1278" spans="9:10" x14ac:dyDescent="0.25">
      <c r="I1278" s="37"/>
      <c r="J1278" s="35"/>
    </row>
    <row r="1279" spans="9:10" x14ac:dyDescent="0.25">
      <c r="I1279" s="37"/>
      <c r="J1279" s="35"/>
    </row>
    <row r="1280" spans="9:10" x14ac:dyDescent="0.25">
      <c r="I1280" s="37"/>
      <c r="J1280" s="35"/>
    </row>
    <row r="1281" spans="9:10" x14ac:dyDescent="0.25">
      <c r="I1281" s="37"/>
      <c r="J1281" s="35"/>
    </row>
    <row r="1282" spans="9:10" x14ac:dyDescent="0.25">
      <c r="I1282" s="37"/>
      <c r="J1282" s="35"/>
    </row>
    <row r="1283" spans="9:10" x14ac:dyDescent="0.25">
      <c r="I1283" s="37"/>
      <c r="J1283" s="35"/>
    </row>
    <row r="1284" spans="9:10" x14ac:dyDescent="0.25">
      <c r="I1284" s="37"/>
      <c r="J1284" s="35"/>
    </row>
    <row r="1285" spans="9:10" x14ac:dyDescent="0.25">
      <c r="I1285" s="37"/>
      <c r="J1285" s="35"/>
    </row>
    <row r="1286" spans="9:10" x14ac:dyDescent="0.25">
      <c r="I1286" s="37"/>
      <c r="J1286" s="35"/>
    </row>
    <row r="1287" spans="9:10" x14ac:dyDescent="0.25">
      <c r="I1287" s="37"/>
      <c r="J1287" s="35"/>
    </row>
    <row r="1288" spans="9:10" x14ac:dyDescent="0.25">
      <c r="I1288" s="37"/>
      <c r="J1288" s="35"/>
    </row>
    <row r="1289" spans="9:10" x14ac:dyDescent="0.25">
      <c r="I1289" s="37"/>
      <c r="J1289" s="35"/>
    </row>
    <row r="1290" spans="9:10" x14ac:dyDescent="0.25">
      <c r="I1290" s="37"/>
      <c r="J1290" s="35"/>
    </row>
    <row r="1291" spans="9:10" x14ac:dyDescent="0.25">
      <c r="I1291" s="37"/>
      <c r="J1291" s="35"/>
    </row>
    <row r="1292" spans="9:10" x14ac:dyDescent="0.25">
      <c r="I1292" s="37"/>
      <c r="J1292" s="35"/>
    </row>
    <row r="1293" spans="9:10" x14ac:dyDescent="0.25">
      <c r="I1293" s="37"/>
      <c r="J1293" s="35"/>
    </row>
    <row r="1294" spans="9:10" x14ac:dyDescent="0.25">
      <c r="I1294" s="37"/>
      <c r="J1294" s="35"/>
    </row>
    <row r="1295" spans="9:10" x14ac:dyDescent="0.25">
      <c r="I1295" s="37"/>
      <c r="J1295" s="35"/>
    </row>
    <row r="1296" spans="9:10" x14ac:dyDescent="0.25">
      <c r="I1296" s="37"/>
      <c r="J1296" s="35"/>
    </row>
    <row r="1297" spans="9:10" x14ac:dyDescent="0.25">
      <c r="I1297" s="37"/>
      <c r="J1297" s="35"/>
    </row>
    <row r="1298" spans="9:10" x14ac:dyDescent="0.25">
      <c r="I1298" s="37"/>
      <c r="J1298" s="35"/>
    </row>
    <row r="1299" spans="9:10" x14ac:dyDescent="0.25">
      <c r="I1299" s="37"/>
      <c r="J1299" s="35"/>
    </row>
    <row r="1300" spans="9:10" x14ac:dyDescent="0.25">
      <c r="I1300" s="37"/>
      <c r="J1300" s="35"/>
    </row>
    <row r="1301" spans="9:10" x14ac:dyDescent="0.25">
      <c r="I1301" s="37"/>
      <c r="J1301" s="35"/>
    </row>
    <row r="1302" spans="9:10" x14ac:dyDescent="0.25">
      <c r="I1302" s="37"/>
      <c r="J1302" s="35"/>
    </row>
    <row r="1303" spans="9:10" x14ac:dyDescent="0.25">
      <c r="I1303" s="37"/>
      <c r="J1303" s="35"/>
    </row>
    <row r="1304" spans="9:10" x14ac:dyDescent="0.25">
      <c r="I1304" s="37"/>
      <c r="J1304" s="35"/>
    </row>
    <row r="1305" spans="9:10" x14ac:dyDescent="0.25">
      <c r="I1305" s="37"/>
      <c r="J1305" s="35"/>
    </row>
    <row r="1306" spans="9:10" x14ac:dyDescent="0.25">
      <c r="I1306" s="37"/>
      <c r="J1306" s="35"/>
    </row>
    <row r="1307" spans="9:10" x14ac:dyDescent="0.25">
      <c r="I1307" s="37"/>
      <c r="J1307" s="35"/>
    </row>
    <row r="1308" spans="9:10" x14ac:dyDescent="0.25">
      <c r="I1308" s="37"/>
      <c r="J1308" s="35"/>
    </row>
    <row r="1309" spans="9:10" x14ac:dyDescent="0.25">
      <c r="I1309" s="37"/>
      <c r="J1309" s="35"/>
    </row>
    <row r="1310" spans="9:10" x14ac:dyDescent="0.25">
      <c r="I1310" s="37"/>
      <c r="J1310" s="35"/>
    </row>
    <row r="1311" spans="9:10" x14ac:dyDescent="0.25">
      <c r="I1311" s="37"/>
      <c r="J1311" s="35"/>
    </row>
    <row r="1312" spans="9:10" x14ac:dyDescent="0.25">
      <c r="I1312" s="37"/>
      <c r="J1312" s="35"/>
    </row>
    <row r="1313" spans="9:10" x14ac:dyDescent="0.25">
      <c r="I1313" s="37"/>
      <c r="J1313" s="35"/>
    </row>
    <row r="1314" spans="9:10" x14ac:dyDescent="0.25">
      <c r="I1314" s="37"/>
      <c r="J1314" s="35"/>
    </row>
    <row r="1315" spans="9:10" x14ac:dyDescent="0.25">
      <c r="I1315" s="37"/>
      <c r="J1315" s="35"/>
    </row>
    <row r="1316" spans="9:10" x14ac:dyDescent="0.25">
      <c r="I1316" s="37"/>
      <c r="J1316" s="35"/>
    </row>
    <row r="1317" spans="9:10" x14ac:dyDescent="0.25">
      <c r="I1317" s="37"/>
      <c r="J1317" s="35"/>
    </row>
    <row r="1318" spans="9:10" x14ac:dyDescent="0.25">
      <c r="I1318" s="37"/>
      <c r="J1318" s="35"/>
    </row>
    <row r="1319" spans="9:10" x14ac:dyDescent="0.25">
      <c r="I1319" s="37"/>
      <c r="J1319" s="35"/>
    </row>
    <row r="1320" spans="9:10" x14ac:dyDescent="0.25">
      <c r="I1320" s="37"/>
      <c r="J1320" s="35"/>
    </row>
    <row r="1321" spans="9:10" x14ac:dyDescent="0.25">
      <c r="I1321" s="37"/>
      <c r="J1321" s="35"/>
    </row>
    <row r="1322" spans="9:10" x14ac:dyDescent="0.25">
      <c r="I1322" s="37"/>
      <c r="J1322" s="35"/>
    </row>
    <row r="1323" spans="9:10" x14ac:dyDescent="0.25">
      <c r="I1323" s="37"/>
      <c r="J1323" s="35"/>
    </row>
    <row r="1324" spans="9:10" x14ac:dyDescent="0.25">
      <c r="I1324" s="37"/>
      <c r="J1324" s="35"/>
    </row>
    <row r="1325" spans="9:10" x14ac:dyDescent="0.25">
      <c r="I1325" s="37"/>
      <c r="J1325" s="35"/>
    </row>
    <row r="1326" spans="9:10" x14ac:dyDescent="0.25">
      <c r="I1326" s="37"/>
      <c r="J1326" s="35"/>
    </row>
    <row r="1327" spans="9:10" x14ac:dyDescent="0.25">
      <c r="I1327" s="37"/>
      <c r="J1327" s="35"/>
    </row>
    <row r="1328" spans="9:10" x14ac:dyDescent="0.25">
      <c r="I1328" s="37"/>
      <c r="J1328" s="35"/>
    </row>
    <row r="1329" spans="9:10" x14ac:dyDescent="0.25">
      <c r="I1329" s="37"/>
      <c r="J1329" s="35"/>
    </row>
    <row r="1330" spans="9:10" x14ac:dyDescent="0.25">
      <c r="I1330" s="37"/>
      <c r="J1330" s="35"/>
    </row>
    <row r="1331" spans="9:10" x14ac:dyDescent="0.25">
      <c r="I1331" s="37"/>
      <c r="J1331" s="35"/>
    </row>
    <row r="1332" spans="9:10" x14ac:dyDescent="0.25">
      <c r="I1332" s="37"/>
      <c r="J1332" s="35"/>
    </row>
    <row r="1333" spans="9:10" x14ac:dyDescent="0.25">
      <c r="I1333" s="37"/>
      <c r="J1333" s="35"/>
    </row>
    <row r="1334" spans="9:10" x14ac:dyDescent="0.25">
      <c r="I1334" s="37"/>
      <c r="J1334" s="35"/>
    </row>
  </sheetData>
  <mergeCells count="18">
    <mergeCell ref="T29:U29"/>
    <mergeCell ref="J16:K16"/>
    <mergeCell ref="L16:M16"/>
    <mergeCell ref="N16:O16"/>
    <mergeCell ref="P16:Q16"/>
    <mergeCell ref="R16:S16"/>
    <mergeCell ref="T16:U16"/>
    <mergeCell ref="J29:K29"/>
    <mergeCell ref="L29:M29"/>
    <mergeCell ref="N29:O29"/>
    <mergeCell ref="P29:Q29"/>
    <mergeCell ref="R29:S29"/>
    <mergeCell ref="T2:U2"/>
    <mergeCell ref="J2:K2"/>
    <mergeCell ref="L2:M2"/>
    <mergeCell ref="N2:O2"/>
    <mergeCell ref="P2:Q2"/>
    <mergeCell ref="R2:S2"/>
  </mergeCells>
  <conditionalFormatting sqref="AE3:AI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:AI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0:AI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F3E6C-6072-4953-ADFA-148D7E35E80E}">
  <dimension ref="B1:AQ1334"/>
  <sheetViews>
    <sheetView showGridLines="0" topLeftCell="A5" zoomScale="85" zoomScaleNormal="85" workbookViewId="0">
      <selection activeCell="F22" sqref="F22"/>
    </sheetView>
  </sheetViews>
  <sheetFormatPr defaultRowHeight="15" outlineLevelRow="1" outlineLevelCol="1" x14ac:dyDescent="0.25"/>
  <cols>
    <col min="1" max="1" width="2.5703125" customWidth="1"/>
    <col min="2" max="2" width="9.140625" customWidth="1"/>
    <col min="3" max="3" width="16.28515625" bestFit="1" customWidth="1"/>
    <col min="4" max="4" width="15.28515625" bestFit="1" customWidth="1"/>
    <col min="5" max="5" width="2.5703125" customWidth="1"/>
    <col min="6" max="6" width="18.140625" bestFit="1" customWidth="1"/>
    <col min="7" max="7" width="2.5703125" customWidth="1"/>
    <col min="8" max="8" width="25.140625" bestFit="1" customWidth="1"/>
    <col min="9" max="9" width="24.28515625" style="11" customWidth="1" outlineLevel="1"/>
    <col min="10" max="10" width="9.42578125" style="6" customWidth="1"/>
    <col min="11" max="11" width="19" style="11" hidden="1" customWidth="1" outlineLevel="1"/>
    <col min="12" max="12" width="9.28515625" style="6" customWidth="1" collapsed="1"/>
    <col min="13" max="13" width="19.5703125" style="11" hidden="1" customWidth="1" outlineLevel="1"/>
    <col min="14" max="14" width="10.42578125" style="6" customWidth="1" collapsed="1"/>
    <col min="15" max="15" width="17.85546875" style="11" hidden="1" customWidth="1" outlineLevel="1"/>
    <col min="16" max="16" width="8.5703125" style="6" bestFit="1" customWidth="1" collapsed="1"/>
    <col min="17" max="17" width="18" style="11" hidden="1" customWidth="1" outlineLevel="1"/>
    <col min="18" max="18" width="11.42578125" style="5" customWidth="1" collapsed="1"/>
    <col min="19" max="19" width="19.5703125" style="10" hidden="1" customWidth="1" outlineLevel="1"/>
    <col min="20" max="20" width="9.85546875" style="10" bestFit="1" customWidth="1" collapsed="1"/>
    <col min="21" max="21" width="19.5703125" style="10" hidden="1" customWidth="1" outlineLevel="1"/>
    <col min="22" max="22" width="2.5703125" customWidth="1" collapsed="1"/>
    <col min="23" max="24" width="7.140625" hidden="1" customWidth="1" outlineLevel="1"/>
    <col min="25" max="25" width="17.85546875" bestFit="1" customWidth="1" collapsed="1"/>
    <col min="26" max="27" width="17.85546875" bestFit="1" customWidth="1"/>
    <col min="28" max="28" width="16.140625" bestFit="1" customWidth="1"/>
    <col min="29" max="29" width="15.140625" bestFit="1" customWidth="1"/>
    <col min="30" max="30" width="2.5703125" customWidth="1"/>
    <col min="31" max="31" width="7.85546875" bestFit="1" customWidth="1"/>
    <col min="32" max="32" width="11.140625" bestFit="1" customWidth="1"/>
    <col min="33" max="33" width="13.28515625" bestFit="1" customWidth="1"/>
    <col min="34" max="34" width="7.85546875" bestFit="1" customWidth="1"/>
    <col min="35" max="35" width="8.140625" bestFit="1" customWidth="1"/>
    <col min="36" max="36" width="2.5703125" customWidth="1"/>
    <col min="37" max="37" width="17.85546875" bestFit="1" customWidth="1"/>
    <col min="38" max="38" width="8.140625" bestFit="1" customWidth="1"/>
    <col min="39" max="39" width="2.5703125" customWidth="1"/>
    <col min="41" max="41" width="16.28515625" bestFit="1" customWidth="1"/>
  </cols>
  <sheetData>
    <row r="1" spans="2:43" ht="9" customHeight="1" x14ac:dyDescent="0.25"/>
    <row r="2" spans="2:43" x14ac:dyDescent="0.25">
      <c r="B2" s="1"/>
      <c r="C2" s="1" t="s">
        <v>20</v>
      </c>
      <c r="D2" s="1"/>
      <c r="H2" s="4" t="s">
        <v>1</v>
      </c>
      <c r="I2" s="9" t="s">
        <v>4</v>
      </c>
      <c r="J2" s="112" t="s">
        <v>7</v>
      </c>
      <c r="K2" s="112"/>
      <c r="L2" s="112" t="s">
        <v>8</v>
      </c>
      <c r="M2" s="112"/>
      <c r="N2" s="112" t="s">
        <v>10</v>
      </c>
      <c r="O2" s="112"/>
      <c r="P2" s="112" t="s">
        <v>9</v>
      </c>
      <c r="Q2" s="112"/>
      <c r="R2" s="112" t="s">
        <v>21</v>
      </c>
      <c r="S2" s="112"/>
      <c r="T2" s="112" t="s">
        <v>55</v>
      </c>
      <c r="U2" s="112"/>
      <c r="W2" s="1" t="s">
        <v>46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27" t="s">
        <v>49</v>
      </c>
      <c r="AF2" s="27" t="s">
        <v>50</v>
      </c>
      <c r="AG2" s="27" t="s">
        <v>51</v>
      </c>
      <c r="AH2" s="27" t="s">
        <v>52</v>
      </c>
      <c r="AI2" s="27" t="s">
        <v>53</v>
      </c>
      <c r="AK2" s="75" t="s">
        <v>60</v>
      </c>
      <c r="AL2" s="75" t="s">
        <v>61</v>
      </c>
      <c r="AN2" s="1"/>
      <c r="AO2" s="1" t="s">
        <v>20</v>
      </c>
      <c r="AP2" s="1"/>
    </row>
    <row r="3" spans="2:43" x14ac:dyDescent="0.25">
      <c r="B3" t="s">
        <v>11</v>
      </c>
      <c r="C3" s="2" t="s">
        <v>10</v>
      </c>
      <c r="D3" t="s">
        <v>7</v>
      </c>
      <c r="F3" s="7">
        <f>J3+L3+N3+P3+R3+T3</f>
        <v>1.0000000000000002</v>
      </c>
      <c r="H3" s="97" t="s">
        <v>5</v>
      </c>
      <c r="I3" s="80">
        <v>326784771.86000001</v>
      </c>
      <c r="J3" s="81">
        <v>0.31859999999999999</v>
      </c>
      <c r="K3" s="80">
        <f t="shared" ref="K3:Q13" si="0">+J3*$I3</f>
        <v>104113628.314596</v>
      </c>
      <c r="L3" s="81">
        <v>0.25750000000000001</v>
      </c>
      <c r="M3" s="80">
        <f t="shared" si="0"/>
        <v>84147078.75395</v>
      </c>
      <c r="N3" s="81">
        <v>0.29930000000000001</v>
      </c>
      <c r="O3" s="80">
        <f t="shared" si="0"/>
        <v>97806682.217698008</v>
      </c>
      <c r="P3" s="81">
        <v>6.3E-2</v>
      </c>
      <c r="Q3" s="80">
        <f t="shared" si="0"/>
        <v>20587440.627180003</v>
      </c>
      <c r="R3" s="82"/>
      <c r="S3" s="80">
        <f t="shared" ref="S3:S13" si="1">+R3*$I3</f>
        <v>0</v>
      </c>
      <c r="T3" s="81">
        <v>6.1600000000000002E-2</v>
      </c>
      <c r="U3" s="65">
        <f t="shared" ref="U3:U13" si="2">+T3*$I3</f>
        <v>20129941.946576003</v>
      </c>
      <c r="Y3" s="12">
        <f>K3-'Jun25'!K3</f>
        <v>-185419645.31132996</v>
      </c>
      <c r="Z3" s="12">
        <f>M3-'Jun25'!M3</f>
        <v>-30266575.748032004</v>
      </c>
      <c r="AA3" s="12">
        <f>O3-'Jun25'!O3</f>
        <v>-17908976.887435988</v>
      </c>
      <c r="AB3" s="12">
        <f>Q3-'Jun25'!Q3</f>
        <v>-2685891.6541619971</v>
      </c>
      <c r="AC3" s="12">
        <f>+S3-'Jun25'!S3</f>
        <v>0</v>
      </c>
      <c r="AD3" s="98"/>
      <c r="AE3" s="28">
        <f>J3-'Jun25'!J3</f>
        <v>-0.21509999999999996</v>
      </c>
      <c r="AF3" s="28">
        <f>L3-'Jun25'!L3</f>
        <v>4.6600000000000003E-2</v>
      </c>
      <c r="AG3" s="28">
        <f>N3-'Jun25'!N3</f>
        <v>8.6000000000000021E-2</v>
      </c>
      <c r="AH3" s="28">
        <f>P3-'Jun25'!P3</f>
        <v>2.01E-2</v>
      </c>
      <c r="AI3" s="28">
        <f>R3-'Jun25'!R3</f>
        <v>0</v>
      </c>
      <c r="AJ3" s="98"/>
      <c r="AK3" s="10">
        <f>I3-'Jun25'!I3</f>
        <v>-215717146.12</v>
      </c>
      <c r="AL3" s="76">
        <f>I3/'Jun25'!I3-1</f>
        <v>-0.39763388657356358</v>
      </c>
      <c r="AM3" s="98"/>
      <c r="AN3" t="s">
        <v>11</v>
      </c>
      <c r="AO3" s="2" t="s">
        <v>10</v>
      </c>
      <c r="AP3" t="s">
        <v>7</v>
      </c>
      <c r="AQ3" s="98"/>
    </row>
    <row r="4" spans="2:43" x14ac:dyDescent="0.25">
      <c r="B4" t="s">
        <v>12</v>
      </c>
      <c r="C4" s="2" t="s">
        <v>16</v>
      </c>
      <c r="D4" t="s">
        <v>58</v>
      </c>
      <c r="F4" s="7">
        <f t="shared" ref="F4:F36" si="3">J4+L4+N4+P4+R4+T4</f>
        <v>1</v>
      </c>
      <c r="H4" s="3" t="s">
        <v>0</v>
      </c>
      <c r="I4" s="78">
        <v>1683918343.5999999</v>
      </c>
      <c r="J4" s="77">
        <v>0.36</v>
      </c>
      <c r="K4" s="78">
        <f t="shared" si="0"/>
        <v>606210603.69599998</v>
      </c>
      <c r="L4" s="77">
        <v>0.17</v>
      </c>
      <c r="M4" s="78">
        <f t="shared" si="0"/>
        <v>286266118.412</v>
      </c>
      <c r="N4" s="77">
        <v>0.34</v>
      </c>
      <c r="O4" s="78">
        <f t="shared" si="0"/>
        <v>572532236.824</v>
      </c>
      <c r="P4" s="77">
        <v>0.11</v>
      </c>
      <c r="Q4" s="78">
        <f t="shared" si="0"/>
        <v>185231017.796</v>
      </c>
      <c r="R4" s="77"/>
      <c r="S4" s="78">
        <f t="shared" si="1"/>
        <v>0</v>
      </c>
      <c r="T4" s="77">
        <v>0.02</v>
      </c>
      <c r="U4" s="57">
        <f t="shared" si="2"/>
        <v>33678366.872000001</v>
      </c>
      <c r="Y4" s="12">
        <f>K4-'Jun25'!K4</f>
        <v>-38113535.248000026</v>
      </c>
      <c r="Z4" s="12">
        <f>M4-'Jun25'!M4</f>
        <v>92968876.728800029</v>
      </c>
      <c r="AA4" s="12">
        <f>O4-'Jun25'!O4</f>
        <v>556424133.35039997</v>
      </c>
      <c r="AB4" s="12">
        <f>Q4-'Jun25'!Q4</f>
        <v>8041879.5864000022</v>
      </c>
      <c r="AC4" s="12">
        <f>+S4-'Jun25'!S4</f>
        <v>0</v>
      </c>
      <c r="AE4" s="28">
        <f>J4-'Jun25'!J4</f>
        <v>-4.0000000000000036E-2</v>
      </c>
      <c r="AF4" s="28">
        <f>L4-'Jun25'!L4</f>
        <v>5.0000000000000017E-2</v>
      </c>
      <c r="AG4" s="28">
        <f>N4-'Jun25'!N4</f>
        <v>0.33</v>
      </c>
      <c r="AH4" s="28">
        <f>P4-'Jun25'!P4</f>
        <v>0</v>
      </c>
      <c r="AI4" s="28">
        <f>R4-'Jun25'!R4</f>
        <v>0</v>
      </c>
      <c r="AJ4" s="93"/>
      <c r="AK4" s="10">
        <f>I4-'Jun25'!I4</f>
        <v>73107996.24000001</v>
      </c>
      <c r="AL4" s="76">
        <f>I4/'Jun25'!I4-1</f>
        <v>4.5385849650034116E-2</v>
      </c>
      <c r="AN4" t="s">
        <v>12</v>
      </c>
      <c r="AO4" s="2" t="s">
        <v>16</v>
      </c>
      <c r="AP4" t="s">
        <v>58</v>
      </c>
    </row>
    <row r="5" spans="2:43" x14ac:dyDescent="0.25">
      <c r="B5" t="s">
        <v>13</v>
      </c>
      <c r="C5" s="2" t="s">
        <v>17</v>
      </c>
      <c r="D5" t="s">
        <v>59</v>
      </c>
      <c r="F5" s="7">
        <f>J5+L5+N5+P5+R5+T5</f>
        <v>1</v>
      </c>
      <c r="H5" s="3" t="s">
        <v>3</v>
      </c>
      <c r="I5" s="78">
        <v>287225068.63</v>
      </c>
      <c r="J5" s="77">
        <v>0.61</v>
      </c>
      <c r="K5" s="78">
        <f t="shared" si="0"/>
        <v>175207291.86429998</v>
      </c>
      <c r="L5" s="77"/>
      <c r="M5" s="78">
        <f t="shared" si="0"/>
        <v>0</v>
      </c>
      <c r="N5" s="77">
        <v>0.27</v>
      </c>
      <c r="O5" s="78">
        <f t="shared" si="0"/>
        <v>77550768.530100003</v>
      </c>
      <c r="P5" s="77">
        <v>0.03</v>
      </c>
      <c r="Q5" s="78">
        <f t="shared" si="0"/>
        <v>8616752.0588999987</v>
      </c>
      <c r="R5" s="77">
        <v>7.0000000000000007E-2</v>
      </c>
      <c r="S5" s="78">
        <f t="shared" si="1"/>
        <v>20105754.804100003</v>
      </c>
      <c r="T5" s="77">
        <v>0.02</v>
      </c>
      <c r="U5" s="57">
        <f t="shared" si="2"/>
        <v>5744501.3726000004</v>
      </c>
      <c r="Y5" s="12">
        <f>K5-'Jun25'!K5</f>
        <v>10933064.048799992</v>
      </c>
      <c r="Z5" s="12">
        <f>M5-'Jun25'!M5</f>
        <v>0</v>
      </c>
      <c r="AA5" s="12">
        <f>O5-'Jun25'!O5</f>
        <v>-12053355.732899994</v>
      </c>
      <c r="AB5" s="12">
        <f>Q5-'Jun25'!Q5</f>
        <v>2643143.774699999</v>
      </c>
      <c r="AC5" s="12">
        <f>+S5-'Jun25'!S5</f>
        <v>-801874.1905999966</v>
      </c>
      <c r="AE5" s="28">
        <f>J5-'Jun25'!J5</f>
        <v>5.9999999999999942E-2</v>
      </c>
      <c r="AF5" s="28">
        <f>L5-'Jun25'!L5</f>
        <v>0</v>
      </c>
      <c r="AG5" s="28">
        <f>N5-'Jun25'!N5</f>
        <v>-2.9999999999999971E-2</v>
      </c>
      <c r="AH5" s="28">
        <f>P5-'Jun25'!P5</f>
        <v>9.9999999999999985E-3</v>
      </c>
      <c r="AI5" s="28">
        <f>R5-'Jun25'!R5</f>
        <v>0</v>
      </c>
      <c r="AK5" s="10">
        <f>I5-'Jun25'!I5</f>
        <v>-11455345.579999983</v>
      </c>
      <c r="AL5" s="76">
        <f>I5/'Jun25'!I5-1</f>
        <v>-3.835318633228435E-2</v>
      </c>
      <c r="AN5" t="s">
        <v>13</v>
      </c>
      <c r="AO5" s="2" t="s">
        <v>17</v>
      </c>
      <c r="AP5" t="s">
        <v>59</v>
      </c>
    </row>
    <row r="6" spans="2:43" x14ac:dyDescent="0.25">
      <c r="B6" t="s">
        <v>14</v>
      </c>
      <c r="C6" s="2" t="s">
        <v>18</v>
      </c>
      <c r="F6" s="7">
        <f t="shared" si="3"/>
        <v>1.0050000000000001</v>
      </c>
      <c r="H6" s="3" t="s">
        <v>62</v>
      </c>
      <c r="I6" s="78">
        <v>4766190377.3800001</v>
      </c>
      <c r="J6" s="77">
        <v>0.27100000000000002</v>
      </c>
      <c r="K6" s="78">
        <f t="shared" si="0"/>
        <v>1291637592.2699802</v>
      </c>
      <c r="L6" s="77">
        <v>0.372</v>
      </c>
      <c r="M6" s="78">
        <f t="shared" si="0"/>
        <v>1773022820.38536</v>
      </c>
      <c r="N6" s="77">
        <v>0.3</v>
      </c>
      <c r="O6" s="78">
        <f t="shared" si="0"/>
        <v>1429857113.214</v>
      </c>
      <c r="P6" s="77">
        <v>3.2000000000000001E-2</v>
      </c>
      <c r="Q6" s="78">
        <f t="shared" si="0"/>
        <v>152518092.07616001</v>
      </c>
      <c r="R6" s="77"/>
      <c r="S6" s="78">
        <f t="shared" si="1"/>
        <v>0</v>
      </c>
      <c r="T6" s="77">
        <v>0.03</v>
      </c>
      <c r="U6" s="57">
        <f t="shared" si="2"/>
        <v>142985711.32139999</v>
      </c>
      <c r="Y6" s="12">
        <f>K6-'Jun25'!K6</f>
        <v>359287392.22749233</v>
      </c>
      <c r="Z6" s="12">
        <f>M6-'Jun25'!M6</f>
        <v>-104691440.91655993</v>
      </c>
      <c r="AA6" s="12">
        <f>O6-'Jun25'!O6</f>
        <v>-29554466.114719868</v>
      </c>
      <c r="AB6" s="12">
        <f>Q6-'Jun25'!Q6</f>
        <v>-33394211.023039967</v>
      </c>
      <c r="AC6" s="12">
        <f>+S6-'Jun25'!S6</f>
        <v>0</v>
      </c>
      <c r="AE6" s="28">
        <f>J6-'Jun25'!J6</f>
        <v>7.0400000000000018E-2</v>
      </c>
      <c r="AF6" s="28">
        <f>L6-'Jun25'!L6</f>
        <v>-3.2000000000000028E-2</v>
      </c>
      <c r="AG6" s="28">
        <f>N6-'Jun25'!N6</f>
        <v>-1.4000000000000012E-2</v>
      </c>
      <c r="AH6" s="28">
        <f>P6-'Jun25'!P6</f>
        <v>-8.0000000000000002E-3</v>
      </c>
      <c r="AI6" s="28">
        <f>R6-'Jun25'!R6</f>
        <v>0</v>
      </c>
      <c r="AK6" s="10">
        <f>I6-'Jun25'!I6</f>
        <v>118382799.90000057</v>
      </c>
      <c r="AL6" s="76">
        <f>I6/'Jun25'!I6-1</f>
        <v>2.5470675781329666E-2</v>
      </c>
      <c r="AN6" t="s">
        <v>14</v>
      </c>
      <c r="AO6" s="2" t="s">
        <v>18</v>
      </c>
    </row>
    <row r="7" spans="2:43" x14ac:dyDescent="0.25">
      <c r="B7" t="s">
        <v>15</v>
      </c>
      <c r="C7" s="2" t="s">
        <v>19</v>
      </c>
      <c r="F7" s="7">
        <f t="shared" si="3"/>
        <v>1</v>
      </c>
      <c r="H7" s="3" t="s">
        <v>22</v>
      </c>
      <c r="I7" s="78">
        <v>3012171446.3600001</v>
      </c>
      <c r="J7" s="77">
        <v>0.26300000000000001</v>
      </c>
      <c r="K7" s="78">
        <f t="shared" si="0"/>
        <v>792201090.39268005</v>
      </c>
      <c r="L7" s="77">
        <v>0.30299999999999999</v>
      </c>
      <c r="M7" s="78">
        <f t="shared" si="0"/>
        <v>912687948.24707997</v>
      </c>
      <c r="N7" s="77">
        <v>0.38200000000000001</v>
      </c>
      <c r="O7" s="78">
        <f t="shared" si="0"/>
        <v>1150649492.5095201</v>
      </c>
      <c r="P7" s="77">
        <v>4.7E-2</v>
      </c>
      <c r="Q7" s="78">
        <f t="shared" si="0"/>
        <v>141572057.97892001</v>
      </c>
      <c r="R7" s="77"/>
      <c r="S7" s="78">
        <f t="shared" si="1"/>
        <v>0</v>
      </c>
      <c r="T7" s="77">
        <v>5.0000000000000001E-3</v>
      </c>
      <c r="U7" s="57">
        <f t="shared" si="2"/>
        <v>15060857.231800001</v>
      </c>
      <c r="Y7" s="12">
        <f>K7-'Jun25'!K7</f>
        <v>-141170387.24520004</v>
      </c>
      <c r="Z7" s="12">
        <f>M7-'Jun25'!M7</f>
        <v>6069156.2739800215</v>
      </c>
      <c r="AA7" s="12">
        <f>O7-'Jun25'!O7</f>
        <v>148910040.39497995</v>
      </c>
      <c r="AB7" s="12">
        <f>Q7-'Jun25'!Q7</f>
        <v>25643753.431540012</v>
      </c>
      <c r="AC7" s="12">
        <f>+S7-'Jun25'!S7</f>
        <v>0</v>
      </c>
      <c r="AE7" s="28">
        <f>J7-'Jun25'!J7</f>
        <v>-5.099999999999999E-2</v>
      </c>
      <c r="AF7" s="28">
        <f>L7-'Jun25'!L7</f>
        <v>-2.0000000000000018E-3</v>
      </c>
      <c r="AG7" s="28">
        <f>N7-'Jun25'!N7</f>
        <v>4.4999999999999984E-2</v>
      </c>
      <c r="AH7" s="28">
        <f>P7-'Jun25'!P7</f>
        <v>8.0000000000000002E-3</v>
      </c>
      <c r="AI7" s="28">
        <f>R7-'Jun25'!R7</f>
        <v>0</v>
      </c>
      <c r="AK7" s="10">
        <f>I7-'Jun25'!I7</f>
        <v>39650816.940000057</v>
      </c>
      <c r="AL7" s="76">
        <f>I7/'Jun25'!I7-1</f>
        <v>1.3339122543865045E-2</v>
      </c>
      <c r="AN7" t="s">
        <v>15</v>
      </c>
      <c r="AO7" s="2" t="s">
        <v>19</v>
      </c>
    </row>
    <row r="8" spans="2:43" x14ac:dyDescent="0.25">
      <c r="B8" t="s">
        <v>57</v>
      </c>
      <c r="F8" s="7">
        <f t="shared" si="3"/>
        <v>1</v>
      </c>
      <c r="H8" s="3" t="s">
        <v>23</v>
      </c>
      <c r="I8" s="78">
        <v>174630767.63999999</v>
      </c>
      <c r="J8" s="77">
        <v>0.18</v>
      </c>
      <c r="K8" s="78">
        <f t="shared" si="0"/>
        <v>31433538.175199997</v>
      </c>
      <c r="L8" s="77">
        <v>0.35</v>
      </c>
      <c r="M8" s="78">
        <f t="shared" si="0"/>
        <v>61120768.673999988</v>
      </c>
      <c r="N8" s="77">
        <v>0.28999999999999998</v>
      </c>
      <c r="O8" s="78">
        <f t="shared" si="0"/>
        <v>50642922.61559999</v>
      </c>
      <c r="P8" s="77">
        <v>0.09</v>
      </c>
      <c r="Q8" s="78">
        <f t="shared" si="0"/>
        <v>15716769.087599998</v>
      </c>
      <c r="R8" s="77"/>
      <c r="S8" s="78">
        <f t="shared" si="1"/>
        <v>0</v>
      </c>
      <c r="T8" s="77">
        <v>0.09</v>
      </c>
      <c r="U8" s="57">
        <f t="shared" si="2"/>
        <v>15716769.087599998</v>
      </c>
      <c r="Y8" s="12">
        <f>K8-'Jun25'!K8</f>
        <v>-2458394.8977000006</v>
      </c>
      <c r="Z8" s="12">
        <f>M8-'Jun25'!M8</f>
        <v>3020311.9775999859</v>
      </c>
      <c r="AA8" s="12">
        <f>O8-'Jun25'!O8</f>
        <v>13523186.392899983</v>
      </c>
      <c r="AB8" s="12">
        <f>Q8-'Jun25'!Q8</f>
        <v>1191654.9134999979</v>
      </c>
      <c r="AC8" s="12">
        <f>+S8-'Jun25'!S8</f>
        <v>-17752917.323900003</v>
      </c>
      <c r="AE8" s="28">
        <f>J8-'Jun25'!J8</f>
        <v>-0.03</v>
      </c>
      <c r="AF8" s="28">
        <f>L8-'Jun25'!L8</f>
        <v>-1.0000000000000009E-2</v>
      </c>
      <c r="AG8" s="28">
        <f>N8-'Jun25'!N8</f>
        <v>5.999999999999997E-2</v>
      </c>
      <c r="AH8" s="28">
        <f>P8-'Jun25'!P8</f>
        <v>0</v>
      </c>
      <c r="AI8" s="28">
        <f>R8-'Jun25'!R8</f>
        <v>-0.11</v>
      </c>
      <c r="AK8" s="10">
        <f>I8-'Jun25'!I8</f>
        <v>13240610.149999976</v>
      </c>
      <c r="AL8" s="76">
        <f>I8/'Jun25'!I8-1</f>
        <v>8.204100148313187E-2</v>
      </c>
      <c r="AN8" t="s">
        <v>57</v>
      </c>
    </row>
    <row r="9" spans="2:43" x14ac:dyDescent="0.25">
      <c r="F9" s="7">
        <f t="shared" si="3"/>
        <v>1</v>
      </c>
      <c r="H9" s="3" t="s">
        <v>24</v>
      </c>
      <c r="I9" s="78">
        <v>1524441519.6300001</v>
      </c>
      <c r="J9" s="77">
        <v>0.5675</v>
      </c>
      <c r="K9" s="78">
        <f t="shared" si="0"/>
        <v>865120562.39002502</v>
      </c>
      <c r="L9" s="77">
        <v>0.1578</v>
      </c>
      <c r="M9" s="78">
        <f t="shared" si="0"/>
        <v>240556871.79761401</v>
      </c>
      <c r="N9" s="77">
        <v>0.23269999999999999</v>
      </c>
      <c r="O9" s="78">
        <f t="shared" si="0"/>
        <v>354737541.61790103</v>
      </c>
      <c r="P9" s="77">
        <v>3.9199999999999999E-2</v>
      </c>
      <c r="Q9" s="78">
        <f t="shared" si="0"/>
        <v>59758107.569496006</v>
      </c>
      <c r="R9" s="77"/>
      <c r="S9" s="78">
        <f t="shared" si="1"/>
        <v>0</v>
      </c>
      <c r="T9" s="77">
        <v>2.8E-3</v>
      </c>
      <c r="U9" s="57">
        <f t="shared" si="2"/>
        <v>4268436.2549640005</v>
      </c>
      <c r="Y9" s="12">
        <f>K9-'Jun25'!K9</f>
        <v>-3155581.5374509096</v>
      </c>
      <c r="Z9" s="12">
        <f>M9-'Jun25'!M9</f>
        <v>6626630.0816740394</v>
      </c>
      <c r="AA9" s="12">
        <f>O9-'Jun25'!O9</f>
        <v>3234568.0265470743</v>
      </c>
      <c r="AB9" s="12">
        <f>Q9-'Jun25'!Q9</f>
        <v>-1154896.929264985</v>
      </c>
      <c r="AC9" s="12">
        <f>+S9-'Jun25'!S9</f>
        <v>0</v>
      </c>
      <c r="AE9" s="28">
        <f>J9-'Jun25'!J9</f>
        <v>-4.0999999999999925E-3</v>
      </c>
      <c r="AF9" s="28">
        <f>L9-'Jun25'!L9</f>
        <v>3.7999999999999978E-3</v>
      </c>
      <c r="AG9" s="28">
        <f>N9-'Jun25'!N9</f>
        <v>1.2999999999999956E-3</v>
      </c>
      <c r="AH9" s="28">
        <f>P9-'Jun25'!P9</f>
        <v>-8.9999999999999802E-4</v>
      </c>
      <c r="AI9" s="28">
        <f>R9-'Jun25'!R9</f>
        <v>0</v>
      </c>
      <c r="AK9" s="10">
        <f>I9-'Jun25'!I9</f>
        <v>5413976.0200002193</v>
      </c>
      <c r="AL9" s="76">
        <f>I9/'Jun25'!I9-1</f>
        <v>3.5641065514413484E-3</v>
      </c>
    </row>
    <row r="10" spans="2:43" x14ac:dyDescent="0.25">
      <c r="F10" s="7">
        <f t="shared" si="3"/>
        <v>1</v>
      </c>
      <c r="H10" s="3" t="s">
        <v>73</v>
      </c>
      <c r="I10" s="78">
        <v>7788989453.3599997</v>
      </c>
      <c r="J10" s="77">
        <v>0.30099999999999999</v>
      </c>
      <c r="K10" s="78">
        <f t="shared" si="0"/>
        <v>2344485825.46136</v>
      </c>
      <c r="L10" s="77">
        <v>0.44700000000000001</v>
      </c>
      <c r="M10" s="78">
        <f t="shared" si="0"/>
        <v>3481678285.6519198</v>
      </c>
      <c r="N10" s="77">
        <v>0.216</v>
      </c>
      <c r="O10" s="78">
        <f t="shared" si="0"/>
        <v>1682421721.9257598</v>
      </c>
      <c r="P10" s="77">
        <v>3.5999999999999997E-2</v>
      </c>
      <c r="Q10" s="78">
        <f t="shared" si="0"/>
        <v>280403620.32095999</v>
      </c>
      <c r="R10" s="77"/>
      <c r="S10" s="78">
        <f t="shared" si="1"/>
        <v>0</v>
      </c>
      <c r="T10" s="77"/>
      <c r="U10" s="57">
        <f t="shared" si="2"/>
        <v>0</v>
      </c>
      <c r="Y10" s="12">
        <f>K10-'Jun25'!K10</f>
        <v>-781721.03519201279</v>
      </c>
      <c r="Z10" s="12">
        <f>M10-'Jun25'!M10</f>
        <v>233904319.79784012</v>
      </c>
      <c r="AA10" s="12">
        <f>O10-'Jun25'!O10</f>
        <v>91324764.615515709</v>
      </c>
      <c r="AB10" s="12">
        <f>Q10-'Jun25'!Q10</f>
        <v>-341826151.50252599</v>
      </c>
      <c r="AC10" s="12">
        <f>+S10-'Jun25'!S10</f>
        <v>0</v>
      </c>
      <c r="AE10" s="28">
        <f>J10-'Jun25'!J10</f>
        <v>5.9999999999998943E-4</v>
      </c>
      <c r="AF10" s="28">
        <f>L10-'Jun25'!L10</f>
        <v>3.1000000000000028E-2</v>
      </c>
      <c r="AG10" s="28">
        <f>N10-'Jun25'!N10</f>
        <v>1.2199999999999989E-2</v>
      </c>
      <c r="AH10" s="28">
        <f>P10-'Jun25'!P10</f>
        <v>-4.3699999999999996E-2</v>
      </c>
      <c r="AI10" s="28">
        <f>R10-'Jun25'!R10</f>
        <v>0</v>
      </c>
      <c r="AJ10" s="93"/>
      <c r="AK10" s="10">
        <f>I10-'Jun25'!I10</f>
        <v>-18159503.020000458</v>
      </c>
      <c r="AL10" s="76">
        <f>I10/'Jun25'!I10-1</f>
        <v>-2.3260095486151711E-3</v>
      </c>
    </row>
    <row r="11" spans="2:43" x14ac:dyDescent="0.25">
      <c r="F11" s="7">
        <f t="shared" si="3"/>
        <v>1</v>
      </c>
      <c r="H11" s="3" t="s">
        <v>47</v>
      </c>
      <c r="I11" s="78">
        <v>313049456049</v>
      </c>
      <c r="J11" s="77">
        <v>0.63</v>
      </c>
      <c r="K11" s="78">
        <f t="shared" si="0"/>
        <v>197221157310.87</v>
      </c>
      <c r="L11" s="77">
        <v>0.24</v>
      </c>
      <c r="M11" s="78">
        <f t="shared" si="0"/>
        <v>75131869451.759995</v>
      </c>
      <c r="N11" s="77">
        <v>0.13</v>
      </c>
      <c r="O11" s="78">
        <f t="shared" si="0"/>
        <v>40696429286.370003</v>
      </c>
      <c r="P11" s="77"/>
      <c r="Q11" s="78">
        <f t="shared" si="0"/>
        <v>0</v>
      </c>
      <c r="R11" s="77"/>
      <c r="S11" s="78">
        <f t="shared" si="1"/>
        <v>0</v>
      </c>
      <c r="T11" s="77"/>
      <c r="U11" s="57">
        <f t="shared" si="2"/>
        <v>0</v>
      </c>
      <c r="Y11" s="12">
        <f>K11-'Jun25'!K11</f>
        <v>195120988722.82278</v>
      </c>
      <c r="Z11" s="12">
        <f>M11-'Jun25'!M11</f>
        <v>74442261855.684799</v>
      </c>
      <c r="AA11" s="12">
        <f>O11-'Jun25'!O11</f>
        <v>40351625488.332405</v>
      </c>
      <c r="AB11" s="12">
        <f>Q11-'Jun25'!Q11</f>
        <v>0</v>
      </c>
      <c r="AC11" s="12">
        <f>+S11-'Jun25'!S12</f>
        <v>0</v>
      </c>
      <c r="AE11" s="28">
        <f>J11-'Jun25'!J11</f>
        <v>-4.0000000000000036E-2</v>
      </c>
      <c r="AF11" s="28">
        <f>L11-'Jun25'!L11</f>
        <v>1.999999999999999E-2</v>
      </c>
      <c r="AG11" s="28">
        <f>N11-'Jun25'!N11</f>
        <v>2.0000000000000004E-2</v>
      </c>
      <c r="AH11" s="28">
        <f>P11-'Jun25'!P11</f>
        <v>0</v>
      </c>
      <c r="AI11" s="28">
        <f>R11-'Jun25'!R11</f>
        <v>0</v>
      </c>
      <c r="AK11" s="10">
        <f>I11-'Jun25'!I11</f>
        <v>309914876066.84003</v>
      </c>
      <c r="AL11" s="76">
        <f>I11/'Jun25'!I11-1</f>
        <v>98.869666057549935</v>
      </c>
    </row>
    <row r="12" spans="2:43" x14ac:dyDescent="0.25">
      <c r="B12" t="s">
        <v>70</v>
      </c>
      <c r="F12" s="7">
        <f t="shared" si="3"/>
        <v>1</v>
      </c>
      <c r="H12" s="3" t="s">
        <v>30</v>
      </c>
      <c r="I12" s="78">
        <v>1402423843.1900001</v>
      </c>
      <c r="J12" s="77">
        <v>0.27600000000000002</v>
      </c>
      <c r="K12" s="78">
        <f t="shared" si="0"/>
        <v>387068980.72044003</v>
      </c>
      <c r="L12" s="77">
        <v>0.42099999999999999</v>
      </c>
      <c r="M12" s="78">
        <f t="shared" si="0"/>
        <v>590420437.98299003</v>
      </c>
      <c r="N12" s="77">
        <v>0.27700000000000002</v>
      </c>
      <c r="O12" s="78">
        <f t="shared" si="0"/>
        <v>388471404.56363004</v>
      </c>
      <c r="P12" s="77">
        <v>2.5999999999999999E-2</v>
      </c>
      <c r="Q12" s="78">
        <f t="shared" si="0"/>
        <v>36463019.922940001</v>
      </c>
      <c r="R12" s="77"/>
      <c r="S12" s="78">
        <f t="shared" si="1"/>
        <v>0</v>
      </c>
      <c r="T12" s="77"/>
      <c r="U12" s="57">
        <f t="shared" si="2"/>
        <v>0</v>
      </c>
      <c r="Y12" s="12">
        <f>K12-'Jun25'!K12</f>
        <v>-43145469.27955997</v>
      </c>
      <c r="Z12" s="12">
        <f>M12-'Jun25'!M12</f>
        <v>1853437.9829900265</v>
      </c>
      <c r="AA12" s="12">
        <f>O12-'Jun25'!O12</f>
        <v>35331204.563630044</v>
      </c>
      <c r="AB12" s="12">
        <f>Q12-'Jun25'!Q12</f>
        <v>5633319.9229400009</v>
      </c>
      <c r="AC12" s="12">
        <f>+S12-'Jun25'!S12</f>
        <v>0</v>
      </c>
      <c r="AE12" s="28">
        <f>J12-'Jun25'!J12</f>
        <v>-3.0999999999999972E-2</v>
      </c>
      <c r="AF12" s="28">
        <f>L12-'Jun25'!L12</f>
        <v>1.0000000000000009E-3</v>
      </c>
      <c r="AG12" s="28">
        <f>N12-'Jun25'!N12</f>
        <v>2.5000000000000022E-2</v>
      </c>
      <c r="AH12" s="28">
        <f>P12-'Jun25'!P12</f>
        <v>4.0000000000000001E-3</v>
      </c>
      <c r="AI12" s="28">
        <f>R12-'Jun25'!R12</f>
        <v>0</v>
      </c>
      <c r="AJ12" s="93"/>
      <c r="AK12" s="10">
        <f>I12-'Jun25'!I12</f>
        <v>1073843.1900000572</v>
      </c>
      <c r="AL12" s="76">
        <f>I12/'Jun25'!I12-1</f>
        <v>7.6629192564325876E-4</v>
      </c>
    </row>
    <row r="13" spans="2:43" x14ac:dyDescent="0.25">
      <c r="B13" t="s">
        <v>74</v>
      </c>
      <c r="F13" s="7">
        <f t="shared" si="3"/>
        <v>1</v>
      </c>
      <c r="H13" s="3" t="s">
        <v>64</v>
      </c>
      <c r="I13" s="102">
        <v>1287559815</v>
      </c>
      <c r="J13" s="77">
        <v>0.5</v>
      </c>
      <c r="K13" s="78">
        <f t="shared" si="0"/>
        <v>643779907.5</v>
      </c>
      <c r="L13" s="77">
        <v>0.27</v>
      </c>
      <c r="M13" s="78">
        <f t="shared" si="0"/>
        <v>347641150.05000001</v>
      </c>
      <c r="N13" s="77">
        <v>0.19</v>
      </c>
      <c r="O13" s="78">
        <f t="shared" si="0"/>
        <v>244636364.84999999</v>
      </c>
      <c r="P13" s="77">
        <v>0.04</v>
      </c>
      <c r="Q13" s="78">
        <f t="shared" si="0"/>
        <v>51502392.600000001</v>
      </c>
      <c r="R13" s="77"/>
      <c r="S13" s="78">
        <f t="shared" si="1"/>
        <v>0</v>
      </c>
      <c r="T13" s="77"/>
      <c r="U13" s="57">
        <f t="shared" si="2"/>
        <v>0</v>
      </c>
      <c r="Y13" s="12">
        <f>K13-'Jun25'!K13</f>
        <v>114158047.95120007</v>
      </c>
      <c r="Z13" s="12">
        <f>M13-'Jun25'!M13</f>
        <v>16627487.832000017</v>
      </c>
      <c r="AA13" s="12">
        <f>O13-'Jun25'!O13</f>
        <v>34994378.778600007</v>
      </c>
      <c r="AB13" s="12">
        <f>Q13-'Jun25'!Q13</f>
        <v>7367237.6376000047</v>
      </c>
      <c r="AC13" s="12">
        <f>+S13-'Jun25'!S13</f>
        <v>0</v>
      </c>
      <c r="AE13" s="28">
        <f>J13-'Jun25'!J13</f>
        <v>2.0000000000000018E-2</v>
      </c>
      <c r="AF13" s="28">
        <f>L13-'Jun25'!L13</f>
        <v>-2.9999999999999971E-2</v>
      </c>
      <c r="AG13" s="28">
        <f>N13-'Jun25'!N13</f>
        <v>0</v>
      </c>
      <c r="AH13" s="28">
        <f>P13-'Jun25'!P13</f>
        <v>0</v>
      </c>
      <c r="AI13" s="28">
        <f>R13-'Jun25'!R13</f>
        <v>0</v>
      </c>
      <c r="AK13" s="10">
        <f>I13-'Jun25'!I13</f>
        <v>184180940.94000006</v>
      </c>
      <c r="AL13" s="76">
        <f>I13/'Jun25'!I13-1</f>
        <v>0.1669244765057778</v>
      </c>
    </row>
    <row r="14" spans="2:43" s="8" customFormat="1" x14ac:dyDescent="0.25">
      <c r="B14" t="s">
        <v>42</v>
      </c>
      <c r="E14"/>
      <c r="F14" s="7">
        <f>J14+L14+N14+P14+R14+T14</f>
        <v>1.0000710727182158</v>
      </c>
      <c r="G14"/>
      <c r="H14" s="21" t="s">
        <v>45</v>
      </c>
      <c r="I14" s="20">
        <f>SUM(I3:I13)</f>
        <v>335303791455.65002</v>
      </c>
      <c r="J14" s="15">
        <f>K14/$I$14</f>
        <v>0.60978259578880545</v>
      </c>
      <c r="K14" s="17">
        <f>SUM(K3:K13)</f>
        <v>204462416331.65457</v>
      </c>
      <c r="L14" s="15">
        <f>M14/$I$14</f>
        <v>0.24726654766348258</v>
      </c>
      <c r="M14" s="20">
        <f>SUM(M3:M13)</f>
        <v>82909410931.714905</v>
      </c>
      <c r="N14" s="15">
        <f>O14/$I$14</f>
        <v>0.13941308367645219</v>
      </c>
      <c r="O14" s="17">
        <f>SUM(O3:O13)</f>
        <v>46745735535.238213</v>
      </c>
      <c r="P14" s="15">
        <f>Q14/$I$14</f>
        <v>2.8403176292867067E-3</v>
      </c>
      <c r="Q14" s="17">
        <f>SUM(Q3:Q13)</f>
        <v>952369270.03815615</v>
      </c>
      <c r="R14" s="15">
        <f>S14/$I$14</f>
        <v>5.9962801842517642E-5</v>
      </c>
      <c r="S14" s="17">
        <f>SUM(S3:S13)</f>
        <v>20105754.804100003</v>
      </c>
      <c r="T14" s="15">
        <f>U14/$I$14</f>
        <v>7.0856515834645669E-4</v>
      </c>
      <c r="U14" s="63">
        <f>SUM(U3:U13)</f>
        <v>237584584.08693996</v>
      </c>
      <c r="Y14" s="12">
        <f>K14-'Jun25'!K14</f>
        <v>195191122492.49585</v>
      </c>
      <c r="Z14" s="12">
        <f>M14-'Jun25'!M14</f>
        <v>74668374059.695084</v>
      </c>
      <c r="AA14" s="12">
        <f>O14-'Jun25'!O14</f>
        <v>41175850965.719925</v>
      </c>
      <c r="AB14" s="12">
        <f>Q14-'Jun25'!Q14</f>
        <v>-328540161.84231269</v>
      </c>
      <c r="AC14" s="12">
        <f>+S14-'Jun25'!S14</f>
        <v>-18554791.514499996</v>
      </c>
      <c r="AE14" s="28">
        <f>J14-'Jun25'!J14</f>
        <v>0.24186237754313428</v>
      </c>
      <c r="AF14" s="28">
        <f>L14-'Jun25'!L14</f>
        <v>-7.9769153838917944E-2</v>
      </c>
      <c r="AG14" s="28">
        <f>N14-'Jun25'!N14</f>
        <v>-8.1621130314797785E-2</v>
      </c>
      <c r="AH14" s="28">
        <f>P14-'Jun25'!P14</f>
        <v>-4.7991042686347962E-2</v>
      </c>
      <c r="AI14" s="28">
        <f>R14-'Jun25'!R14</f>
        <v>-1.4742347854412525E-3</v>
      </c>
      <c r="AK14" s="92">
        <f>I14-'Jun25'!I14</f>
        <v>310104595055.5</v>
      </c>
      <c r="AL14" s="76">
        <f>I14/'Jun25'!I14-1</f>
        <v>12.306130327777202</v>
      </c>
    </row>
    <row r="15" spans="2:43" x14ac:dyDescent="0.25">
      <c r="B15" t="s">
        <v>66</v>
      </c>
      <c r="F15" s="7"/>
      <c r="I15" s="10"/>
      <c r="J15" s="10"/>
      <c r="K15" s="10"/>
      <c r="L15" s="5"/>
      <c r="M15" s="10"/>
      <c r="N15" s="10"/>
      <c r="O15" s="10"/>
      <c r="P15" s="5"/>
      <c r="Q15" s="10"/>
    </row>
    <row r="16" spans="2:43" x14ac:dyDescent="0.25">
      <c r="F16" s="7"/>
      <c r="H16" s="4" t="s">
        <v>2</v>
      </c>
      <c r="I16" s="9" t="s">
        <v>4</v>
      </c>
      <c r="J16" s="112" t="s">
        <v>7</v>
      </c>
      <c r="K16" s="112"/>
      <c r="L16" s="112" t="s">
        <v>8</v>
      </c>
      <c r="M16" s="112"/>
      <c r="N16" s="112" t="s">
        <v>10</v>
      </c>
      <c r="O16" s="112"/>
      <c r="P16" s="112" t="s">
        <v>9</v>
      </c>
      <c r="Q16" s="112"/>
      <c r="R16" s="112" t="s">
        <v>21</v>
      </c>
      <c r="S16" s="112"/>
      <c r="T16" s="112" t="s">
        <v>55</v>
      </c>
      <c r="U16" s="112"/>
      <c r="Y16" s="27" t="s">
        <v>49</v>
      </c>
      <c r="Z16" s="27" t="s">
        <v>50</v>
      </c>
      <c r="AA16" s="27" t="s">
        <v>51</v>
      </c>
      <c r="AB16" s="27" t="s">
        <v>52</v>
      </c>
      <c r="AC16" s="27" t="s">
        <v>53</v>
      </c>
      <c r="AE16" s="27" t="s">
        <v>49</v>
      </c>
      <c r="AF16" s="27" t="s">
        <v>50</v>
      </c>
      <c r="AG16" s="27" t="s">
        <v>51</v>
      </c>
      <c r="AH16" s="27" t="s">
        <v>52</v>
      </c>
      <c r="AI16" s="27" t="s">
        <v>53</v>
      </c>
    </row>
    <row r="17" spans="2:39" x14ac:dyDescent="0.25">
      <c r="F17" s="7">
        <f t="shared" si="3"/>
        <v>1.0000000000000002</v>
      </c>
      <c r="H17" s="21" t="s">
        <v>6</v>
      </c>
      <c r="I17" s="80">
        <v>326784771.86000001</v>
      </c>
      <c r="J17" s="81">
        <v>0.31859999999999999</v>
      </c>
      <c r="K17" s="80">
        <f t="shared" ref="K17:K26" si="4">+J17*$I17</f>
        <v>104113628.314596</v>
      </c>
      <c r="L17" s="81">
        <v>0.25750000000000001</v>
      </c>
      <c r="M17" s="80">
        <f t="shared" ref="M17:M26" si="5">+L17*$I17</f>
        <v>84147078.75395</v>
      </c>
      <c r="N17" s="81">
        <v>0.29930000000000001</v>
      </c>
      <c r="O17" s="80">
        <f t="shared" ref="O17:O26" si="6">+N17*$I17</f>
        <v>97806682.217698008</v>
      </c>
      <c r="P17" s="81">
        <v>6.3E-2</v>
      </c>
      <c r="Q17" s="80">
        <f t="shared" ref="Q17:Q26" si="7">+P17*$I17</f>
        <v>20587440.627180003</v>
      </c>
      <c r="R17" s="81"/>
      <c r="S17" s="80">
        <f t="shared" ref="S17:S26" si="8">+R17*$I17</f>
        <v>0</v>
      </c>
      <c r="T17" s="81">
        <v>6.1600000000000002E-2</v>
      </c>
      <c r="U17" s="80">
        <f t="shared" ref="U17:U26" si="9">+T17*$I17</f>
        <v>20129941.946576003</v>
      </c>
      <c r="Y17" s="12">
        <f>K17-'Jun25'!K17</f>
        <v>18394080.003107995</v>
      </c>
      <c r="Z17" s="12">
        <f>M17-'Jun25'!M17</f>
        <v>12056703.130723998</v>
      </c>
      <c r="AA17" s="12">
        <f>O17-'Jun25'!O17</f>
        <v>606837.25735001266</v>
      </c>
      <c r="AB17" s="12">
        <f>Q17-'Jun25'!Q17</f>
        <v>70089.949602004141</v>
      </c>
      <c r="AC17" s="12">
        <f>+S17-'Jun25'!S17</f>
        <v>0</v>
      </c>
      <c r="AD17" s="98"/>
      <c r="AE17" s="28">
        <f>J17-'Jun25'!J17</f>
        <v>2.739999999999998E-2</v>
      </c>
      <c r="AF17" s="28">
        <f>L17-'Jun25'!L17</f>
        <v>1.26E-2</v>
      </c>
      <c r="AG17" s="28">
        <f>N17-'Jun25'!N17</f>
        <v>-3.0899999999999983E-2</v>
      </c>
      <c r="AH17" s="28">
        <f>P17-'Jun25'!P17</f>
        <v>-6.6999999999999976E-3</v>
      </c>
      <c r="AI17" s="28">
        <f>R17-'Jun25'!R17</f>
        <v>0</v>
      </c>
      <c r="AJ17" s="98"/>
      <c r="AK17" s="10">
        <f>I17-'Jun25'!I17</f>
        <v>32418191.120000005</v>
      </c>
      <c r="AL17" s="76">
        <f>I17/'Jun25'!I17-1</f>
        <v>0.11012863973384746</v>
      </c>
      <c r="AM17" s="98"/>
    </row>
    <row r="18" spans="2:39" x14ac:dyDescent="0.25">
      <c r="F18" s="7">
        <f t="shared" si="3"/>
        <v>1</v>
      </c>
      <c r="H18" s="3" t="s">
        <v>26</v>
      </c>
      <c r="I18" s="78">
        <v>862185599.25</v>
      </c>
      <c r="J18" s="77">
        <v>0.15</v>
      </c>
      <c r="K18" s="78">
        <f t="shared" si="4"/>
        <v>129327839.88749999</v>
      </c>
      <c r="L18" s="77">
        <v>0.18</v>
      </c>
      <c r="M18" s="78">
        <f t="shared" si="5"/>
        <v>155193407.86499998</v>
      </c>
      <c r="N18" s="77">
        <v>0.45</v>
      </c>
      <c r="O18" s="78">
        <f t="shared" si="6"/>
        <v>387983519.66250002</v>
      </c>
      <c r="P18" s="77">
        <v>0.16</v>
      </c>
      <c r="Q18" s="78">
        <f t="shared" si="7"/>
        <v>137949695.88</v>
      </c>
      <c r="R18" s="77"/>
      <c r="S18" s="78">
        <f t="shared" si="8"/>
        <v>0</v>
      </c>
      <c r="T18" s="77">
        <v>0.06</v>
      </c>
      <c r="U18" s="78">
        <f t="shared" si="9"/>
        <v>51731135.954999998</v>
      </c>
      <c r="Y18" s="12">
        <f>K18-'Jun25'!K18</f>
        <v>28911525.37349999</v>
      </c>
      <c r="Z18" s="12">
        <f>M18-'Jun25'!M18</f>
        <v>-87479352.210500032</v>
      </c>
      <c r="AA18" s="12">
        <f>O18-'Jun25'!O18</f>
        <v>220622995.4725</v>
      </c>
      <c r="AB18" s="12">
        <f>Q18-'Jun25'!Q18</f>
        <v>-4306749.6815000176</v>
      </c>
      <c r="AC18" s="12">
        <f>+S18-'Jun25'!S18</f>
        <v>0</v>
      </c>
      <c r="AE18" s="28">
        <f>J18-'Jun25'!J18</f>
        <v>0.03</v>
      </c>
      <c r="AF18" s="28">
        <f>L18-'Jun25'!L18</f>
        <v>-0.10999999999999999</v>
      </c>
      <c r="AG18" s="28">
        <f>N18-'Jun25'!N18</f>
        <v>0.25</v>
      </c>
      <c r="AH18" s="28">
        <f>P18-'Jun25'!P18</f>
        <v>-1.0000000000000009E-2</v>
      </c>
      <c r="AI18" s="28">
        <f>R18-'Jun25'!R18</f>
        <v>0</v>
      </c>
      <c r="AK18" s="10">
        <f>I18-'Jun25'!I18</f>
        <v>25382978.299999952</v>
      </c>
      <c r="AL18" s="76">
        <f>I18/'Jun25'!I18-1</f>
        <v>3.0333292062569406E-2</v>
      </c>
    </row>
    <row r="19" spans="2:39" x14ac:dyDescent="0.25">
      <c r="F19" s="7">
        <f t="shared" si="3"/>
        <v>1</v>
      </c>
      <c r="H19" s="3" t="s">
        <v>27</v>
      </c>
      <c r="I19" s="78">
        <v>713925987.19000006</v>
      </c>
      <c r="J19" s="77">
        <v>8.8999999999999996E-2</v>
      </c>
      <c r="K19" s="78">
        <f t="shared" si="4"/>
        <v>63539412.859910004</v>
      </c>
      <c r="L19" s="77">
        <v>0.39700000000000002</v>
      </c>
      <c r="M19" s="78">
        <f t="shared" si="5"/>
        <v>283428616.91443002</v>
      </c>
      <c r="N19" s="77">
        <v>0.45800000000000002</v>
      </c>
      <c r="O19" s="78">
        <f t="shared" si="6"/>
        <v>326978102.13302004</v>
      </c>
      <c r="P19" s="77">
        <v>4.3999999999999997E-2</v>
      </c>
      <c r="Q19" s="78">
        <f t="shared" si="7"/>
        <v>31412743.436360002</v>
      </c>
      <c r="R19" s="77"/>
      <c r="S19" s="78">
        <f t="shared" si="8"/>
        <v>0</v>
      </c>
      <c r="T19" s="77">
        <v>1.2E-2</v>
      </c>
      <c r="U19" s="78">
        <f t="shared" si="9"/>
        <v>8567111.8462800011</v>
      </c>
      <c r="Y19" s="12">
        <f>K19-'Jun25'!K19</f>
        <v>2274197.8139100075</v>
      </c>
      <c r="Z19" s="12">
        <f>M19-'Jun25'!M19</f>
        <v>30376641.724430025</v>
      </c>
      <c r="AA19" s="12">
        <f>O19-'Jun25'!O19</f>
        <v>19986100.652520001</v>
      </c>
      <c r="AB19" s="12">
        <f>Q19-'Jun25'!Q19</f>
        <v>4775693.416360002</v>
      </c>
      <c r="AC19" s="12">
        <f>+S19-'Jun25'!S19</f>
        <v>0</v>
      </c>
      <c r="AE19" s="28">
        <f>J19-'Jun25'!J19</f>
        <v>-3.0000000000000027E-3</v>
      </c>
      <c r="AF19" s="28">
        <f>L19-'Jun25'!L19</f>
        <v>1.7000000000000015E-2</v>
      </c>
      <c r="AG19" s="28">
        <f>N19-'Jun25'!N19</f>
        <v>-3.0000000000000027E-3</v>
      </c>
      <c r="AH19" s="28">
        <f>P19-'Jun25'!P19</f>
        <v>3.9999999999999966E-3</v>
      </c>
      <c r="AI19" s="28">
        <f>R19-'Jun25'!R19</f>
        <v>0</v>
      </c>
      <c r="AJ19" s="93"/>
      <c r="AK19" s="10">
        <f>I19-'Jun25'!I19</f>
        <v>47999736.690000057</v>
      </c>
      <c r="AL19" s="76">
        <f>I19/'Jun25'!I19-1</f>
        <v>7.2079658451608131E-2</v>
      </c>
    </row>
    <row r="20" spans="2:39" x14ac:dyDescent="0.25">
      <c r="B20" s="1"/>
      <c r="C20" s="1" t="s">
        <v>20</v>
      </c>
      <c r="D20" s="1"/>
      <c r="F20" s="7">
        <f t="shared" si="3"/>
        <v>1</v>
      </c>
      <c r="H20" s="3" t="s">
        <v>67</v>
      </c>
      <c r="I20" s="78">
        <v>1260966763</v>
      </c>
      <c r="J20" s="77">
        <v>0.22</v>
      </c>
      <c r="K20" s="78">
        <f t="shared" si="4"/>
        <v>277412687.86000001</v>
      </c>
      <c r="L20" s="77">
        <v>0.28999999999999998</v>
      </c>
      <c r="M20" s="78">
        <f t="shared" si="5"/>
        <v>365680361.26999998</v>
      </c>
      <c r="N20" s="77">
        <v>0.33</v>
      </c>
      <c r="O20" s="78">
        <f t="shared" si="6"/>
        <v>416119031.79000002</v>
      </c>
      <c r="P20" s="77">
        <v>0.16</v>
      </c>
      <c r="Q20" s="78">
        <f t="shared" si="7"/>
        <v>201754682.08000001</v>
      </c>
      <c r="R20" s="77"/>
      <c r="S20" s="78">
        <f t="shared" si="8"/>
        <v>0</v>
      </c>
      <c r="T20" s="77"/>
      <c r="U20" s="78">
        <f t="shared" si="9"/>
        <v>0</v>
      </c>
      <c r="Y20" s="12">
        <f>K20-'Jun25'!K20</f>
        <v>-10552039.691100001</v>
      </c>
      <c r="Z20" s="12">
        <f>M20-'Jun25'!M20</f>
        <v>15114605.990399957</v>
      </c>
      <c r="AA20" s="12">
        <f>O20-'Jun25'!O20</f>
        <v>-9567956.7637999654</v>
      </c>
      <c r="AB20" s="12">
        <f>Q20-'Jun25'!Q20</f>
        <v>1431393.3488000333</v>
      </c>
      <c r="AC20" s="12">
        <f>+S20-'Jun25'!S20</f>
        <v>0</v>
      </c>
      <c r="AE20" s="28">
        <f>J20-'Jun25'!J20</f>
        <v>-1.0000000000000009E-2</v>
      </c>
      <c r="AF20" s="28">
        <f>L20-'Jun25'!L20</f>
        <v>9.9999999999999534E-3</v>
      </c>
      <c r="AG20" s="28">
        <f>N20-'Jun25'!N20</f>
        <v>-1.0000000000000009E-2</v>
      </c>
      <c r="AH20" s="28">
        <f>P20-'Jun25'!P20</f>
        <v>0</v>
      </c>
      <c r="AI20" s="28">
        <f>R20-'Jun25'!R20</f>
        <v>0</v>
      </c>
      <c r="AJ20" s="93"/>
      <c r="AK20" s="10">
        <f>I20-'Jun25'!I20</f>
        <v>8946208.4300000668</v>
      </c>
      <c r="AL20" s="76">
        <f>I20/'Jun25'!I20-1</f>
        <v>7.1454165806987824E-3</v>
      </c>
    </row>
    <row r="21" spans="2:39" x14ac:dyDescent="0.25">
      <c r="B21" t="s">
        <v>11</v>
      </c>
      <c r="C21" s="2" t="s">
        <v>10</v>
      </c>
      <c r="D21" t="s">
        <v>7</v>
      </c>
      <c r="F21" s="7">
        <f t="shared" si="3"/>
        <v>1</v>
      </c>
      <c r="H21" s="3" t="s">
        <v>32</v>
      </c>
      <c r="I21" s="78">
        <v>191488619.28</v>
      </c>
      <c r="J21" s="77">
        <v>0.48</v>
      </c>
      <c r="K21" s="78">
        <f t="shared" si="4"/>
        <v>91914537.2544</v>
      </c>
      <c r="L21" s="77">
        <v>0.23</v>
      </c>
      <c r="M21" s="78">
        <f t="shared" si="5"/>
        <v>44042382.4344</v>
      </c>
      <c r="N21" s="77">
        <v>0.17</v>
      </c>
      <c r="O21" s="78">
        <f t="shared" si="6"/>
        <v>32553065.277600002</v>
      </c>
      <c r="P21" s="77">
        <v>0.12</v>
      </c>
      <c r="Q21" s="78">
        <f t="shared" si="7"/>
        <v>22978634.3136</v>
      </c>
      <c r="R21" s="77"/>
      <c r="S21" s="78">
        <f t="shared" si="8"/>
        <v>0</v>
      </c>
      <c r="T21" s="77"/>
      <c r="U21" s="78">
        <f t="shared" si="9"/>
        <v>0</v>
      </c>
      <c r="Y21" s="12">
        <f>K21-'Jun25'!K21</f>
        <v>46650575.669</v>
      </c>
      <c r="Z21" s="12">
        <f>M21-'Jun25'!M21</f>
        <v>20426402.476800002</v>
      </c>
      <c r="AA21" s="12">
        <f>O21-'Jun25'!O21</f>
        <v>-69782847.871999994</v>
      </c>
      <c r="AB21" s="12">
        <f>Q21-'Jun25'!Q21</f>
        <v>-637345.64399999753</v>
      </c>
      <c r="AC21" s="12">
        <f>+S21-'Jun25'!S21</f>
        <v>0</v>
      </c>
      <c r="AE21" s="28">
        <f>J21-'Jun25'!J21</f>
        <v>0.24999999999999997</v>
      </c>
      <c r="AF21" s="28">
        <f>L21-'Jun25'!L21</f>
        <v>0.11000000000000001</v>
      </c>
      <c r="AG21" s="28">
        <f>N21-'Jun25'!N21</f>
        <v>-0.35</v>
      </c>
      <c r="AH21" s="28">
        <f>P21-'Jun25'!P21</f>
        <v>0</v>
      </c>
      <c r="AI21" s="28">
        <f>R21-'Jun25'!R21</f>
        <v>0</v>
      </c>
      <c r="AK21" s="10">
        <f>I21-'Jun25'!I21</f>
        <v>-5311213.6999999881</v>
      </c>
      <c r="AL21" s="76">
        <f>I21/'Jun25'!I21-1</f>
        <v>-2.6987897395927885E-2</v>
      </c>
    </row>
    <row r="22" spans="2:39" x14ac:dyDescent="0.25">
      <c r="B22" t="s">
        <v>12</v>
      </c>
      <c r="C22" s="2" t="s">
        <v>16</v>
      </c>
      <c r="D22" t="s">
        <v>58</v>
      </c>
      <c r="F22" s="7">
        <f t="shared" si="3"/>
        <v>1</v>
      </c>
      <c r="H22" s="3" t="s">
        <v>33</v>
      </c>
      <c r="I22" s="78">
        <v>1307857982.0799999</v>
      </c>
      <c r="J22" s="77">
        <v>0.18</v>
      </c>
      <c r="K22" s="78">
        <f t="shared" si="4"/>
        <v>235414436.77439997</v>
      </c>
      <c r="L22" s="77">
        <v>0.21</v>
      </c>
      <c r="M22" s="78">
        <f t="shared" si="5"/>
        <v>274650176.23679996</v>
      </c>
      <c r="N22" s="77">
        <v>0.57999999999999996</v>
      </c>
      <c r="O22" s="78">
        <f t="shared" si="6"/>
        <v>758557629.60639989</v>
      </c>
      <c r="P22" s="77">
        <v>0.03</v>
      </c>
      <c r="Q22" s="78">
        <f t="shared" si="7"/>
        <v>39235739.462399997</v>
      </c>
      <c r="R22" s="77"/>
      <c r="S22" s="78">
        <f t="shared" si="8"/>
        <v>0</v>
      </c>
      <c r="T22" s="77"/>
      <c r="U22" s="78">
        <f t="shared" si="9"/>
        <v>0</v>
      </c>
      <c r="Y22" s="12">
        <f>K22-'Jun25'!K22</f>
        <v>30114169.164799958</v>
      </c>
      <c r="Z22" s="12">
        <f>M22-'Jun25'!M22</f>
        <v>-7637691.7264000177</v>
      </c>
      <c r="AA22" s="12">
        <f>O22-'Jun25'!O22</f>
        <v>1512892.7960000038</v>
      </c>
      <c r="AB22" s="12">
        <f>Q22-'Jun25'!Q22</f>
        <v>741939.28559999913</v>
      </c>
      <c r="AC22" s="12">
        <f>+S22-'Jun25'!S22</f>
        <v>0</v>
      </c>
      <c r="AE22" s="28">
        <f>J22-'Jun25'!J22</f>
        <v>1.999999999999999E-2</v>
      </c>
      <c r="AF22" s="28">
        <f>L22-'Jun25'!L22</f>
        <v>-1.0000000000000009E-2</v>
      </c>
      <c r="AG22" s="28">
        <f>N22-'Jun25'!N22</f>
        <v>-1.0000000000000009E-2</v>
      </c>
      <c r="AH22" s="28">
        <f>P22-'Jun25'!P22</f>
        <v>0</v>
      </c>
      <c r="AI22" s="28">
        <f>R22-'Jun25'!R22</f>
        <v>0</v>
      </c>
      <c r="AK22" s="10">
        <f>I22-'Jun25'!I22</f>
        <v>24731309.519999981</v>
      </c>
      <c r="AL22" s="76">
        <f>I22/'Jun25'!I22-1</f>
        <v>1.9274254092667142E-2</v>
      </c>
    </row>
    <row r="23" spans="2:39" x14ac:dyDescent="0.25">
      <c r="B23" t="s">
        <v>13</v>
      </c>
      <c r="C23" s="2" t="s">
        <v>17</v>
      </c>
      <c r="D23" t="s">
        <v>59</v>
      </c>
      <c r="F23" s="7">
        <f t="shared" si="3"/>
        <v>1</v>
      </c>
      <c r="H23" s="3" t="s">
        <v>68</v>
      </c>
      <c r="I23" s="78">
        <v>231467000.34</v>
      </c>
      <c r="J23" s="77">
        <v>0.49790000000000001</v>
      </c>
      <c r="K23" s="78">
        <f t="shared" si="4"/>
        <v>115247419.46928601</v>
      </c>
      <c r="L23" s="77">
        <v>0.1242</v>
      </c>
      <c r="M23" s="78">
        <f t="shared" si="5"/>
        <v>28748201.442228001</v>
      </c>
      <c r="N23" s="77">
        <v>0.29909999999999998</v>
      </c>
      <c r="O23" s="78">
        <f t="shared" si="6"/>
        <v>69231779.801693991</v>
      </c>
      <c r="P23" s="77">
        <v>7.8100000000000003E-2</v>
      </c>
      <c r="Q23" s="78">
        <f t="shared" si="7"/>
        <v>18077572.726554003</v>
      </c>
      <c r="R23" s="77"/>
      <c r="S23" s="78">
        <f t="shared" si="8"/>
        <v>0</v>
      </c>
      <c r="T23" s="77">
        <v>6.9999999999999999E-4</v>
      </c>
      <c r="U23" s="78">
        <f t="shared" si="9"/>
        <v>162026.900238</v>
      </c>
      <c r="Y23" s="12">
        <f>K23-'Jun25'!K23</f>
        <v>75906.766074001789</v>
      </c>
      <c r="Z23" s="12">
        <f>M23-'Jun25'!M23</f>
        <v>1545183.5076119974</v>
      </c>
      <c r="AA23" s="12">
        <f>O23-'Jun25'!O23</f>
        <v>3600538.528493993</v>
      </c>
      <c r="AB23" s="12">
        <f>Q23-'Jun25'!Q23</f>
        <v>-118123.12987799942</v>
      </c>
      <c r="AC23" s="12">
        <f>+S23-'Jun25'!S23</f>
        <v>0</v>
      </c>
      <c r="AE23" s="28">
        <f>J23-'Jun25'!J23</f>
        <v>-1.100000000000001E-2</v>
      </c>
      <c r="AF23" s="28">
        <f>L23-'Jun25'!L23</f>
        <v>4.0000000000000036E-3</v>
      </c>
      <c r="AG23" s="28">
        <f>N23-'Jun25'!N23</f>
        <v>9.099999999999997E-3</v>
      </c>
      <c r="AH23" s="28">
        <f>P23-'Jun25'!P23</f>
        <v>-2.2999999999999965E-3</v>
      </c>
      <c r="AI23" s="28">
        <f>R23-'Jun25'!R23</f>
        <v>0</v>
      </c>
      <c r="AJ23" s="93"/>
      <c r="AK23" s="10">
        <f>I23-'Jun25'!I23</f>
        <v>5152375.2599999905</v>
      </c>
      <c r="AL23" s="76">
        <f>I23/'Jun25'!I23-1</f>
        <v>2.276642642153015E-2</v>
      </c>
    </row>
    <row r="24" spans="2:39" x14ac:dyDescent="0.25">
      <c r="B24" t="s">
        <v>14</v>
      </c>
      <c r="C24" s="2" t="s">
        <v>18</v>
      </c>
      <c r="F24" s="7">
        <f t="shared" si="3"/>
        <v>1.0000000000000002</v>
      </c>
      <c r="H24" s="3" t="s">
        <v>35</v>
      </c>
      <c r="I24" s="78">
        <v>497282602.43000001</v>
      </c>
      <c r="J24" s="77">
        <v>0.14199999999999999</v>
      </c>
      <c r="K24" s="78">
        <f t="shared" si="4"/>
        <v>70614129.545059994</v>
      </c>
      <c r="L24" s="77">
        <v>0.438</v>
      </c>
      <c r="M24" s="78">
        <f t="shared" si="5"/>
        <v>217809779.86434001</v>
      </c>
      <c r="N24" s="77">
        <v>0.33900000000000002</v>
      </c>
      <c r="O24" s="78">
        <f t="shared" si="6"/>
        <v>168578802.22377002</v>
      </c>
      <c r="P24" s="77">
        <v>8.2000000000000003E-2</v>
      </c>
      <c r="Q24" s="78">
        <f t="shared" si="7"/>
        <v>40777173.399259999</v>
      </c>
      <c r="R24" s="77"/>
      <c r="S24" s="78">
        <f t="shared" si="8"/>
        <v>0</v>
      </c>
      <c r="T24" s="77">
        <v>-1E-3</v>
      </c>
      <c r="U24" s="78">
        <f t="shared" si="9"/>
        <v>-497282.60243000003</v>
      </c>
      <c r="Y24" s="12">
        <f>K24-'Jun25'!K24</f>
        <v>18958344.454259999</v>
      </c>
      <c r="Z24" s="12">
        <f>M24-'Jun25'!M24</f>
        <v>25274580.889540017</v>
      </c>
      <c r="AA24" s="12">
        <f>O24-'Jun25'!O24</f>
        <v>-23956396.751029968</v>
      </c>
      <c r="AB24" s="12">
        <f>Q24-'Jun25'!Q24</f>
        <v>31385212.47366</v>
      </c>
      <c r="AC24" s="12">
        <f>+S24-'Jun25'!S24</f>
        <v>0</v>
      </c>
      <c r="AE24" s="28">
        <f>J24-'Jun25'!J24</f>
        <v>3.1999999999999987E-2</v>
      </c>
      <c r="AF24" s="28">
        <f>L24-'Jun25'!L24</f>
        <v>2.8000000000000025E-2</v>
      </c>
      <c r="AG24" s="28">
        <f>N24-'Jun25'!N24</f>
        <v>-7.0999999999999952E-2</v>
      </c>
      <c r="AH24" s="28">
        <f>P24-'Jun25'!P24</f>
        <v>6.2E-2</v>
      </c>
      <c r="AI24" s="28">
        <f>R24-'Jun25'!R24</f>
        <v>0</v>
      </c>
      <c r="AJ24" s="93"/>
      <c r="AK24" s="10">
        <f>I24-'Jun25'!I24</f>
        <v>27684556.150000036</v>
      </c>
      <c r="AL24" s="76">
        <f>I24/'Jun25'!I24-1</f>
        <v>5.8953729406048261E-2</v>
      </c>
    </row>
    <row r="25" spans="2:39" x14ac:dyDescent="0.25">
      <c r="B25" t="s">
        <v>15</v>
      </c>
      <c r="C25" s="2" t="s">
        <v>19</v>
      </c>
      <c r="F25" s="7">
        <f t="shared" si="3"/>
        <v>1</v>
      </c>
      <c r="H25" s="3" t="s">
        <v>36</v>
      </c>
      <c r="I25" s="78">
        <v>760924497.41999996</v>
      </c>
      <c r="J25" s="77">
        <v>0.2</v>
      </c>
      <c r="K25" s="78">
        <f t="shared" si="4"/>
        <v>152184899.484</v>
      </c>
      <c r="L25" s="77">
        <v>0.22</v>
      </c>
      <c r="M25" s="78">
        <f t="shared" si="5"/>
        <v>167403389.43239999</v>
      </c>
      <c r="N25" s="77">
        <v>0.49</v>
      </c>
      <c r="O25" s="78">
        <f t="shared" si="6"/>
        <v>372853003.73579997</v>
      </c>
      <c r="P25" s="77">
        <v>0.09</v>
      </c>
      <c r="Q25" s="78">
        <f t="shared" si="7"/>
        <v>68483204.767799988</v>
      </c>
      <c r="R25" s="77"/>
      <c r="S25" s="78">
        <f t="shared" si="8"/>
        <v>0</v>
      </c>
      <c r="T25" s="77"/>
      <c r="U25" s="78">
        <f t="shared" si="9"/>
        <v>0</v>
      </c>
      <c r="Y25" s="12">
        <f>K25-'Jun25'!K25</f>
        <v>-28719882.452800006</v>
      </c>
      <c r="Z25" s="12">
        <f>M25-'Jun25'!M25</f>
        <v>10094883.400399983</v>
      </c>
      <c r="AA25" s="12">
        <f>O25-'Jun25'!O25</f>
        <v>-12552836.042600036</v>
      </c>
      <c r="AB25" s="12">
        <f>Q25-'Jun25'!Q25</f>
        <v>-2305622.946600005</v>
      </c>
      <c r="AC25" s="12">
        <f>+S25-'Jun25'!S25</f>
        <v>0</v>
      </c>
      <c r="AE25" s="28">
        <f>J25-'Jun25'!J25</f>
        <v>-0.03</v>
      </c>
      <c r="AF25" s="28">
        <f>L25-'Jun25'!L25</f>
        <v>1.999999999999999E-2</v>
      </c>
      <c r="AG25" s="28">
        <f>N25-'Jun25'!N25</f>
        <v>0</v>
      </c>
      <c r="AH25" s="28">
        <f>P25-'Jun25'!P25</f>
        <v>0</v>
      </c>
      <c r="AI25" s="28">
        <f>R25-'Jun25'!R25</f>
        <v>0</v>
      </c>
      <c r="AJ25" s="93"/>
      <c r="AK25" s="10">
        <f>I25-'Jun25'!I25</f>
        <v>-25618032.74000001</v>
      </c>
      <c r="AL25" s="76">
        <f>I25/'Jun25'!I25-1</f>
        <v>-3.2570435491630412E-2</v>
      </c>
    </row>
    <row r="26" spans="2:39" x14ac:dyDescent="0.25">
      <c r="B26" t="s">
        <v>57</v>
      </c>
      <c r="F26" s="7">
        <f>J26+L26+N26+P26+R26+T26</f>
        <v>1</v>
      </c>
      <c r="H26" s="3" t="s">
        <v>65</v>
      </c>
      <c r="I26" s="78">
        <v>1792808666.9300001</v>
      </c>
      <c r="J26" s="77">
        <v>0.31</v>
      </c>
      <c r="K26" s="78">
        <f t="shared" si="4"/>
        <v>555770686.74830008</v>
      </c>
      <c r="L26" s="77">
        <v>0.21</v>
      </c>
      <c r="M26" s="78">
        <f t="shared" si="5"/>
        <v>376489820.0553</v>
      </c>
      <c r="N26" s="77">
        <v>0.42</v>
      </c>
      <c r="O26" s="78">
        <f t="shared" si="6"/>
        <v>752979640.11059999</v>
      </c>
      <c r="P26" s="77">
        <v>7.0000000000000007E-2</v>
      </c>
      <c r="Q26" s="78">
        <f t="shared" si="7"/>
        <v>125496606.68510002</v>
      </c>
      <c r="R26" s="77"/>
      <c r="S26" s="78">
        <f t="shared" si="8"/>
        <v>0</v>
      </c>
      <c r="T26" s="77">
        <v>-0.01</v>
      </c>
      <c r="U26" s="78">
        <f t="shared" si="9"/>
        <v>-17928086.669300001</v>
      </c>
      <c r="Y26" s="12">
        <f>K26-'Jun25'!K26</f>
        <v>16089268.573300004</v>
      </c>
      <c r="Z26" s="12">
        <f>M26-'Jun25'!M26</f>
        <v>59030162.305299997</v>
      </c>
      <c r="AA26" s="12">
        <f>O26-'Jun25'!O26</f>
        <v>133933307.49809992</v>
      </c>
      <c r="AB26" s="12">
        <f>Q26-'Jun25'!Q26</f>
        <v>14385726.472600013</v>
      </c>
      <c r="AC26" s="12">
        <f>+S26-'Jun25'!S26</f>
        <v>0</v>
      </c>
      <c r="AE26" s="28">
        <f>J26-'Jun25'!J26</f>
        <v>-3.0000000000000027E-2</v>
      </c>
      <c r="AF26" s="28">
        <f>L26-'Jun25'!L26</f>
        <v>9.9999999999999811E-3</v>
      </c>
      <c r="AG26" s="28">
        <f>N26-'Jun25'!N26</f>
        <v>2.9999999999999971E-2</v>
      </c>
      <c r="AH26" s="28">
        <f>P26-'Jun25'!P26</f>
        <v>0</v>
      </c>
      <c r="AI26" s="28">
        <f>R26-'Jun25'!R26</f>
        <v>0</v>
      </c>
      <c r="AK26" s="10">
        <f>I26-'Jun25'!I26</f>
        <v>205510378.18000007</v>
      </c>
      <c r="AL26" s="76">
        <f>I26/'Jun25'!I26-1</f>
        <v>0.12947180730714436</v>
      </c>
    </row>
    <row r="27" spans="2:39" s="8" customFormat="1" x14ac:dyDescent="0.25">
      <c r="B27"/>
      <c r="C27"/>
      <c r="E27"/>
      <c r="F27" s="7">
        <f t="shared" si="3"/>
        <v>0.99999999999999989</v>
      </c>
      <c r="G27"/>
      <c r="H27" s="21" t="s">
        <v>45</v>
      </c>
      <c r="I27" s="20">
        <f>SUM(I17:I26)</f>
        <v>7945692489.7800007</v>
      </c>
      <c r="J27" s="15">
        <f>K27/$I$27</f>
        <v>0.22597648732403522</v>
      </c>
      <c r="K27" s="63">
        <f>SUM(K17:K26)</f>
        <v>1795539678.1974521</v>
      </c>
      <c r="L27" s="15">
        <f>M27/$I$27</f>
        <v>0.25140580469710033</v>
      </c>
      <c r="M27" s="62">
        <f>SUM(M17:M26)</f>
        <v>1997593214.2688479</v>
      </c>
      <c r="N27" s="15">
        <f>O27/$I$27</f>
        <v>0.42584598647773342</v>
      </c>
      <c r="O27" s="63">
        <f>SUM(O17:O26)</f>
        <v>3383641256.559082</v>
      </c>
      <c r="P27" s="15">
        <f>Q27/$I$27</f>
        <v>8.8948004756955107E-2</v>
      </c>
      <c r="Q27" s="63">
        <f>SUM(Q17:Q26)</f>
        <v>706753493.37825394</v>
      </c>
      <c r="R27" s="15">
        <f>S27/$I$27</f>
        <v>0</v>
      </c>
      <c r="S27" s="63">
        <f>SUM(S17:S26)</f>
        <v>0</v>
      </c>
      <c r="T27" s="15">
        <f>U27/$I$27</f>
        <v>7.8237167441758369E-3</v>
      </c>
      <c r="U27" s="17">
        <f>SUM(U17:U26)</f>
        <v>62164847.376363993</v>
      </c>
      <c r="Y27" s="12">
        <f>K27-'Jun25'!K27</f>
        <v>122196145.67405176</v>
      </c>
      <c r="Z27" s="12">
        <f>M27-'Jun25'!M27</f>
        <v>78802119.488305569</v>
      </c>
      <c r="AA27" s="12">
        <f>O27-'Jun25'!O27</f>
        <v>264402634.77553368</v>
      </c>
      <c r="AB27" s="12">
        <f>Q27-'Jun25'!Q27</f>
        <v>45422213.544643998</v>
      </c>
      <c r="AC27" s="12">
        <f>+S27-'Jun25'!S27</f>
        <v>0</v>
      </c>
      <c r="AE27" s="28">
        <f>J27-'Jun25'!J27</f>
        <v>5.7648206392793278E-3</v>
      </c>
      <c r="AF27" s="28">
        <f>L27-'Jun25'!L27</f>
        <v>-1.1067109871719105E-3</v>
      </c>
      <c r="AG27" s="28">
        <f>N27-'Jun25'!N27</f>
        <v>1.535482172892505E-2</v>
      </c>
      <c r="AH27" s="28">
        <f>P27-'Jun25'!P27</f>
        <v>1.9169435717436428E-3</v>
      </c>
      <c r="AI27" s="28">
        <f>R27-'Jun25'!R27</f>
        <v>0</v>
      </c>
      <c r="AK27" s="92">
        <f>I27-'Jun25'!I27</f>
        <v>346896487.21000099</v>
      </c>
      <c r="AL27" s="76">
        <f>I27/'Jun25'!I27-1</f>
        <v>4.5651506777215412E-2</v>
      </c>
    </row>
    <row r="28" spans="2:39" x14ac:dyDescent="0.25">
      <c r="F28" s="7"/>
      <c r="I28" s="10"/>
      <c r="J28" s="10"/>
      <c r="K28" s="10"/>
      <c r="L28" s="5"/>
      <c r="M28" s="10"/>
      <c r="N28" s="10"/>
      <c r="O28" s="10"/>
      <c r="P28" s="5"/>
      <c r="Q28" s="10"/>
    </row>
    <row r="29" spans="2:39" x14ac:dyDescent="0.25">
      <c r="F29" s="7"/>
      <c r="H29" s="4" t="s">
        <v>38</v>
      </c>
      <c r="I29" s="9" t="s">
        <v>4</v>
      </c>
      <c r="J29" s="113" t="s">
        <v>7</v>
      </c>
      <c r="K29" s="113"/>
      <c r="L29" s="112" t="s">
        <v>8</v>
      </c>
      <c r="M29" s="112"/>
      <c r="N29" s="112" t="s">
        <v>10</v>
      </c>
      <c r="O29" s="112"/>
      <c r="P29" s="112" t="s">
        <v>9</v>
      </c>
      <c r="Q29" s="112"/>
      <c r="R29" s="112" t="s">
        <v>40</v>
      </c>
      <c r="S29" s="112"/>
      <c r="T29" s="112" t="s">
        <v>55</v>
      </c>
      <c r="U29" s="112"/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  <c r="AE29" s="27" t="s">
        <v>49</v>
      </c>
      <c r="AF29" s="27" t="s">
        <v>50</v>
      </c>
      <c r="AG29" s="27" t="s">
        <v>51</v>
      </c>
      <c r="AH29" s="27" t="s">
        <v>52</v>
      </c>
      <c r="AI29" s="27" t="s">
        <v>54</v>
      </c>
    </row>
    <row r="30" spans="2:39" x14ac:dyDescent="0.25">
      <c r="F30" s="7">
        <f>J30+L30+N30+P30+R30+T30</f>
        <v>1</v>
      </c>
      <c r="H30" s="21" t="s">
        <v>39</v>
      </c>
      <c r="I30" s="94">
        <v>269444222.81999999</v>
      </c>
      <c r="J30" s="81">
        <v>0.15160000000000001</v>
      </c>
      <c r="K30" s="80">
        <f t="shared" ref="K30:K35" si="10">+J30*$I30</f>
        <v>40847744.179512002</v>
      </c>
      <c r="L30" s="81">
        <v>0.21390000000000001</v>
      </c>
      <c r="M30" s="80">
        <f t="shared" ref="M30:M35" si="11">+L30*$I30</f>
        <v>57634119.261197999</v>
      </c>
      <c r="N30" s="81">
        <v>0.45610000000000001</v>
      </c>
      <c r="O30" s="80">
        <f t="shared" ref="O30:O35" si="12">+N30*$I30</f>
        <v>122893510.028202</v>
      </c>
      <c r="P30" s="81">
        <v>0.1062</v>
      </c>
      <c r="Q30" s="80">
        <f t="shared" ref="Q30:Q35" si="13">+P30*$I30</f>
        <v>28614976.463484</v>
      </c>
      <c r="R30" s="88">
        <v>3.6999999999999998E-2</v>
      </c>
      <c r="S30" s="80">
        <f t="shared" ref="S30:S35" si="14">+R30*$I30</f>
        <v>9969436.2443399988</v>
      </c>
      <c r="T30" s="81">
        <v>3.5200000000000002E-2</v>
      </c>
      <c r="U30" s="80">
        <f t="shared" ref="U30:U35" si="15">+T30*$I30</f>
        <v>9484436.6432640012</v>
      </c>
      <c r="V30" s="98"/>
      <c r="Y30" s="12">
        <f>K30-'Jun25'!K30</f>
        <v>3725755.6406040043</v>
      </c>
      <c r="Z30" s="12">
        <f>M30-'Jun25'!M30</f>
        <v>-2702332.195915997</v>
      </c>
      <c r="AA30" s="12">
        <f>O30-'Jun25'!O30</f>
        <v>-18957963.270402998</v>
      </c>
      <c r="AB30" s="12">
        <f>Q30-'Jun25'!Q30</f>
        <v>-337001.77733100206</v>
      </c>
      <c r="AC30" s="12">
        <f>+S30-'Jun25'!S30</f>
        <v>503857.97017399967</v>
      </c>
      <c r="AD30" s="98"/>
      <c r="AE30" s="28">
        <f>J30-'Jun25'!J30</f>
        <v>1.1200000000000015E-2</v>
      </c>
      <c r="AF30" s="28">
        <f>L30-'Jun25'!L30</f>
        <v>-1.4299999999999979E-2</v>
      </c>
      <c r="AG30" s="28">
        <f>N30-'Jun25'!N30</f>
        <v>-8.0399999999999971E-2</v>
      </c>
      <c r="AH30" s="28">
        <f>P30-'Jun25'!P30</f>
        <v>-3.2999999999999974E-3</v>
      </c>
      <c r="AI30" s="28">
        <f>R30-'Jun25'!R30</f>
        <v>1.1999999999999997E-3</v>
      </c>
      <c r="AJ30" s="98"/>
      <c r="AK30" s="10">
        <f>I30-'Jun25'!I30</f>
        <v>5042595.0499999821</v>
      </c>
      <c r="AL30" s="76">
        <f>I30/'Jun25'!I30-1</f>
        <v>1.9071724680857383E-2</v>
      </c>
      <c r="AM30" s="98"/>
    </row>
    <row r="31" spans="2:39" hidden="1" outlineLevel="1" x14ac:dyDescent="0.25">
      <c r="F31" s="7">
        <f t="shared" si="3"/>
        <v>0</v>
      </c>
      <c r="H31" s="3" t="s">
        <v>56</v>
      </c>
      <c r="I31" s="78"/>
      <c r="J31" s="77"/>
      <c r="K31" s="78">
        <f t="shared" si="10"/>
        <v>0</v>
      </c>
      <c r="L31" s="77"/>
      <c r="M31" s="78">
        <f t="shared" si="11"/>
        <v>0</v>
      </c>
      <c r="N31" s="77"/>
      <c r="O31" s="78">
        <f t="shared" si="12"/>
        <v>0</v>
      </c>
      <c r="P31" s="77"/>
      <c r="Q31" s="78">
        <f t="shared" si="13"/>
        <v>0</v>
      </c>
      <c r="R31" s="77"/>
      <c r="S31" s="78">
        <f t="shared" si="14"/>
        <v>0</v>
      </c>
      <c r="T31" s="77"/>
      <c r="U31" s="78">
        <f t="shared" si="15"/>
        <v>0</v>
      </c>
      <c r="Y31" s="12">
        <f>K31-'Jun25'!K31</f>
        <v>0</v>
      </c>
      <c r="Z31" s="12">
        <f>M31-'Jun25'!M31</f>
        <v>0</v>
      </c>
      <c r="AA31" s="12">
        <f>O31-'Jun25'!O31</f>
        <v>0</v>
      </c>
      <c r="AB31" s="12">
        <f>Q31-'Jun25'!Q31</f>
        <v>0</v>
      </c>
      <c r="AC31" s="12">
        <f>+S31-'Jun25'!S31</f>
        <v>0</v>
      </c>
      <c r="AE31" s="28">
        <f>J31-'Jun25'!J31</f>
        <v>0</v>
      </c>
      <c r="AF31" s="28">
        <f>L31-'Jun25'!L31</f>
        <v>0</v>
      </c>
      <c r="AG31" s="28">
        <f>N31-'Jun25'!N31</f>
        <v>0</v>
      </c>
      <c r="AH31" s="28">
        <f>P31-'Jun25'!P31</f>
        <v>0</v>
      </c>
      <c r="AI31" s="28">
        <f>R31-'Jun25'!R31</f>
        <v>0</v>
      </c>
      <c r="AK31" s="10">
        <f>I31-'Jun25'!I31</f>
        <v>0</v>
      </c>
      <c r="AL31" s="76" t="e">
        <f>I31/'Jun25'!I31-1</f>
        <v>#DIV/0!</v>
      </c>
    </row>
    <row r="32" spans="2:39" collapsed="1" x14ac:dyDescent="0.25">
      <c r="F32" s="7">
        <f t="shared" si="3"/>
        <v>1</v>
      </c>
      <c r="H32" s="3" t="s">
        <v>42</v>
      </c>
      <c r="I32" s="84">
        <v>210130592</v>
      </c>
      <c r="J32" s="77">
        <v>0.09</v>
      </c>
      <c r="K32" s="78">
        <f t="shared" si="10"/>
        <v>18911753.279999997</v>
      </c>
      <c r="L32" s="77">
        <v>0.11</v>
      </c>
      <c r="M32" s="78">
        <f t="shared" si="11"/>
        <v>23114365.120000001</v>
      </c>
      <c r="N32" s="77">
        <v>0.5</v>
      </c>
      <c r="O32" s="78">
        <f t="shared" si="12"/>
        <v>105065296</v>
      </c>
      <c r="P32" s="77">
        <v>0.05</v>
      </c>
      <c r="Q32" s="78">
        <f t="shared" si="13"/>
        <v>10506529.600000001</v>
      </c>
      <c r="R32" s="77">
        <v>0.19</v>
      </c>
      <c r="S32" s="78">
        <f t="shared" si="14"/>
        <v>39924812.480000004</v>
      </c>
      <c r="T32" s="77">
        <v>0.06</v>
      </c>
      <c r="U32" s="78">
        <f t="shared" si="15"/>
        <v>12607835.52</v>
      </c>
      <c r="Y32" s="12">
        <f>K32-'Jun25'!K32</f>
        <v>8639706.1299999971</v>
      </c>
      <c r="Z32" s="12">
        <f>M32-'Jun25'!M32</f>
        <v>2570270.8200000003</v>
      </c>
      <c r="AA32" s="12">
        <f>O32-'Jun25'!O32</f>
        <v>-28471316.950000003</v>
      </c>
      <c r="AB32" s="12">
        <f>Q32-'Jun25'!Q32</f>
        <v>-3874336.41</v>
      </c>
      <c r="AC32" s="12">
        <f>+S32-'Jun25'!S32</f>
        <v>-1163376.1199999973</v>
      </c>
      <c r="AE32" s="28">
        <f>J32-'Jun25'!J32</f>
        <v>3.9999999999999994E-2</v>
      </c>
      <c r="AF32" s="28">
        <f>L32-'Jun25'!L32</f>
        <v>9.999999999999995E-3</v>
      </c>
      <c r="AG32" s="28">
        <f>N32-'Jun25'!N32</f>
        <v>-0.15000000000000002</v>
      </c>
      <c r="AH32" s="28">
        <f>P32-'Jun25'!P32</f>
        <v>-2.0000000000000004E-2</v>
      </c>
      <c r="AI32" s="28">
        <f>R32-'Jun25'!R32</f>
        <v>-1.0000000000000009E-2</v>
      </c>
      <c r="AK32" s="10">
        <f>I32-'Jun25'!I32</f>
        <v>4689649</v>
      </c>
      <c r="AL32" s="76">
        <f>I32/'Jun25'!I32-1</f>
        <v>2.2827236535805762E-2</v>
      </c>
    </row>
    <row r="33" spans="5:38" x14ac:dyDescent="0.25">
      <c r="F33" s="7">
        <f t="shared" si="3"/>
        <v>1</v>
      </c>
      <c r="H33" s="3" t="s">
        <v>69</v>
      </c>
      <c r="I33" s="84">
        <v>470632975.86000001</v>
      </c>
      <c r="J33" s="77">
        <v>0.17</v>
      </c>
      <c r="K33" s="78">
        <f t="shared" si="10"/>
        <v>80007605.896200001</v>
      </c>
      <c r="L33" s="77">
        <v>0.27</v>
      </c>
      <c r="M33" s="78">
        <f t="shared" si="11"/>
        <v>127070903.48220001</v>
      </c>
      <c r="N33" s="77">
        <v>0.53</v>
      </c>
      <c r="O33" s="78">
        <f t="shared" si="12"/>
        <v>249435477.20580003</v>
      </c>
      <c r="P33" s="77">
        <v>0.01</v>
      </c>
      <c r="Q33" s="78">
        <f t="shared" si="13"/>
        <v>4706329.7586000003</v>
      </c>
      <c r="R33" s="77">
        <v>0</v>
      </c>
      <c r="S33" s="78">
        <f t="shared" si="14"/>
        <v>0</v>
      </c>
      <c r="T33" s="77">
        <v>0.02</v>
      </c>
      <c r="U33" s="78">
        <f t="shared" si="15"/>
        <v>9412659.5172000006</v>
      </c>
      <c r="Y33" s="12">
        <f>K33-'Jun25'!K33</f>
        <v>1432322.7480999976</v>
      </c>
      <c r="Z33" s="12">
        <f>M33-'Jun25'!M33</f>
        <v>76228073.209900022</v>
      </c>
      <c r="AA33" s="12">
        <f>O33-'Jun25'!O33</f>
        <v>9087552.2822000086</v>
      </c>
      <c r="AB33" s="12">
        <f>Q33-'Jun25'!Q33</f>
        <v>4706329.7586000003</v>
      </c>
      <c r="AC33" s="12">
        <f>+S33-'Jun25'!S33</f>
        <v>-4622075.4792999998</v>
      </c>
      <c r="AE33" s="28">
        <f>J33-'Jun25'!J33</f>
        <v>0</v>
      </c>
      <c r="AF33" s="28">
        <f>L33-'Jun25'!L33</f>
        <v>0.16000000000000003</v>
      </c>
      <c r="AG33" s="28">
        <f>N33-'Jun25'!N33</f>
        <v>1.0000000000000009E-2</v>
      </c>
      <c r="AH33" s="28">
        <f>P33-'Jun25'!P33</f>
        <v>0.01</v>
      </c>
      <c r="AI33" s="28">
        <f>R33-'Jun25'!R33</f>
        <v>-0.01</v>
      </c>
      <c r="AK33" s="10">
        <f>I33-'Jun25'!I33</f>
        <v>8425427.9300000072</v>
      </c>
      <c r="AL33" s="76">
        <f>I33/'Jun25'!I33-1</f>
        <v>1.8228667982020941E-2</v>
      </c>
    </row>
    <row r="34" spans="5:38" x14ac:dyDescent="0.25">
      <c r="F34" s="7">
        <f t="shared" si="3"/>
        <v>1</v>
      </c>
      <c r="H34" s="3" t="s">
        <v>44</v>
      </c>
      <c r="I34" s="84">
        <v>74394350.829999998</v>
      </c>
      <c r="J34" s="77">
        <v>0.03</v>
      </c>
      <c r="K34" s="78">
        <f t="shared" si="10"/>
        <v>2231830.5249000001</v>
      </c>
      <c r="L34" s="77">
        <v>0.14000000000000001</v>
      </c>
      <c r="M34" s="78">
        <f t="shared" si="11"/>
        <v>10415209.1162</v>
      </c>
      <c r="N34" s="77">
        <v>0.67</v>
      </c>
      <c r="O34" s="78">
        <f t="shared" si="12"/>
        <v>49844215.056100003</v>
      </c>
      <c r="P34" s="77">
        <v>0.03</v>
      </c>
      <c r="Q34" s="78">
        <f t="shared" si="13"/>
        <v>2231830.5249000001</v>
      </c>
      <c r="R34" s="77">
        <v>0.13</v>
      </c>
      <c r="S34" s="78">
        <f t="shared" si="14"/>
        <v>9671265.6078999992</v>
      </c>
      <c r="T34" s="77"/>
      <c r="U34" s="78">
        <f t="shared" si="15"/>
        <v>0</v>
      </c>
      <c r="Y34" s="12">
        <f>K34-'Jun25'!K34</f>
        <v>-3342556.2028000006</v>
      </c>
      <c r="Z34" s="12">
        <f>M34-'Jun25'!M34</f>
        <v>62776.621899999678</v>
      </c>
      <c r="AA34" s="12">
        <f>O34-'Jun25'!O34</f>
        <v>-1917947.4153999984</v>
      </c>
      <c r="AB34" s="12">
        <f>Q34-'Jun25'!Q34</f>
        <v>-157192.35839999979</v>
      </c>
      <c r="AC34" s="12">
        <f>+S34-'Jun25'!S34</f>
        <v>115174.07469999976</v>
      </c>
      <c r="AE34" s="28">
        <f>J34-'Jun25'!J34</f>
        <v>-4.0000000000000008E-2</v>
      </c>
      <c r="AF34" s="28">
        <f>L34-'Jun25'!L34</f>
        <v>1.0000000000000009E-2</v>
      </c>
      <c r="AG34" s="28">
        <f>N34-'Jun25'!N34</f>
        <v>2.0000000000000018E-2</v>
      </c>
      <c r="AH34" s="28">
        <f>P34-'Jun25'!P34</f>
        <v>0</v>
      </c>
      <c r="AI34" s="28">
        <f>R34-'Jun25'!R34</f>
        <v>1.0000000000000009E-2</v>
      </c>
      <c r="AK34" s="10">
        <f>I34-'Jun25'!I34</f>
        <v>-5239745.2800000012</v>
      </c>
      <c r="AL34" s="76">
        <f>I34/'Jun25'!I34-1</f>
        <v>-6.5797761712046654E-2</v>
      </c>
    </row>
    <row r="35" spans="5:38" x14ac:dyDescent="0.25">
      <c r="F35" s="7">
        <f t="shared" si="3"/>
        <v>1</v>
      </c>
      <c r="H35" s="3" t="s">
        <v>66</v>
      </c>
      <c r="I35" s="84">
        <v>316900000</v>
      </c>
      <c r="J35" s="77">
        <v>0.04</v>
      </c>
      <c r="K35" s="78">
        <f t="shared" si="10"/>
        <v>12676000</v>
      </c>
      <c r="L35" s="77">
        <v>0.02</v>
      </c>
      <c r="M35" s="78">
        <f t="shared" si="11"/>
        <v>6338000</v>
      </c>
      <c r="N35" s="77">
        <v>0.49</v>
      </c>
      <c r="O35" s="78">
        <f t="shared" si="12"/>
        <v>155281000</v>
      </c>
      <c r="P35" s="77">
        <v>0.28000000000000003</v>
      </c>
      <c r="Q35" s="78">
        <f t="shared" si="13"/>
        <v>88732000.000000015</v>
      </c>
      <c r="R35" s="77">
        <v>0.18</v>
      </c>
      <c r="S35" s="78">
        <f t="shared" si="14"/>
        <v>57042000</v>
      </c>
      <c r="T35" s="77">
        <v>-0.01</v>
      </c>
      <c r="U35" s="78">
        <f t="shared" si="15"/>
        <v>-3169000</v>
      </c>
      <c r="Y35" s="12">
        <f>K35-'Jun25'!K35</f>
        <v>-12908000</v>
      </c>
      <c r="Z35" s="12">
        <f>M35-'Jun25'!M35</f>
        <v>3140000</v>
      </c>
      <c r="AA35" s="12">
        <f>O35-'Jun25'!O35</f>
        <v>8173000</v>
      </c>
      <c r="AB35" s="12">
        <f>Q35-'Jun25'!Q35</f>
        <v>2386000.0000000149</v>
      </c>
      <c r="AC35" s="12">
        <f>+S35-'Jun25'!S35</f>
        <v>-522000</v>
      </c>
      <c r="AE35" s="28">
        <f>J35-'Jun25'!J35</f>
        <v>-0.04</v>
      </c>
      <c r="AF35" s="28">
        <f>L35-'Jun25'!L35</f>
        <v>0.01</v>
      </c>
      <c r="AG35" s="28">
        <f>N35-'Jun25'!N35</f>
        <v>2.9999999999999971E-2</v>
      </c>
      <c r="AH35" s="28">
        <f>P35-'Jun25'!P35</f>
        <v>1.0000000000000009E-2</v>
      </c>
      <c r="AI35" s="28">
        <f>R35-'Jun25'!R35</f>
        <v>0</v>
      </c>
      <c r="AK35" s="10">
        <f>I35-'Jun25'!I35</f>
        <v>-2900000</v>
      </c>
      <c r="AL35" s="76">
        <f>I35/'Jun25'!I35-1</f>
        <v>-9.0681676047529303E-3</v>
      </c>
    </row>
    <row r="36" spans="5:38" s="8" customFormat="1" x14ac:dyDescent="0.25">
      <c r="E36"/>
      <c r="F36" s="7">
        <f t="shared" si="3"/>
        <v>0.99999999999999978</v>
      </c>
      <c r="G36"/>
      <c r="H36" s="3" t="s">
        <v>45</v>
      </c>
      <c r="I36" s="17">
        <f>SUM(I30:I35)</f>
        <v>1341502141.5100002</v>
      </c>
      <c r="J36" s="15">
        <f>+K36/$I$36</f>
        <v>0.11529980392465811</v>
      </c>
      <c r="K36" s="17">
        <f>SUM(K30:K35)</f>
        <v>154674933.88061199</v>
      </c>
      <c r="L36" s="15">
        <f>+M36/$I$36</f>
        <v>0.16740383040076118</v>
      </c>
      <c r="M36" s="17">
        <f>SUM(M30:M35)</f>
        <v>224572596.97959802</v>
      </c>
      <c r="N36" s="15">
        <f>+O36/$I$36</f>
        <v>0.50877257454233749</v>
      </c>
      <c r="O36" s="17">
        <f>SUM(O30:O35)</f>
        <v>682519498.29010201</v>
      </c>
      <c r="P36" s="15">
        <f>+Q36/$I$36</f>
        <v>0.10047815965113702</v>
      </c>
      <c r="Q36" s="17">
        <f>SUM(Q30:Q35)</f>
        <v>134791666.346984</v>
      </c>
      <c r="R36" s="15">
        <f>+S36/$I$36</f>
        <v>8.6923092199454946E-2</v>
      </c>
      <c r="S36" s="17">
        <f>SUM(S30:S35)</f>
        <v>116607514.33224002</v>
      </c>
      <c r="T36" s="15">
        <f>+U36/$I$36</f>
        <v>2.1122539281651059E-2</v>
      </c>
      <c r="U36" s="63">
        <f>SUM(U30:U35)</f>
        <v>28335931.680464</v>
      </c>
      <c r="Y36" s="12">
        <f>K36-'Jun25'!K36</f>
        <v>-2452771.6840960085</v>
      </c>
      <c r="Z36" s="12">
        <f>M36-'Jun25'!M36</f>
        <v>79298788.45588401</v>
      </c>
      <c r="AA36" s="12">
        <f>O36-'Jun25'!O36</f>
        <v>-32086675.353603005</v>
      </c>
      <c r="AB36" s="12">
        <f>Q36-'Jun25'!Q36</f>
        <v>2723799.2128689885</v>
      </c>
      <c r="AC36" s="12">
        <f>+S36-'Jun25'!S36</f>
        <v>-5688419.5544259846</v>
      </c>
      <c r="AE36" s="28">
        <f>J36-'Jun25'!J36</f>
        <v>-2.709635328911858E-3</v>
      </c>
      <c r="AF36" s="28">
        <f>L36-'Jun25'!L36</f>
        <v>5.8297160634913234E-2</v>
      </c>
      <c r="AG36" s="28">
        <f>N36-'Jun25'!N36</f>
        <v>-2.7926370661213284E-2</v>
      </c>
      <c r="AH36" s="28">
        <f>P36-'Jun25'!P36</f>
        <v>1.2897008882512551E-3</v>
      </c>
      <c r="AI36" s="28">
        <f>R36-'Jun25'!R36</f>
        <v>-4.926238439524791E-3</v>
      </c>
      <c r="AK36" s="92">
        <f>I36-'Jun25'!I36</f>
        <v>10017926.700000286</v>
      </c>
      <c r="AL36" s="76">
        <f>I36/'Jun25'!I36-1</f>
        <v>7.5238794336212056E-3</v>
      </c>
    </row>
    <row r="37" spans="5:38" x14ac:dyDescent="0.25">
      <c r="F37" s="7"/>
    </row>
    <row r="38" spans="5:38" x14ac:dyDescent="0.25">
      <c r="F38" s="7"/>
      <c r="K38"/>
    </row>
    <row r="39" spans="5:38" x14ac:dyDescent="0.25">
      <c r="F39" s="7"/>
      <c r="J39" s="38"/>
    </row>
    <row r="40" spans="5:38" x14ac:dyDescent="0.25">
      <c r="F40" s="7"/>
      <c r="I40" s="30"/>
      <c r="J40" s="35"/>
    </row>
    <row r="41" spans="5:38" x14ac:dyDescent="0.25">
      <c r="F41" s="7"/>
      <c r="I41" s="37"/>
      <c r="J41" s="35"/>
    </row>
    <row r="42" spans="5:38" x14ac:dyDescent="0.25">
      <c r="F42" s="7"/>
      <c r="I42" s="37"/>
      <c r="J42" s="35"/>
    </row>
    <row r="43" spans="5:38" x14ac:dyDescent="0.25">
      <c r="F43" s="7"/>
      <c r="I43" s="37"/>
      <c r="J43" s="35"/>
    </row>
    <row r="44" spans="5:38" x14ac:dyDescent="0.25">
      <c r="F44" s="7"/>
      <c r="I44" s="37"/>
      <c r="J44" s="35"/>
    </row>
    <row r="45" spans="5:38" x14ac:dyDescent="0.25">
      <c r="F45" s="7"/>
      <c r="I45" s="37"/>
      <c r="J45" s="35"/>
      <c r="K45" s="37"/>
    </row>
    <row r="46" spans="5:38" x14ac:dyDescent="0.25">
      <c r="F46" s="7"/>
      <c r="I46" s="37"/>
      <c r="J46" s="35"/>
    </row>
    <row r="47" spans="5:38" x14ac:dyDescent="0.25">
      <c r="F47" s="7"/>
      <c r="I47" s="37"/>
      <c r="J47" s="35"/>
    </row>
    <row r="48" spans="5:38" x14ac:dyDescent="0.25">
      <c r="F48" s="7"/>
      <c r="I48" s="37"/>
      <c r="J48" s="35"/>
    </row>
    <row r="49" spans="9:10" x14ac:dyDescent="0.25">
      <c r="I49" s="37"/>
      <c r="J49" s="35"/>
    </row>
    <row r="50" spans="9:10" x14ac:dyDescent="0.25">
      <c r="I50" s="37"/>
      <c r="J50" s="35"/>
    </row>
    <row r="51" spans="9:10" x14ac:dyDescent="0.25">
      <c r="I51" s="37"/>
      <c r="J51" s="35"/>
    </row>
    <row r="52" spans="9:10" x14ac:dyDescent="0.25">
      <c r="I52" s="37"/>
      <c r="J52" s="35"/>
    </row>
    <row r="53" spans="9:10" x14ac:dyDescent="0.25">
      <c r="I53" s="37"/>
      <c r="J53" s="35"/>
    </row>
    <row r="54" spans="9:10" x14ac:dyDescent="0.25">
      <c r="I54" s="37"/>
      <c r="J54" s="35"/>
    </row>
    <row r="55" spans="9:10" x14ac:dyDescent="0.25">
      <c r="I55" s="37"/>
      <c r="J55" s="35"/>
    </row>
    <row r="56" spans="9:10" x14ac:dyDescent="0.25">
      <c r="I56" s="37"/>
      <c r="J56" s="35"/>
    </row>
    <row r="57" spans="9:10" x14ac:dyDescent="0.25">
      <c r="I57" s="37"/>
      <c r="J57" s="35"/>
    </row>
    <row r="58" spans="9:10" x14ac:dyDescent="0.25">
      <c r="I58" s="37"/>
      <c r="J58" s="35"/>
    </row>
    <row r="59" spans="9:10" x14ac:dyDescent="0.25">
      <c r="I59" s="37"/>
      <c r="J59" s="35"/>
    </row>
    <row r="60" spans="9:10" x14ac:dyDescent="0.25">
      <c r="I60" s="37"/>
      <c r="J60" s="35"/>
    </row>
    <row r="61" spans="9:10" x14ac:dyDescent="0.25">
      <c r="I61" s="37"/>
      <c r="J61" s="35"/>
    </row>
    <row r="62" spans="9:10" x14ac:dyDescent="0.25">
      <c r="I62" s="37"/>
      <c r="J62" s="35"/>
    </row>
    <row r="63" spans="9:10" x14ac:dyDescent="0.25">
      <c r="I63" s="37"/>
      <c r="J63" s="35"/>
    </row>
    <row r="64" spans="9:10" x14ac:dyDescent="0.25">
      <c r="I64" s="37"/>
      <c r="J64" s="35"/>
    </row>
    <row r="65" spans="9:10" x14ac:dyDescent="0.25">
      <c r="I65" s="37"/>
      <c r="J65" s="35"/>
    </row>
    <row r="66" spans="9:10" x14ac:dyDescent="0.25">
      <c r="I66" s="37"/>
      <c r="J66" s="35"/>
    </row>
    <row r="67" spans="9:10" x14ac:dyDescent="0.25">
      <c r="I67" s="37"/>
      <c r="J67" s="35"/>
    </row>
    <row r="68" spans="9:10" x14ac:dyDescent="0.25">
      <c r="I68" s="37"/>
      <c r="J68" s="35"/>
    </row>
    <row r="69" spans="9:10" x14ac:dyDescent="0.25">
      <c r="I69" s="37"/>
      <c r="J69" s="35"/>
    </row>
    <row r="70" spans="9:10" x14ac:dyDescent="0.25">
      <c r="I70" s="37"/>
      <c r="J70" s="35"/>
    </row>
    <row r="71" spans="9:10" x14ac:dyDescent="0.25">
      <c r="I71" s="37"/>
      <c r="J71" s="35"/>
    </row>
    <row r="72" spans="9:10" x14ac:dyDescent="0.25">
      <c r="I72" s="37"/>
      <c r="J72" s="35"/>
    </row>
    <row r="73" spans="9:10" x14ac:dyDescent="0.25">
      <c r="I73" s="37"/>
      <c r="J73" s="35"/>
    </row>
    <row r="74" spans="9:10" x14ac:dyDescent="0.25">
      <c r="I74" s="37"/>
      <c r="J74" s="35"/>
    </row>
    <row r="75" spans="9:10" x14ac:dyDescent="0.25">
      <c r="I75" s="37"/>
      <c r="J75" s="35"/>
    </row>
    <row r="76" spans="9:10" x14ac:dyDescent="0.25">
      <c r="I76" s="37"/>
      <c r="J76" s="35"/>
    </row>
    <row r="77" spans="9:10" x14ac:dyDescent="0.25">
      <c r="I77" s="37"/>
      <c r="J77" s="35"/>
    </row>
    <row r="78" spans="9:10" x14ac:dyDescent="0.25">
      <c r="I78" s="37"/>
      <c r="J78" s="35"/>
    </row>
    <row r="79" spans="9:10" x14ac:dyDescent="0.25">
      <c r="I79" s="37"/>
      <c r="J79" s="35"/>
    </row>
    <row r="80" spans="9:10" x14ac:dyDescent="0.25">
      <c r="I80" s="37"/>
      <c r="J80" s="35"/>
    </row>
    <row r="81" spans="9:10" x14ac:dyDescent="0.25">
      <c r="I81" s="37"/>
      <c r="J81" s="35"/>
    </row>
    <row r="82" spans="9:10" x14ac:dyDescent="0.25">
      <c r="I82" s="37"/>
      <c r="J82" s="35"/>
    </row>
    <row r="83" spans="9:10" x14ac:dyDescent="0.25">
      <c r="I83" s="37"/>
      <c r="J83" s="35"/>
    </row>
    <row r="84" spans="9:10" x14ac:dyDescent="0.25">
      <c r="I84" s="37"/>
      <c r="J84" s="35"/>
    </row>
    <row r="85" spans="9:10" x14ac:dyDescent="0.25">
      <c r="I85" s="37"/>
      <c r="J85" s="35"/>
    </row>
    <row r="86" spans="9:10" x14ac:dyDescent="0.25">
      <c r="I86" s="37"/>
      <c r="J86" s="35"/>
    </row>
    <row r="87" spans="9:10" x14ac:dyDescent="0.25">
      <c r="I87" s="37"/>
      <c r="J87" s="35"/>
    </row>
    <row r="88" spans="9:10" x14ac:dyDescent="0.25">
      <c r="I88" s="37"/>
      <c r="J88" s="35"/>
    </row>
    <row r="89" spans="9:10" x14ac:dyDescent="0.25">
      <c r="I89" s="37"/>
      <c r="J89" s="35"/>
    </row>
    <row r="90" spans="9:10" x14ac:dyDescent="0.25">
      <c r="I90" s="37"/>
      <c r="J90" s="35"/>
    </row>
    <row r="91" spans="9:10" x14ac:dyDescent="0.25">
      <c r="I91" s="37"/>
      <c r="J91" s="35"/>
    </row>
    <row r="92" spans="9:10" x14ac:dyDescent="0.25">
      <c r="I92" s="37"/>
      <c r="J92" s="35"/>
    </row>
    <row r="93" spans="9:10" x14ac:dyDescent="0.25">
      <c r="I93" s="37"/>
      <c r="J93" s="35"/>
    </row>
    <row r="94" spans="9:10" x14ac:dyDescent="0.25">
      <c r="I94" s="37"/>
      <c r="J94" s="35"/>
    </row>
    <row r="95" spans="9:10" x14ac:dyDescent="0.25">
      <c r="I95" s="37"/>
      <c r="J95" s="35"/>
    </row>
    <row r="96" spans="9:10" x14ac:dyDescent="0.25">
      <c r="I96" s="37"/>
      <c r="J96" s="35"/>
    </row>
    <row r="97" spans="9:10" x14ac:dyDescent="0.25">
      <c r="I97" s="37"/>
      <c r="J97" s="35"/>
    </row>
    <row r="98" spans="9:10" x14ac:dyDescent="0.25">
      <c r="I98" s="37"/>
      <c r="J98" s="35"/>
    </row>
    <row r="99" spans="9:10" x14ac:dyDescent="0.25">
      <c r="I99" s="37"/>
      <c r="J99" s="35"/>
    </row>
    <row r="100" spans="9:10" x14ac:dyDescent="0.25">
      <c r="I100" s="37"/>
      <c r="J100" s="35"/>
    </row>
    <row r="101" spans="9:10" x14ac:dyDescent="0.25">
      <c r="I101" s="37"/>
      <c r="J101" s="35"/>
    </row>
    <row r="102" spans="9:10" x14ac:dyDescent="0.25">
      <c r="I102" s="37"/>
      <c r="J102" s="35"/>
    </row>
    <row r="103" spans="9:10" x14ac:dyDescent="0.25">
      <c r="I103" s="37"/>
      <c r="J103" s="35"/>
    </row>
    <row r="104" spans="9:10" x14ac:dyDescent="0.25">
      <c r="I104" s="37"/>
      <c r="J104" s="35"/>
    </row>
    <row r="105" spans="9:10" x14ac:dyDescent="0.25">
      <c r="I105" s="37"/>
      <c r="J105" s="35"/>
    </row>
    <row r="106" spans="9:10" x14ac:dyDescent="0.25">
      <c r="I106" s="37"/>
      <c r="J106" s="35"/>
    </row>
    <row r="107" spans="9:10" x14ac:dyDescent="0.25">
      <c r="I107" s="37"/>
      <c r="J107" s="35"/>
    </row>
    <row r="108" spans="9:10" x14ac:dyDescent="0.25">
      <c r="I108" s="37"/>
      <c r="J108" s="35"/>
    </row>
    <row r="109" spans="9:10" x14ac:dyDescent="0.25">
      <c r="I109" s="37"/>
      <c r="J109" s="35"/>
    </row>
    <row r="110" spans="9:10" x14ac:dyDescent="0.25">
      <c r="I110" s="37"/>
      <c r="J110" s="35"/>
    </row>
    <row r="111" spans="9:10" x14ac:dyDescent="0.25">
      <c r="I111" s="37"/>
      <c r="J111" s="35"/>
    </row>
    <row r="112" spans="9:10" x14ac:dyDescent="0.25">
      <c r="I112" s="37"/>
      <c r="J112" s="35"/>
    </row>
    <row r="113" spans="9:10" x14ac:dyDescent="0.25">
      <c r="I113" s="37"/>
      <c r="J113" s="35"/>
    </row>
    <row r="114" spans="9:10" x14ac:dyDescent="0.25">
      <c r="I114" s="37"/>
      <c r="J114" s="35"/>
    </row>
    <row r="115" spans="9:10" x14ac:dyDescent="0.25">
      <c r="I115" s="37"/>
      <c r="J115" s="35"/>
    </row>
    <row r="116" spans="9:10" x14ac:dyDescent="0.25">
      <c r="I116" s="37"/>
      <c r="J116" s="35"/>
    </row>
    <row r="117" spans="9:10" x14ac:dyDescent="0.25">
      <c r="I117" s="37"/>
      <c r="J117" s="35"/>
    </row>
    <row r="118" spans="9:10" x14ac:dyDescent="0.25">
      <c r="I118" s="37"/>
      <c r="J118" s="35"/>
    </row>
    <row r="119" spans="9:10" x14ac:dyDescent="0.25">
      <c r="I119" s="37"/>
      <c r="J119" s="35"/>
    </row>
    <row r="120" spans="9:10" x14ac:dyDescent="0.25">
      <c r="I120" s="37"/>
      <c r="J120" s="35"/>
    </row>
    <row r="121" spans="9:10" x14ac:dyDescent="0.25">
      <c r="I121" s="37"/>
      <c r="J121" s="35"/>
    </row>
    <row r="122" spans="9:10" x14ac:dyDescent="0.25">
      <c r="I122" s="37"/>
      <c r="J122" s="35"/>
    </row>
    <row r="123" spans="9:10" x14ac:dyDescent="0.25">
      <c r="I123" s="37"/>
      <c r="J123" s="35"/>
    </row>
    <row r="124" spans="9:10" x14ac:dyDescent="0.25">
      <c r="I124" s="37"/>
      <c r="J124" s="35"/>
    </row>
    <row r="125" spans="9:10" x14ac:dyDescent="0.25">
      <c r="I125" s="37"/>
      <c r="J125" s="35"/>
    </row>
    <row r="126" spans="9:10" x14ac:dyDescent="0.25">
      <c r="I126" s="37"/>
      <c r="J126" s="35"/>
    </row>
    <row r="127" spans="9:10" x14ac:dyDescent="0.25">
      <c r="I127" s="37"/>
      <c r="J127" s="35"/>
    </row>
    <row r="128" spans="9:10" x14ac:dyDescent="0.25">
      <c r="I128" s="37"/>
      <c r="J128" s="35"/>
    </row>
    <row r="129" spans="9:10" x14ac:dyDescent="0.25">
      <c r="I129" s="37"/>
      <c r="J129" s="35"/>
    </row>
    <row r="130" spans="9:10" x14ac:dyDescent="0.25">
      <c r="I130" s="37"/>
      <c r="J130" s="35"/>
    </row>
    <row r="131" spans="9:10" x14ac:dyDescent="0.25">
      <c r="I131" s="37"/>
      <c r="J131" s="35"/>
    </row>
    <row r="132" spans="9:10" x14ac:dyDescent="0.25">
      <c r="I132" s="37"/>
      <c r="J132" s="35"/>
    </row>
    <row r="133" spans="9:10" x14ac:dyDescent="0.25">
      <c r="I133" s="37"/>
      <c r="J133" s="35"/>
    </row>
    <row r="134" spans="9:10" x14ac:dyDescent="0.25">
      <c r="I134" s="37"/>
      <c r="J134" s="35"/>
    </row>
    <row r="135" spans="9:10" x14ac:dyDescent="0.25">
      <c r="I135" s="37"/>
      <c r="J135" s="35"/>
    </row>
    <row r="136" spans="9:10" x14ac:dyDescent="0.25">
      <c r="I136" s="37"/>
      <c r="J136" s="35"/>
    </row>
    <row r="137" spans="9:10" x14ac:dyDescent="0.25">
      <c r="I137" s="37"/>
      <c r="J137" s="35"/>
    </row>
    <row r="138" spans="9:10" x14ac:dyDescent="0.25">
      <c r="I138" s="37"/>
      <c r="J138" s="35"/>
    </row>
    <row r="139" spans="9:10" x14ac:dyDescent="0.25">
      <c r="I139" s="37"/>
      <c r="J139" s="35"/>
    </row>
    <row r="140" spans="9:10" x14ac:dyDescent="0.25">
      <c r="I140" s="37"/>
      <c r="J140" s="35"/>
    </row>
    <row r="141" spans="9:10" x14ac:dyDescent="0.25">
      <c r="I141" s="37"/>
      <c r="J141" s="35"/>
    </row>
    <row r="142" spans="9:10" x14ac:dyDescent="0.25">
      <c r="I142" s="37"/>
      <c r="J142" s="35"/>
    </row>
    <row r="143" spans="9:10" x14ac:dyDescent="0.25">
      <c r="I143" s="37"/>
      <c r="J143" s="35"/>
    </row>
    <row r="144" spans="9:10" x14ac:dyDescent="0.25">
      <c r="I144" s="37"/>
      <c r="J144" s="35"/>
    </row>
    <row r="145" spans="9:10" x14ac:dyDescent="0.25">
      <c r="I145" s="37"/>
      <c r="J145" s="35"/>
    </row>
    <row r="146" spans="9:10" x14ac:dyDescent="0.25">
      <c r="I146" s="37"/>
      <c r="J146" s="35"/>
    </row>
    <row r="147" spans="9:10" x14ac:dyDescent="0.25">
      <c r="I147" s="37"/>
      <c r="J147" s="35"/>
    </row>
    <row r="148" spans="9:10" x14ac:dyDescent="0.25">
      <c r="I148" s="37"/>
      <c r="J148" s="35"/>
    </row>
    <row r="149" spans="9:10" x14ac:dyDescent="0.25">
      <c r="I149" s="37"/>
      <c r="J149" s="35"/>
    </row>
    <row r="150" spans="9:10" x14ac:dyDescent="0.25">
      <c r="I150" s="37"/>
      <c r="J150" s="35"/>
    </row>
    <row r="151" spans="9:10" x14ac:dyDescent="0.25">
      <c r="I151" s="37"/>
      <c r="J151" s="35"/>
    </row>
    <row r="152" spans="9:10" x14ac:dyDescent="0.25">
      <c r="I152" s="37"/>
      <c r="J152" s="35"/>
    </row>
    <row r="153" spans="9:10" x14ac:dyDescent="0.25">
      <c r="I153" s="37"/>
      <c r="J153" s="35"/>
    </row>
    <row r="154" spans="9:10" x14ac:dyDescent="0.25">
      <c r="I154" s="37"/>
      <c r="J154" s="35"/>
    </row>
    <row r="155" spans="9:10" x14ac:dyDescent="0.25">
      <c r="I155" s="37"/>
      <c r="J155" s="35"/>
    </row>
    <row r="156" spans="9:10" x14ac:dyDescent="0.25">
      <c r="I156" s="37"/>
      <c r="J156" s="35"/>
    </row>
    <row r="157" spans="9:10" x14ac:dyDescent="0.25">
      <c r="I157" s="37"/>
      <c r="J157" s="35"/>
    </row>
    <row r="158" spans="9:10" x14ac:dyDescent="0.25">
      <c r="I158" s="37"/>
      <c r="J158" s="35"/>
    </row>
    <row r="159" spans="9:10" x14ac:dyDescent="0.25">
      <c r="I159" s="37"/>
      <c r="J159" s="35"/>
    </row>
    <row r="160" spans="9:10" x14ac:dyDescent="0.25">
      <c r="I160" s="37"/>
      <c r="J160" s="35"/>
    </row>
    <row r="161" spans="9:10" x14ac:dyDescent="0.25">
      <c r="I161" s="37"/>
      <c r="J161" s="35"/>
    </row>
    <row r="162" spans="9:10" x14ac:dyDescent="0.25">
      <c r="I162" s="37"/>
      <c r="J162" s="35"/>
    </row>
    <row r="163" spans="9:10" x14ac:dyDescent="0.25">
      <c r="I163" s="37"/>
      <c r="J163" s="35"/>
    </row>
    <row r="164" spans="9:10" x14ac:dyDescent="0.25">
      <c r="I164" s="37"/>
      <c r="J164" s="35"/>
    </row>
    <row r="165" spans="9:10" x14ac:dyDescent="0.25">
      <c r="I165" s="37"/>
      <c r="J165" s="35"/>
    </row>
    <row r="166" spans="9:10" x14ac:dyDescent="0.25">
      <c r="I166" s="37"/>
      <c r="J166" s="35"/>
    </row>
    <row r="167" spans="9:10" x14ac:dyDescent="0.25">
      <c r="I167" s="37"/>
      <c r="J167" s="35"/>
    </row>
    <row r="168" spans="9:10" x14ac:dyDescent="0.25">
      <c r="I168" s="37"/>
      <c r="J168" s="35"/>
    </row>
    <row r="169" spans="9:10" x14ac:dyDescent="0.25">
      <c r="I169" s="37"/>
      <c r="J169" s="35"/>
    </row>
    <row r="170" spans="9:10" x14ac:dyDescent="0.25">
      <c r="I170" s="37"/>
      <c r="J170" s="35"/>
    </row>
    <row r="171" spans="9:10" x14ac:dyDescent="0.25">
      <c r="I171" s="37"/>
      <c r="J171" s="35"/>
    </row>
    <row r="172" spans="9:10" x14ac:dyDescent="0.25">
      <c r="I172" s="37"/>
      <c r="J172" s="35"/>
    </row>
    <row r="173" spans="9:10" x14ac:dyDescent="0.25">
      <c r="I173" s="37"/>
      <c r="J173" s="35"/>
    </row>
    <row r="174" spans="9:10" x14ac:dyDescent="0.25">
      <c r="I174" s="37"/>
      <c r="J174" s="35"/>
    </row>
    <row r="175" spans="9:10" x14ac:dyDescent="0.25">
      <c r="I175" s="37"/>
      <c r="J175" s="35"/>
    </row>
    <row r="176" spans="9:10" x14ac:dyDescent="0.25">
      <c r="I176" s="37"/>
      <c r="J176" s="35"/>
    </row>
    <row r="177" spans="9:10" x14ac:dyDescent="0.25">
      <c r="I177" s="37"/>
      <c r="J177" s="35"/>
    </row>
    <row r="178" spans="9:10" x14ac:dyDescent="0.25">
      <c r="I178" s="37"/>
      <c r="J178" s="35"/>
    </row>
    <row r="179" spans="9:10" x14ac:dyDescent="0.25">
      <c r="I179" s="37"/>
      <c r="J179" s="35"/>
    </row>
    <row r="180" spans="9:10" x14ac:dyDescent="0.25">
      <c r="I180" s="37"/>
      <c r="J180" s="35"/>
    </row>
    <row r="181" spans="9:10" x14ac:dyDescent="0.25">
      <c r="I181" s="37"/>
      <c r="J181" s="35"/>
    </row>
    <row r="182" spans="9:10" x14ac:dyDescent="0.25">
      <c r="I182" s="37"/>
      <c r="J182" s="35"/>
    </row>
    <row r="183" spans="9:10" x14ac:dyDescent="0.25">
      <c r="I183" s="37"/>
      <c r="J183" s="35"/>
    </row>
    <row r="184" spans="9:10" x14ac:dyDescent="0.25">
      <c r="I184" s="37"/>
      <c r="J184" s="35"/>
    </row>
    <row r="185" spans="9:10" x14ac:dyDescent="0.25">
      <c r="I185" s="37"/>
      <c r="J185" s="35"/>
    </row>
    <row r="186" spans="9:10" x14ac:dyDescent="0.25">
      <c r="I186" s="37"/>
      <c r="J186" s="35"/>
    </row>
    <row r="187" spans="9:10" x14ac:dyDescent="0.25">
      <c r="I187" s="37"/>
      <c r="J187" s="35"/>
    </row>
    <row r="188" spans="9:10" x14ac:dyDescent="0.25">
      <c r="I188" s="37"/>
      <c r="J188" s="35"/>
    </row>
    <row r="189" spans="9:10" x14ac:dyDescent="0.25">
      <c r="I189" s="37"/>
      <c r="J189" s="35"/>
    </row>
    <row r="190" spans="9:10" x14ac:dyDescent="0.25">
      <c r="I190" s="37"/>
      <c r="J190" s="35"/>
    </row>
    <row r="191" spans="9:10" x14ac:dyDescent="0.25">
      <c r="I191" s="37"/>
      <c r="J191" s="35"/>
    </row>
    <row r="192" spans="9:10" x14ac:dyDescent="0.25">
      <c r="I192" s="37"/>
      <c r="J192" s="35"/>
    </row>
    <row r="193" spans="9:10" x14ac:dyDescent="0.25">
      <c r="I193" s="37"/>
      <c r="J193" s="35"/>
    </row>
    <row r="194" spans="9:10" x14ac:dyDescent="0.25">
      <c r="I194" s="37"/>
      <c r="J194" s="35"/>
    </row>
    <row r="195" spans="9:10" x14ac:dyDescent="0.25">
      <c r="I195" s="37"/>
      <c r="J195" s="35"/>
    </row>
    <row r="196" spans="9:10" x14ac:dyDescent="0.25">
      <c r="I196" s="37"/>
      <c r="J196" s="35"/>
    </row>
    <row r="197" spans="9:10" x14ac:dyDescent="0.25">
      <c r="I197" s="37"/>
      <c r="J197" s="35"/>
    </row>
    <row r="198" spans="9:10" x14ac:dyDescent="0.25">
      <c r="I198" s="37"/>
      <c r="J198" s="35"/>
    </row>
    <row r="199" spans="9:10" x14ac:dyDescent="0.25">
      <c r="I199" s="37"/>
      <c r="J199" s="35"/>
    </row>
    <row r="200" spans="9:10" x14ac:dyDescent="0.25">
      <c r="I200" s="37"/>
      <c r="J200" s="35"/>
    </row>
    <row r="201" spans="9:10" x14ac:dyDescent="0.25">
      <c r="I201" s="37"/>
      <c r="J201" s="35"/>
    </row>
    <row r="202" spans="9:10" x14ac:dyDescent="0.25">
      <c r="I202" s="37"/>
      <c r="J202" s="35"/>
    </row>
    <row r="203" spans="9:10" x14ac:dyDescent="0.25">
      <c r="I203" s="37"/>
      <c r="J203" s="35"/>
    </row>
    <row r="204" spans="9:10" x14ac:dyDescent="0.25">
      <c r="I204" s="37"/>
      <c r="J204" s="35"/>
    </row>
    <row r="205" spans="9:10" x14ac:dyDescent="0.25">
      <c r="I205" s="37"/>
      <c r="J205" s="35"/>
    </row>
    <row r="206" spans="9:10" x14ac:dyDescent="0.25">
      <c r="I206" s="37"/>
      <c r="J206" s="35"/>
    </row>
    <row r="207" spans="9:10" x14ac:dyDescent="0.25">
      <c r="I207" s="37"/>
      <c r="J207" s="35"/>
    </row>
    <row r="208" spans="9:10" x14ac:dyDescent="0.25">
      <c r="I208" s="37"/>
      <c r="J208" s="35"/>
    </row>
    <row r="209" spans="9:10" x14ac:dyDescent="0.25">
      <c r="I209" s="37"/>
      <c r="J209" s="35"/>
    </row>
    <row r="210" spans="9:10" x14ac:dyDescent="0.25">
      <c r="I210" s="37"/>
      <c r="J210" s="35"/>
    </row>
    <row r="211" spans="9:10" x14ac:dyDescent="0.25">
      <c r="I211" s="37"/>
      <c r="J211" s="35"/>
    </row>
    <row r="212" spans="9:10" x14ac:dyDescent="0.25">
      <c r="I212" s="37"/>
      <c r="J212" s="35"/>
    </row>
    <row r="213" spans="9:10" x14ac:dyDescent="0.25">
      <c r="I213" s="37"/>
      <c r="J213" s="35"/>
    </row>
    <row r="214" spans="9:10" x14ac:dyDescent="0.25">
      <c r="I214" s="37"/>
      <c r="J214" s="35"/>
    </row>
    <row r="215" spans="9:10" x14ac:dyDescent="0.25">
      <c r="I215" s="37"/>
      <c r="J215" s="35"/>
    </row>
    <row r="216" spans="9:10" x14ac:dyDescent="0.25">
      <c r="I216" s="37"/>
      <c r="J216" s="35"/>
    </row>
    <row r="217" spans="9:10" x14ac:dyDescent="0.25">
      <c r="I217" s="37"/>
      <c r="J217" s="35"/>
    </row>
    <row r="218" spans="9:10" x14ac:dyDescent="0.25">
      <c r="I218" s="37"/>
      <c r="J218" s="35"/>
    </row>
    <row r="219" spans="9:10" x14ac:dyDescent="0.25">
      <c r="I219" s="37"/>
      <c r="J219" s="35"/>
    </row>
    <row r="220" spans="9:10" x14ac:dyDescent="0.25">
      <c r="I220" s="37"/>
      <c r="J220" s="35"/>
    </row>
    <row r="221" spans="9:10" x14ac:dyDescent="0.25">
      <c r="I221" s="37"/>
      <c r="J221" s="35"/>
    </row>
    <row r="222" spans="9:10" x14ac:dyDescent="0.25">
      <c r="I222" s="37"/>
      <c r="J222" s="35"/>
    </row>
    <row r="223" spans="9:10" x14ac:dyDescent="0.25">
      <c r="I223" s="37"/>
      <c r="J223" s="35"/>
    </row>
    <row r="224" spans="9:10" x14ac:dyDescent="0.25">
      <c r="I224" s="37"/>
      <c r="J224" s="35"/>
    </row>
    <row r="225" spans="9:10" x14ac:dyDescent="0.25">
      <c r="I225" s="37"/>
      <c r="J225" s="35"/>
    </row>
    <row r="226" spans="9:10" x14ac:dyDescent="0.25">
      <c r="I226" s="37"/>
      <c r="J226" s="35"/>
    </row>
    <row r="227" spans="9:10" x14ac:dyDescent="0.25">
      <c r="I227" s="37"/>
      <c r="J227" s="35"/>
    </row>
    <row r="228" spans="9:10" x14ac:dyDescent="0.25">
      <c r="I228" s="37"/>
      <c r="J228" s="35"/>
    </row>
    <row r="229" spans="9:10" x14ac:dyDescent="0.25">
      <c r="I229" s="37"/>
      <c r="J229" s="35"/>
    </row>
    <row r="230" spans="9:10" x14ac:dyDescent="0.25">
      <c r="I230" s="37"/>
      <c r="J230" s="35"/>
    </row>
    <row r="231" spans="9:10" x14ac:dyDescent="0.25">
      <c r="I231" s="37"/>
      <c r="J231" s="35"/>
    </row>
    <row r="232" spans="9:10" x14ac:dyDescent="0.25">
      <c r="I232" s="37"/>
      <c r="J232" s="35"/>
    </row>
    <row r="233" spans="9:10" x14ac:dyDescent="0.25">
      <c r="I233" s="37"/>
      <c r="J233" s="35"/>
    </row>
    <row r="234" spans="9:10" x14ac:dyDescent="0.25">
      <c r="I234" s="37"/>
      <c r="J234" s="35"/>
    </row>
    <row r="235" spans="9:10" x14ac:dyDescent="0.25">
      <c r="I235" s="37"/>
      <c r="J235" s="35"/>
    </row>
    <row r="236" spans="9:10" x14ac:dyDescent="0.25">
      <c r="I236" s="37"/>
      <c r="J236" s="35"/>
    </row>
    <row r="237" spans="9:10" x14ac:dyDescent="0.25">
      <c r="I237" s="37"/>
      <c r="J237" s="35"/>
    </row>
    <row r="238" spans="9:10" x14ac:dyDescent="0.25">
      <c r="I238" s="37"/>
      <c r="J238" s="35"/>
    </row>
    <row r="239" spans="9:10" x14ac:dyDescent="0.25">
      <c r="I239" s="37"/>
      <c r="J239" s="35"/>
    </row>
    <row r="240" spans="9:10" x14ac:dyDescent="0.25">
      <c r="I240" s="37"/>
      <c r="J240" s="35"/>
    </row>
    <row r="241" spans="9:10" x14ac:dyDescent="0.25">
      <c r="I241" s="37"/>
      <c r="J241" s="35"/>
    </row>
    <row r="242" spans="9:10" x14ac:dyDescent="0.25">
      <c r="I242" s="37"/>
      <c r="J242" s="35"/>
    </row>
    <row r="243" spans="9:10" x14ac:dyDescent="0.25">
      <c r="I243" s="37"/>
      <c r="J243" s="35"/>
    </row>
    <row r="244" spans="9:10" x14ac:dyDescent="0.25">
      <c r="I244" s="37"/>
      <c r="J244" s="35"/>
    </row>
    <row r="245" spans="9:10" x14ac:dyDescent="0.25">
      <c r="I245" s="37"/>
      <c r="J245" s="35"/>
    </row>
    <row r="246" spans="9:10" x14ac:dyDescent="0.25">
      <c r="I246" s="37"/>
      <c r="J246" s="35"/>
    </row>
    <row r="247" spans="9:10" x14ac:dyDescent="0.25">
      <c r="I247" s="37"/>
      <c r="J247" s="35"/>
    </row>
    <row r="248" spans="9:10" x14ac:dyDescent="0.25">
      <c r="I248" s="37"/>
      <c r="J248" s="35"/>
    </row>
    <row r="249" spans="9:10" x14ac:dyDescent="0.25">
      <c r="I249" s="37"/>
      <c r="J249" s="35"/>
    </row>
    <row r="250" spans="9:10" x14ac:dyDescent="0.25">
      <c r="I250" s="37"/>
      <c r="J250" s="35"/>
    </row>
    <row r="251" spans="9:10" x14ac:dyDescent="0.25">
      <c r="I251" s="37"/>
      <c r="J251" s="35"/>
    </row>
    <row r="252" spans="9:10" x14ac:dyDescent="0.25">
      <c r="I252" s="37"/>
      <c r="J252" s="35"/>
    </row>
    <row r="253" spans="9:10" x14ac:dyDescent="0.25">
      <c r="I253" s="37"/>
      <c r="J253" s="35"/>
    </row>
    <row r="254" spans="9:10" x14ac:dyDescent="0.25">
      <c r="I254" s="37"/>
      <c r="J254" s="35"/>
    </row>
    <row r="255" spans="9:10" x14ac:dyDescent="0.25">
      <c r="I255" s="37"/>
      <c r="J255" s="35"/>
    </row>
    <row r="256" spans="9:10" x14ac:dyDescent="0.25">
      <c r="I256" s="37"/>
      <c r="J256" s="35"/>
    </row>
    <row r="257" spans="9:10" x14ac:dyDescent="0.25">
      <c r="I257" s="37"/>
      <c r="J257" s="35"/>
    </row>
    <row r="258" spans="9:10" x14ac:dyDescent="0.25">
      <c r="I258" s="37"/>
      <c r="J258" s="35"/>
    </row>
    <row r="259" spans="9:10" x14ac:dyDescent="0.25">
      <c r="I259" s="37"/>
      <c r="J259" s="35"/>
    </row>
    <row r="260" spans="9:10" x14ac:dyDescent="0.25">
      <c r="I260" s="37"/>
      <c r="J260" s="35"/>
    </row>
    <row r="261" spans="9:10" x14ac:dyDescent="0.25">
      <c r="I261" s="37"/>
      <c r="J261" s="35"/>
    </row>
    <row r="262" spans="9:10" x14ac:dyDescent="0.25">
      <c r="I262" s="37"/>
      <c r="J262" s="35"/>
    </row>
    <row r="263" spans="9:10" x14ac:dyDescent="0.25">
      <c r="I263" s="37"/>
      <c r="J263" s="35"/>
    </row>
    <row r="264" spans="9:10" x14ac:dyDescent="0.25">
      <c r="I264" s="37"/>
      <c r="J264" s="35"/>
    </row>
    <row r="265" spans="9:10" x14ac:dyDescent="0.25">
      <c r="I265" s="37"/>
      <c r="J265" s="35"/>
    </row>
    <row r="266" spans="9:10" x14ac:dyDescent="0.25">
      <c r="I266" s="37"/>
      <c r="J266" s="35"/>
    </row>
    <row r="267" spans="9:10" x14ac:dyDescent="0.25">
      <c r="I267" s="37"/>
      <c r="J267" s="35"/>
    </row>
    <row r="268" spans="9:10" x14ac:dyDescent="0.25">
      <c r="I268" s="37"/>
      <c r="J268" s="35"/>
    </row>
    <row r="269" spans="9:10" x14ac:dyDescent="0.25">
      <c r="I269" s="37"/>
      <c r="J269" s="35"/>
    </row>
    <row r="270" spans="9:10" x14ac:dyDescent="0.25">
      <c r="I270" s="37"/>
      <c r="J270" s="35"/>
    </row>
    <row r="271" spans="9:10" x14ac:dyDescent="0.25">
      <c r="I271" s="37"/>
      <c r="J271" s="35"/>
    </row>
    <row r="272" spans="9:10" x14ac:dyDescent="0.25">
      <c r="I272" s="37"/>
      <c r="J272" s="35"/>
    </row>
    <row r="273" spans="9:10" x14ac:dyDescent="0.25">
      <c r="I273" s="37"/>
      <c r="J273" s="35"/>
    </row>
    <row r="274" spans="9:10" x14ac:dyDescent="0.25">
      <c r="I274" s="37"/>
      <c r="J274" s="35"/>
    </row>
    <row r="275" spans="9:10" x14ac:dyDescent="0.25">
      <c r="I275" s="37"/>
      <c r="J275" s="35"/>
    </row>
    <row r="276" spans="9:10" x14ac:dyDescent="0.25">
      <c r="I276" s="37"/>
      <c r="J276" s="35"/>
    </row>
    <row r="277" spans="9:10" x14ac:dyDescent="0.25">
      <c r="I277" s="37"/>
      <c r="J277" s="35"/>
    </row>
    <row r="278" spans="9:10" x14ac:dyDescent="0.25">
      <c r="I278" s="37"/>
      <c r="J278" s="35"/>
    </row>
    <row r="279" spans="9:10" x14ac:dyDescent="0.25">
      <c r="I279" s="37"/>
      <c r="J279" s="35"/>
    </row>
    <row r="280" spans="9:10" x14ac:dyDescent="0.25">
      <c r="I280" s="37"/>
      <c r="J280" s="35"/>
    </row>
    <row r="281" spans="9:10" x14ac:dyDescent="0.25">
      <c r="I281" s="37"/>
      <c r="J281" s="35"/>
    </row>
    <row r="282" spans="9:10" x14ac:dyDescent="0.25">
      <c r="I282" s="37"/>
      <c r="J282" s="35"/>
    </row>
    <row r="283" spans="9:10" x14ac:dyDescent="0.25">
      <c r="I283" s="37"/>
      <c r="J283" s="35"/>
    </row>
    <row r="284" spans="9:10" x14ac:dyDescent="0.25">
      <c r="I284" s="37"/>
      <c r="J284" s="35"/>
    </row>
    <row r="285" spans="9:10" x14ac:dyDescent="0.25">
      <c r="I285" s="37"/>
      <c r="J285" s="35"/>
    </row>
    <row r="286" spans="9:10" x14ac:dyDescent="0.25">
      <c r="I286" s="37"/>
      <c r="J286" s="35"/>
    </row>
    <row r="287" spans="9:10" x14ac:dyDescent="0.25">
      <c r="I287" s="37"/>
      <c r="J287" s="35"/>
    </row>
    <row r="288" spans="9:10" x14ac:dyDescent="0.25">
      <c r="I288" s="37"/>
      <c r="J288" s="35"/>
    </row>
    <row r="289" spans="9:10" x14ac:dyDescent="0.25">
      <c r="I289" s="37"/>
      <c r="J289" s="35"/>
    </row>
    <row r="290" spans="9:10" x14ac:dyDescent="0.25">
      <c r="I290" s="37"/>
      <c r="J290" s="35"/>
    </row>
    <row r="291" spans="9:10" x14ac:dyDescent="0.25">
      <c r="I291" s="37"/>
      <c r="J291" s="35"/>
    </row>
    <row r="292" spans="9:10" x14ac:dyDescent="0.25">
      <c r="I292" s="37"/>
      <c r="J292" s="35"/>
    </row>
    <row r="293" spans="9:10" x14ac:dyDescent="0.25">
      <c r="I293" s="37"/>
      <c r="J293" s="35"/>
    </row>
    <row r="294" spans="9:10" x14ac:dyDescent="0.25">
      <c r="I294" s="37"/>
      <c r="J294" s="35"/>
    </row>
    <row r="295" spans="9:10" x14ac:dyDescent="0.25">
      <c r="I295" s="37"/>
      <c r="J295" s="35"/>
    </row>
    <row r="296" spans="9:10" x14ac:dyDescent="0.25">
      <c r="I296" s="37"/>
      <c r="J296" s="35"/>
    </row>
    <row r="297" spans="9:10" x14ac:dyDescent="0.25">
      <c r="I297" s="37"/>
      <c r="J297" s="35"/>
    </row>
    <row r="298" spans="9:10" x14ac:dyDescent="0.25">
      <c r="I298" s="37"/>
      <c r="J298" s="35"/>
    </row>
    <row r="299" spans="9:10" x14ac:dyDescent="0.25">
      <c r="I299" s="37"/>
      <c r="J299" s="35"/>
    </row>
    <row r="300" spans="9:10" x14ac:dyDescent="0.25">
      <c r="I300" s="37"/>
      <c r="J300" s="35"/>
    </row>
    <row r="301" spans="9:10" x14ac:dyDescent="0.25">
      <c r="I301" s="37"/>
      <c r="J301" s="35"/>
    </row>
    <row r="302" spans="9:10" x14ac:dyDescent="0.25">
      <c r="I302" s="37"/>
      <c r="J302" s="35"/>
    </row>
    <row r="303" spans="9:10" x14ac:dyDescent="0.25">
      <c r="I303" s="37"/>
      <c r="J303" s="35"/>
    </row>
    <row r="304" spans="9:10" x14ac:dyDescent="0.25">
      <c r="I304" s="37"/>
      <c r="J304" s="35"/>
    </row>
    <row r="305" spans="9:12" x14ac:dyDescent="0.25">
      <c r="I305" s="37"/>
      <c r="J305" s="35"/>
    </row>
    <row r="306" spans="9:12" x14ac:dyDescent="0.25">
      <c r="I306" s="37"/>
      <c r="J306" s="35"/>
    </row>
    <row r="307" spans="9:12" x14ac:dyDescent="0.25">
      <c r="I307" s="37"/>
      <c r="J307" s="35"/>
    </row>
    <row r="308" spans="9:12" x14ac:dyDescent="0.25">
      <c r="I308" s="37"/>
      <c r="J308" s="35"/>
    </row>
    <row r="309" spans="9:12" x14ac:dyDescent="0.25">
      <c r="I309" s="37"/>
      <c r="J309" s="35"/>
    </row>
    <row r="310" spans="9:12" x14ac:dyDescent="0.25">
      <c r="I310" s="37"/>
      <c r="J310" s="35"/>
    </row>
    <row r="311" spans="9:12" x14ac:dyDescent="0.25">
      <c r="I311" s="37"/>
      <c r="J311" s="35"/>
    </row>
    <row r="312" spans="9:12" x14ac:dyDescent="0.25">
      <c r="I312" s="37"/>
      <c r="J312" s="35"/>
      <c r="L312" s="36"/>
    </row>
    <row r="313" spans="9:12" x14ac:dyDescent="0.25">
      <c r="I313" s="37"/>
      <c r="J313" s="35"/>
    </row>
    <row r="314" spans="9:12" x14ac:dyDescent="0.25">
      <c r="I314" s="37"/>
      <c r="J314" s="35"/>
    </row>
    <row r="315" spans="9:12" x14ac:dyDescent="0.25">
      <c r="I315" s="37"/>
      <c r="J315" s="35"/>
    </row>
    <row r="316" spans="9:12" x14ac:dyDescent="0.25">
      <c r="I316" s="37"/>
      <c r="J316" s="35"/>
    </row>
    <row r="317" spans="9:12" x14ac:dyDescent="0.25">
      <c r="I317" s="37"/>
      <c r="J317" s="35"/>
    </row>
    <row r="318" spans="9:12" x14ac:dyDescent="0.25">
      <c r="I318" s="37"/>
      <c r="J318" s="35"/>
    </row>
    <row r="319" spans="9:12" x14ac:dyDescent="0.25">
      <c r="I319" s="37"/>
      <c r="J319" s="35"/>
    </row>
    <row r="320" spans="9:12" x14ac:dyDescent="0.25">
      <c r="I320" s="37"/>
      <c r="J320" s="35"/>
    </row>
    <row r="321" spans="9:10" x14ac:dyDescent="0.25">
      <c r="I321" s="37"/>
      <c r="J321" s="35"/>
    </row>
    <row r="322" spans="9:10" x14ac:dyDescent="0.25">
      <c r="I322" s="37"/>
      <c r="J322" s="35"/>
    </row>
    <row r="323" spans="9:10" x14ac:dyDescent="0.25">
      <c r="I323" s="37"/>
      <c r="J323" s="35"/>
    </row>
    <row r="324" spans="9:10" x14ac:dyDescent="0.25">
      <c r="I324" s="37"/>
      <c r="J324" s="35"/>
    </row>
    <row r="325" spans="9:10" x14ac:dyDescent="0.25">
      <c r="I325" s="37"/>
      <c r="J325" s="35"/>
    </row>
    <row r="326" spans="9:10" x14ac:dyDescent="0.25">
      <c r="I326" s="37"/>
      <c r="J326" s="35"/>
    </row>
    <row r="327" spans="9:10" x14ac:dyDescent="0.25">
      <c r="I327" s="37"/>
      <c r="J327" s="35"/>
    </row>
    <row r="328" spans="9:10" x14ac:dyDescent="0.25">
      <c r="I328" s="37"/>
      <c r="J328" s="35"/>
    </row>
    <row r="329" spans="9:10" x14ac:dyDescent="0.25">
      <c r="I329" s="37"/>
      <c r="J329" s="35"/>
    </row>
    <row r="330" spans="9:10" x14ac:dyDescent="0.25">
      <c r="I330" s="37"/>
      <c r="J330" s="35"/>
    </row>
    <row r="331" spans="9:10" x14ac:dyDescent="0.25">
      <c r="I331" s="37"/>
      <c r="J331" s="35"/>
    </row>
    <row r="332" spans="9:10" x14ac:dyDescent="0.25">
      <c r="I332" s="37"/>
      <c r="J332" s="35"/>
    </row>
    <row r="333" spans="9:10" x14ac:dyDescent="0.25">
      <c r="I333" s="37"/>
      <c r="J333" s="35"/>
    </row>
    <row r="334" spans="9:10" x14ac:dyDescent="0.25">
      <c r="I334" s="37"/>
      <c r="J334" s="35"/>
    </row>
    <row r="335" spans="9:10" x14ac:dyDescent="0.25">
      <c r="I335" s="37"/>
      <c r="J335" s="35"/>
    </row>
    <row r="336" spans="9:10" x14ac:dyDescent="0.25">
      <c r="I336" s="37"/>
      <c r="J336" s="35"/>
    </row>
    <row r="337" spans="9:10" x14ac:dyDescent="0.25">
      <c r="I337" s="37"/>
      <c r="J337" s="35"/>
    </row>
    <row r="338" spans="9:10" x14ac:dyDescent="0.25">
      <c r="I338" s="37"/>
      <c r="J338" s="35"/>
    </row>
    <row r="339" spans="9:10" x14ac:dyDescent="0.25">
      <c r="I339" s="37"/>
      <c r="J339" s="35"/>
    </row>
    <row r="340" spans="9:10" x14ac:dyDescent="0.25">
      <c r="I340" s="37"/>
      <c r="J340" s="35"/>
    </row>
    <row r="341" spans="9:10" x14ac:dyDescent="0.25">
      <c r="I341" s="37"/>
      <c r="J341" s="35"/>
    </row>
    <row r="342" spans="9:10" x14ac:dyDescent="0.25">
      <c r="I342" s="37"/>
      <c r="J342" s="35"/>
    </row>
    <row r="343" spans="9:10" x14ac:dyDescent="0.25">
      <c r="I343" s="37"/>
      <c r="J343" s="35"/>
    </row>
    <row r="344" spans="9:10" x14ac:dyDescent="0.25">
      <c r="I344" s="37"/>
      <c r="J344" s="35"/>
    </row>
    <row r="345" spans="9:10" x14ac:dyDescent="0.25">
      <c r="I345" s="37"/>
      <c r="J345" s="35"/>
    </row>
    <row r="346" spans="9:10" x14ac:dyDescent="0.25">
      <c r="I346" s="37"/>
      <c r="J346" s="35"/>
    </row>
    <row r="347" spans="9:10" x14ac:dyDescent="0.25">
      <c r="I347" s="37"/>
      <c r="J347" s="35"/>
    </row>
    <row r="348" spans="9:10" x14ac:dyDescent="0.25">
      <c r="I348" s="37"/>
      <c r="J348" s="35"/>
    </row>
    <row r="349" spans="9:10" x14ac:dyDescent="0.25">
      <c r="I349" s="37"/>
      <c r="J349" s="35"/>
    </row>
    <row r="350" spans="9:10" x14ac:dyDescent="0.25">
      <c r="I350" s="37"/>
      <c r="J350" s="35"/>
    </row>
    <row r="351" spans="9:10" x14ac:dyDescent="0.25">
      <c r="I351" s="37"/>
      <c r="J351" s="35"/>
    </row>
    <row r="352" spans="9:10" x14ac:dyDescent="0.25">
      <c r="I352" s="37"/>
      <c r="J352" s="35"/>
    </row>
    <row r="353" spans="9:10" x14ac:dyDescent="0.25">
      <c r="I353" s="37"/>
      <c r="J353" s="35"/>
    </row>
    <row r="354" spans="9:10" x14ac:dyDescent="0.25">
      <c r="I354" s="37"/>
      <c r="J354" s="35"/>
    </row>
    <row r="355" spans="9:10" x14ac:dyDescent="0.25">
      <c r="I355" s="37"/>
      <c r="J355" s="35"/>
    </row>
    <row r="356" spans="9:10" x14ac:dyDescent="0.25">
      <c r="I356" s="37"/>
      <c r="J356" s="35"/>
    </row>
    <row r="357" spans="9:10" x14ac:dyDescent="0.25">
      <c r="I357" s="37"/>
      <c r="J357" s="35"/>
    </row>
    <row r="358" spans="9:10" x14ac:dyDescent="0.25">
      <c r="I358" s="37"/>
      <c r="J358" s="35"/>
    </row>
    <row r="359" spans="9:10" x14ac:dyDescent="0.25">
      <c r="I359" s="37"/>
      <c r="J359" s="35"/>
    </row>
    <row r="360" spans="9:10" x14ac:dyDescent="0.25">
      <c r="I360" s="37"/>
      <c r="J360" s="35"/>
    </row>
    <row r="361" spans="9:10" x14ac:dyDescent="0.25">
      <c r="I361" s="37"/>
      <c r="J361" s="35"/>
    </row>
    <row r="362" spans="9:10" x14ac:dyDescent="0.25">
      <c r="I362" s="37"/>
      <c r="J362" s="35"/>
    </row>
    <row r="363" spans="9:10" x14ac:dyDescent="0.25">
      <c r="I363" s="37"/>
      <c r="J363" s="35"/>
    </row>
    <row r="364" spans="9:10" x14ac:dyDescent="0.25">
      <c r="I364" s="37"/>
      <c r="J364" s="35"/>
    </row>
    <row r="365" spans="9:10" x14ac:dyDescent="0.25">
      <c r="I365" s="37"/>
      <c r="J365" s="35"/>
    </row>
    <row r="366" spans="9:10" x14ac:dyDescent="0.25">
      <c r="I366" s="37"/>
      <c r="J366" s="35"/>
    </row>
    <row r="367" spans="9:10" x14ac:dyDescent="0.25">
      <c r="I367" s="37"/>
      <c r="J367" s="35"/>
    </row>
    <row r="368" spans="9:10" x14ac:dyDescent="0.25">
      <c r="I368" s="37"/>
      <c r="J368" s="35"/>
    </row>
    <row r="369" spans="9:10" x14ac:dyDescent="0.25">
      <c r="I369" s="37"/>
      <c r="J369" s="35"/>
    </row>
    <row r="370" spans="9:10" x14ac:dyDescent="0.25">
      <c r="I370" s="37"/>
      <c r="J370" s="35"/>
    </row>
    <row r="371" spans="9:10" x14ac:dyDescent="0.25">
      <c r="I371" s="37"/>
      <c r="J371" s="35"/>
    </row>
    <row r="372" spans="9:10" x14ac:dyDescent="0.25">
      <c r="I372" s="37"/>
      <c r="J372" s="35"/>
    </row>
    <row r="373" spans="9:10" x14ac:dyDescent="0.25">
      <c r="I373" s="37"/>
      <c r="J373" s="35"/>
    </row>
    <row r="374" spans="9:10" x14ac:dyDescent="0.25">
      <c r="I374" s="37"/>
      <c r="J374" s="35"/>
    </row>
    <row r="375" spans="9:10" x14ac:dyDescent="0.25">
      <c r="I375" s="37"/>
      <c r="J375" s="35"/>
    </row>
    <row r="376" spans="9:10" x14ac:dyDescent="0.25">
      <c r="I376" s="37"/>
      <c r="J376" s="35"/>
    </row>
    <row r="377" spans="9:10" x14ac:dyDescent="0.25">
      <c r="I377" s="37"/>
      <c r="J377" s="35"/>
    </row>
    <row r="378" spans="9:10" x14ac:dyDescent="0.25">
      <c r="I378" s="37"/>
      <c r="J378" s="35"/>
    </row>
    <row r="379" spans="9:10" x14ac:dyDescent="0.25">
      <c r="I379" s="37"/>
      <c r="J379" s="35"/>
    </row>
    <row r="380" spans="9:10" x14ac:dyDescent="0.25">
      <c r="I380" s="37"/>
      <c r="J380" s="35"/>
    </row>
    <row r="381" spans="9:10" x14ac:dyDescent="0.25">
      <c r="I381" s="37"/>
      <c r="J381" s="35"/>
    </row>
    <row r="382" spans="9:10" x14ac:dyDescent="0.25">
      <c r="I382" s="37"/>
      <c r="J382" s="35"/>
    </row>
    <row r="383" spans="9:10" x14ac:dyDescent="0.25">
      <c r="I383" s="37"/>
      <c r="J383" s="35"/>
    </row>
    <row r="384" spans="9:10" x14ac:dyDescent="0.25">
      <c r="I384" s="37"/>
      <c r="J384" s="35"/>
    </row>
    <row r="385" spans="9:10" x14ac:dyDescent="0.25">
      <c r="I385" s="37"/>
      <c r="J385" s="35"/>
    </row>
    <row r="386" spans="9:10" x14ac:dyDescent="0.25">
      <c r="I386" s="37"/>
      <c r="J386" s="35"/>
    </row>
    <row r="387" spans="9:10" x14ac:dyDescent="0.25">
      <c r="I387" s="37"/>
      <c r="J387" s="35"/>
    </row>
    <row r="388" spans="9:10" x14ac:dyDescent="0.25">
      <c r="I388" s="37"/>
      <c r="J388" s="35"/>
    </row>
    <row r="389" spans="9:10" x14ac:dyDescent="0.25">
      <c r="I389" s="37"/>
      <c r="J389" s="35"/>
    </row>
    <row r="390" spans="9:10" x14ac:dyDescent="0.25">
      <c r="I390" s="37"/>
      <c r="J390" s="35"/>
    </row>
    <row r="391" spans="9:10" x14ac:dyDescent="0.25">
      <c r="I391" s="37"/>
      <c r="J391" s="35"/>
    </row>
    <row r="392" spans="9:10" x14ac:dyDescent="0.25">
      <c r="I392" s="37"/>
      <c r="J392" s="35"/>
    </row>
    <row r="393" spans="9:10" x14ac:dyDescent="0.25">
      <c r="I393" s="37"/>
      <c r="J393" s="35"/>
    </row>
    <row r="394" spans="9:10" x14ac:dyDescent="0.25">
      <c r="I394" s="37"/>
      <c r="J394" s="35"/>
    </row>
    <row r="395" spans="9:10" x14ac:dyDescent="0.25">
      <c r="I395" s="37"/>
      <c r="J395" s="35"/>
    </row>
    <row r="396" spans="9:10" x14ac:dyDescent="0.25">
      <c r="I396" s="37"/>
      <c r="J396" s="35"/>
    </row>
    <row r="397" spans="9:10" x14ac:dyDescent="0.25">
      <c r="I397" s="37"/>
      <c r="J397" s="35"/>
    </row>
    <row r="398" spans="9:10" x14ac:dyDescent="0.25">
      <c r="I398" s="37"/>
      <c r="J398" s="35"/>
    </row>
    <row r="399" spans="9:10" x14ac:dyDescent="0.25">
      <c r="I399" s="37"/>
      <c r="J399" s="35"/>
    </row>
    <row r="400" spans="9:10" x14ac:dyDescent="0.25">
      <c r="I400" s="37"/>
      <c r="J400" s="35"/>
    </row>
    <row r="401" spans="9:10" x14ac:dyDescent="0.25">
      <c r="I401" s="37"/>
      <c r="J401" s="35"/>
    </row>
    <row r="402" spans="9:10" x14ac:dyDescent="0.25">
      <c r="I402" s="37"/>
      <c r="J402" s="35"/>
    </row>
    <row r="403" spans="9:10" x14ac:dyDescent="0.25">
      <c r="I403" s="37"/>
      <c r="J403" s="35"/>
    </row>
    <row r="404" spans="9:10" x14ac:dyDescent="0.25">
      <c r="I404" s="37"/>
      <c r="J404" s="35"/>
    </row>
    <row r="405" spans="9:10" x14ac:dyDescent="0.25">
      <c r="I405" s="37"/>
      <c r="J405" s="35"/>
    </row>
    <row r="406" spans="9:10" x14ac:dyDescent="0.25">
      <c r="I406" s="37"/>
      <c r="J406" s="35"/>
    </row>
    <row r="407" spans="9:10" x14ac:dyDescent="0.25">
      <c r="I407" s="37"/>
      <c r="J407" s="35"/>
    </row>
    <row r="408" spans="9:10" x14ac:dyDescent="0.25">
      <c r="I408" s="37"/>
      <c r="J408" s="35"/>
    </row>
    <row r="409" spans="9:10" x14ac:dyDescent="0.25">
      <c r="I409" s="37"/>
      <c r="J409" s="35"/>
    </row>
    <row r="410" spans="9:10" x14ac:dyDescent="0.25">
      <c r="I410" s="37"/>
      <c r="J410" s="35"/>
    </row>
    <row r="411" spans="9:10" x14ac:dyDescent="0.25">
      <c r="I411" s="37"/>
      <c r="J411" s="35"/>
    </row>
    <row r="412" spans="9:10" x14ac:dyDescent="0.25">
      <c r="I412" s="37"/>
      <c r="J412" s="35"/>
    </row>
    <row r="413" spans="9:10" x14ac:dyDescent="0.25">
      <c r="I413" s="37"/>
      <c r="J413" s="35"/>
    </row>
    <row r="414" spans="9:10" x14ac:dyDescent="0.25">
      <c r="I414" s="37"/>
      <c r="J414" s="35"/>
    </row>
    <row r="415" spans="9:10" x14ac:dyDescent="0.25">
      <c r="I415" s="37"/>
      <c r="J415" s="35"/>
    </row>
    <row r="416" spans="9:10" x14ac:dyDescent="0.25">
      <c r="I416" s="37"/>
      <c r="J416" s="35"/>
    </row>
    <row r="417" spans="9:10" x14ac:dyDescent="0.25">
      <c r="I417" s="37"/>
      <c r="J417" s="35"/>
    </row>
    <row r="418" spans="9:10" x14ac:dyDescent="0.25">
      <c r="I418" s="37"/>
      <c r="J418" s="35"/>
    </row>
    <row r="419" spans="9:10" x14ac:dyDescent="0.25">
      <c r="I419" s="37"/>
      <c r="J419" s="35"/>
    </row>
    <row r="420" spans="9:10" x14ac:dyDescent="0.25">
      <c r="I420" s="37"/>
      <c r="J420" s="35"/>
    </row>
    <row r="421" spans="9:10" x14ac:dyDescent="0.25">
      <c r="I421" s="37"/>
      <c r="J421" s="35"/>
    </row>
    <row r="422" spans="9:10" x14ac:dyDescent="0.25">
      <c r="I422" s="37"/>
      <c r="J422" s="35"/>
    </row>
    <row r="423" spans="9:10" x14ac:dyDescent="0.25">
      <c r="I423" s="37"/>
      <c r="J423" s="35"/>
    </row>
    <row r="424" spans="9:10" x14ac:dyDescent="0.25">
      <c r="I424" s="37"/>
      <c r="J424" s="35"/>
    </row>
    <row r="425" spans="9:10" x14ac:dyDescent="0.25">
      <c r="I425" s="37"/>
      <c r="J425" s="35"/>
    </row>
    <row r="426" spans="9:10" x14ac:dyDescent="0.25">
      <c r="I426" s="37"/>
      <c r="J426" s="35"/>
    </row>
    <row r="427" spans="9:10" x14ac:dyDescent="0.25">
      <c r="I427" s="37"/>
      <c r="J427" s="35"/>
    </row>
    <row r="428" spans="9:10" x14ac:dyDescent="0.25">
      <c r="I428" s="37"/>
      <c r="J428" s="35"/>
    </row>
    <row r="429" spans="9:10" x14ac:dyDescent="0.25">
      <c r="I429" s="37"/>
      <c r="J429" s="35"/>
    </row>
    <row r="430" spans="9:10" x14ac:dyDescent="0.25">
      <c r="I430" s="37"/>
      <c r="J430" s="35"/>
    </row>
    <row r="431" spans="9:10" x14ac:dyDescent="0.25">
      <c r="I431" s="37"/>
      <c r="J431" s="35"/>
    </row>
    <row r="432" spans="9:10" x14ac:dyDescent="0.25">
      <c r="I432" s="37"/>
      <c r="J432" s="35"/>
    </row>
    <row r="433" spans="9:10" x14ac:dyDescent="0.25">
      <c r="I433" s="37"/>
      <c r="J433" s="35"/>
    </row>
    <row r="434" spans="9:10" x14ac:dyDescent="0.25">
      <c r="I434" s="37"/>
      <c r="J434" s="35"/>
    </row>
    <row r="435" spans="9:10" x14ac:dyDescent="0.25">
      <c r="I435" s="37"/>
      <c r="J435" s="35"/>
    </row>
    <row r="436" spans="9:10" x14ac:dyDescent="0.25">
      <c r="I436" s="37"/>
      <c r="J436" s="35"/>
    </row>
    <row r="437" spans="9:10" x14ac:dyDescent="0.25">
      <c r="I437" s="37"/>
      <c r="J437" s="35"/>
    </row>
    <row r="438" spans="9:10" x14ac:dyDescent="0.25">
      <c r="I438" s="37"/>
      <c r="J438" s="35"/>
    </row>
    <row r="439" spans="9:10" x14ac:dyDescent="0.25">
      <c r="I439" s="37"/>
      <c r="J439" s="35"/>
    </row>
    <row r="440" spans="9:10" x14ac:dyDescent="0.25">
      <c r="I440" s="37"/>
      <c r="J440" s="35"/>
    </row>
    <row r="441" spans="9:10" x14ac:dyDescent="0.25">
      <c r="I441" s="37"/>
      <c r="J441" s="35"/>
    </row>
    <row r="442" spans="9:10" x14ac:dyDescent="0.25">
      <c r="I442" s="37"/>
      <c r="J442" s="35"/>
    </row>
    <row r="443" spans="9:10" x14ac:dyDescent="0.25">
      <c r="I443" s="37"/>
      <c r="J443" s="35"/>
    </row>
    <row r="444" spans="9:10" x14ac:dyDescent="0.25">
      <c r="I444" s="37"/>
      <c r="J444" s="35"/>
    </row>
    <row r="445" spans="9:10" x14ac:dyDescent="0.25">
      <c r="I445" s="37"/>
      <c r="J445" s="35"/>
    </row>
    <row r="446" spans="9:10" x14ac:dyDescent="0.25">
      <c r="I446" s="37"/>
      <c r="J446" s="35"/>
    </row>
    <row r="447" spans="9:10" x14ac:dyDescent="0.25">
      <c r="I447" s="37"/>
      <c r="J447" s="35"/>
    </row>
    <row r="448" spans="9:10" x14ac:dyDescent="0.25">
      <c r="I448" s="37"/>
      <c r="J448" s="35"/>
    </row>
    <row r="449" spans="9:10" x14ac:dyDescent="0.25">
      <c r="I449" s="37"/>
      <c r="J449" s="35"/>
    </row>
    <row r="450" spans="9:10" x14ac:dyDescent="0.25">
      <c r="I450" s="37"/>
      <c r="J450" s="35"/>
    </row>
    <row r="451" spans="9:10" x14ac:dyDescent="0.25">
      <c r="I451" s="37"/>
      <c r="J451" s="35"/>
    </row>
    <row r="452" spans="9:10" x14ac:dyDescent="0.25">
      <c r="I452" s="37"/>
      <c r="J452" s="35"/>
    </row>
    <row r="453" spans="9:10" x14ac:dyDescent="0.25">
      <c r="I453" s="37"/>
      <c r="J453" s="35"/>
    </row>
    <row r="454" spans="9:10" x14ac:dyDescent="0.25">
      <c r="I454" s="37"/>
      <c r="J454" s="35"/>
    </row>
    <row r="455" spans="9:10" x14ac:dyDescent="0.25">
      <c r="I455" s="37"/>
      <c r="J455" s="35"/>
    </row>
    <row r="456" spans="9:10" x14ac:dyDescent="0.25">
      <c r="I456" s="37"/>
      <c r="J456" s="35"/>
    </row>
    <row r="457" spans="9:10" x14ac:dyDescent="0.25">
      <c r="I457" s="37"/>
      <c r="J457" s="35"/>
    </row>
    <row r="458" spans="9:10" x14ac:dyDescent="0.25">
      <c r="I458" s="37"/>
      <c r="J458" s="35"/>
    </row>
    <row r="459" spans="9:10" x14ac:dyDescent="0.25">
      <c r="I459" s="37"/>
      <c r="J459" s="35"/>
    </row>
    <row r="460" spans="9:10" x14ac:dyDescent="0.25">
      <c r="I460" s="37"/>
      <c r="J460" s="35"/>
    </row>
    <row r="461" spans="9:10" x14ac:dyDescent="0.25">
      <c r="I461" s="37"/>
      <c r="J461" s="35"/>
    </row>
    <row r="462" spans="9:10" x14ac:dyDescent="0.25">
      <c r="I462" s="37"/>
      <c r="J462" s="35"/>
    </row>
    <row r="463" spans="9:10" x14ac:dyDescent="0.25">
      <c r="I463" s="37"/>
      <c r="J463" s="35"/>
    </row>
    <row r="464" spans="9:10" x14ac:dyDescent="0.25">
      <c r="I464" s="37"/>
      <c r="J464" s="35"/>
    </row>
    <row r="465" spans="9:10" x14ac:dyDescent="0.25">
      <c r="I465" s="37"/>
      <c r="J465" s="35"/>
    </row>
    <row r="466" spans="9:10" x14ac:dyDescent="0.25">
      <c r="I466" s="37"/>
      <c r="J466" s="35"/>
    </row>
    <row r="467" spans="9:10" x14ac:dyDescent="0.25">
      <c r="I467" s="37"/>
      <c r="J467" s="35"/>
    </row>
    <row r="468" spans="9:10" x14ac:dyDescent="0.25">
      <c r="I468" s="37"/>
      <c r="J468" s="35"/>
    </row>
    <row r="469" spans="9:10" x14ac:dyDescent="0.25">
      <c r="I469" s="37"/>
      <c r="J469" s="35"/>
    </row>
    <row r="470" spans="9:10" x14ac:dyDescent="0.25">
      <c r="I470" s="37"/>
      <c r="J470" s="35"/>
    </row>
    <row r="471" spans="9:10" x14ac:dyDescent="0.25">
      <c r="I471" s="37"/>
      <c r="J471" s="35"/>
    </row>
    <row r="472" spans="9:10" x14ac:dyDescent="0.25">
      <c r="I472" s="37"/>
      <c r="J472" s="35"/>
    </row>
    <row r="473" spans="9:10" x14ac:dyDescent="0.25">
      <c r="I473" s="37"/>
      <c r="J473" s="35"/>
    </row>
    <row r="474" spans="9:10" x14ac:dyDescent="0.25">
      <c r="I474" s="37"/>
      <c r="J474" s="35"/>
    </row>
    <row r="475" spans="9:10" x14ac:dyDescent="0.25">
      <c r="I475" s="37"/>
      <c r="J475" s="35"/>
    </row>
    <row r="476" spans="9:10" x14ac:dyDescent="0.25">
      <c r="I476" s="37"/>
      <c r="J476" s="35"/>
    </row>
    <row r="477" spans="9:10" x14ac:dyDescent="0.25">
      <c r="I477" s="37"/>
      <c r="J477" s="35"/>
    </row>
    <row r="478" spans="9:10" x14ac:dyDescent="0.25">
      <c r="I478" s="37"/>
      <c r="J478" s="35"/>
    </row>
    <row r="479" spans="9:10" x14ac:dyDescent="0.25">
      <c r="I479" s="37"/>
      <c r="J479" s="35"/>
    </row>
    <row r="480" spans="9:10" x14ac:dyDescent="0.25">
      <c r="I480" s="37"/>
      <c r="J480" s="35"/>
    </row>
    <row r="481" spans="9:10" x14ac:dyDescent="0.25">
      <c r="I481" s="37"/>
      <c r="J481" s="35"/>
    </row>
    <row r="482" spans="9:10" x14ac:dyDescent="0.25">
      <c r="I482" s="37"/>
      <c r="J482" s="35"/>
    </row>
    <row r="483" spans="9:10" x14ac:dyDescent="0.25">
      <c r="I483" s="37"/>
      <c r="J483" s="35"/>
    </row>
    <row r="484" spans="9:10" x14ac:dyDescent="0.25">
      <c r="I484" s="37"/>
      <c r="J484" s="35"/>
    </row>
    <row r="485" spans="9:10" x14ac:dyDescent="0.25">
      <c r="I485" s="37"/>
      <c r="J485" s="35"/>
    </row>
    <row r="486" spans="9:10" x14ac:dyDescent="0.25">
      <c r="I486" s="37"/>
      <c r="J486" s="35"/>
    </row>
    <row r="487" spans="9:10" x14ac:dyDescent="0.25">
      <c r="I487" s="37"/>
      <c r="J487" s="35"/>
    </row>
    <row r="488" spans="9:10" x14ac:dyDescent="0.25">
      <c r="I488" s="37"/>
      <c r="J488" s="35"/>
    </row>
    <row r="489" spans="9:10" x14ac:dyDescent="0.25">
      <c r="I489" s="37"/>
      <c r="J489" s="35"/>
    </row>
    <row r="490" spans="9:10" x14ac:dyDescent="0.25">
      <c r="I490" s="37"/>
      <c r="J490" s="35"/>
    </row>
    <row r="491" spans="9:10" x14ac:dyDescent="0.25">
      <c r="I491" s="37"/>
      <c r="J491" s="35"/>
    </row>
    <row r="492" spans="9:10" x14ac:dyDescent="0.25">
      <c r="I492" s="37"/>
      <c r="J492" s="35"/>
    </row>
    <row r="493" spans="9:10" x14ac:dyDescent="0.25">
      <c r="I493" s="37"/>
      <c r="J493" s="35"/>
    </row>
    <row r="494" spans="9:10" x14ac:dyDescent="0.25">
      <c r="I494" s="37"/>
      <c r="J494" s="35"/>
    </row>
    <row r="495" spans="9:10" x14ac:dyDescent="0.25">
      <c r="I495" s="37"/>
      <c r="J495" s="35"/>
    </row>
    <row r="496" spans="9:10" x14ac:dyDescent="0.25">
      <c r="I496" s="37"/>
      <c r="J496" s="35"/>
    </row>
    <row r="497" spans="9:10" x14ac:dyDescent="0.25">
      <c r="I497" s="37"/>
      <c r="J497" s="35"/>
    </row>
    <row r="498" spans="9:10" x14ac:dyDescent="0.25">
      <c r="I498" s="37"/>
      <c r="J498" s="35"/>
    </row>
    <row r="499" spans="9:10" x14ac:dyDescent="0.25">
      <c r="I499" s="37"/>
      <c r="J499" s="35"/>
    </row>
    <row r="500" spans="9:10" x14ac:dyDescent="0.25">
      <c r="I500" s="37"/>
      <c r="J500" s="35"/>
    </row>
    <row r="501" spans="9:10" x14ac:dyDescent="0.25">
      <c r="I501" s="37"/>
      <c r="J501" s="35"/>
    </row>
    <row r="502" spans="9:10" x14ac:dyDescent="0.25">
      <c r="I502" s="37"/>
      <c r="J502" s="35"/>
    </row>
    <row r="503" spans="9:10" x14ac:dyDescent="0.25">
      <c r="I503" s="37"/>
      <c r="J503" s="35"/>
    </row>
    <row r="504" spans="9:10" x14ac:dyDescent="0.25">
      <c r="I504" s="37"/>
      <c r="J504" s="35"/>
    </row>
    <row r="505" spans="9:10" x14ac:dyDescent="0.25">
      <c r="I505" s="37"/>
      <c r="J505" s="35"/>
    </row>
    <row r="506" spans="9:10" x14ac:dyDescent="0.25">
      <c r="I506" s="37"/>
      <c r="J506" s="35"/>
    </row>
    <row r="507" spans="9:10" x14ac:dyDescent="0.25">
      <c r="I507" s="37"/>
      <c r="J507" s="35"/>
    </row>
    <row r="508" spans="9:10" x14ac:dyDescent="0.25">
      <c r="I508" s="37"/>
      <c r="J508" s="35"/>
    </row>
    <row r="509" spans="9:10" x14ac:dyDescent="0.25">
      <c r="I509" s="37"/>
      <c r="J509" s="35"/>
    </row>
    <row r="510" spans="9:10" x14ac:dyDescent="0.25">
      <c r="I510" s="37"/>
      <c r="J510" s="35"/>
    </row>
    <row r="511" spans="9:10" x14ac:dyDescent="0.25">
      <c r="I511" s="37"/>
      <c r="J511" s="35"/>
    </row>
    <row r="512" spans="9:10" x14ac:dyDescent="0.25">
      <c r="I512" s="37"/>
      <c r="J512" s="35"/>
    </row>
    <row r="513" spans="9:10" x14ac:dyDescent="0.25">
      <c r="I513" s="37"/>
      <c r="J513" s="35"/>
    </row>
    <row r="514" spans="9:10" x14ac:dyDescent="0.25">
      <c r="I514" s="37"/>
      <c r="J514" s="35"/>
    </row>
    <row r="515" spans="9:10" x14ac:dyDescent="0.25">
      <c r="I515" s="37"/>
      <c r="J515" s="35"/>
    </row>
    <row r="516" spans="9:10" x14ac:dyDescent="0.25">
      <c r="I516" s="37"/>
      <c r="J516" s="35"/>
    </row>
    <row r="517" spans="9:10" x14ac:dyDescent="0.25">
      <c r="I517" s="37"/>
      <c r="J517" s="35"/>
    </row>
    <row r="518" spans="9:10" x14ac:dyDescent="0.25">
      <c r="I518" s="37"/>
      <c r="J518" s="35"/>
    </row>
    <row r="519" spans="9:10" x14ac:dyDescent="0.25">
      <c r="I519" s="37"/>
      <c r="J519" s="35"/>
    </row>
    <row r="520" spans="9:10" x14ac:dyDescent="0.25">
      <c r="I520" s="37"/>
      <c r="J520" s="35"/>
    </row>
    <row r="521" spans="9:10" x14ac:dyDescent="0.25">
      <c r="I521" s="37"/>
      <c r="J521" s="35"/>
    </row>
    <row r="522" spans="9:10" x14ac:dyDescent="0.25">
      <c r="I522" s="37"/>
      <c r="J522" s="35"/>
    </row>
    <row r="523" spans="9:10" x14ac:dyDescent="0.25">
      <c r="I523" s="37"/>
      <c r="J523" s="35"/>
    </row>
    <row r="524" spans="9:10" x14ac:dyDescent="0.25">
      <c r="I524" s="37"/>
      <c r="J524" s="35"/>
    </row>
    <row r="525" spans="9:10" x14ac:dyDescent="0.25">
      <c r="I525" s="37"/>
      <c r="J525" s="35"/>
    </row>
    <row r="526" spans="9:10" x14ac:dyDescent="0.25">
      <c r="I526" s="37"/>
      <c r="J526" s="35"/>
    </row>
    <row r="527" spans="9:10" x14ac:dyDescent="0.25">
      <c r="I527" s="37"/>
      <c r="J527" s="35"/>
    </row>
    <row r="528" spans="9:10" x14ac:dyDescent="0.25">
      <c r="I528" s="37"/>
      <c r="J528" s="35"/>
    </row>
    <row r="529" spans="9:10" x14ac:dyDescent="0.25">
      <c r="I529" s="37"/>
      <c r="J529" s="35"/>
    </row>
    <row r="530" spans="9:10" x14ac:dyDescent="0.25">
      <c r="I530" s="37"/>
      <c r="J530" s="35"/>
    </row>
    <row r="531" spans="9:10" x14ac:dyDescent="0.25">
      <c r="I531" s="37"/>
      <c r="J531" s="35"/>
    </row>
    <row r="532" spans="9:10" x14ac:dyDescent="0.25">
      <c r="I532" s="37"/>
      <c r="J532" s="35"/>
    </row>
    <row r="533" spans="9:10" x14ac:dyDescent="0.25">
      <c r="I533" s="37"/>
      <c r="J533" s="35"/>
    </row>
    <row r="534" spans="9:10" x14ac:dyDescent="0.25">
      <c r="I534" s="37"/>
      <c r="J534" s="35"/>
    </row>
    <row r="535" spans="9:10" x14ac:dyDescent="0.25">
      <c r="I535" s="37"/>
      <c r="J535" s="35"/>
    </row>
    <row r="536" spans="9:10" x14ac:dyDescent="0.25">
      <c r="I536" s="37"/>
      <c r="J536" s="35"/>
    </row>
    <row r="537" spans="9:10" x14ac:dyDescent="0.25">
      <c r="I537" s="37"/>
      <c r="J537" s="35"/>
    </row>
    <row r="538" spans="9:10" x14ac:dyDescent="0.25">
      <c r="I538" s="37"/>
      <c r="J538" s="35"/>
    </row>
    <row r="539" spans="9:10" x14ac:dyDescent="0.25">
      <c r="I539" s="37"/>
      <c r="J539" s="35"/>
    </row>
    <row r="540" spans="9:10" x14ac:dyDescent="0.25">
      <c r="I540" s="37"/>
      <c r="J540" s="35"/>
    </row>
    <row r="541" spans="9:10" x14ac:dyDescent="0.25">
      <c r="I541" s="37"/>
      <c r="J541" s="35"/>
    </row>
    <row r="542" spans="9:10" x14ac:dyDescent="0.25">
      <c r="I542" s="37"/>
      <c r="J542" s="35"/>
    </row>
    <row r="543" spans="9:10" x14ac:dyDescent="0.25">
      <c r="I543" s="37"/>
      <c r="J543" s="35"/>
    </row>
    <row r="544" spans="9:10" x14ac:dyDescent="0.25">
      <c r="I544" s="37"/>
      <c r="J544" s="35"/>
    </row>
    <row r="545" spans="9:10" x14ac:dyDescent="0.25">
      <c r="I545" s="37"/>
      <c r="J545" s="35"/>
    </row>
    <row r="546" spans="9:10" x14ac:dyDescent="0.25">
      <c r="I546" s="37"/>
      <c r="J546" s="35"/>
    </row>
    <row r="547" spans="9:10" x14ac:dyDescent="0.25">
      <c r="I547" s="37"/>
      <c r="J547" s="35"/>
    </row>
    <row r="548" spans="9:10" x14ac:dyDescent="0.25">
      <c r="I548" s="37"/>
      <c r="J548" s="35"/>
    </row>
    <row r="549" spans="9:10" x14ac:dyDescent="0.25">
      <c r="I549" s="37"/>
      <c r="J549" s="35"/>
    </row>
    <row r="550" spans="9:10" x14ac:dyDescent="0.25">
      <c r="I550" s="37"/>
      <c r="J550" s="35"/>
    </row>
    <row r="551" spans="9:10" x14ac:dyDescent="0.25">
      <c r="I551" s="37"/>
      <c r="J551" s="35"/>
    </row>
    <row r="552" spans="9:10" x14ac:dyDescent="0.25">
      <c r="I552" s="37"/>
      <c r="J552" s="35"/>
    </row>
    <row r="553" spans="9:10" x14ac:dyDescent="0.25">
      <c r="I553" s="37"/>
      <c r="J553" s="35"/>
    </row>
    <row r="554" spans="9:10" x14ac:dyDescent="0.25">
      <c r="I554" s="37"/>
      <c r="J554" s="35"/>
    </row>
    <row r="555" spans="9:10" x14ac:dyDescent="0.25">
      <c r="I555" s="37"/>
      <c r="J555" s="35"/>
    </row>
    <row r="556" spans="9:10" x14ac:dyDescent="0.25">
      <c r="I556" s="37"/>
      <c r="J556" s="35"/>
    </row>
    <row r="557" spans="9:10" x14ac:dyDescent="0.25">
      <c r="I557" s="37"/>
      <c r="J557" s="35"/>
    </row>
    <row r="558" spans="9:10" x14ac:dyDescent="0.25">
      <c r="I558" s="37"/>
      <c r="J558" s="35"/>
    </row>
    <row r="559" spans="9:10" x14ac:dyDescent="0.25">
      <c r="I559" s="37"/>
      <c r="J559" s="35"/>
    </row>
    <row r="560" spans="9:10" x14ac:dyDescent="0.25">
      <c r="I560" s="37"/>
      <c r="J560" s="35"/>
    </row>
    <row r="561" spans="9:10" x14ac:dyDescent="0.25">
      <c r="I561" s="37"/>
      <c r="J561" s="35"/>
    </row>
    <row r="562" spans="9:10" x14ac:dyDescent="0.25">
      <c r="I562" s="37"/>
      <c r="J562" s="35"/>
    </row>
    <row r="563" spans="9:10" x14ac:dyDescent="0.25">
      <c r="I563" s="37"/>
      <c r="J563" s="35"/>
    </row>
    <row r="564" spans="9:10" x14ac:dyDescent="0.25">
      <c r="I564" s="37"/>
      <c r="J564" s="35"/>
    </row>
    <row r="565" spans="9:10" x14ac:dyDescent="0.25">
      <c r="I565" s="37"/>
      <c r="J565" s="35"/>
    </row>
    <row r="566" spans="9:10" x14ac:dyDescent="0.25">
      <c r="I566" s="37"/>
      <c r="J566" s="35"/>
    </row>
    <row r="567" spans="9:10" x14ac:dyDescent="0.25">
      <c r="I567" s="37"/>
      <c r="J567" s="35"/>
    </row>
    <row r="568" spans="9:10" x14ac:dyDescent="0.25">
      <c r="I568" s="37"/>
      <c r="J568" s="35"/>
    </row>
    <row r="569" spans="9:10" x14ac:dyDescent="0.25">
      <c r="I569" s="37"/>
      <c r="J569" s="35"/>
    </row>
    <row r="570" spans="9:10" x14ac:dyDescent="0.25">
      <c r="I570" s="37"/>
      <c r="J570" s="35"/>
    </row>
    <row r="571" spans="9:10" x14ac:dyDescent="0.25">
      <c r="I571" s="37"/>
      <c r="J571" s="35"/>
    </row>
    <row r="572" spans="9:10" x14ac:dyDescent="0.25">
      <c r="I572" s="37"/>
      <c r="J572" s="35"/>
    </row>
    <row r="573" spans="9:10" x14ac:dyDescent="0.25">
      <c r="I573" s="37"/>
      <c r="J573" s="35"/>
    </row>
    <row r="574" spans="9:10" x14ac:dyDescent="0.25">
      <c r="I574" s="37"/>
      <c r="J574" s="35"/>
    </row>
    <row r="575" spans="9:10" x14ac:dyDescent="0.25">
      <c r="I575" s="37"/>
      <c r="J575" s="35"/>
    </row>
    <row r="576" spans="9:10" x14ac:dyDescent="0.25">
      <c r="I576" s="37"/>
      <c r="J576" s="35"/>
    </row>
    <row r="577" spans="9:10" x14ac:dyDescent="0.25">
      <c r="I577" s="37"/>
      <c r="J577" s="35"/>
    </row>
    <row r="578" spans="9:10" x14ac:dyDescent="0.25">
      <c r="I578" s="37"/>
      <c r="J578" s="35"/>
    </row>
    <row r="579" spans="9:10" x14ac:dyDescent="0.25">
      <c r="I579" s="37"/>
      <c r="J579" s="35"/>
    </row>
    <row r="580" spans="9:10" x14ac:dyDescent="0.25">
      <c r="I580" s="37"/>
      <c r="J580" s="35"/>
    </row>
    <row r="581" spans="9:10" x14ac:dyDescent="0.25">
      <c r="I581" s="37"/>
      <c r="J581" s="35"/>
    </row>
    <row r="582" spans="9:10" x14ac:dyDescent="0.25">
      <c r="I582" s="37"/>
      <c r="J582" s="35"/>
    </row>
    <row r="583" spans="9:10" x14ac:dyDescent="0.25">
      <c r="I583" s="37"/>
      <c r="J583" s="35"/>
    </row>
    <row r="584" spans="9:10" x14ac:dyDescent="0.25">
      <c r="I584" s="37"/>
      <c r="J584" s="35"/>
    </row>
    <row r="585" spans="9:10" x14ac:dyDescent="0.25">
      <c r="I585" s="37"/>
      <c r="J585" s="35"/>
    </row>
    <row r="586" spans="9:10" x14ac:dyDescent="0.25">
      <c r="I586" s="37"/>
      <c r="J586" s="35"/>
    </row>
    <row r="587" spans="9:10" x14ac:dyDescent="0.25">
      <c r="I587" s="37"/>
      <c r="J587" s="35"/>
    </row>
    <row r="588" spans="9:10" x14ac:dyDescent="0.25">
      <c r="I588" s="37"/>
      <c r="J588" s="35"/>
    </row>
    <row r="589" spans="9:10" x14ac:dyDescent="0.25">
      <c r="I589" s="37"/>
      <c r="J589" s="35"/>
    </row>
    <row r="590" spans="9:10" x14ac:dyDescent="0.25">
      <c r="I590" s="37"/>
      <c r="J590" s="35"/>
    </row>
    <row r="591" spans="9:10" x14ac:dyDescent="0.25">
      <c r="I591" s="37"/>
      <c r="J591" s="35"/>
    </row>
    <row r="592" spans="9:10" x14ac:dyDescent="0.25">
      <c r="I592" s="37"/>
      <c r="J592" s="35"/>
    </row>
    <row r="593" spans="9:10" x14ac:dyDescent="0.25">
      <c r="I593" s="37"/>
      <c r="J593" s="35"/>
    </row>
    <row r="594" spans="9:10" x14ac:dyDescent="0.25">
      <c r="I594" s="37"/>
      <c r="J594" s="35"/>
    </row>
    <row r="595" spans="9:10" x14ac:dyDescent="0.25">
      <c r="I595" s="37"/>
      <c r="J595" s="35"/>
    </row>
    <row r="596" spans="9:10" x14ac:dyDescent="0.25">
      <c r="I596" s="37"/>
      <c r="J596" s="35"/>
    </row>
    <row r="597" spans="9:10" x14ac:dyDescent="0.25">
      <c r="I597" s="37"/>
      <c r="J597" s="35"/>
    </row>
    <row r="598" spans="9:10" x14ac:dyDescent="0.25">
      <c r="I598" s="37"/>
      <c r="J598" s="35"/>
    </row>
    <row r="599" spans="9:10" x14ac:dyDescent="0.25">
      <c r="I599" s="37"/>
      <c r="J599" s="35"/>
    </row>
    <row r="600" spans="9:10" x14ac:dyDescent="0.25">
      <c r="I600" s="37"/>
      <c r="J600" s="35"/>
    </row>
    <row r="601" spans="9:10" x14ac:dyDescent="0.25">
      <c r="I601" s="37"/>
      <c r="J601" s="35"/>
    </row>
    <row r="602" spans="9:10" x14ac:dyDescent="0.25">
      <c r="I602" s="37"/>
      <c r="J602" s="35"/>
    </row>
    <row r="603" spans="9:10" x14ac:dyDescent="0.25">
      <c r="I603" s="37"/>
      <c r="J603" s="35"/>
    </row>
    <row r="604" spans="9:10" x14ac:dyDescent="0.25">
      <c r="I604" s="37"/>
      <c r="J604" s="35"/>
    </row>
    <row r="605" spans="9:10" x14ac:dyDescent="0.25">
      <c r="I605" s="37"/>
      <c r="J605" s="35"/>
    </row>
    <row r="606" spans="9:10" x14ac:dyDescent="0.25">
      <c r="I606" s="37"/>
      <c r="J606" s="35"/>
    </row>
    <row r="607" spans="9:10" x14ac:dyDescent="0.25">
      <c r="I607" s="37"/>
      <c r="J607" s="35"/>
    </row>
    <row r="608" spans="9:10" x14ac:dyDescent="0.25">
      <c r="I608" s="37"/>
      <c r="J608" s="35"/>
    </row>
    <row r="609" spans="9:10" x14ac:dyDescent="0.25">
      <c r="I609" s="37"/>
      <c r="J609" s="35"/>
    </row>
    <row r="610" spans="9:10" x14ac:dyDescent="0.25">
      <c r="I610" s="37"/>
      <c r="J610" s="35"/>
    </row>
    <row r="611" spans="9:10" x14ac:dyDescent="0.25">
      <c r="I611" s="37"/>
      <c r="J611" s="35"/>
    </row>
    <row r="612" spans="9:10" x14ac:dyDescent="0.25">
      <c r="I612" s="37"/>
      <c r="J612" s="35"/>
    </row>
    <row r="613" spans="9:10" x14ac:dyDescent="0.25">
      <c r="I613" s="37"/>
      <c r="J613" s="35"/>
    </row>
    <row r="614" spans="9:10" x14ac:dyDescent="0.25">
      <c r="I614" s="37"/>
      <c r="J614" s="35"/>
    </row>
    <row r="615" spans="9:10" x14ac:dyDescent="0.25">
      <c r="I615" s="37"/>
      <c r="J615" s="35"/>
    </row>
    <row r="616" spans="9:10" x14ac:dyDescent="0.25">
      <c r="I616" s="37"/>
      <c r="J616" s="35"/>
    </row>
    <row r="617" spans="9:10" x14ac:dyDescent="0.25">
      <c r="I617" s="37"/>
      <c r="J617" s="35"/>
    </row>
    <row r="618" spans="9:10" x14ac:dyDescent="0.25">
      <c r="I618" s="37"/>
      <c r="J618" s="35"/>
    </row>
    <row r="619" spans="9:10" x14ac:dyDescent="0.25">
      <c r="I619" s="37"/>
      <c r="J619" s="35"/>
    </row>
    <row r="620" spans="9:10" x14ac:dyDescent="0.25">
      <c r="I620" s="37"/>
      <c r="J620" s="35"/>
    </row>
    <row r="621" spans="9:10" x14ac:dyDescent="0.25">
      <c r="I621" s="37"/>
      <c r="J621" s="35"/>
    </row>
    <row r="622" spans="9:10" x14ac:dyDescent="0.25">
      <c r="I622" s="37"/>
      <c r="J622" s="35"/>
    </row>
    <row r="623" spans="9:10" x14ac:dyDescent="0.25">
      <c r="I623" s="37"/>
      <c r="J623" s="35"/>
    </row>
    <row r="624" spans="9:10" x14ac:dyDescent="0.25">
      <c r="I624" s="37"/>
      <c r="J624" s="35"/>
    </row>
    <row r="625" spans="9:10" x14ac:dyDescent="0.25">
      <c r="I625" s="37"/>
      <c r="J625" s="35"/>
    </row>
    <row r="626" spans="9:10" x14ac:dyDescent="0.25">
      <c r="I626" s="37"/>
      <c r="J626" s="35"/>
    </row>
    <row r="627" spans="9:10" x14ac:dyDescent="0.25">
      <c r="I627" s="37"/>
      <c r="J627" s="35"/>
    </row>
    <row r="628" spans="9:10" x14ac:dyDescent="0.25">
      <c r="I628" s="37"/>
      <c r="J628" s="35"/>
    </row>
    <row r="629" spans="9:10" x14ac:dyDescent="0.25">
      <c r="I629" s="37"/>
      <c r="J629" s="35"/>
    </row>
    <row r="630" spans="9:10" x14ac:dyDescent="0.25">
      <c r="I630" s="37"/>
      <c r="J630" s="35"/>
    </row>
    <row r="631" spans="9:10" x14ac:dyDescent="0.25">
      <c r="I631" s="37"/>
      <c r="J631" s="35"/>
    </row>
    <row r="632" spans="9:10" x14ac:dyDescent="0.25">
      <c r="I632" s="37"/>
      <c r="J632" s="35"/>
    </row>
    <row r="633" spans="9:10" x14ac:dyDescent="0.25">
      <c r="I633" s="37"/>
      <c r="J633" s="35"/>
    </row>
    <row r="634" spans="9:10" x14ac:dyDescent="0.25">
      <c r="I634" s="37"/>
      <c r="J634" s="35"/>
    </row>
    <row r="635" spans="9:10" x14ac:dyDescent="0.25">
      <c r="I635" s="37"/>
      <c r="J635" s="35"/>
    </row>
    <row r="636" spans="9:10" x14ac:dyDescent="0.25">
      <c r="I636" s="37"/>
      <c r="J636" s="35"/>
    </row>
    <row r="637" spans="9:10" x14ac:dyDescent="0.25">
      <c r="I637" s="37"/>
      <c r="J637" s="35"/>
    </row>
    <row r="638" spans="9:10" x14ac:dyDescent="0.25">
      <c r="I638" s="37"/>
      <c r="J638" s="35"/>
    </row>
    <row r="639" spans="9:10" x14ac:dyDescent="0.25">
      <c r="I639" s="37"/>
      <c r="J639" s="35"/>
    </row>
    <row r="640" spans="9:10" x14ac:dyDescent="0.25">
      <c r="I640" s="37"/>
      <c r="J640" s="35"/>
    </row>
    <row r="641" spans="9:10" x14ac:dyDescent="0.25">
      <c r="I641" s="37"/>
      <c r="J641" s="35"/>
    </row>
    <row r="642" spans="9:10" x14ac:dyDescent="0.25">
      <c r="I642" s="37"/>
      <c r="J642" s="35"/>
    </row>
    <row r="643" spans="9:10" x14ac:dyDescent="0.25">
      <c r="I643" s="37"/>
      <c r="J643" s="35"/>
    </row>
    <row r="644" spans="9:10" x14ac:dyDescent="0.25">
      <c r="I644" s="37"/>
      <c r="J644" s="35"/>
    </row>
    <row r="645" spans="9:10" x14ac:dyDescent="0.25">
      <c r="I645" s="37"/>
      <c r="J645" s="35"/>
    </row>
    <row r="646" spans="9:10" x14ac:dyDescent="0.25">
      <c r="I646" s="37"/>
      <c r="J646" s="35"/>
    </row>
    <row r="647" spans="9:10" x14ac:dyDescent="0.25">
      <c r="I647" s="37"/>
      <c r="J647" s="35"/>
    </row>
    <row r="648" spans="9:10" x14ac:dyDescent="0.25">
      <c r="I648" s="37"/>
      <c r="J648" s="35"/>
    </row>
    <row r="649" spans="9:10" x14ac:dyDescent="0.25">
      <c r="I649" s="37"/>
      <c r="J649" s="35"/>
    </row>
    <row r="650" spans="9:10" x14ac:dyDescent="0.25">
      <c r="I650" s="37"/>
      <c r="J650" s="35"/>
    </row>
    <row r="651" spans="9:10" x14ac:dyDescent="0.25">
      <c r="I651" s="37"/>
      <c r="J651" s="35"/>
    </row>
    <row r="652" spans="9:10" x14ac:dyDescent="0.25">
      <c r="I652" s="37"/>
      <c r="J652" s="35"/>
    </row>
    <row r="653" spans="9:10" x14ac:dyDescent="0.25">
      <c r="I653" s="37"/>
      <c r="J653" s="35"/>
    </row>
    <row r="654" spans="9:10" x14ac:dyDescent="0.25">
      <c r="I654" s="37"/>
      <c r="J654" s="35"/>
    </row>
    <row r="655" spans="9:10" x14ac:dyDescent="0.25">
      <c r="I655" s="37"/>
      <c r="J655" s="35"/>
    </row>
    <row r="656" spans="9:10" x14ac:dyDescent="0.25">
      <c r="I656" s="37"/>
      <c r="J656" s="35"/>
    </row>
    <row r="657" spans="9:10" x14ac:dyDescent="0.25">
      <c r="I657" s="37"/>
      <c r="J657" s="35"/>
    </row>
    <row r="658" spans="9:10" x14ac:dyDescent="0.25">
      <c r="I658" s="37"/>
      <c r="J658" s="35"/>
    </row>
    <row r="659" spans="9:10" x14ac:dyDescent="0.25">
      <c r="I659" s="37"/>
      <c r="J659" s="35"/>
    </row>
    <row r="660" spans="9:10" x14ac:dyDescent="0.25">
      <c r="I660" s="37"/>
      <c r="J660" s="35"/>
    </row>
    <row r="661" spans="9:10" x14ac:dyDescent="0.25">
      <c r="I661" s="37"/>
      <c r="J661" s="35"/>
    </row>
    <row r="662" spans="9:10" x14ac:dyDescent="0.25">
      <c r="I662" s="37"/>
      <c r="J662" s="35"/>
    </row>
    <row r="663" spans="9:10" x14ac:dyDescent="0.25">
      <c r="I663" s="37"/>
      <c r="J663" s="35"/>
    </row>
    <row r="664" spans="9:10" x14ac:dyDescent="0.25">
      <c r="I664" s="37"/>
      <c r="J664" s="35"/>
    </row>
    <row r="665" spans="9:10" x14ac:dyDescent="0.25">
      <c r="I665" s="37"/>
      <c r="J665" s="35"/>
    </row>
    <row r="666" spans="9:10" x14ac:dyDescent="0.25">
      <c r="I666" s="37"/>
      <c r="J666" s="35"/>
    </row>
    <row r="667" spans="9:10" x14ac:dyDescent="0.25">
      <c r="I667" s="37"/>
      <c r="J667" s="35"/>
    </row>
    <row r="668" spans="9:10" x14ac:dyDescent="0.25">
      <c r="I668" s="37"/>
      <c r="J668" s="35"/>
    </row>
    <row r="669" spans="9:10" x14ac:dyDescent="0.25">
      <c r="I669" s="37"/>
      <c r="J669" s="35"/>
    </row>
    <row r="670" spans="9:10" x14ac:dyDescent="0.25">
      <c r="I670" s="37"/>
      <c r="J670" s="35"/>
    </row>
    <row r="671" spans="9:10" x14ac:dyDescent="0.25">
      <c r="I671" s="37"/>
      <c r="J671" s="35"/>
    </row>
    <row r="672" spans="9:10" x14ac:dyDescent="0.25">
      <c r="I672" s="37"/>
      <c r="J672" s="35"/>
    </row>
    <row r="673" spans="9:10" x14ac:dyDescent="0.25">
      <c r="I673" s="37"/>
      <c r="J673" s="35"/>
    </row>
    <row r="674" spans="9:10" x14ac:dyDescent="0.25">
      <c r="I674" s="37"/>
      <c r="J674" s="35"/>
    </row>
    <row r="675" spans="9:10" x14ac:dyDescent="0.25">
      <c r="I675" s="37"/>
      <c r="J675" s="35"/>
    </row>
    <row r="676" spans="9:10" x14ac:dyDescent="0.25">
      <c r="I676" s="37"/>
      <c r="J676" s="35"/>
    </row>
    <row r="677" spans="9:10" x14ac:dyDescent="0.25">
      <c r="I677" s="37"/>
      <c r="J677" s="35"/>
    </row>
    <row r="678" spans="9:10" x14ac:dyDescent="0.25">
      <c r="I678" s="37"/>
      <c r="J678" s="35"/>
    </row>
    <row r="679" spans="9:10" x14ac:dyDescent="0.25">
      <c r="I679" s="37"/>
      <c r="J679" s="35"/>
    </row>
    <row r="680" spans="9:10" x14ac:dyDescent="0.25">
      <c r="I680" s="37"/>
      <c r="J680" s="35"/>
    </row>
    <row r="681" spans="9:10" x14ac:dyDescent="0.25">
      <c r="I681" s="37"/>
      <c r="J681" s="35"/>
    </row>
    <row r="682" spans="9:10" x14ac:dyDescent="0.25">
      <c r="I682" s="37"/>
      <c r="J682" s="35"/>
    </row>
    <row r="683" spans="9:10" x14ac:dyDescent="0.25">
      <c r="I683" s="37"/>
      <c r="J683" s="35"/>
    </row>
    <row r="684" spans="9:10" x14ac:dyDescent="0.25">
      <c r="I684" s="37"/>
      <c r="J684" s="35"/>
    </row>
    <row r="685" spans="9:10" x14ac:dyDescent="0.25">
      <c r="I685" s="37"/>
      <c r="J685" s="35"/>
    </row>
    <row r="686" spans="9:10" x14ac:dyDescent="0.25">
      <c r="I686" s="37"/>
      <c r="J686" s="35"/>
    </row>
    <row r="687" spans="9:10" x14ac:dyDescent="0.25">
      <c r="I687" s="37"/>
      <c r="J687" s="35"/>
    </row>
    <row r="688" spans="9:10" x14ac:dyDescent="0.25">
      <c r="I688" s="37"/>
      <c r="J688" s="35"/>
    </row>
    <row r="689" spans="9:10" x14ac:dyDescent="0.25">
      <c r="I689" s="37"/>
      <c r="J689" s="35"/>
    </row>
    <row r="690" spans="9:10" x14ac:dyDescent="0.25">
      <c r="I690" s="37"/>
      <c r="J690" s="35"/>
    </row>
    <row r="691" spans="9:10" x14ac:dyDescent="0.25">
      <c r="I691" s="37"/>
      <c r="J691" s="35"/>
    </row>
    <row r="692" spans="9:10" x14ac:dyDescent="0.25">
      <c r="I692" s="37"/>
      <c r="J692" s="35"/>
    </row>
    <row r="693" spans="9:10" x14ac:dyDescent="0.25">
      <c r="I693" s="37"/>
      <c r="J693" s="35"/>
    </row>
    <row r="694" spans="9:10" x14ac:dyDescent="0.25">
      <c r="I694" s="37"/>
      <c r="J694" s="35"/>
    </row>
    <row r="695" spans="9:10" x14ac:dyDescent="0.25">
      <c r="I695" s="37"/>
      <c r="J695" s="35"/>
    </row>
    <row r="696" spans="9:10" x14ac:dyDescent="0.25">
      <c r="I696" s="37"/>
      <c r="J696" s="35"/>
    </row>
    <row r="697" spans="9:10" x14ac:dyDescent="0.25">
      <c r="I697" s="37"/>
      <c r="J697" s="35"/>
    </row>
    <row r="698" spans="9:10" x14ac:dyDescent="0.25">
      <c r="I698" s="37"/>
      <c r="J698" s="35"/>
    </row>
    <row r="699" spans="9:10" x14ac:dyDescent="0.25">
      <c r="I699" s="37"/>
      <c r="J699" s="35"/>
    </row>
    <row r="700" spans="9:10" x14ac:dyDescent="0.25">
      <c r="I700" s="37"/>
      <c r="J700" s="35"/>
    </row>
    <row r="701" spans="9:10" x14ac:dyDescent="0.25">
      <c r="I701" s="37"/>
      <c r="J701" s="35"/>
    </row>
    <row r="702" spans="9:10" x14ac:dyDescent="0.25">
      <c r="I702" s="37"/>
      <c r="J702" s="35"/>
    </row>
    <row r="703" spans="9:10" x14ac:dyDescent="0.25">
      <c r="I703" s="37"/>
      <c r="J703" s="35"/>
    </row>
    <row r="704" spans="9:10" x14ac:dyDescent="0.25">
      <c r="I704" s="37"/>
      <c r="J704" s="35"/>
    </row>
    <row r="705" spans="9:10" x14ac:dyDescent="0.25">
      <c r="I705" s="37"/>
      <c r="J705" s="35"/>
    </row>
    <row r="706" spans="9:10" x14ac:dyDescent="0.25">
      <c r="I706" s="37"/>
      <c r="J706" s="35"/>
    </row>
    <row r="707" spans="9:10" x14ac:dyDescent="0.25">
      <c r="I707" s="37"/>
      <c r="J707" s="35"/>
    </row>
    <row r="708" spans="9:10" x14ac:dyDescent="0.25">
      <c r="I708" s="37"/>
      <c r="J708" s="35"/>
    </row>
    <row r="709" spans="9:10" x14ac:dyDescent="0.25">
      <c r="I709" s="37"/>
      <c r="J709" s="35"/>
    </row>
    <row r="710" spans="9:10" x14ac:dyDescent="0.25">
      <c r="I710" s="37"/>
      <c r="J710" s="35"/>
    </row>
    <row r="711" spans="9:10" x14ac:dyDescent="0.25">
      <c r="I711" s="37"/>
      <c r="J711" s="35"/>
    </row>
    <row r="712" spans="9:10" x14ac:dyDescent="0.25">
      <c r="I712" s="37"/>
      <c r="J712" s="35"/>
    </row>
    <row r="713" spans="9:10" x14ac:dyDescent="0.25">
      <c r="I713" s="37"/>
      <c r="J713" s="35"/>
    </row>
    <row r="714" spans="9:10" x14ac:dyDescent="0.25">
      <c r="I714" s="37"/>
      <c r="J714" s="35"/>
    </row>
    <row r="715" spans="9:10" x14ac:dyDescent="0.25">
      <c r="I715" s="37"/>
      <c r="J715" s="35"/>
    </row>
    <row r="716" spans="9:10" x14ac:dyDescent="0.25">
      <c r="I716" s="37"/>
      <c r="J716" s="35"/>
    </row>
    <row r="717" spans="9:10" x14ac:dyDescent="0.25">
      <c r="I717" s="37"/>
      <c r="J717" s="35"/>
    </row>
    <row r="718" spans="9:10" x14ac:dyDescent="0.25">
      <c r="I718" s="37"/>
      <c r="J718" s="35"/>
    </row>
    <row r="719" spans="9:10" x14ac:dyDescent="0.25">
      <c r="I719" s="37"/>
      <c r="J719" s="35"/>
    </row>
    <row r="720" spans="9:10" x14ac:dyDescent="0.25">
      <c r="I720" s="37"/>
      <c r="J720" s="35"/>
    </row>
    <row r="721" spans="9:10" x14ac:dyDescent="0.25">
      <c r="I721" s="37"/>
      <c r="J721" s="35"/>
    </row>
    <row r="722" spans="9:10" x14ac:dyDescent="0.25">
      <c r="I722" s="37"/>
      <c r="J722" s="35"/>
    </row>
    <row r="723" spans="9:10" x14ac:dyDescent="0.25">
      <c r="I723" s="37"/>
      <c r="J723" s="35"/>
    </row>
    <row r="724" spans="9:10" x14ac:dyDescent="0.25">
      <c r="I724" s="37"/>
      <c r="J724" s="35"/>
    </row>
    <row r="725" spans="9:10" x14ac:dyDescent="0.25">
      <c r="I725" s="37"/>
      <c r="J725" s="35"/>
    </row>
    <row r="726" spans="9:10" x14ac:dyDescent="0.25">
      <c r="I726" s="37"/>
      <c r="J726" s="35"/>
    </row>
    <row r="727" spans="9:10" x14ac:dyDescent="0.25">
      <c r="I727" s="37"/>
      <c r="J727" s="35"/>
    </row>
    <row r="728" spans="9:10" x14ac:dyDescent="0.25">
      <c r="I728" s="37"/>
      <c r="J728" s="35"/>
    </row>
    <row r="729" spans="9:10" x14ac:dyDescent="0.25">
      <c r="I729" s="37"/>
      <c r="J729" s="35"/>
    </row>
    <row r="730" spans="9:10" x14ac:dyDescent="0.25">
      <c r="I730" s="37"/>
      <c r="J730" s="35"/>
    </row>
    <row r="731" spans="9:10" x14ac:dyDescent="0.25">
      <c r="I731" s="37"/>
      <c r="J731" s="35"/>
    </row>
    <row r="732" spans="9:10" x14ac:dyDescent="0.25">
      <c r="I732" s="37"/>
      <c r="J732" s="35"/>
    </row>
    <row r="733" spans="9:10" x14ac:dyDescent="0.25">
      <c r="I733" s="37"/>
      <c r="J733" s="35"/>
    </row>
    <row r="734" spans="9:10" x14ac:dyDescent="0.25">
      <c r="I734" s="37"/>
      <c r="J734" s="35"/>
    </row>
    <row r="735" spans="9:10" x14ac:dyDescent="0.25">
      <c r="I735" s="37"/>
      <c r="J735" s="35"/>
    </row>
    <row r="736" spans="9:10" x14ac:dyDescent="0.25">
      <c r="I736" s="37"/>
      <c r="J736" s="35"/>
    </row>
    <row r="737" spans="9:10" x14ac:dyDescent="0.25">
      <c r="I737" s="37"/>
      <c r="J737" s="35"/>
    </row>
    <row r="738" spans="9:10" x14ac:dyDescent="0.25">
      <c r="I738" s="37"/>
      <c r="J738" s="35"/>
    </row>
    <row r="739" spans="9:10" x14ac:dyDescent="0.25">
      <c r="I739" s="37"/>
      <c r="J739" s="35"/>
    </row>
    <row r="740" spans="9:10" x14ac:dyDescent="0.25">
      <c r="I740" s="37"/>
      <c r="J740" s="35"/>
    </row>
    <row r="741" spans="9:10" x14ac:dyDescent="0.25">
      <c r="I741" s="37"/>
      <c r="J741" s="35"/>
    </row>
    <row r="742" spans="9:10" x14ac:dyDescent="0.25">
      <c r="I742" s="37"/>
      <c r="J742" s="35"/>
    </row>
    <row r="743" spans="9:10" x14ac:dyDescent="0.25">
      <c r="I743" s="37"/>
      <c r="J743" s="35"/>
    </row>
    <row r="744" spans="9:10" x14ac:dyDescent="0.25">
      <c r="I744" s="37"/>
      <c r="J744" s="35"/>
    </row>
    <row r="745" spans="9:10" x14ac:dyDescent="0.25">
      <c r="I745" s="37"/>
      <c r="J745" s="35"/>
    </row>
    <row r="746" spans="9:10" x14ac:dyDescent="0.25">
      <c r="I746" s="37"/>
      <c r="J746" s="35"/>
    </row>
    <row r="747" spans="9:10" x14ac:dyDescent="0.25">
      <c r="I747" s="37"/>
      <c r="J747" s="35"/>
    </row>
    <row r="748" spans="9:10" x14ac:dyDescent="0.25">
      <c r="I748" s="37"/>
      <c r="J748" s="35"/>
    </row>
    <row r="749" spans="9:10" x14ac:dyDescent="0.25">
      <c r="I749" s="37"/>
      <c r="J749" s="35"/>
    </row>
    <row r="750" spans="9:10" x14ac:dyDescent="0.25">
      <c r="I750" s="37"/>
      <c r="J750" s="35"/>
    </row>
    <row r="751" spans="9:10" x14ac:dyDescent="0.25">
      <c r="I751" s="37"/>
      <c r="J751" s="35"/>
    </row>
    <row r="752" spans="9:10" x14ac:dyDescent="0.25">
      <c r="I752" s="37"/>
      <c r="J752" s="35"/>
    </row>
    <row r="753" spans="9:10" x14ac:dyDescent="0.25">
      <c r="I753" s="37"/>
      <c r="J753" s="35"/>
    </row>
    <row r="754" spans="9:10" x14ac:dyDescent="0.25">
      <c r="I754" s="37"/>
      <c r="J754" s="35"/>
    </row>
    <row r="755" spans="9:10" x14ac:dyDescent="0.25">
      <c r="I755" s="37"/>
      <c r="J755" s="35"/>
    </row>
    <row r="756" spans="9:10" x14ac:dyDescent="0.25">
      <c r="I756" s="37"/>
      <c r="J756" s="35"/>
    </row>
    <row r="757" spans="9:10" x14ac:dyDescent="0.25">
      <c r="I757" s="37"/>
      <c r="J757" s="35"/>
    </row>
    <row r="758" spans="9:10" x14ac:dyDescent="0.25">
      <c r="I758" s="37"/>
      <c r="J758" s="35"/>
    </row>
    <row r="759" spans="9:10" x14ac:dyDescent="0.25">
      <c r="I759" s="37"/>
      <c r="J759" s="35"/>
    </row>
    <row r="760" spans="9:10" x14ac:dyDescent="0.25">
      <c r="I760" s="37"/>
      <c r="J760" s="35"/>
    </row>
    <row r="761" spans="9:10" x14ac:dyDescent="0.25">
      <c r="I761" s="37"/>
      <c r="J761" s="35"/>
    </row>
    <row r="762" spans="9:10" x14ac:dyDescent="0.25">
      <c r="I762" s="37"/>
      <c r="J762" s="35"/>
    </row>
    <row r="763" spans="9:10" x14ac:dyDescent="0.25">
      <c r="I763" s="37"/>
      <c r="J763" s="35"/>
    </row>
    <row r="764" spans="9:10" x14ac:dyDescent="0.25">
      <c r="I764" s="37"/>
      <c r="J764" s="35"/>
    </row>
    <row r="765" spans="9:10" x14ac:dyDescent="0.25">
      <c r="I765" s="37"/>
      <c r="J765" s="35"/>
    </row>
    <row r="766" spans="9:10" x14ac:dyDescent="0.25">
      <c r="I766" s="37"/>
      <c r="J766" s="35"/>
    </row>
    <row r="767" spans="9:10" x14ac:dyDescent="0.25">
      <c r="I767" s="37"/>
      <c r="J767" s="35"/>
    </row>
    <row r="768" spans="9:10" x14ac:dyDescent="0.25">
      <c r="I768" s="37"/>
      <c r="J768" s="35"/>
    </row>
    <row r="769" spans="9:10" x14ac:dyDescent="0.25">
      <c r="I769" s="37"/>
      <c r="J769" s="35"/>
    </row>
    <row r="770" spans="9:10" x14ac:dyDescent="0.25">
      <c r="I770" s="37"/>
      <c r="J770" s="35"/>
    </row>
    <row r="771" spans="9:10" x14ac:dyDescent="0.25">
      <c r="I771" s="37"/>
      <c r="J771" s="35"/>
    </row>
    <row r="772" spans="9:10" x14ac:dyDescent="0.25">
      <c r="I772" s="37"/>
      <c r="J772" s="35"/>
    </row>
    <row r="773" spans="9:10" x14ac:dyDescent="0.25">
      <c r="I773" s="37"/>
      <c r="J773" s="35"/>
    </row>
    <row r="774" spans="9:10" x14ac:dyDescent="0.25">
      <c r="I774" s="37"/>
      <c r="J774" s="35"/>
    </row>
    <row r="775" spans="9:10" x14ac:dyDescent="0.25">
      <c r="I775" s="37"/>
      <c r="J775" s="35"/>
    </row>
    <row r="776" spans="9:10" x14ac:dyDescent="0.25">
      <c r="I776" s="37"/>
      <c r="J776" s="35"/>
    </row>
    <row r="777" spans="9:10" x14ac:dyDescent="0.25">
      <c r="I777" s="37"/>
      <c r="J777" s="35"/>
    </row>
    <row r="778" spans="9:10" x14ac:dyDescent="0.25">
      <c r="I778" s="37"/>
      <c r="J778" s="35"/>
    </row>
    <row r="779" spans="9:10" x14ac:dyDescent="0.25">
      <c r="I779" s="37"/>
      <c r="J779" s="35"/>
    </row>
    <row r="780" spans="9:10" x14ac:dyDescent="0.25">
      <c r="I780" s="37"/>
      <c r="J780" s="35"/>
    </row>
    <row r="781" spans="9:10" x14ac:dyDescent="0.25">
      <c r="I781" s="37"/>
      <c r="J781" s="35"/>
    </row>
    <row r="782" spans="9:10" x14ac:dyDescent="0.25">
      <c r="I782" s="37"/>
      <c r="J782" s="35"/>
    </row>
    <row r="783" spans="9:10" x14ac:dyDescent="0.25">
      <c r="I783" s="37"/>
      <c r="J783" s="35"/>
    </row>
    <row r="784" spans="9:10" x14ac:dyDescent="0.25">
      <c r="I784" s="37"/>
      <c r="J784" s="35"/>
    </row>
    <row r="785" spans="9:10" x14ac:dyDescent="0.25">
      <c r="I785" s="37"/>
      <c r="J785" s="35"/>
    </row>
    <row r="786" spans="9:10" x14ac:dyDescent="0.25">
      <c r="I786" s="37"/>
      <c r="J786" s="35"/>
    </row>
    <row r="787" spans="9:10" x14ac:dyDescent="0.25">
      <c r="I787" s="37"/>
      <c r="J787" s="35"/>
    </row>
    <row r="788" spans="9:10" x14ac:dyDescent="0.25">
      <c r="I788" s="37"/>
      <c r="J788" s="35"/>
    </row>
    <row r="789" spans="9:10" x14ac:dyDescent="0.25">
      <c r="I789" s="37"/>
      <c r="J789" s="35"/>
    </row>
    <row r="790" spans="9:10" x14ac:dyDescent="0.25">
      <c r="I790" s="37"/>
      <c r="J790" s="35"/>
    </row>
    <row r="791" spans="9:10" x14ac:dyDescent="0.25">
      <c r="I791" s="37"/>
      <c r="J791" s="35"/>
    </row>
    <row r="792" spans="9:10" x14ac:dyDescent="0.25">
      <c r="I792" s="37"/>
      <c r="J792" s="35"/>
    </row>
    <row r="793" spans="9:10" x14ac:dyDescent="0.25">
      <c r="I793" s="37"/>
      <c r="J793" s="35"/>
    </row>
    <row r="794" spans="9:10" x14ac:dyDescent="0.25">
      <c r="I794" s="37"/>
      <c r="J794" s="35"/>
    </row>
    <row r="795" spans="9:10" x14ac:dyDescent="0.25">
      <c r="I795" s="37"/>
      <c r="J795" s="35"/>
    </row>
    <row r="796" spans="9:10" x14ac:dyDescent="0.25">
      <c r="I796" s="37"/>
      <c r="J796" s="35"/>
    </row>
    <row r="797" spans="9:10" x14ac:dyDescent="0.25">
      <c r="I797" s="37"/>
      <c r="J797" s="35"/>
    </row>
    <row r="798" spans="9:10" x14ac:dyDescent="0.25">
      <c r="I798" s="37"/>
      <c r="J798" s="35"/>
    </row>
    <row r="799" spans="9:10" x14ac:dyDescent="0.25">
      <c r="I799" s="37"/>
      <c r="J799" s="35"/>
    </row>
    <row r="800" spans="9:10" x14ac:dyDescent="0.25">
      <c r="I800" s="37"/>
      <c r="J800" s="35"/>
    </row>
    <row r="801" spans="9:10" x14ac:dyDescent="0.25">
      <c r="I801" s="37"/>
      <c r="J801" s="35"/>
    </row>
    <row r="802" spans="9:10" x14ac:dyDescent="0.25">
      <c r="I802" s="37"/>
      <c r="J802" s="35"/>
    </row>
    <row r="803" spans="9:10" x14ac:dyDescent="0.25">
      <c r="I803" s="37"/>
      <c r="J803" s="35"/>
    </row>
    <row r="804" spans="9:10" x14ac:dyDescent="0.25">
      <c r="I804" s="37"/>
      <c r="J804" s="35"/>
    </row>
    <row r="805" spans="9:10" x14ac:dyDescent="0.25">
      <c r="I805" s="37"/>
      <c r="J805" s="35"/>
    </row>
    <row r="806" spans="9:10" x14ac:dyDescent="0.25">
      <c r="I806" s="37"/>
      <c r="J806" s="35"/>
    </row>
    <row r="807" spans="9:10" x14ac:dyDescent="0.25">
      <c r="I807" s="37"/>
      <c r="J807" s="35"/>
    </row>
    <row r="808" spans="9:10" x14ac:dyDescent="0.25">
      <c r="I808" s="37"/>
      <c r="J808" s="35"/>
    </row>
    <row r="809" spans="9:10" x14ac:dyDescent="0.25">
      <c r="I809" s="37"/>
      <c r="J809" s="35"/>
    </row>
    <row r="810" spans="9:10" x14ac:dyDescent="0.25">
      <c r="I810" s="37"/>
      <c r="J810" s="35"/>
    </row>
    <row r="811" spans="9:10" x14ac:dyDescent="0.25">
      <c r="I811" s="37"/>
      <c r="J811" s="35"/>
    </row>
    <row r="812" spans="9:10" x14ac:dyDescent="0.25">
      <c r="I812" s="37"/>
      <c r="J812" s="35"/>
    </row>
    <row r="813" spans="9:10" x14ac:dyDescent="0.25">
      <c r="I813" s="37"/>
      <c r="J813" s="35"/>
    </row>
    <row r="814" spans="9:10" x14ac:dyDescent="0.25">
      <c r="I814" s="37"/>
      <c r="J814" s="35"/>
    </row>
    <row r="815" spans="9:10" x14ac:dyDescent="0.25">
      <c r="I815" s="37"/>
      <c r="J815" s="35"/>
    </row>
    <row r="816" spans="9:10" x14ac:dyDescent="0.25">
      <c r="I816" s="37"/>
      <c r="J816" s="35"/>
    </row>
    <row r="817" spans="9:10" x14ac:dyDescent="0.25">
      <c r="I817" s="37"/>
      <c r="J817" s="35"/>
    </row>
    <row r="818" spans="9:10" x14ac:dyDescent="0.25">
      <c r="I818" s="37"/>
      <c r="J818" s="35"/>
    </row>
    <row r="819" spans="9:10" x14ac:dyDescent="0.25">
      <c r="I819" s="37"/>
      <c r="J819" s="35"/>
    </row>
    <row r="820" spans="9:10" x14ac:dyDescent="0.25">
      <c r="I820" s="37"/>
      <c r="J820" s="35"/>
    </row>
    <row r="821" spans="9:10" x14ac:dyDescent="0.25">
      <c r="I821" s="37"/>
      <c r="J821" s="35"/>
    </row>
    <row r="822" spans="9:10" x14ac:dyDescent="0.25">
      <c r="I822" s="37"/>
      <c r="J822" s="35"/>
    </row>
    <row r="823" spans="9:10" x14ac:dyDescent="0.25">
      <c r="I823" s="37"/>
      <c r="J823" s="35"/>
    </row>
    <row r="824" spans="9:10" x14ac:dyDescent="0.25">
      <c r="I824" s="37"/>
      <c r="J824" s="35"/>
    </row>
    <row r="825" spans="9:10" x14ac:dyDescent="0.25">
      <c r="I825" s="37"/>
      <c r="J825" s="35"/>
    </row>
    <row r="826" spans="9:10" x14ac:dyDescent="0.25">
      <c r="I826" s="37"/>
      <c r="J826" s="35"/>
    </row>
    <row r="827" spans="9:10" x14ac:dyDescent="0.25">
      <c r="I827" s="37"/>
      <c r="J827" s="35"/>
    </row>
    <row r="828" spans="9:10" x14ac:dyDescent="0.25">
      <c r="I828" s="37"/>
      <c r="J828" s="35"/>
    </row>
    <row r="829" spans="9:10" x14ac:dyDescent="0.25">
      <c r="I829" s="37"/>
      <c r="J829" s="35"/>
    </row>
    <row r="830" spans="9:10" x14ac:dyDescent="0.25">
      <c r="I830" s="37"/>
      <c r="J830" s="35"/>
    </row>
    <row r="831" spans="9:10" x14ac:dyDescent="0.25">
      <c r="I831" s="37"/>
      <c r="J831" s="35"/>
    </row>
    <row r="832" spans="9:10" x14ac:dyDescent="0.25">
      <c r="I832" s="37"/>
      <c r="J832" s="35"/>
    </row>
    <row r="833" spans="9:10" x14ac:dyDescent="0.25">
      <c r="I833" s="37"/>
      <c r="J833" s="35"/>
    </row>
    <row r="834" spans="9:10" x14ac:dyDescent="0.25">
      <c r="I834" s="37"/>
      <c r="J834" s="35"/>
    </row>
    <row r="835" spans="9:10" x14ac:dyDescent="0.25">
      <c r="I835" s="37"/>
      <c r="J835" s="35"/>
    </row>
    <row r="836" spans="9:10" x14ac:dyDescent="0.25">
      <c r="I836" s="37"/>
      <c r="J836" s="35"/>
    </row>
    <row r="837" spans="9:10" x14ac:dyDescent="0.25">
      <c r="I837" s="37"/>
      <c r="J837" s="35"/>
    </row>
    <row r="838" spans="9:10" x14ac:dyDescent="0.25">
      <c r="I838" s="37"/>
      <c r="J838" s="35"/>
    </row>
    <row r="839" spans="9:10" x14ac:dyDescent="0.25">
      <c r="I839" s="37"/>
      <c r="J839" s="35"/>
    </row>
    <row r="840" spans="9:10" x14ac:dyDescent="0.25">
      <c r="I840" s="37"/>
      <c r="J840" s="35"/>
    </row>
    <row r="841" spans="9:10" x14ac:dyDescent="0.25">
      <c r="I841" s="37"/>
      <c r="J841" s="35"/>
    </row>
    <row r="842" spans="9:10" x14ac:dyDescent="0.25">
      <c r="I842" s="37"/>
      <c r="J842" s="35"/>
    </row>
    <row r="843" spans="9:10" x14ac:dyDescent="0.25">
      <c r="I843" s="37"/>
      <c r="J843" s="35"/>
    </row>
    <row r="844" spans="9:10" x14ac:dyDescent="0.25">
      <c r="I844" s="37"/>
      <c r="J844" s="35"/>
    </row>
    <row r="845" spans="9:10" x14ac:dyDescent="0.25">
      <c r="I845" s="37"/>
      <c r="J845" s="35"/>
    </row>
    <row r="846" spans="9:10" x14ac:dyDescent="0.25">
      <c r="I846" s="37"/>
      <c r="J846" s="35"/>
    </row>
    <row r="847" spans="9:10" x14ac:dyDescent="0.25">
      <c r="I847" s="37"/>
      <c r="J847" s="35"/>
    </row>
    <row r="848" spans="9:10" x14ac:dyDescent="0.25">
      <c r="I848" s="37"/>
      <c r="J848" s="35"/>
    </row>
    <row r="849" spans="9:10" x14ac:dyDescent="0.25">
      <c r="I849" s="37"/>
      <c r="J849" s="35"/>
    </row>
    <row r="850" spans="9:10" x14ac:dyDescent="0.25">
      <c r="I850" s="37"/>
      <c r="J850" s="35"/>
    </row>
    <row r="851" spans="9:10" x14ac:dyDescent="0.25">
      <c r="I851" s="37"/>
      <c r="J851" s="35"/>
    </row>
    <row r="852" spans="9:10" x14ac:dyDescent="0.25">
      <c r="I852" s="37"/>
      <c r="J852" s="35"/>
    </row>
    <row r="853" spans="9:10" x14ac:dyDescent="0.25">
      <c r="I853" s="37"/>
      <c r="J853" s="35"/>
    </row>
    <row r="854" spans="9:10" x14ac:dyDescent="0.25">
      <c r="I854" s="37"/>
      <c r="J854" s="35"/>
    </row>
    <row r="855" spans="9:10" x14ac:dyDescent="0.25">
      <c r="I855" s="37"/>
      <c r="J855" s="35"/>
    </row>
    <row r="856" spans="9:10" x14ac:dyDescent="0.25">
      <c r="I856" s="37"/>
      <c r="J856" s="35"/>
    </row>
    <row r="857" spans="9:10" x14ac:dyDescent="0.25">
      <c r="I857" s="37"/>
      <c r="J857" s="35"/>
    </row>
    <row r="858" spans="9:10" x14ac:dyDescent="0.25">
      <c r="I858" s="37"/>
      <c r="J858" s="35"/>
    </row>
    <row r="859" spans="9:10" x14ac:dyDescent="0.25">
      <c r="I859" s="37"/>
      <c r="J859" s="35"/>
    </row>
    <row r="860" spans="9:10" x14ac:dyDescent="0.25">
      <c r="I860" s="37"/>
      <c r="J860" s="35"/>
    </row>
    <row r="861" spans="9:10" x14ac:dyDescent="0.25">
      <c r="I861" s="37"/>
      <c r="J861" s="35"/>
    </row>
    <row r="862" spans="9:10" x14ac:dyDescent="0.25">
      <c r="I862" s="37"/>
      <c r="J862" s="35"/>
    </row>
    <row r="863" spans="9:10" x14ac:dyDescent="0.25">
      <c r="I863" s="37"/>
      <c r="J863" s="35"/>
    </row>
    <row r="864" spans="9:10" x14ac:dyDescent="0.25">
      <c r="I864" s="37"/>
      <c r="J864" s="35"/>
    </row>
    <row r="865" spans="9:10" x14ac:dyDescent="0.25">
      <c r="I865" s="37"/>
      <c r="J865" s="35"/>
    </row>
    <row r="866" spans="9:10" x14ac:dyDescent="0.25">
      <c r="I866" s="37"/>
      <c r="J866" s="35"/>
    </row>
    <row r="867" spans="9:10" x14ac:dyDescent="0.25">
      <c r="I867" s="37"/>
      <c r="J867" s="35"/>
    </row>
    <row r="868" spans="9:10" x14ac:dyDescent="0.25">
      <c r="I868" s="37"/>
      <c r="J868" s="35"/>
    </row>
    <row r="869" spans="9:10" x14ac:dyDescent="0.25">
      <c r="I869" s="37"/>
      <c r="J869" s="35"/>
    </row>
    <row r="870" spans="9:10" x14ac:dyDescent="0.25">
      <c r="I870" s="37"/>
      <c r="J870" s="35"/>
    </row>
    <row r="871" spans="9:10" x14ac:dyDescent="0.25">
      <c r="I871" s="37"/>
      <c r="J871" s="35"/>
    </row>
    <row r="872" spans="9:10" x14ac:dyDescent="0.25">
      <c r="I872" s="37"/>
      <c r="J872" s="35"/>
    </row>
    <row r="873" spans="9:10" x14ac:dyDescent="0.25">
      <c r="I873" s="37"/>
      <c r="J873" s="35"/>
    </row>
    <row r="874" spans="9:10" x14ac:dyDescent="0.25">
      <c r="I874" s="37"/>
      <c r="J874" s="35"/>
    </row>
    <row r="875" spans="9:10" x14ac:dyDescent="0.25">
      <c r="I875" s="37"/>
      <c r="J875" s="35"/>
    </row>
    <row r="876" spans="9:10" x14ac:dyDescent="0.25">
      <c r="I876" s="37"/>
      <c r="J876" s="35"/>
    </row>
    <row r="877" spans="9:10" x14ac:dyDescent="0.25">
      <c r="I877" s="37"/>
      <c r="J877" s="35"/>
    </row>
    <row r="878" spans="9:10" x14ac:dyDescent="0.25">
      <c r="I878" s="37"/>
      <c r="J878" s="35"/>
    </row>
    <row r="879" spans="9:10" x14ac:dyDescent="0.25">
      <c r="I879" s="37"/>
      <c r="J879" s="35"/>
    </row>
    <row r="880" spans="9:10" x14ac:dyDescent="0.25">
      <c r="I880" s="37"/>
      <c r="J880" s="35"/>
    </row>
    <row r="881" spans="9:10" x14ac:dyDescent="0.25">
      <c r="I881" s="37"/>
      <c r="J881" s="35"/>
    </row>
    <row r="882" spans="9:10" x14ac:dyDescent="0.25">
      <c r="I882" s="37"/>
      <c r="J882" s="35"/>
    </row>
    <row r="883" spans="9:10" x14ac:dyDescent="0.25">
      <c r="I883" s="37"/>
      <c r="J883" s="35"/>
    </row>
    <row r="884" spans="9:10" x14ac:dyDescent="0.25">
      <c r="I884" s="37"/>
      <c r="J884" s="35"/>
    </row>
    <row r="885" spans="9:10" x14ac:dyDescent="0.25">
      <c r="I885" s="37"/>
      <c r="J885" s="35"/>
    </row>
    <row r="886" spans="9:10" x14ac:dyDescent="0.25">
      <c r="I886" s="37"/>
      <c r="J886" s="35"/>
    </row>
    <row r="887" spans="9:10" x14ac:dyDescent="0.25">
      <c r="I887" s="37"/>
      <c r="J887" s="35"/>
    </row>
    <row r="888" spans="9:10" x14ac:dyDescent="0.25">
      <c r="I888" s="37"/>
      <c r="J888" s="35"/>
    </row>
    <row r="889" spans="9:10" x14ac:dyDescent="0.25">
      <c r="I889" s="37"/>
      <c r="J889" s="35"/>
    </row>
    <row r="890" spans="9:10" x14ac:dyDescent="0.25">
      <c r="I890" s="37"/>
      <c r="J890" s="35"/>
    </row>
    <row r="891" spans="9:10" x14ac:dyDescent="0.25">
      <c r="I891" s="37"/>
      <c r="J891" s="35"/>
    </row>
    <row r="892" spans="9:10" x14ac:dyDescent="0.25">
      <c r="I892" s="37"/>
      <c r="J892" s="35"/>
    </row>
    <row r="893" spans="9:10" x14ac:dyDescent="0.25">
      <c r="I893" s="37"/>
      <c r="J893" s="35"/>
    </row>
    <row r="894" spans="9:10" x14ac:dyDescent="0.25">
      <c r="I894" s="37"/>
      <c r="J894" s="35"/>
    </row>
    <row r="895" spans="9:10" x14ac:dyDescent="0.25">
      <c r="I895" s="37"/>
      <c r="J895" s="35"/>
    </row>
    <row r="896" spans="9:10" x14ac:dyDescent="0.25">
      <c r="I896" s="37"/>
      <c r="J896" s="35"/>
    </row>
    <row r="897" spans="9:10" x14ac:dyDescent="0.25">
      <c r="I897" s="37"/>
      <c r="J897" s="35"/>
    </row>
    <row r="898" spans="9:10" x14ac:dyDescent="0.25">
      <c r="I898" s="37"/>
      <c r="J898" s="35"/>
    </row>
    <row r="899" spans="9:10" x14ac:dyDescent="0.25">
      <c r="I899" s="37"/>
      <c r="J899" s="35"/>
    </row>
    <row r="900" spans="9:10" x14ac:dyDescent="0.25">
      <c r="I900" s="37"/>
      <c r="J900" s="35"/>
    </row>
    <row r="901" spans="9:10" x14ac:dyDescent="0.25">
      <c r="I901" s="37"/>
      <c r="J901" s="35"/>
    </row>
    <row r="902" spans="9:10" x14ac:dyDescent="0.25">
      <c r="I902" s="37"/>
      <c r="J902" s="35"/>
    </row>
    <row r="903" spans="9:10" x14ac:dyDescent="0.25">
      <c r="I903" s="37"/>
      <c r="J903" s="35"/>
    </row>
    <row r="904" spans="9:10" x14ac:dyDescent="0.25">
      <c r="I904" s="37"/>
      <c r="J904" s="35"/>
    </row>
    <row r="905" spans="9:10" x14ac:dyDescent="0.25">
      <c r="I905" s="37"/>
      <c r="J905" s="35"/>
    </row>
    <row r="906" spans="9:10" x14ac:dyDescent="0.25">
      <c r="I906" s="37"/>
      <c r="J906" s="35"/>
    </row>
    <row r="907" spans="9:10" x14ac:dyDescent="0.25">
      <c r="I907" s="37"/>
      <c r="J907" s="35"/>
    </row>
    <row r="908" spans="9:10" x14ac:dyDescent="0.25">
      <c r="I908" s="37"/>
      <c r="J908" s="35"/>
    </row>
    <row r="909" spans="9:10" x14ac:dyDescent="0.25">
      <c r="I909" s="37"/>
      <c r="J909" s="35"/>
    </row>
    <row r="910" spans="9:10" x14ac:dyDescent="0.25">
      <c r="I910" s="37"/>
      <c r="J910" s="35"/>
    </row>
    <row r="911" spans="9:10" x14ac:dyDescent="0.25">
      <c r="I911" s="37"/>
      <c r="J911" s="35"/>
    </row>
    <row r="912" spans="9:10" x14ac:dyDescent="0.25">
      <c r="I912" s="37"/>
      <c r="J912" s="35"/>
    </row>
    <row r="913" spans="9:10" x14ac:dyDescent="0.25">
      <c r="I913" s="37"/>
      <c r="J913" s="35"/>
    </row>
    <row r="914" spans="9:10" x14ac:dyDescent="0.25">
      <c r="I914" s="37"/>
      <c r="J914" s="35"/>
    </row>
    <row r="915" spans="9:10" x14ac:dyDescent="0.25">
      <c r="I915" s="37"/>
      <c r="J915" s="35"/>
    </row>
    <row r="916" spans="9:10" x14ac:dyDescent="0.25">
      <c r="I916" s="37"/>
      <c r="J916" s="35"/>
    </row>
    <row r="917" spans="9:10" x14ac:dyDescent="0.25">
      <c r="I917" s="37"/>
      <c r="J917" s="35"/>
    </row>
    <row r="918" spans="9:10" x14ac:dyDescent="0.25">
      <c r="I918" s="37"/>
      <c r="J918" s="35"/>
    </row>
    <row r="919" spans="9:10" x14ac:dyDescent="0.25">
      <c r="I919" s="37"/>
      <c r="J919" s="35"/>
    </row>
    <row r="920" spans="9:10" x14ac:dyDescent="0.25">
      <c r="I920" s="37"/>
      <c r="J920" s="35"/>
    </row>
    <row r="921" spans="9:10" x14ac:dyDescent="0.25">
      <c r="I921" s="37"/>
      <c r="J921" s="35"/>
    </row>
    <row r="922" spans="9:10" x14ac:dyDescent="0.25">
      <c r="I922" s="37"/>
      <c r="J922" s="35"/>
    </row>
    <row r="923" spans="9:10" x14ac:dyDescent="0.25">
      <c r="I923" s="37"/>
      <c r="J923" s="35"/>
    </row>
    <row r="924" spans="9:10" x14ac:dyDescent="0.25">
      <c r="I924" s="37"/>
      <c r="J924" s="35"/>
    </row>
    <row r="925" spans="9:10" x14ac:dyDescent="0.25">
      <c r="I925" s="37"/>
      <c r="J925" s="35"/>
    </row>
    <row r="926" spans="9:10" x14ac:dyDescent="0.25">
      <c r="I926" s="37"/>
      <c r="J926" s="35"/>
    </row>
    <row r="927" spans="9:10" x14ac:dyDescent="0.25">
      <c r="I927" s="37"/>
      <c r="J927" s="35"/>
    </row>
    <row r="928" spans="9:10" x14ac:dyDescent="0.25">
      <c r="I928" s="37"/>
      <c r="J928" s="35"/>
    </row>
    <row r="929" spans="9:10" x14ac:dyDescent="0.25">
      <c r="I929" s="37"/>
      <c r="J929" s="35"/>
    </row>
    <row r="930" spans="9:10" x14ac:dyDescent="0.25">
      <c r="I930" s="37"/>
      <c r="J930" s="35"/>
    </row>
    <row r="931" spans="9:10" x14ac:dyDescent="0.25">
      <c r="I931" s="37"/>
      <c r="J931" s="35"/>
    </row>
    <row r="932" spans="9:10" x14ac:dyDescent="0.25">
      <c r="I932" s="37"/>
      <c r="J932" s="35"/>
    </row>
    <row r="933" spans="9:10" x14ac:dyDescent="0.25">
      <c r="I933" s="37"/>
      <c r="J933" s="35"/>
    </row>
    <row r="934" spans="9:10" x14ac:dyDescent="0.25">
      <c r="I934" s="37"/>
      <c r="J934" s="35"/>
    </row>
    <row r="935" spans="9:10" x14ac:dyDescent="0.25">
      <c r="I935" s="37"/>
      <c r="J935" s="35"/>
    </row>
    <row r="936" spans="9:10" x14ac:dyDescent="0.25">
      <c r="I936" s="37"/>
      <c r="J936" s="35"/>
    </row>
    <row r="937" spans="9:10" x14ac:dyDescent="0.25">
      <c r="I937" s="37"/>
      <c r="J937" s="35"/>
    </row>
    <row r="938" spans="9:10" x14ac:dyDescent="0.25">
      <c r="I938" s="37"/>
      <c r="J938" s="35"/>
    </row>
    <row r="939" spans="9:10" x14ac:dyDescent="0.25">
      <c r="I939" s="37"/>
      <c r="J939" s="35"/>
    </row>
    <row r="940" spans="9:10" x14ac:dyDescent="0.25">
      <c r="I940" s="37"/>
      <c r="J940" s="35"/>
    </row>
    <row r="941" spans="9:10" x14ac:dyDescent="0.25">
      <c r="I941" s="37"/>
      <c r="J941" s="35"/>
    </row>
    <row r="942" spans="9:10" x14ac:dyDescent="0.25">
      <c r="I942" s="37"/>
      <c r="J942" s="35"/>
    </row>
    <row r="943" spans="9:10" x14ac:dyDescent="0.25">
      <c r="I943" s="37"/>
      <c r="J943" s="35"/>
    </row>
    <row r="944" spans="9:10" x14ac:dyDescent="0.25">
      <c r="I944" s="37"/>
      <c r="J944" s="35"/>
    </row>
    <row r="945" spans="9:10" x14ac:dyDescent="0.25">
      <c r="I945" s="37"/>
      <c r="J945" s="35"/>
    </row>
    <row r="946" spans="9:10" x14ac:dyDescent="0.25">
      <c r="I946" s="37"/>
      <c r="J946" s="35"/>
    </row>
    <row r="947" spans="9:10" x14ac:dyDescent="0.25">
      <c r="I947" s="37"/>
      <c r="J947" s="35"/>
    </row>
    <row r="948" spans="9:10" x14ac:dyDescent="0.25">
      <c r="I948" s="37"/>
      <c r="J948" s="35"/>
    </row>
    <row r="949" spans="9:10" x14ac:dyDescent="0.25">
      <c r="I949" s="37"/>
      <c r="J949" s="35"/>
    </row>
    <row r="950" spans="9:10" x14ac:dyDescent="0.25">
      <c r="I950" s="37"/>
      <c r="J950" s="35"/>
    </row>
    <row r="951" spans="9:10" x14ac:dyDescent="0.25">
      <c r="I951" s="37"/>
      <c r="J951" s="35"/>
    </row>
    <row r="952" spans="9:10" x14ac:dyDescent="0.25">
      <c r="I952" s="37"/>
      <c r="J952" s="35"/>
    </row>
    <row r="953" spans="9:10" x14ac:dyDescent="0.25">
      <c r="I953" s="37"/>
      <c r="J953" s="35"/>
    </row>
    <row r="954" spans="9:10" x14ac:dyDescent="0.25">
      <c r="I954" s="37"/>
      <c r="J954" s="35"/>
    </row>
    <row r="955" spans="9:10" x14ac:dyDescent="0.25">
      <c r="I955" s="37"/>
      <c r="J955" s="35"/>
    </row>
    <row r="956" spans="9:10" x14ac:dyDescent="0.25">
      <c r="I956" s="37"/>
      <c r="J956" s="35"/>
    </row>
    <row r="957" spans="9:10" x14ac:dyDescent="0.25">
      <c r="I957" s="37"/>
      <c r="J957" s="35"/>
    </row>
    <row r="958" spans="9:10" x14ac:dyDescent="0.25">
      <c r="I958" s="37"/>
      <c r="J958" s="35"/>
    </row>
    <row r="959" spans="9:10" x14ac:dyDescent="0.25">
      <c r="I959" s="37"/>
      <c r="J959" s="35"/>
    </row>
    <row r="960" spans="9:10" x14ac:dyDescent="0.25">
      <c r="I960" s="37"/>
      <c r="J960" s="35"/>
    </row>
    <row r="961" spans="9:10" x14ac:dyDescent="0.25">
      <c r="I961" s="37"/>
      <c r="J961" s="35"/>
    </row>
    <row r="962" spans="9:10" x14ac:dyDescent="0.25">
      <c r="I962" s="37"/>
      <c r="J962" s="35"/>
    </row>
    <row r="963" spans="9:10" x14ac:dyDescent="0.25">
      <c r="I963" s="37"/>
      <c r="J963" s="35"/>
    </row>
    <row r="964" spans="9:10" x14ac:dyDescent="0.25">
      <c r="I964" s="37"/>
      <c r="J964" s="35"/>
    </row>
    <row r="965" spans="9:10" x14ac:dyDescent="0.25">
      <c r="I965" s="37"/>
      <c r="J965" s="35"/>
    </row>
    <row r="966" spans="9:10" x14ac:dyDescent="0.25">
      <c r="I966" s="37"/>
      <c r="J966" s="35"/>
    </row>
    <row r="967" spans="9:10" x14ac:dyDescent="0.25">
      <c r="I967" s="37"/>
      <c r="J967" s="35"/>
    </row>
    <row r="968" spans="9:10" x14ac:dyDescent="0.25">
      <c r="I968" s="37"/>
      <c r="J968" s="35"/>
    </row>
    <row r="969" spans="9:10" x14ac:dyDescent="0.25">
      <c r="I969" s="37"/>
      <c r="J969" s="35"/>
    </row>
    <row r="970" spans="9:10" x14ac:dyDescent="0.25">
      <c r="I970" s="37"/>
      <c r="J970" s="35"/>
    </row>
    <row r="971" spans="9:10" x14ac:dyDescent="0.25">
      <c r="I971" s="37"/>
      <c r="J971" s="35"/>
    </row>
    <row r="972" spans="9:10" x14ac:dyDescent="0.25">
      <c r="I972" s="37"/>
      <c r="J972" s="35"/>
    </row>
    <row r="973" spans="9:10" x14ac:dyDescent="0.25">
      <c r="I973" s="37"/>
      <c r="J973" s="35"/>
    </row>
    <row r="974" spans="9:10" x14ac:dyDescent="0.25">
      <c r="I974" s="37"/>
      <c r="J974" s="35"/>
    </row>
    <row r="975" spans="9:10" x14ac:dyDescent="0.25">
      <c r="I975" s="37"/>
      <c r="J975" s="35"/>
    </row>
    <row r="976" spans="9:10" x14ac:dyDescent="0.25">
      <c r="I976" s="37"/>
      <c r="J976" s="35"/>
    </row>
    <row r="977" spans="9:10" x14ac:dyDescent="0.25">
      <c r="I977" s="37"/>
      <c r="J977" s="35"/>
    </row>
    <row r="978" spans="9:10" x14ac:dyDescent="0.25">
      <c r="I978" s="37"/>
      <c r="J978" s="35"/>
    </row>
    <row r="979" spans="9:10" x14ac:dyDescent="0.25">
      <c r="I979" s="37"/>
      <c r="J979" s="35"/>
    </row>
    <row r="980" spans="9:10" x14ac:dyDescent="0.25">
      <c r="I980" s="37"/>
      <c r="J980" s="35"/>
    </row>
    <row r="981" spans="9:10" x14ac:dyDescent="0.25">
      <c r="I981" s="37"/>
      <c r="J981" s="35"/>
    </row>
    <row r="982" spans="9:10" x14ac:dyDescent="0.25">
      <c r="I982" s="37"/>
      <c r="J982" s="35"/>
    </row>
    <row r="983" spans="9:10" x14ac:dyDescent="0.25">
      <c r="I983" s="37"/>
      <c r="J983" s="35"/>
    </row>
    <row r="984" spans="9:10" x14ac:dyDescent="0.25">
      <c r="I984" s="37"/>
      <c r="J984" s="35"/>
    </row>
    <row r="985" spans="9:10" x14ac:dyDescent="0.25">
      <c r="I985" s="37"/>
      <c r="J985" s="35"/>
    </row>
    <row r="986" spans="9:10" x14ac:dyDescent="0.25">
      <c r="I986" s="37"/>
      <c r="J986" s="35"/>
    </row>
    <row r="987" spans="9:10" x14ac:dyDescent="0.25">
      <c r="I987" s="37"/>
      <c r="J987" s="35"/>
    </row>
    <row r="988" spans="9:10" x14ac:dyDescent="0.25">
      <c r="I988" s="37"/>
      <c r="J988" s="35"/>
    </row>
    <row r="989" spans="9:10" x14ac:dyDescent="0.25">
      <c r="I989" s="37"/>
      <c r="J989" s="35"/>
    </row>
    <row r="990" spans="9:10" x14ac:dyDescent="0.25">
      <c r="I990" s="37"/>
      <c r="J990" s="35"/>
    </row>
    <row r="991" spans="9:10" x14ac:dyDescent="0.25">
      <c r="I991" s="37"/>
      <c r="J991" s="35"/>
    </row>
    <row r="992" spans="9:10" x14ac:dyDescent="0.25">
      <c r="I992" s="37"/>
      <c r="J992" s="35"/>
    </row>
    <row r="993" spans="9:10" x14ac:dyDescent="0.25">
      <c r="I993" s="37"/>
      <c r="J993" s="35"/>
    </row>
    <row r="994" spans="9:10" x14ac:dyDescent="0.25">
      <c r="I994" s="37"/>
      <c r="J994" s="35"/>
    </row>
    <row r="995" spans="9:10" x14ac:dyDescent="0.25">
      <c r="I995" s="37"/>
      <c r="J995" s="35"/>
    </row>
    <row r="996" spans="9:10" x14ac:dyDescent="0.25">
      <c r="I996" s="37"/>
      <c r="J996" s="35"/>
    </row>
    <row r="997" spans="9:10" x14ac:dyDescent="0.25">
      <c r="I997" s="37"/>
      <c r="J997" s="35"/>
    </row>
    <row r="998" spans="9:10" x14ac:dyDescent="0.25">
      <c r="I998" s="37"/>
      <c r="J998" s="35"/>
    </row>
    <row r="999" spans="9:10" x14ac:dyDescent="0.25">
      <c r="I999" s="37"/>
      <c r="J999" s="35"/>
    </row>
    <row r="1000" spans="9:10" x14ac:dyDescent="0.25">
      <c r="I1000" s="37"/>
      <c r="J1000" s="35"/>
    </row>
    <row r="1001" spans="9:10" x14ac:dyDescent="0.25">
      <c r="I1001" s="37"/>
      <c r="J1001" s="35"/>
    </row>
    <row r="1002" spans="9:10" x14ac:dyDescent="0.25">
      <c r="I1002" s="37"/>
      <c r="J1002" s="35"/>
    </row>
    <row r="1003" spans="9:10" x14ac:dyDescent="0.25">
      <c r="I1003" s="37"/>
      <c r="J1003" s="35"/>
    </row>
    <row r="1004" spans="9:10" x14ac:dyDescent="0.25">
      <c r="I1004" s="37"/>
      <c r="J1004" s="35"/>
    </row>
    <row r="1005" spans="9:10" x14ac:dyDescent="0.25">
      <c r="I1005" s="37"/>
      <c r="J1005" s="35"/>
    </row>
    <row r="1006" spans="9:10" x14ac:dyDescent="0.25">
      <c r="I1006" s="37"/>
      <c r="J1006" s="35"/>
    </row>
    <row r="1007" spans="9:10" x14ac:dyDescent="0.25">
      <c r="I1007" s="37"/>
      <c r="J1007" s="35"/>
    </row>
    <row r="1008" spans="9:10" x14ac:dyDescent="0.25">
      <c r="I1008" s="37"/>
      <c r="J1008" s="35"/>
    </row>
    <row r="1009" spans="9:10" x14ac:dyDescent="0.25">
      <c r="I1009" s="37"/>
      <c r="J1009" s="35"/>
    </row>
    <row r="1010" spans="9:10" x14ac:dyDescent="0.25">
      <c r="I1010" s="37"/>
      <c r="J1010" s="35"/>
    </row>
    <row r="1011" spans="9:10" x14ac:dyDescent="0.25">
      <c r="I1011" s="37"/>
      <c r="J1011" s="35"/>
    </row>
    <row r="1012" spans="9:10" x14ac:dyDescent="0.25">
      <c r="I1012" s="37"/>
      <c r="J1012" s="35"/>
    </row>
    <row r="1013" spans="9:10" x14ac:dyDescent="0.25">
      <c r="I1013" s="37"/>
      <c r="J1013" s="35"/>
    </row>
    <row r="1014" spans="9:10" x14ac:dyDescent="0.25">
      <c r="I1014" s="37"/>
      <c r="J1014" s="35"/>
    </row>
    <row r="1015" spans="9:10" x14ac:dyDescent="0.25">
      <c r="I1015" s="37"/>
      <c r="J1015" s="35"/>
    </row>
    <row r="1016" spans="9:10" x14ac:dyDescent="0.25">
      <c r="I1016" s="37"/>
      <c r="J1016" s="35"/>
    </row>
    <row r="1017" spans="9:10" x14ac:dyDescent="0.25">
      <c r="I1017" s="37"/>
      <c r="J1017" s="35"/>
    </row>
    <row r="1018" spans="9:10" x14ac:dyDescent="0.25">
      <c r="I1018" s="37"/>
      <c r="J1018" s="35"/>
    </row>
    <row r="1019" spans="9:10" x14ac:dyDescent="0.25">
      <c r="I1019" s="37"/>
      <c r="J1019" s="35"/>
    </row>
    <row r="1020" spans="9:10" x14ac:dyDescent="0.25">
      <c r="I1020" s="37"/>
      <c r="J1020" s="35"/>
    </row>
    <row r="1021" spans="9:10" x14ac:dyDescent="0.25">
      <c r="I1021" s="37"/>
      <c r="J1021" s="35"/>
    </row>
    <row r="1022" spans="9:10" x14ac:dyDescent="0.25">
      <c r="I1022" s="37"/>
      <c r="J1022" s="35"/>
    </row>
    <row r="1023" spans="9:10" x14ac:dyDescent="0.25">
      <c r="I1023" s="37"/>
      <c r="J1023" s="35"/>
    </row>
    <row r="1024" spans="9:10" x14ac:dyDescent="0.25">
      <c r="I1024" s="37"/>
      <c r="J1024" s="35"/>
    </row>
    <row r="1025" spans="9:10" x14ac:dyDescent="0.25">
      <c r="I1025" s="37"/>
      <c r="J1025" s="35"/>
    </row>
    <row r="1026" spans="9:10" x14ac:dyDescent="0.25">
      <c r="I1026" s="37"/>
      <c r="J1026" s="35"/>
    </row>
    <row r="1027" spans="9:10" x14ac:dyDescent="0.25">
      <c r="I1027" s="37"/>
      <c r="J1027" s="35"/>
    </row>
    <row r="1028" spans="9:10" x14ac:dyDescent="0.25">
      <c r="I1028" s="37"/>
      <c r="J1028" s="35"/>
    </row>
    <row r="1029" spans="9:10" x14ac:dyDescent="0.25">
      <c r="I1029" s="37"/>
      <c r="J1029" s="35"/>
    </row>
    <row r="1030" spans="9:10" x14ac:dyDescent="0.25">
      <c r="I1030" s="37"/>
      <c r="J1030" s="35"/>
    </row>
    <row r="1031" spans="9:10" x14ac:dyDescent="0.25">
      <c r="I1031" s="37"/>
      <c r="J1031" s="35"/>
    </row>
    <row r="1032" spans="9:10" x14ac:dyDescent="0.25">
      <c r="I1032" s="37"/>
      <c r="J1032" s="35"/>
    </row>
    <row r="1033" spans="9:10" x14ac:dyDescent="0.25">
      <c r="I1033" s="37"/>
      <c r="J1033" s="35"/>
    </row>
    <row r="1034" spans="9:10" x14ac:dyDescent="0.25">
      <c r="I1034" s="37"/>
      <c r="J1034" s="35"/>
    </row>
    <row r="1035" spans="9:10" x14ac:dyDescent="0.25">
      <c r="I1035" s="37"/>
      <c r="J1035" s="35"/>
    </row>
    <row r="1036" spans="9:10" x14ac:dyDescent="0.25">
      <c r="I1036" s="37"/>
      <c r="J1036" s="35"/>
    </row>
    <row r="1037" spans="9:10" x14ac:dyDescent="0.25">
      <c r="I1037" s="37"/>
      <c r="J1037" s="35"/>
    </row>
    <row r="1038" spans="9:10" x14ac:dyDescent="0.25">
      <c r="I1038" s="37"/>
      <c r="J1038" s="35"/>
    </row>
    <row r="1039" spans="9:10" x14ac:dyDescent="0.25">
      <c r="I1039" s="37"/>
      <c r="J1039" s="35"/>
    </row>
    <row r="1040" spans="9:10" x14ac:dyDescent="0.25">
      <c r="I1040" s="37"/>
      <c r="J1040" s="35"/>
    </row>
    <row r="1041" spans="9:10" x14ac:dyDescent="0.25">
      <c r="I1041" s="37"/>
      <c r="J1041" s="35"/>
    </row>
    <row r="1042" spans="9:10" x14ac:dyDescent="0.25">
      <c r="I1042" s="37"/>
      <c r="J1042" s="35"/>
    </row>
    <row r="1043" spans="9:10" x14ac:dyDescent="0.25">
      <c r="I1043" s="37"/>
      <c r="J1043" s="35"/>
    </row>
    <row r="1044" spans="9:10" x14ac:dyDescent="0.25">
      <c r="I1044" s="37"/>
      <c r="J1044" s="35"/>
    </row>
    <row r="1045" spans="9:10" x14ac:dyDescent="0.25">
      <c r="I1045" s="37"/>
      <c r="J1045" s="35"/>
    </row>
    <row r="1046" spans="9:10" x14ac:dyDescent="0.25">
      <c r="I1046" s="37"/>
      <c r="J1046" s="35"/>
    </row>
    <row r="1047" spans="9:10" x14ac:dyDescent="0.25">
      <c r="I1047" s="37"/>
      <c r="J1047" s="35"/>
    </row>
    <row r="1048" spans="9:10" x14ac:dyDescent="0.25">
      <c r="I1048" s="37"/>
      <c r="J1048" s="35"/>
    </row>
    <row r="1049" spans="9:10" x14ac:dyDescent="0.25">
      <c r="I1049" s="37"/>
      <c r="J1049" s="35"/>
    </row>
    <row r="1050" spans="9:10" x14ac:dyDescent="0.25">
      <c r="I1050" s="37"/>
      <c r="J1050" s="35"/>
    </row>
    <row r="1051" spans="9:10" x14ac:dyDescent="0.25">
      <c r="I1051" s="37"/>
      <c r="J1051" s="35"/>
    </row>
    <row r="1052" spans="9:10" x14ac:dyDescent="0.25">
      <c r="I1052" s="37"/>
      <c r="J1052" s="35"/>
    </row>
    <row r="1053" spans="9:10" x14ac:dyDescent="0.25">
      <c r="I1053" s="37"/>
      <c r="J1053" s="35"/>
    </row>
    <row r="1054" spans="9:10" x14ac:dyDescent="0.25">
      <c r="I1054" s="37"/>
      <c r="J1054" s="35"/>
    </row>
    <row r="1055" spans="9:10" x14ac:dyDescent="0.25">
      <c r="I1055" s="37"/>
      <c r="J1055" s="35"/>
    </row>
    <row r="1056" spans="9:10" x14ac:dyDescent="0.25">
      <c r="I1056" s="37"/>
      <c r="J1056" s="35"/>
    </row>
    <row r="1057" spans="9:10" x14ac:dyDescent="0.25">
      <c r="I1057" s="37"/>
      <c r="J1057" s="35"/>
    </row>
    <row r="1058" spans="9:10" x14ac:dyDescent="0.25">
      <c r="I1058" s="37"/>
      <c r="J1058" s="35"/>
    </row>
    <row r="1059" spans="9:10" x14ac:dyDescent="0.25">
      <c r="I1059" s="37"/>
      <c r="J1059" s="35"/>
    </row>
    <row r="1060" spans="9:10" x14ac:dyDescent="0.25">
      <c r="I1060" s="37"/>
      <c r="J1060" s="35"/>
    </row>
    <row r="1061" spans="9:10" x14ac:dyDescent="0.25">
      <c r="I1061" s="37"/>
      <c r="J1061" s="35"/>
    </row>
    <row r="1062" spans="9:10" x14ac:dyDescent="0.25">
      <c r="I1062" s="37"/>
      <c r="J1062" s="35"/>
    </row>
    <row r="1063" spans="9:10" x14ac:dyDescent="0.25">
      <c r="I1063" s="37"/>
      <c r="J1063" s="35"/>
    </row>
    <row r="1064" spans="9:10" x14ac:dyDescent="0.25">
      <c r="I1064" s="37"/>
      <c r="J1064" s="35"/>
    </row>
    <row r="1065" spans="9:10" x14ac:dyDescent="0.25">
      <c r="I1065" s="37"/>
      <c r="J1065" s="35"/>
    </row>
    <row r="1066" spans="9:10" x14ac:dyDescent="0.25">
      <c r="I1066" s="37"/>
      <c r="J1066" s="35"/>
    </row>
    <row r="1067" spans="9:10" x14ac:dyDescent="0.25">
      <c r="I1067" s="37"/>
      <c r="J1067" s="35"/>
    </row>
    <row r="1068" spans="9:10" x14ac:dyDescent="0.25">
      <c r="I1068" s="37"/>
      <c r="J1068" s="35"/>
    </row>
    <row r="1069" spans="9:10" x14ac:dyDescent="0.25">
      <c r="I1069" s="37"/>
      <c r="J1069" s="35"/>
    </row>
    <row r="1070" spans="9:10" x14ac:dyDescent="0.25">
      <c r="I1070" s="37"/>
      <c r="J1070" s="35"/>
    </row>
    <row r="1071" spans="9:10" x14ac:dyDescent="0.25">
      <c r="I1071" s="37"/>
      <c r="J1071" s="35"/>
    </row>
    <row r="1072" spans="9:10" x14ac:dyDescent="0.25">
      <c r="I1072" s="37"/>
      <c r="J1072" s="35"/>
    </row>
    <row r="1073" spans="9:10" x14ac:dyDescent="0.25">
      <c r="I1073" s="37"/>
      <c r="J1073" s="35"/>
    </row>
    <row r="1074" spans="9:10" x14ac:dyDescent="0.25">
      <c r="I1074" s="37"/>
      <c r="J1074" s="35"/>
    </row>
    <row r="1075" spans="9:10" x14ac:dyDescent="0.25">
      <c r="I1075" s="37"/>
      <c r="J1075" s="35"/>
    </row>
    <row r="1076" spans="9:10" x14ac:dyDescent="0.25">
      <c r="I1076" s="37"/>
      <c r="J1076" s="35"/>
    </row>
    <row r="1077" spans="9:10" x14ac:dyDescent="0.25">
      <c r="I1077" s="37"/>
      <c r="J1077" s="35"/>
    </row>
    <row r="1078" spans="9:10" x14ac:dyDescent="0.25">
      <c r="I1078" s="37"/>
      <c r="J1078" s="35"/>
    </row>
    <row r="1079" spans="9:10" x14ac:dyDescent="0.25">
      <c r="I1079" s="37"/>
      <c r="J1079" s="35"/>
    </row>
    <row r="1080" spans="9:10" x14ac:dyDescent="0.25">
      <c r="I1080" s="37"/>
      <c r="J1080" s="35"/>
    </row>
    <row r="1081" spans="9:10" x14ac:dyDescent="0.25">
      <c r="I1081" s="37"/>
      <c r="J1081" s="35"/>
    </row>
    <row r="1082" spans="9:10" x14ac:dyDescent="0.25">
      <c r="I1082" s="37"/>
      <c r="J1082" s="35"/>
    </row>
    <row r="1083" spans="9:10" x14ac:dyDescent="0.25">
      <c r="I1083" s="37"/>
      <c r="J1083" s="35"/>
    </row>
    <row r="1084" spans="9:10" x14ac:dyDescent="0.25">
      <c r="I1084" s="37"/>
      <c r="J1084" s="35"/>
    </row>
    <row r="1085" spans="9:10" x14ac:dyDescent="0.25">
      <c r="I1085" s="37"/>
      <c r="J1085" s="35"/>
    </row>
    <row r="1086" spans="9:10" x14ac:dyDescent="0.25">
      <c r="I1086" s="37"/>
      <c r="J1086" s="35"/>
    </row>
    <row r="1087" spans="9:10" x14ac:dyDescent="0.25">
      <c r="I1087" s="37"/>
      <c r="J1087" s="35"/>
    </row>
    <row r="1088" spans="9:10" x14ac:dyDescent="0.25">
      <c r="I1088" s="37"/>
      <c r="J1088" s="35"/>
    </row>
    <row r="1089" spans="9:10" x14ac:dyDescent="0.25">
      <c r="I1089" s="37"/>
      <c r="J1089" s="35"/>
    </row>
    <row r="1090" spans="9:10" x14ac:dyDescent="0.25">
      <c r="I1090" s="37"/>
      <c r="J1090" s="35"/>
    </row>
    <row r="1091" spans="9:10" x14ac:dyDescent="0.25">
      <c r="I1091" s="37"/>
      <c r="J1091" s="35"/>
    </row>
    <row r="1092" spans="9:10" x14ac:dyDescent="0.25">
      <c r="I1092" s="37"/>
      <c r="J1092" s="35"/>
    </row>
    <row r="1093" spans="9:10" x14ac:dyDescent="0.25">
      <c r="I1093" s="37"/>
      <c r="J1093" s="35"/>
    </row>
    <row r="1094" spans="9:10" x14ac:dyDescent="0.25">
      <c r="I1094" s="37"/>
      <c r="J1094" s="35"/>
    </row>
    <row r="1095" spans="9:10" x14ac:dyDescent="0.25">
      <c r="I1095" s="37"/>
      <c r="J1095" s="35"/>
    </row>
    <row r="1096" spans="9:10" x14ac:dyDescent="0.25">
      <c r="I1096" s="37"/>
      <c r="J1096" s="35"/>
    </row>
    <row r="1097" spans="9:10" x14ac:dyDescent="0.25">
      <c r="I1097" s="37"/>
      <c r="J1097" s="35"/>
    </row>
    <row r="1098" spans="9:10" x14ac:dyDescent="0.25">
      <c r="I1098" s="37"/>
      <c r="J1098" s="35"/>
    </row>
    <row r="1099" spans="9:10" x14ac:dyDescent="0.25">
      <c r="I1099" s="37"/>
      <c r="J1099" s="35"/>
    </row>
    <row r="1100" spans="9:10" x14ac:dyDescent="0.25">
      <c r="I1100" s="37"/>
      <c r="J1100" s="35"/>
    </row>
    <row r="1101" spans="9:10" x14ac:dyDescent="0.25">
      <c r="I1101" s="37"/>
      <c r="J1101" s="35"/>
    </row>
    <row r="1102" spans="9:10" x14ac:dyDescent="0.25">
      <c r="I1102" s="37"/>
      <c r="J1102" s="35"/>
    </row>
    <row r="1103" spans="9:10" x14ac:dyDescent="0.25">
      <c r="I1103" s="37"/>
      <c r="J1103" s="35"/>
    </row>
    <row r="1104" spans="9:10" x14ac:dyDescent="0.25">
      <c r="I1104" s="37"/>
      <c r="J1104" s="35"/>
    </row>
    <row r="1105" spans="9:10" x14ac:dyDescent="0.25">
      <c r="I1105" s="37"/>
      <c r="J1105" s="35"/>
    </row>
    <row r="1106" spans="9:10" x14ac:dyDescent="0.25">
      <c r="I1106" s="37"/>
      <c r="J1106" s="35"/>
    </row>
    <row r="1107" spans="9:10" x14ac:dyDescent="0.25">
      <c r="I1107" s="37"/>
      <c r="J1107" s="35"/>
    </row>
    <row r="1108" spans="9:10" x14ac:dyDescent="0.25">
      <c r="I1108" s="37"/>
      <c r="J1108" s="35"/>
    </row>
    <row r="1109" spans="9:10" x14ac:dyDescent="0.25">
      <c r="I1109" s="37"/>
      <c r="J1109" s="35"/>
    </row>
    <row r="1110" spans="9:10" x14ac:dyDescent="0.25">
      <c r="I1110" s="37"/>
      <c r="J1110" s="35"/>
    </row>
    <row r="1111" spans="9:10" x14ac:dyDescent="0.25">
      <c r="I1111" s="37"/>
      <c r="J1111" s="35"/>
    </row>
    <row r="1112" spans="9:10" x14ac:dyDescent="0.25">
      <c r="I1112" s="37"/>
      <c r="J1112" s="35"/>
    </row>
    <row r="1113" spans="9:10" x14ac:dyDescent="0.25">
      <c r="I1113" s="37"/>
      <c r="J1113" s="35"/>
    </row>
    <row r="1114" spans="9:10" x14ac:dyDescent="0.25">
      <c r="I1114" s="37"/>
      <c r="J1114" s="35"/>
    </row>
    <row r="1115" spans="9:10" x14ac:dyDescent="0.25">
      <c r="I1115" s="37"/>
      <c r="J1115" s="35"/>
    </row>
    <row r="1116" spans="9:10" x14ac:dyDescent="0.25">
      <c r="I1116" s="37"/>
      <c r="J1116" s="35"/>
    </row>
    <row r="1117" spans="9:10" x14ac:dyDescent="0.25">
      <c r="I1117" s="37"/>
      <c r="J1117" s="35"/>
    </row>
    <row r="1118" spans="9:10" x14ac:dyDescent="0.25">
      <c r="I1118" s="37"/>
      <c r="J1118" s="35"/>
    </row>
    <row r="1119" spans="9:10" x14ac:dyDescent="0.25">
      <c r="I1119" s="37"/>
      <c r="J1119" s="35"/>
    </row>
    <row r="1120" spans="9:10" x14ac:dyDescent="0.25">
      <c r="I1120" s="37"/>
      <c r="J1120" s="35"/>
    </row>
    <row r="1121" spans="9:10" x14ac:dyDescent="0.25">
      <c r="I1121" s="37"/>
      <c r="J1121" s="35"/>
    </row>
    <row r="1122" spans="9:10" x14ac:dyDescent="0.25">
      <c r="I1122" s="37"/>
      <c r="J1122" s="35"/>
    </row>
    <row r="1123" spans="9:10" x14ac:dyDescent="0.25">
      <c r="I1123" s="37"/>
      <c r="J1123" s="35"/>
    </row>
    <row r="1124" spans="9:10" x14ac:dyDescent="0.25">
      <c r="I1124" s="37"/>
      <c r="J1124" s="35"/>
    </row>
    <row r="1125" spans="9:10" x14ac:dyDescent="0.25">
      <c r="I1125" s="37"/>
      <c r="J1125" s="35"/>
    </row>
    <row r="1126" spans="9:10" x14ac:dyDescent="0.25">
      <c r="I1126" s="37"/>
      <c r="J1126" s="35"/>
    </row>
    <row r="1127" spans="9:10" x14ac:dyDescent="0.25">
      <c r="I1127" s="37"/>
      <c r="J1127" s="35"/>
    </row>
    <row r="1128" spans="9:10" x14ac:dyDescent="0.25">
      <c r="I1128" s="37"/>
      <c r="J1128" s="35"/>
    </row>
    <row r="1129" spans="9:10" x14ac:dyDescent="0.25">
      <c r="I1129" s="37"/>
      <c r="J1129" s="35"/>
    </row>
    <row r="1130" spans="9:10" x14ac:dyDescent="0.25">
      <c r="I1130" s="37"/>
      <c r="J1130" s="35"/>
    </row>
    <row r="1131" spans="9:10" x14ac:dyDescent="0.25">
      <c r="I1131" s="37"/>
      <c r="J1131" s="35"/>
    </row>
    <row r="1132" spans="9:10" x14ac:dyDescent="0.25">
      <c r="I1132" s="37"/>
      <c r="J1132" s="35"/>
    </row>
    <row r="1133" spans="9:10" x14ac:dyDescent="0.25">
      <c r="I1133" s="37"/>
      <c r="J1133" s="35"/>
    </row>
    <row r="1134" spans="9:10" x14ac:dyDescent="0.25">
      <c r="I1134" s="37"/>
      <c r="J1134" s="35"/>
    </row>
    <row r="1135" spans="9:10" x14ac:dyDescent="0.25">
      <c r="I1135" s="37"/>
      <c r="J1135" s="35"/>
    </row>
    <row r="1136" spans="9:10" x14ac:dyDescent="0.25">
      <c r="I1136" s="37"/>
      <c r="J1136" s="35"/>
    </row>
    <row r="1137" spans="9:10" x14ac:dyDescent="0.25">
      <c r="I1137" s="37"/>
      <c r="J1137" s="35"/>
    </row>
    <row r="1138" spans="9:10" x14ac:dyDescent="0.25">
      <c r="I1138" s="37"/>
      <c r="J1138" s="35"/>
    </row>
    <row r="1139" spans="9:10" x14ac:dyDescent="0.25">
      <c r="I1139" s="37"/>
      <c r="J1139" s="35"/>
    </row>
    <row r="1140" spans="9:10" x14ac:dyDescent="0.25">
      <c r="I1140" s="37"/>
      <c r="J1140" s="35"/>
    </row>
    <row r="1141" spans="9:10" x14ac:dyDescent="0.25">
      <c r="I1141" s="37"/>
      <c r="J1141" s="35"/>
    </row>
    <row r="1142" spans="9:10" x14ac:dyDescent="0.25">
      <c r="I1142" s="37"/>
      <c r="J1142" s="35"/>
    </row>
    <row r="1143" spans="9:10" x14ac:dyDescent="0.25">
      <c r="I1143" s="37"/>
      <c r="J1143" s="35"/>
    </row>
    <row r="1144" spans="9:10" x14ac:dyDescent="0.25">
      <c r="I1144" s="37"/>
      <c r="J1144" s="35"/>
    </row>
    <row r="1145" spans="9:10" x14ac:dyDescent="0.25">
      <c r="I1145" s="37"/>
      <c r="J1145" s="35"/>
    </row>
    <row r="1146" spans="9:10" x14ac:dyDescent="0.25">
      <c r="I1146" s="37"/>
      <c r="J1146" s="35"/>
    </row>
    <row r="1147" spans="9:10" x14ac:dyDescent="0.25">
      <c r="I1147" s="37"/>
      <c r="J1147" s="35"/>
    </row>
    <row r="1148" spans="9:10" x14ac:dyDescent="0.25">
      <c r="I1148" s="37"/>
      <c r="J1148" s="35"/>
    </row>
    <row r="1149" spans="9:10" x14ac:dyDescent="0.25">
      <c r="I1149" s="37"/>
      <c r="J1149" s="35"/>
    </row>
    <row r="1150" spans="9:10" x14ac:dyDescent="0.25">
      <c r="I1150" s="37"/>
      <c r="J1150" s="35"/>
    </row>
    <row r="1151" spans="9:10" x14ac:dyDescent="0.25">
      <c r="I1151" s="37"/>
      <c r="J1151" s="35"/>
    </row>
    <row r="1152" spans="9:10" x14ac:dyDescent="0.25">
      <c r="I1152" s="37"/>
      <c r="J1152" s="35"/>
    </row>
    <row r="1153" spans="9:10" x14ac:dyDescent="0.25">
      <c r="I1153" s="37"/>
      <c r="J1153" s="35"/>
    </row>
    <row r="1154" spans="9:10" x14ac:dyDescent="0.25">
      <c r="I1154" s="37"/>
      <c r="J1154" s="35"/>
    </row>
    <row r="1155" spans="9:10" x14ac:dyDescent="0.25">
      <c r="I1155" s="37"/>
      <c r="J1155" s="35"/>
    </row>
    <row r="1156" spans="9:10" x14ac:dyDescent="0.25">
      <c r="I1156" s="37"/>
      <c r="J1156" s="35"/>
    </row>
    <row r="1157" spans="9:10" x14ac:dyDescent="0.25">
      <c r="I1157" s="37"/>
      <c r="J1157" s="35"/>
    </row>
    <row r="1158" spans="9:10" x14ac:dyDescent="0.25">
      <c r="I1158" s="37"/>
      <c r="J1158" s="35"/>
    </row>
    <row r="1159" spans="9:10" x14ac:dyDescent="0.25">
      <c r="I1159" s="37"/>
      <c r="J1159" s="35"/>
    </row>
    <row r="1160" spans="9:10" x14ac:dyDescent="0.25">
      <c r="I1160" s="37"/>
      <c r="J1160" s="35"/>
    </row>
    <row r="1161" spans="9:10" x14ac:dyDescent="0.25">
      <c r="I1161" s="37"/>
      <c r="J1161" s="35"/>
    </row>
    <row r="1162" spans="9:10" x14ac:dyDescent="0.25">
      <c r="I1162" s="37"/>
      <c r="J1162" s="35"/>
    </row>
    <row r="1163" spans="9:10" x14ac:dyDescent="0.25">
      <c r="I1163" s="37"/>
      <c r="J1163" s="35"/>
    </row>
    <row r="1164" spans="9:10" x14ac:dyDescent="0.25">
      <c r="I1164" s="37"/>
      <c r="J1164" s="35"/>
    </row>
    <row r="1165" spans="9:10" x14ac:dyDescent="0.25">
      <c r="I1165" s="37"/>
      <c r="J1165" s="35"/>
    </row>
    <row r="1166" spans="9:10" x14ac:dyDescent="0.25">
      <c r="I1166" s="37"/>
      <c r="J1166" s="35"/>
    </row>
    <row r="1167" spans="9:10" x14ac:dyDescent="0.25">
      <c r="I1167" s="37"/>
      <c r="J1167" s="35"/>
    </row>
    <row r="1168" spans="9:10" x14ac:dyDescent="0.25">
      <c r="I1168" s="37"/>
      <c r="J1168" s="35"/>
    </row>
    <row r="1169" spans="9:10" x14ac:dyDescent="0.25">
      <c r="I1169" s="37"/>
      <c r="J1169" s="35"/>
    </row>
    <row r="1170" spans="9:10" x14ac:dyDescent="0.25">
      <c r="I1170" s="37"/>
      <c r="J1170" s="35"/>
    </row>
    <row r="1171" spans="9:10" x14ac:dyDescent="0.25">
      <c r="I1171" s="37"/>
      <c r="J1171" s="35"/>
    </row>
    <row r="1172" spans="9:10" x14ac:dyDescent="0.25">
      <c r="I1172" s="37"/>
      <c r="J1172" s="35"/>
    </row>
    <row r="1173" spans="9:10" x14ac:dyDescent="0.25">
      <c r="I1173" s="37"/>
      <c r="J1173" s="35"/>
    </row>
    <row r="1174" spans="9:10" x14ac:dyDescent="0.25">
      <c r="I1174" s="37"/>
      <c r="J1174" s="35"/>
    </row>
    <row r="1175" spans="9:10" x14ac:dyDescent="0.25">
      <c r="I1175" s="37"/>
      <c r="J1175" s="35"/>
    </row>
    <row r="1176" spans="9:10" x14ac:dyDescent="0.25">
      <c r="I1176" s="37"/>
      <c r="J1176" s="35"/>
    </row>
    <row r="1177" spans="9:10" x14ac:dyDescent="0.25">
      <c r="I1177" s="37"/>
      <c r="J1177" s="35"/>
    </row>
    <row r="1178" spans="9:10" x14ac:dyDescent="0.25">
      <c r="I1178" s="37"/>
      <c r="J1178" s="35"/>
    </row>
    <row r="1179" spans="9:10" x14ac:dyDescent="0.25">
      <c r="I1179" s="37"/>
      <c r="J1179" s="35"/>
    </row>
    <row r="1180" spans="9:10" x14ac:dyDescent="0.25">
      <c r="I1180" s="37"/>
      <c r="J1180" s="35"/>
    </row>
    <row r="1181" spans="9:10" x14ac:dyDescent="0.25">
      <c r="I1181" s="37"/>
      <c r="J1181" s="35"/>
    </row>
    <row r="1182" spans="9:10" x14ac:dyDescent="0.25">
      <c r="I1182" s="37"/>
      <c r="J1182" s="35"/>
    </row>
    <row r="1183" spans="9:10" x14ac:dyDescent="0.25">
      <c r="I1183" s="37"/>
      <c r="J1183" s="35"/>
    </row>
    <row r="1184" spans="9:10" x14ac:dyDescent="0.25">
      <c r="I1184" s="37"/>
      <c r="J1184" s="35"/>
    </row>
    <row r="1185" spans="9:10" x14ac:dyDescent="0.25">
      <c r="I1185" s="37"/>
      <c r="J1185" s="35"/>
    </row>
    <row r="1186" spans="9:10" x14ac:dyDescent="0.25">
      <c r="I1186" s="37"/>
      <c r="J1186" s="35"/>
    </row>
    <row r="1187" spans="9:10" x14ac:dyDescent="0.25">
      <c r="I1187" s="37"/>
      <c r="J1187" s="35"/>
    </row>
    <row r="1188" spans="9:10" x14ac:dyDescent="0.25">
      <c r="I1188" s="37"/>
      <c r="J1188" s="35"/>
    </row>
    <row r="1189" spans="9:10" x14ac:dyDescent="0.25">
      <c r="I1189" s="37"/>
      <c r="J1189" s="35"/>
    </row>
    <row r="1190" spans="9:10" x14ac:dyDescent="0.25">
      <c r="I1190" s="37"/>
      <c r="J1190" s="35"/>
    </row>
    <row r="1191" spans="9:10" x14ac:dyDescent="0.25">
      <c r="I1191" s="37"/>
      <c r="J1191" s="35"/>
    </row>
    <row r="1192" spans="9:10" x14ac:dyDescent="0.25">
      <c r="I1192" s="37"/>
      <c r="J1192" s="35"/>
    </row>
    <row r="1193" spans="9:10" x14ac:dyDescent="0.25">
      <c r="I1193" s="37"/>
      <c r="J1193" s="35"/>
    </row>
    <row r="1194" spans="9:10" x14ac:dyDescent="0.25">
      <c r="I1194" s="37"/>
      <c r="J1194" s="35"/>
    </row>
    <row r="1195" spans="9:10" x14ac:dyDescent="0.25">
      <c r="I1195" s="37"/>
      <c r="J1195" s="35"/>
    </row>
    <row r="1196" spans="9:10" x14ac:dyDescent="0.25">
      <c r="I1196" s="37"/>
      <c r="J1196" s="35"/>
    </row>
    <row r="1197" spans="9:10" x14ac:dyDescent="0.25">
      <c r="I1197" s="37"/>
      <c r="J1197" s="35"/>
    </row>
    <row r="1198" spans="9:10" x14ac:dyDescent="0.25">
      <c r="I1198" s="37"/>
      <c r="J1198" s="35"/>
    </row>
    <row r="1199" spans="9:10" x14ac:dyDescent="0.25">
      <c r="I1199" s="37"/>
      <c r="J1199" s="35"/>
    </row>
    <row r="1200" spans="9:10" x14ac:dyDescent="0.25">
      <c r="I1200" s="37"/>
      <c r="J1200" s="35"/>
    </row>
    <row r="1201" spans="9:10" x14ac:dyDescent="0.25">
      <c r="I1201" s="37"/>
      <c r="J1201" s="35"/>
    </row>
    <row r="1202" spans="9:10" x14ac:dyDescent="0.25">
      <c r="I1202" s="37"/>
      <c r="J1202" s="35"/>
    </row>
    <row r="1203" spans="9:10" x14ac:dyDescent="0.25">
      <c r="I1203" s="37"/>
      <c r="J1203" s="35"/>
    </row>
    <row r="1204" spans="9:10" x14ac:dyDescent="0.25">
      <c r="I1204" s="37"/>
      <c r="J1204" s="35"/>
    </row>
    <row r="1205" spans="9:10" x14ac:dyDescent="0.25">
      <c r="I1205" s="37"/>
      <c r="J1205" s="35"/>
    </row>
    <row r="1206" spans="9:10" x14ac:dyDescent="0.25">
      <c r="I1206" s="37"/>
      <c r="J1206" s="35"/>
    </row>
    <row r="1207" spans="9:10" x14ac:dyDescent="0.25">
      <c r="I1207" s="37"/>
      <c r="J1207" s="35"/>
    </row>
    <row r="1208" spans="9:10" x14ac:dyDescent="0.25">
      <c r="I1208" s="37"/>
      <c r="J1208" s="35"/>
    </row>
    <row r="1209" spans="9:10" x14ac:dyDescent="0.25">
      <c r="I1209" s="37"/>
      <c r="J1209" s="35"/>
    </row>
    <row r="1210" spans="9:10" x14ac:dyDescent="0.25">
      <c r="I1210" s="37"/>
      <c r="J1210" s="35"/>
    </row>
    <row r="1211" spans="9:10" x14ac:dyDescent="0.25">
      <c r="I1211" s="37"/>
      <c r="J1211" s="35"/>
    </row>
    <row r="1212" spans="9:10" x14ac:dyDescent="0.25">
      <c r="I1212" s="37"/>
      <c r="J1212" s="35"/>
    </row>
    <row r="1213" spans="9:10" x14ac:dyDescent="0.25">
      <c r="I1213" s="37"/>
      <c r="J1213" s="35"/>
    </row>
    <row r="1214" spans="9:10" x14ac:dyDescent="0.25">
      <c r="I1214" s="37"/>
      <c r="J1214" s="35"/>
    </row>
    <row r="1215" spans="9:10" x14ac:dyDescent="0.25">
      <c r="I1215" s="37"/>
      <c r="J1215" s="35"/>
    </row>
    <row r="1216" spans="9:10" x14ac:dyDescent="0.25">
      <c r="I1216" s="37"/>
      <c r="J1216" s="35"/>
    </row>
    <row r="1217" spans="9:10" x14ac:dyDescent="0.25">
      <c r="I1217" s="37"/>
      <c r="J1217" s="35"/>
    </row>
    <row r="1218" spans="9:10" x14ac:dyDescent="0.25">
      <c r="I1218" s="37"/>
      <c r="J1218" s="35"/>
    </row>
    <row r="1219" spans="9:10" x14ac:dyDescent="0.25">
      <c r="I1219" s="37"/>
      <c r="J1219" s="35"/>
    </row>
    <row r="1220" spans="9:10" x14ac:dyDescent="0.25">
      <c r="I1220" s="37"/>
      <c r="J1220" s="35"/>
    </row>
    <row r="1221" spans="9:10" x14ac:dyDescent="0.25">
      <c r="I1221" s="37"/>
      <c r="J1221" s="35"/>
    </row>
    <row r="1222" spans="9:10" x14ac:dyDescent="0.25">
      <c r="I1222" s="37"/>
      <c r="J1222" s="35"/>
    </row>
    <row r="1223" spans="9:10" x14ac:dyDescent="0.25">
      <c r="I1223" s="37"/>
      <c r="J1223" s="35"/>
    </row>
    <row r="1224" spans="9:10" x14ac:dyDescent="0.25">
      <c r="I1224" s="37"/>
      <c r="J1224" s="35"/>
    </row>
    <row r="1225" spans="9:10" x14ac:dyDescent="0.25">
      <c r="I1225" s="37"/>
      <c r="J1225" s="35"/>
    </row>
    <row r="1226" spans="9:10" x14ac:dyDescent="0.25">
      <c r="I1226" s="37"/>
      <c r="J1226" s="35"/>
    </row>
    <row r="1227" spans="9:10" x14ac:dyDescent="0.25">
      <c r="I1227" s="37"/>
      <c r="J1227" s="35"/>
    </row>
    <row r="1228" spans="9:10" x14ac:dyDescent="0.25">
      <c r="I1228" s="37"/>
      <c r="J1228" s="35"/>
    </row>
    <row r="1229" spans="9:10" x14ac:dyDescent="0.25">
      <c r="I1229" s="37"/>
      <c r="J1229" s="35"/>
    </row>
    <row r="1230" spans="9:10" x14ac:dyDescent="0.25">
      <c r="I1230" s="37"/>
      <c r="J1230" s="35"/>
    </row>
    <row r="1231" spans="9:10" x14ac:dyDescent="0.25">
      <c r="I1231" s="37"/>
      <c r="J1231" s="35"/>
    </row>
    <row r="1232" spans="9:10" x14ac:dyDescent="0.25">
      <c r="I1232" s="37"/>
      <c r="J1232" s="35"/>
    </row>
    <row r="1233" spans="9:10" x14ac:dyDescent="0.25">
      <c r="I1233" s="37"/>
      <c r="J1233" s="35"/>
    </row>
    <row r="1234" spans="9:10" x14ac:dyDescent="0.25">
      <c r="I1234" s="37"/>
      <c r="J1234" s="35"/>
    </row>
    <row r="1235" spans="9:10" x14ac:dyDescent="0.25">
      <c r="I1235" s="37"/>
      <c r="J1235" s="35"/>
    </row>
    <row r="1236" spans="9:10" x14ac:dyDescent="0.25">
      <c r="I1236" s="37"/>
      <c r="J1236" s="35"/>
    </row>
    <row r="1237" spans="9:10" x14ac:dyDescent="0.25">
      <c r="I1237" s="37"/>
      <c r="J1237" s="35"/>
    </row>
    <row r="1238" spans="9:10" x14ac:dyDescent="0.25">
      <c r="I1238" s="37"/>
      <c r="J1238" s="35"/>
    </row>
    <row r="1239" spans="9:10" x14ac:dyDescent="0.25">
      <c r="I1239" s="37"/>
      <c r="J1239" s="35"/>
    </row>
    <row r="1240" spans="9:10" x14ac:dyDescent="0.25">
      <c r="I1240" s="37"/>
      <c r="J1240" s="35"/>
    </row>
    <row r="1241" spans="9:10" x14ac:dyDescent="0.25">
      <c r="I1241" s="37"/>
      <c r="J1241" s="35"/>
    </row>
    <row r="1242" spans="9:10" x14ac:dyDescent="0.25">
      <c r="I1242" s="37"/>
      <c r="J1242" s="35"/>
    </row>
    <row r="1243" spans="9:10" x14ac:dyDescent="0.25">
      <c r="I1243" s="37"/>
      <c r="J1243" s="35"/>
    </row>
    <row r="1244" spans="9:10" x14ac:dyDescent="0.25">
      <c r="I1244" s="37"/>
      <c r="J1244" s="35"/>
    </row>
    <row r="1245" spans="9:10" x14ac:dyDescent="0.25">
      <c r="I1245" s="37"/>
      <c r="J1245" s="35"/>
    </row>
    <row r="1246" spans="9:10" x14ac:dyDescent="0.25">
      <c r="I1246" s="37"/>
      <c r="J1246" s="35"/>
    </row>
    <row r="1247" spans="9:10" x14ac:dyDescent="0.25">
      <c r="I1247" s="37"/>
      <c r="J1247" s="35"/>
    </row>
    <row r="1248" spans="9:10" x14ac:dyDescent="0.25">
      <c r="I1248" s="37"/>
      <c r="J1248" s="35"/>
    </row>
    <row r="1249" spans="9:10" x14ac:dyDescent="0.25">
      <c r="I1249" s="37"/>
      <c r="J1249" s="35"/>
    </row>
    <row r="1250" spans="9:10" x14ac:dyDescent="0.25">
      <c r="I1250" s="37"/>
      <c r="J1250" s="35"/>
    </row>
    <row r="1251" spans="9:10" x14ac:dyDescent="0.25">
      <c r="I1251" s="37"/>
      <c r="J1251" s="35"/>
    </row>
    <row r="1252" spans="9:10" x14ac:dyDescent="0.25">
      <c r="I1252" s="37"/>
      <c r="J1252" s="35"/>
    </row>
    <row r="1253" spans="9:10" x14ac:dyDescent="0.25">
      <c r="I1253" s="37"/>
      <c r="J1253" s="35"/>
    </row>
    <row r="1254" spans="9:10" x14ac:dyDescent="0.25">
      <c r="I1254" s="37"/>
      <c r="J1254" s="35"/>
    </row>
    <row r="1255" spans="9:10" x14ac:dyDescent="0.25">
      <c r="I1255" s="37"/>
      <c r="J1255" s="35"/>
    </row>
    <row r="1256" spans="9:10" x14ac:dyDescent="0.25">
      <c r="I1256" s="37"/>
      <c r="J1256" s="35"/>
    </row>
    <row r="1257" spans="9:10" x14ac:dyDescent="0.25">
      <c r="I1257" s="37"/>
      <c r="J1257" s="35"/>
    </row>
    <row r="1258" spans="9:10" x14ac:dyDescent="0.25">
      <c r="I1258" s="37"/>
      <c r="J1258" s="35"/>
    </row>
    <row r="1259" spans="9:10" x14ac:dyDescent="0.25">
      <c r="I1259" s="37"/>
      <c r="J1259" s="35"/>
    </row>
    <row r="1260" spans="9:10" x14ac:dyDescent="0.25">
      <c r="I1260" s="37"/>
      <c r="J1260" s="35"/>
    </row>
    <row r="1261" spans="9:10" x14ac:dyDescent="0.25">
      <c r="I1261" s="37"/>
      <c r="J1261" s="35"/>
    </row>
    <row r="1262" spans="9:10" x14ac:dyDescent="0.25">
      <c r="I1262" s="37"/>
      <c r="J1262" s="35"/>
    </row>
    <row r="1263" spans="9:10" x14ac:dyDescent="0.25">
      <c r="I1263" s="37"/>
      <c r="J1263" s="35"/>
    </row>
    <row r="1264" spans="9:10" x14ac:dyDescent="0.25">
      <c r="I1264" s="37"/>
      <c r="J1264" s="35"/>
    </row>
    <row r="1265" spans="9:10" x14ac:dyDescent="0.25">
      <c r="I1265" s="37"/>
      <c r="J1265" s="35"/>
    </row>
    <row r="1266" spans="9:10" x14ac:dyDescent="0.25">
      <c r="I1266" s="37"/>
      <c r="J1266" s="35"/>
    </row>
    <row r="1267" spans="9:10" x14ac:dyDescent="0.25">
      <c r="I1267" s="37"/>
      <c r="J1267" s="35"/>
    </row>
    <row r="1268" spans="9:10" x14ac:dyDescent="0.25">
      <c r="I1268" s="37"/>
      <c r="J1268" s="35"/>
    </row>
    <row r="1269" spans="9:10" x14ac:dyDescent="0.25">
      <c r="I1269" s="37"/>
      <c r="J1269" s="35"/>
    </row>
    <row r="1270" spans="9:10" x14ac:dyDescent="0.25">
      <c r="I1270" s="37"/>
      <c r="J1270" s="35"/>
    </row>
    <row r="1271" spans="9:10" x14ac:dyDescent="0.25">
      <c r="I1271" s="37"/>
      <c r="J1271" s="35"/>
    </row>
    <row r="1272" spans="9:10" x14ac:dyDescent="0.25">
      <c r="I1272" s="37"/>
      <c r="J1272" s="35"/>
    </row>
    <row r="1273" spans="9:10" x14ac:dyDescent="0.25">
      <c r="I1273" s="37"/>
      <c r="J1273" s="35"/>
    </row>
    <row r="1274" spans="9:10" x14ac:dyDescent="0.25">
      <c r="I1274" s="37"/>
      <c r="J1274" s="35"/>
    </row>
    <row r="1275" spans="9:10" x14ac:dyDescent="0.25">
      <c r="I1275" s="37"/>
      <c r="J1275" s="35"/>
    </row>
    <row r="1276" spans="9:10" x14ac:dyDescent="0.25">
      <c r="I1276" s="37"/>
      <c r="J1276" s="35"/>
    </row>
    <row r="1277" spans="9:10" x14ac:dyDescent="0.25">
      <c r="I1277" s="37"/>
      <c r="J1277" s="35"/>
    </row>
    <row r="1278" spans="9:10" x14ac:dyDescent="0.25">
      <c r="I1278" s="37"/>
      <c r="J1278" s="35"/>
    </row>
    <row r="1279" spans="9:10" x14ac:dyDescent="0.25">
      <c r="I1279" s="37"/>
      <c r="J1279" s="35"/>
    </row>
    <row r="1280" spans="9:10" x14ac:dyDescent="0.25">
      <c r="I1280" s="37"/>
      <c r="J1280" s="35"/>
    </row>
    <row r="1281" spans="9:10" x14ac:dyDescent="0.25">
      <c r="I1281" s="37"/>
      <c r="J1281" s="35"/>
    </row>
    <row r="1282" spans="9:10" x14ac:dyDescent="0.25">
      <c r="I1282" s="37"/>
      <c r="J1282" s="35"/>
    </row>
    <row r="1283" spans="9:10" x14ac:dyDescent="0.25">
      <c r="I1283" s="37"/>
      <c r="J1283" s="35"/>
    </row>
    <row r="1284" spans="9:10" x14ac:dyDescent="0.25">
      <c r="I1284" s="37"/>
      <c r="J1284" s="35"/>
    </row>
    <row r="1285" spans="9:10" x14ac:dyDescent="0.25">
      <c r="I1285" s="37"/>
      <c r="J1285" s="35"/>
    </row>
    <row r="1286" spans="9:10" x14ac:dyDescent="0.25">
      <c r="I1286" s="37"/>
      <c r="J1286" s="35"/>
    </row>
    <row r="1287" spans="9:10" x14ac:dyDescent="0.25">
      <c r="I1287" s="37"/>
      <c r="J1287" s="35"/>
    </row>
    <row r="1288" spans="9:10" x14ac:dyDescent="0.25">
      <c r="I1288" s="37"/>
      <c r="J1288" s="35"/>
    </row>
    <row r="1289" spans="9:10" x14ac:dyDescent="0.25">
      <c r="I1289" s="37"/>
      <c r="J1289" s="35"/>
    </row>
    <row r="1290" spans="9:10" x14ac:dyDescent="0.25">
      <c r="I1290" s="37"/>
      <c r="J1290" s="35"/>
    </row>
    <row r="1291" spans="9:10" x14ac:dyDescent="0.25">
      <c r="I1291" s="37"/>
      <c r="J1291" s="35"/>
    </row>
    <row r="1292" spans="9:10" x14ac:dyDescent="0.25">
      <c r="I1292" s="37"/>
      <c r="J1292" s="35"/>
    </row>
    <row r="1293" spans="9:10" x14ac:dyDescent="0.25">
      <c r="I1293" s="37"/>
      <c r="J1293" s="35"/>
    </row>
    <row r="1294" spans="9:10" x14ac:dyDescent="0.25">
      <c r="I1294" s="37"/>
      <c r="J1294" s="35"/>
    </row>
    <row r="1295" spans="9:10" x14ac:dyDescent="0.25">
      <c r="I1295" s="37"/>
      <c r="J1295" s="35"/>
    </row>
    <row r="1296" spans="9:10" x14ac:dyDescent="0.25">
      <c r="I1296" s="37"/>
      <c r="J1296" s="35"/>
    </row>
    <row r="1297" spans="9:10" x14ac:dyDescent="0.25">
      <c r="I1297" s="37"/>
      <c r="J1297" s="35"/>
    </row>
    <row r="1298" spans="9:10" x14ac:dyDescent="0.25">
      <c r="I1298" s="37"/>
      <c r="J1298" s="35"/>
    </row>
    <row r="1299" spans="9:10" x14ac:dyDescent="0.25">
      <c r="I1299" s="37"/>
      <c r="J1299" s="35"/>
    </row>
    <row r="1300" spans="9:10" x14ac:dyDescent="0.25">
      <c r="I1300" s="37"/>
      <c r="J1300" s="35"/>
    </row>
    <row r="1301" spans="9:10" x14ac:dyDescent="0.25">
      <c r="I1301" s="37"/>
      <c r="J1301" s="35"/>
    </row>
    <row r="1302" spans="9:10" x14ac:dyDescent="0.25">
      <c r="I1302" s="37"/>
      <c r="J1302" s="35"/>
    </row>
    <row r="1303" spans="9:10" x14ac:dyDescent="0.25">
      <c r="I1303" s="37"/>
      <c r="J1303" s="35"/>
    </row>
    <row r="1304" spans="9:10" x14ac:dyDescent="0.25">
      <c r="I1304" s="37"/>
      <c r="J1304" s="35"/>
    </row>
    <row r="1305" spans="9:10" x14ac:dyDescent="0.25">
      <c r="I1305" s="37"/>
      <c r="J1305" s="35"/>
    </row>
    <row r="1306" spans="9:10" x14ac:dyDescent="0.25">
      <c r="I1306" s="37"/>
      <c r="J1306" s="35"/>
    </row>
    <row r="1307" spans="9:10" x14ac:dyDescent="0.25">
      <c r="I1307" s="37"/>
      <c r="J1307" s="35"/>
    </row>
    <row r="1308" spans="9:10" x14ac:dyDescent="0.25">
      <c r="I1308" s="37"/>
      <c r="J1308" s="35"/>
    </row>
    <row r="1309" spans="9:10" x14ac:dyDescent="0.25">
      <c r="I1309" s="37"/>
      <c r="J1309" s="35"/>
    </row>
    <row r="1310" spans="9:10" x14ac:dyDescent="0.25">
      <c r="I1310" s="37"/>
      <c r="J1310" s="35"/>
    </row>
    <row r="1311" spans="9:10" x14ac:dyDescent="0.25">
      <c r="I1311" s="37"/>
      <c r="J1311" s="35"/>
    </row>
    <row r="1312" spans="9:10" x14ac:dyDescent="0.25">
      <c r="I1312" s="37"/>
      <c r="J1312" s="35"/>
    </row>
    <row r="1313" spans="9:10" x14ac:dyDescent="0.25">
      <c r="I1313" s="37"/>
      <c r="J1313" s="35"/>
    </row>
    <row r="1314" spans="9:10" x14ac:dyDescent="0.25">
      <c r="I1314" s="37"/>
      <c r="J1314" s="35"/>
    </row>
    <row r="1315" spans="9:10" x14ac:dyDescent="0.25">
      <c r="I1315" s="37"/>
      <c r="J1315" s="35"/>
    </row>
    <row r="1316" spans="9:10" x14ac:dyDescent="0.25">
      <c r="I1316" s="37"/>
      <c r="J1316" s="35"/>
    </row>
    <row r="1317" spans="9:10" x14ac:dyDescent="0.25">
      <c r="I1317" s="37"/>
      <c r="J1317" s="35"/>
    </row>
    <row r="1318" spans="9:10" x14ac:dyDescent="0.25">
      <c r="I1318" s="37"/>
      <c r="J1318" s="35"/>
    </row>
    <row r="1319" spans="9:10" x14ac:dyDescent="0.25">
      <c r="I1319" s="37"/>
      <c r="J1319" s="35"/>
    </row>
    <row r="1320" spans="9:10" x14ac:dyDescent="0.25">
      <c r="I1320" s="37"/>
      <c r="J1320" s="35"/>
    </row>
    <row r="1321" spans="9:10" x14ac:dyDescent="0.25">
      <c r="I1321" s="37"/>
      <c r="J1321" s="35"/>
    </row>
    <row r="1322" spans="9:10" x14ac:dyDescent="0.25">
      <c r="I1322" s="37"/>
      <c r="J1322" s="35"/>
    </row>
    <row r="1323" spans="9:10" x14ac:dyDescent="0.25">
      <c r="I1323" s="37"/>
      <c r="J1323" s="35"/>
    </row>
    <row r="1324" spans="9:10" x14ac:dyDescent="0.25">
      <c r="I1324" s="37"/>
      <c r="J1324" s="35"/>
    </row>
    <row r="1325" spans="9:10" x14ac:dyDescent="0.25">
      <c r="I1325" s="37"/>
      <c r="J1325" s="35"/>
    </row>
    <row r="1326" spans="9:10" x14ac:dyDescent="0.25">
      <c r="I1326" s="37"/>
      <c r="J1326" s="35"/>
    </row>
    <row r="1327" spans="9:10" x14ac:dyDescent="0.25">
      <c r="I1327" s="37"/>
      <c r="J1327" s="35"/>
    </row>
    <row r="1328" spans="9:10" x14ac:dyDescent="0.25">
      <c r="I1328" s="37"/>
      <c r="J1328" s="35"/>
    </row>
    <row r="1329" spans="9:10" x14ac:dyDescent="0.25">
      <c r="I1329" s="37"/>
      <c r="J1329" s="35"/>
    </row>
    <row r="1330" spans="9:10" x14ac:dyDescent="0.25">
      <c r="I1330" s="37"/>
      <c r="J1330" s="35"/>
    </row>
    <row r="1331" spans="9:10" x14ac:dyDescent="0.25">
      <c r="I1331" s="37"/>
      <c r="J1331" s="35"/>
    </row>
    <row r="1332" spans="9:10" x14ac:dyDescent="0.25">
      <c r="I1332" s="37"/>
      <c r="J1332" s="35"/>
    </row>
    <row r="1333" spans="9:10" x14ac:dyDescent="0.25">
      <c r="I1333" s="37"/>
      <c r="J1333" s="35"/>
    </row>
    <row r="1334" spans="9:10" x14ac:dyDescent="0.25">
      <c r="I1334" s="37"/>
      <c r="J1334" s="35"/>
    </row>
  </sheetData>
  <mergeCells count="18">
    <mergeCell ref="T29:U29"/>
    <mergeCell ref="J16:K16"/>
    <mergeCell ref="L16:M16"/>
    <mergeCell ref="N16:O16"/>
    <mergeCell ref="P16:Q16"/>
    <mergeCell ref="R16:S16"/>
    <mergeCell ref="T16:U16"/>
    <mergeCell ref="J29:K29"/>
    <mergeCell ref="L29:M29"/>
    <mergeCell ref="N29:O29"/>
    <mergeCell ref="P29:Q29"/>
    <mergeCell ref="R29:S29"/>
    <mergeCell ref="T2:U2"/>
    <mergeCell ref="J2:K2"/>
    <mergeCell ref="L2:M2"/>
    <mergeCell ref="N2:O2"/>
    <mergeCell ref="P2:Q2"/>
    <mergeCell ref="R2:S2"/>
  </mergeCells>
  <conditionalFormatting sqref="AE3:AI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:AI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0:AI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AD671-154F-419D-BEC8-F3DB23404CE9}">
  <dimension ref="B1:AQ1334"/>
  <sheetViews>
    <sheetView showGridLines="0" zoomScale="85" zoomScaleNormal="85" workbookViewId="0">
      <selection activeCell="AF23" sqref="AF23"/>
    </sheetView>
  </sheetViews>
  <sheetFormatPr defaultRowHeight="15" outlineLevelRow="1" outlineLevelCol="1" x14ac:dyDescent="0.25"/>
  <cols>
    <col min="1" max="1" width="2.5703125" customWidth="1"/>
    <col min="2" max="2" width="9.140625" customWidth="1"/>
    <col min="3" max="3" width="16.28515625" bestFit="1" customWidth="1"/>
    <col min="4" max="4" width="15.28515625" bestFit="1" customWidth="1"/>
    <col min="5" max="5" width="2.5703125" customWidth="1"/>
    <col min="6" max="6" width="18.140625" bestFit="1" customWidth="1"/>
    <col min="7" max="7" width="2.5703125" customWidth="1"/>
    <col min="8" max="8" width="25.140625" bestFit="1" customWidth="1"/>
    <col min="9" max="9" width="24.28515625" style="11" customWidth="1" outlineLevel="1"/>
    <col min="10" max="10" width="9.42578125" style="6" customWidth="1"/>
    <col min="11" max="11" width="19" style="11" hidden="1" customWidth="1" outlineLevel="1"/>
    <col min="12" max="12" width="9.28515625" style="6" customWidth="1" collapsed="1"/>
    <col min="13" max="13" width="19.5703125" style="11" hidden="1" customWidth="1" outlineLevel="1"/>
    <col min="14" max="14" width="10.42578125" style="6" customWidth="1" collapsed="1"/>
    <col min="15" max="15" width="17.85546875" style="11" hidden="1" customWidth="1" outlineLevel="1"/>
    <col min="16" max="16" width="8.5703125" style="6" bestFit="1" customWidth="1" collapsed="1"/>
    <col min="17" max="17" width="18" style="11" hidden="1" customWidth="1" outlineLevel="1"/>
    <col min="18" max="18" width="11.42578125" style="5" customWidth="1" collapsed="1"/>
    <col min="19" max="19" width="19.5703125" style="10" hidden="1" customWidth="1" outlineLevel="1"/>
    <col min="20" max="20" width="9.85546875" style="10" bestFit="1" customWidth="1" collapsed="1"/>
    <col min="21" max="21" width="19.5703125" style="10" hidden="1" customWidth="1" outlineLevel="1"/>
    <col min="22" max="22" width="2.5703125" customWidth="1" collapsed="1"/>
    <col min="23" max="23" width="7.140625" hidden="1" customWidth="1" outlineLevel="1"/>
    <col min="24" max="24" width="5.42578125" hidden="1" customWidth="1" outlineLevel="1"/>
    <col min="25" max="25" width="17.85546875" bestFit="1" customWidth="1" collapsed="1"/>
    <col min="26" max="27" width="17.85546875" bestFit="1" customWidth="1"/>
    <col min="28" max="28" width="16.140625" bestFit="1" customWidth="1"/>
    <col min="29" max="29" width="15.140625" bestFit="1" customWidth="1"/>
    <col min="30" max="30" width="2.5703125" customWidth="1"/>
    <col min="31" max="31" width="7.85546875" bestFit="1" customWidth="1"/>
    <col min="32" max="32" width="11.140625" bestFit="1" customWidth="1"/>
    <col min="33" max="33" width="13.28515625" bestFit="1" customWidth="1"/>
    <col min="34" max="34" width="7.85546875" bestFit="1" customWidth="1"/>
    <col min="35" max="35" width="8.140625" bestFit="1" customWidth="1"/>
    <col min="36" max="36" width="2.5703125" customWidth="1"/>
    <col min="37" max="37" width="17.85546875" bestFit="1" customWidth="1"/>
    <col min="38" max="38" width="8.140625" bestFit="1" customWidth="1"/>
    <col min="39" max="39" width="2.5703125" customWidth="1"/>
    <col min="41" max="41" width="16.28515625" bestFit="1" customWidth="1"/>
  </cols>
  <sheetData>
    <row r="1" spans="2:43" ht="9" customHeight="1" x14ac:dyDescent="0.25"/>
    <row r="2" spans="2:43" x14ac:dyDescent="0.25">
      <c r="B2" s="1"/>
      <c r="C2" s="1" t="s">
        <v>20</v>
      </c>
      <c r="D2" s="1"/>
      <c r="H2" s="4" t="s">
        <v>1</v>
      </c>
      <c r="I2" s="9" t="s">
        <v>4</v>
      </c>
      <c r="J2" s="112" t="s">
        <v>7</v>
      </c>
      <c r="K2" s="112"/>
      <c r="L2" s="112" t="s">
        <v>8</v>
      </c>
      <c r="M2" s="112"/>
      <c r="N2" s="112" t="s">
        <v>10</v>
      </c>
      <c r="O2" s="112"/>
      <c r="P2" s="112" t="s">
        <v>9</v>
      </c>
      <c r="Q2" s="112"/>
      <c r="R2" s="112" t="s">
        <v>21</v>
      </c>
      <c r="S2" s="112"/>
      <c r="T2" s="112" t="s">
        <v>55</v>
      </c>
      <c r="U2" s="112"/>
      <c r="W2" s="1" t="s">
        <v>46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27" t="s">
        <v>49</v>
      </c>
      <c r="AF2" s="27" t="s">
        <v>50</v>
      </c>
      <c r="AG2" s="27" t="s">
        <v>51</v>
      </c>
      <c r="AH2" s="27" t="s">
        <v>52</v>
      </c>
      <c r="AI2" s="27" t="s">
        <v>53</v>
      </c>
      <c r="AK2" s="75" t="s">
        <v>60</v>
      </c>
      <c r="AL2" s="75" t="s">
        <v>61</v>
      </c>
      <c r="AN2" s="1"/>
      <c r="AO2" s="1" t="s">
        <v>20</v>
      </c>
      <c r="AP2" s="1"/>
    </row>
    <row r="3" spans="2:43" x14ac:dyDescent="0.25">
      <c r="B3" t="s">
        <v>11</v>
      </c>
      <c r="C3" s="2" t="s">
        <v>10</v>
      </c>
      <c r="D3" t="s">
        <v>7</v>
      </c>
      <c r="F3" s="7">
        <f>J3+L3+N3+P3+R3+T3</f>
        <v>0.99999999999999989</v>
      </c>
      <c r="H3" s="97" t="s">
        <v>5</v>
      </c>
      <c r="I3" s="80">
        <v>542501917.98000002</v>
      </c>
      <c r="J3" s="81">
        <v>0.53369999999999995</v>
      </c>
      <c r="K3" s="80">
        <f t="shared" ref="K3:Q13" si="0">+J3*$I3</f>
        <v>289533273.62592596</v>
      </c>
      <c r="L3" s="81">
        <v>0.2109</v>
      </c>
      <c r="M3" s="80">
        <f t="shared" si="0"/>
        <v>114413654.501982</v>
      </c>
      <c r="N3" s="81">
        <v>0.21329999999999999</v>
      </c>
      <c r="O3" s="80">
        <f t="shared" si="0"/>
        <v>115715659.105134</v>
      </c>
      <c r="P3" s="81">
        <v>4.2900000000000001E-2</v>
      </c>
      <c r="Q3" s="80">
        <f t="shared" si="0"/>
        <v>23273332.281342</v>
      </c>
      <c r="R3" s="82"/>
      <c r="S3" s="80">
        <f t="shared" ref="S3:S13" si="1">+R3*$I3</f>
        <v>0</v>
      </c>
      <c r="T3" s="81">
        <v>-8.0000000000000004E-4</v>
      </c>
      <c r="U3" s="65">
        <f t="shared" ref="U3:U13" si="2">+T3*$I3</f>
        <v>-434001.53438400006</v>
      </c>
      <c r="Y3" s="12">
        <f>K3-'Mai25'!K3</f>
        <v>20858984.952853978</v>
      </c>
      <c r="Z3" s="12">
        <f>M3-'Mai25'!M3</f>
        <v>-5541390.5960419923</v>
      </c>
      <c r="AA3" s="12">
        <f>O3-'Mai25'!O3</f>
        <v>2430573.0742459893</v>
      </c>
      <c r="AB3" s="12">
        <f>Q3-'Mai25'!Q3</f>
        <v>293238.93284999952</v>
      </c>
      <c r="AC3" s="12">
        <f>+S3-'Mai25'!S3</f>
        <v>0</v>
      </c>
      <c r="AD3" s="98"/>
      <c r="AE3" s="28">
        <f>J3-'Mai25'!J3</f>
        <v>1.8100000000000005E-2</v>
      </c>
      <c r="AF3" s="28">
        <f>L3-'Mai25'!L3</f>
        <v>-1.9299999999999984E-2</v>
      </c>
      <c r="AG3" s="28">
        <f>N3-'Mai25'!N3</f>
        <v>-4.1000000000000203E-3</v>
      </c>
      <c r="AH3" s="28">
        <f>P3-'Mai25'!P3</f>
        <v>-1.1999999999999997E-3</v>
      </c>
      <c r="AI3" s="28">
        <f>R3-'Mai25'!R3</f>
        <v>0</v>
      </c>
      <c r="AJ3" s="98"/>
      <c r="AK3" s="10">
        <f>I3-'Mai25'!I3</f>
        <v>21411365.860000014</v>
      </c>
      <c r="AL3" s="76">
        <f>I3/'Mai25'!I3-1</f>
        <v>4.1089529973034944E-2</v>
      </c>
      <c r="AM3" s="98"/>
      <c r="AN3" t="s">
        <v>11</v>
      </c>
      <c r="AO3" s="2" t="s">
        <v>10</v>
      </c>
      <c r="AP3" t="s">
        <v>7</v>
      </c>
      <c r="AQ3" s="98"/>
    </row>
    <row r="4" spans="2:43" x14ac:dyDescent="0.25">
      <c r="B4" t="s">
        <v>12</v>
      </c>
      <c r="C4" s="2" t="s">
        <v>16</v>
      </c>
      <c r="D4" t="s">
        <v>58</v>
      </c>
      <c r="F4" s="7">
        <f t="shared" ref="F4:F36" si="3">J4+L4+N4+P4+R4+T4</f>
        <v>1</v>
      </c>
      <c r="H4" s="3" t="s">
        <v>0</v>
      </c>
      <c r="I4" s="78">
        <v>1610810347.3599999</v>
      </c>
      <c r="J4" s="77">
        <v>0.4</v>
      </c>
      <c r="K4" s="78">
        <f t="shared" si="0"/>
        <v>644324138.94400001</v>
      </c>
      <c r="L4" s="77">
        <v>0.12</v>
      </c>
      <c r="M4" s="78">
        <f t="shared" si="0"/>
        <v>193297241.68319997</v>
      </c>
      <c r="N4" s="77">
        <v>0.01</v>
      </c>
      <c r="O4" s="78">
        <f t="shared" si="0"/>
        <v>16108103.4736</v>
      </c>
      <c r="P4" s="77">
        <v>0.11</v>
      </c>
      <c r="Q4" s="78">
        <f t="shared" si="0"/>
        <v>177189138.2096</v>
      </c>
      <c r="R4" s="77"/>
      <c r="S4" s="78">
        <f t="shared" si="1"/>
        <v>0</v>
      </c>
      <c r="T4" s="77">
        <v>0.36</v>
      </c>
      <c r="U4" s="57">
        <f t="shared" si="2"/>
        <v>579891725.04959989</v>
      </c>
      <c r="Y4" s="12">
        <f>K4-'Mai25'!K4</f>
        <v>5773086.0640000105</v>
      </c>
      <c r="Z4" s="12">
        <f>M4-'Mai25'!M4</f>
        <v>13193098.563199967</v>
      </c>
      <c r="AA4" s="12">
        <f>O4-'Mai25'!O4</f>
        <v>-556950533.7263999</v>
      </c>
      <c r="AB4" s="12">
        <f>Q4-'Mai25'!Q4</f>
        <v>-2915004.9104000032</v>
      </c>
      <c r="AC4" s="12">
        <f>+S4-'Mai25'!S4</f>
        <v>0</v>
      </c>
      <c r="AE4" s="28">
        <f>J4-'Mai25'!J4</f>
        <v>1.0000000000000009E-2</v>
      </c>
      <c r="AF4" s="28">
        <f>L4-'Mai25'!L4</f>
        <v>9.999999999999995E-3</v>
      </c>
      <c r="AG4" s="28">
        <f>N4-'Mai25'!N4</f>
        <v>-0.33999999999999997</v>
      </c>
      <c r="AH4" s="28">
        <f>P4-'Mai25'!P4</f>
        <v>0</v>
      </c>
      <c r="AI4" s="28">
        <f>R4-'Mai25'!R4</f>
        <v>0</v>
      </c>
      <c r="AJ4" s="93"/>
      <c r="AK4" s="10">
        <f>I4-'Mai25'!I4</f>
        <v>-26500044.640000105</v>
      </c>
      <c r="AL4" s="76">
        <f>I4/'Mai25'!I4-1</f>
        <v>-1.6185107460064407E-2</v>
      </c>
      <c r="AN4" t="s">
        <v>12</v>
      </c>
      <c r="AO4" s="2" t="s">
        <v>16</v>
      </c>
      <c r="AP4" t="s">
        <v>58</v>
      </c>
    </row>
    <row r="5" spans="2:43" x14ac:dyDescent="0.25">
      <c r="B5" t="s">
        <v>13</v>
      </c>
      <c r="C5" s="2" t="s">
        <v>17</v>
      </c>
      <c r="D5" t="s">
        <v>59</v>
      </c>
      <c r="F5" s="7">
        <f>J5+L5+N5+P5+R5+T5</f>
        <v>1.0000000000000002</v>
      </c>
      <c r="H5" s="3" t="s">
        <v>3</v>
      </c>
      <c r="I5" s="78">
        <v>298680414.20999998</v>
      </c>
      <c r="J5" s="77">
        <v>0.55000000000000004</v>
      </c>
      <c r="K5" s="78">
        <f t="shared" si="0"/>
        <v>164274227.81549999</v>
      </c>
      <c r="L5" s="77"/>
      <c r="M5" s="78">
        <f t="shared" si="0"/>
        <v>0</v>
      </c>
      <c r="N5" s="77">
        <v>0.3</v>
      </c>
      <c r="O5" s="78">
        <f t="shared" si="0"/>
        <v>89604124.262999997</v>
      </c>
      <c r="P5" s="77">
        <v>0.02</v>
      </c>
      <c r="Q5" s="78">
        <f t="shared" si="0"/>
        <v>5973608.2841999996</v>
      </c>
      <c r="R5" s="77">
        <v>7.0000000000000007E-2</v>
      </c>
      <c r="S5" s="78">
        <f t="shared" si="1"/>
        <v>20907628.9947</v>
      </c>
      <c r="T5" s="77">
        <v>0.06</v>
      </c>
      <c r="U5" s="57">
        <f t="shared" si="2"/>
        <v>17920824.852599997</v>
      </c>
      <c r="Y5" s="12">
        <f>K5-'Mai25'!K5</f>
        <v>3145792.5034999847</v>
      </c>
      <c r="Z5" s="12">
        <f>M5-'Mai25'!M5</f>
        <v>0</v>
      </c>
      <c r="AA5" s="12">
        <f>O5-'Mai25'!O5</f>
        <v>-15749083.441000015</v>
      </c>
      <c r="AB5" s="12">
        <f>Q5-'Mai25'!Q5</f>
        <v>-3322262.9838000014</v>
      </c>
      <c r="AC5" s="12">
        <f>+S5-'Mai25'!S5</f>
        <v>-6979984.8093000017</v>
      </c>
      <c r="AE5" s="28">
        <f>J5-'Mai25'!J5</f>
        <v>3.0000000000000027E-2</v>
      </c>
      <c r="AF5" s="28">
        <f>L5-'Mai25'!L5</f>
        <v>0</v>
      </c>
      <c r="AG5" s="28">
        <f>N5-'Mai25'!N5</f>
        <v>-4.0000000000000036E-2</v>
      </c>
      <c r="AH5" s="28">
        <f>P5-'Mai25'!P5</f>
        <v>-9.9999999999999985E-3</v>
      </c>
      <c r="AI5" s="28">
        <f>R5-'Mai25'!R5</f>
        <v>-1.999999999999999E-2</v>
      </c>
      <c r="AK5" s="10">
        <f>I5-'Mai25'!I5</f>
        <v>-11181961.390000045</v>
      </c>
      <c r="AL5" s="76">
        <f>I5/'Mai25'!I5-1</f>
        <v>-3.6086863945156034E-2</v>
      </c>
      <c r="AN5" t="s">
        <v>13</v>
      </c>
      <c r="AO5" s="2" t="s">
        <v>17</v>
      </c>
      <c r="AP5" t="s">
        <v>59</v>
      </c>
    </row>
    <row r="6" spans="2:43" x14ac:dyDescent="0.25">
      <c r="B6" t="s">
        <v>14</v>
      </c>
      <c r="C6" s="2" t="s">
        <v>18</v>
      </c>
      <c r="F6" s="7">
        <f t="shared" si="3"/>
        <v>1.0000000000000002</v>
      </c>
      <c r="H6" s="3" t="s">
        <v>62</v>
      </c>
      <c r="I6" s="78">
        <v>4647807577.4799995</v>
      </c>
      <c r="J6" s="77">
        <v>0.2006</v>
      </c>
      <c r="K6" s="78">
        <f t="shared" si="0"/>
        <v>932350200.04248786</v>
      </c>
      <c r="L6" s="77">
        <v>0.40400000000000003</v>
      </c>
      <c r="M6" s="78">
        <f t="shared" si="0"/>
        <v>1877714261.3019199</v>
      </c>
      <c r="N6" s="77">
        <v>0.314</v>
      </c>
      <c r="O6" s="78">
        <f t="shared" si="0"/>
        <v>1459411579.3287199</v>
      </c>
      <c r="P6" s="77">
        <v>0.04</v>
      </c>
      <c r="Q6" s="78">
        <f t="shared" si="0"/>
        <v>185912303.09919998</v>
      </c>
      <c r="R6" s="77"/>
      <c r="S6" s="78">
        <f t="shared" si="1"/>
        <v>0</v>
      </c>
      <c r="T6" s="77">
        <v>4.1399999999999999E-2</v>
      </c>
      <c r="U6" s="57">
        <f t="shared" si="2"/>
        <v>192419233.70767197</v>
      </c>
      <c r="Y6" s="12">
        <f>K6-'Mai25'!K6</f>
        <v>-245058269.880862</v>
      </c>
      <c r="Z6" s="12">
        <f>M6-'Mai25'!M6</f>
        <v>-116671514.28252983</v>
      </c>
      <c r="AA6" s="12">
        <f>O6-'Mai25'!O6</f>
        <v>113801899.41631985</v>
      </c>
      <c r="AB6" s="12">
        <f>Q6-'Mai25'!Q6</f>
        <v>65768581.678449973</v>
      </c>
      <c r="AC6" s="12">
        <f>+S6-'Mai25'!S6</f>
        <v>0</v>
      </c>
      <c r="AE6" s="28">
        <f>J6-'Mai25'!J6</f>
        <v>-4.4399999999999995E-2</v>
      </c>
      <c r="AF6" s="28">
        <f>L6-'Mai25'!L6</f>
        <v>-1.0999999999999954E-2</v>
      </c>
      <c r="AG6" s="28">
        <f>N6-'Mai25'!N6</f>
        <v>3.3999999999999975E-2</v>
      </c>
      <c r="AH6" s="28">
        <f>P6-'Mai25'!P6</f>
        <v>1.4999999999999999E-2</v>
      </c>
      <c r="AI6" s="28">
        <f>R6-'Mai25'!R6</f>
        <v>0</v>
      </c>
      <c r="AK6" s="10">
        <f>I6-'Mai25'!I6</f>
        <v>-157941279.35000038</v>
      </c>
      <c r="AL6" s="76">
        <f>I6/'Mai25'!I6-1</f>
        <v>-3.2865071408284652E-2</v>
      </c>
      <c r="AN6" t="s">
        <v>14</v>
      </c>
      <c r="AO6" s="2" t="s">
        <v>18</v>
      </c>
    </row>
    <row r="7" spans="2:43" x14ac:dyDescent="0.25">
      <c r="B7" t="s">
        <v>15</v>
      </c>
      <c r="C7" s="2" t="s">
        <v>19</v>
      </c>
      <c r="F7" s="7">
        <f t="shared" si="3"/>
        <v>1</v>
      </c>
      <c r="H7" s="3" t="s">
        <v>22</v>
      </c>
      <c r="I7" s="78">
        <v>2972520629.4200001</v>
      </c>
      <c r="J7" s="77">
        <v>0.314</v>
      </c>
      <c r="K7" s="78">
        <f t="shared" si="0"/>
        <v>933371477.63788009</v>
      </c>
      <c r="L7" s="77">
        <v>0.30499999999999999</v>
      </c>
      <c r="M7" s="78">
        <f t="shared" si="0"/>
        <v>906618791.97309995</v>
      </c>
      <c r="N7" s="77">
        <v>0.33700000000000002</v>
      </c>
      <c r="O7" s="78">
        <f t="shared" si="0"/>
        <v>1001739452.1145401</v>
      </c>
      <c r="P7" s="77">
        <v>3.9E-2</v>
      </c>
      <c r="Q7" s="78">
        <f t="shared" si="0"/>
        <v>115928304.54738</v>
      </c>
      <c r="R7" s="77"/>
      <c r="S7" s="78">
        <f t="shared" si="1"/>
        <v>0</v>
      </c>
      <c r="T7" s="77">
        <v>5.0000000000000001E-3</v>
      </c>
      <c r="U7" s="57">
        <f t="shared" si="2"/>
        <v>14862603.147100002</v>
      </c>
      <c r="Y7" s="12">
        <f>K7-'Mai25'!K7</f>
        <v>132849102.24387991</v>
      </c>
      <c r="Z7" s="12">
        <f>M7-'Mai25'!M7</f>
        <v>43198229.940999866</v>
      </c>
      <c r="AA7" s="12">
        <f>O7-'Mai25'!O7</f>
        <v>-70388729.216709971</v>
      </c>
      <c r="AB7" s="12">
        <f>Q7-'Mai25'!Q7</f>
        <v>7285982.172480002</v>
      </c>
      <c r="AC7" s="12">
        <f>+S7-'Mai25'!S7</f>
        <v>0</v>
      </c>
      <c r="AE7" s="28">
        <f>J7-'Mai25'!J7</f>
        <v>3.3999999999999975E-2</v>
      </c>
      <c r="AF7" s="28">
        <f>L7-'Mai25'!L7</f>
        <v>3.0000000000000027E-3</v>
      </c>
      <c r="AG7" s="28">
        <f>N7-'Mai25'!N7</f>
        <v>-3.7999999999999978E-2</v>
      </c>
      <c r="AH7" s="28">
        <f>P7-'Mai25'!P7</f>
        <v>1.0000000000000009E-3</v>
      </c>
      <c r="AI7" s="28">
        <f>R7-'Mai25'!R7</f>
        <v>0</v>
      </c>
      <c r="AK7" s="10">
        <f>I7-'Mai25'!I7</f>
        <v>113512145.86999989</v>
      </c>
      <c r="AL7" s="76">
        <f>I7/'Mai25'!I7-1</f>
        <v>3.9703326003794448E-2</v>
      </c>
      <c r="AN7" t="s">
        <v>15</v>
      </c>
      <c r="AO7" s="2" t="s">
        <v>19</v>
      </c>
    </row>
    <row r="8" spans="2:43" x14ac:dyDescent="0.25">
      <c r="B8" t="s">
        <v>57</v>
      </c>
      <c r="F8" s="7">
        <f t="shared" si="3"/>
        <v>0.99999999999999989</v>
      </c>
      <c r="H8" s="3" t="s">
        <v>23</v>
      </c>
      <c r="I8" s="78">
        <v>161390157.49000001</v>
      </c>
      <c r="J8" s="77">
        <v>0.21</v>
      </c>
      <c r="K8" s="78">
        <f t="shared" si="0"/>
        <v>33891933.072899997</v>
      </c>
      <c r="L8" s="77">
        <v>0.36</v>
      </c>
      <c r="M8" s="78">
        <f t="shared" si="0"/>
        <v>58100456.696400002</v>
      </c>
      <c r="N8" s="77">
        <v>0.23</v>
      </c>
      <c r="O8" s="78">
        <f t="shared" si="0"/>
        <v>37119736.222700007</v>
      </c>
      <c r="P8" s="77">
        <v>0.09</v>
      </c>
      <c r="Q8" s="78">
        <f t="shared" si="0"/>
        <v>14525114.1741</v>
      </c>
      <c r="R8" s="77">
        <v>0.11</v>
      </c>
      <c r="S8" s="78">
        <f t="shared" si="1"/>
        <v>17752917.323900003</v>
      </c>
      <c r="T8" s="77"/>
      <c r="U8" s="57">
        <f t="shared" si="2"/>
        <v>0</v>
      </c>
      <c r="Y8" s="12">
        <f>K8-'Mai25'!K8</f>
        <v>10896732.704499997</v>
      </c>
      <c r="Z8" s="12">
        <f>M8-'Mai25'!M8</f>
        <v>18161424.477600001</v>
      </c>
      <c r="AA8" s="12">
        <f>O8-'Mai25'!O8</f>
        <v>8073167.336300008</v>
      </c>
      <c r="AB8" s="12">
        <f>Q8-'Mai25'!Q8</f>
        <v>6053198.2489</v>
      </c>
      <c r="AC8" s="12">
        <f>+S8-'Mai25'!S8</f>
        <v>17752917.323900003</v>
      </c>
      <c r="AE8" s="28">
        <f>J8-'Mai25'!J8</f>
        <v>1.999999999999999E-2</v>
      </c>
      <c r="AF8" s="28">
        <f>L8-'Mai25'!L8</f>
        <v>2.9999999999999971E-2</v>
      </c>
      <c r="AG8" s="28">
        <f>N8-'Mai25'!N8</f>
        <v>-9.9999999999999811E-3</v>
      </c>
      <c r="AH8" s="28">
        <f>P8-'Mai25'!P8</f>
        <v>1.999999999999999E-2</v>
      </c>
      <c r="AI8" s="28">
        <f>R8-'Mai25'!R8</f>
        <v>0.11</v>
      </c>
      <c r="AK8" s="10">
        <f>I8-'Mai25'!I8</f>
        <v>40362787.13000001</v>
      </c>
      <c r="AL8" s="76">
        <f>I8/'Mai25'!I8-1</f>
        <v>0.33350131470211686</v>
      </c>
      <c r="AN8" t="s">
        <v>57</v>
      </c>
    </row>
    <row r="9" spans="2:43" x14ac:dyDescent="0.25">
      <c r="F9" s="7">
        <f t="shared" si="3"/>
        <v>1</v>
      </c>
      <c r="H9" s="3" t="s">
        <v>24</v>
      </c>
      <c r="I9" s="78">
        <v>1519027543.6099999</v>
      </c>
      <c r="J9" s="77">
        <v>0.5716</v>
      </c>
      <c r="K9" s="78">
        <f t="shared" si="0"/>
        <v>868276143.92747593</v>
      </c>
      <c r="L9" s="77">
        <v>0.154</v>
      </c>
      <c r="M9" s="78">
        <f t="shared" si="0"/>
        <v>233930241.71593997</v>
      </c>
      <c r="N9" s="77">
        <v>0.23139999999999999</v>
      </c>
      <c r="O9" s="78">
        <f t="shared" si="0"/>
        <v>351502973.59135395</v>
      </c>
      <c r="P9" s="77">
        <v>4.0099999999999997E-2</v>
      </c>
      <c r="Q9" s="78">
        <f t="shared" si="0"/>
        <v>60913004.498760991</v>
      </c>
      <c r="R9" s="77"/>
      <c r="S9" s="78">
        <f t="shared" si="1"/>
        <v>0</v>
      </c>
      <c r="T9" s="77">
        <v>2.8999999999999998E-3</v>
      </c>
      <c r="U9" s="57">
        <f t="shared" si="2"/>
        <v>4405179.8764689993</v>
      </c>
      <c r="Y9" s="12">
        <f>K9-'Mai25'!K9</f>
        <v>2604460.3280220032</v>
      </c>
      <c r="Z9" s="12">
        <f>M9-'Mai25'!M9</f>
        <v>-5185074.13983199</v>
      </c>
      <c r="AA9" s="12">
        <f>O9-'Mai25'!O9</f>
        <v>-25266049.322398067</v>
      </c>
      <c r="AB9" s="12">
        <f>Q9-'Mai25'!Q9</f>
        <v>283506.55861699581</v>
      </c>
      <c r="AC9" s="12">
        <f>+S9-'Mai25'!S9</f>
        <v>0</v>
      </c>
      <c r="AE9" s="28">
        <f>J9-'Mai25'!J9</f>
        <v>1.1900000000000022E-2</v>
      </c>
      <c r="AF9" s="28">
        <f>L9-'Mai25'!L9</f>
        <v>-5.9999999999998943E-4</v>
      </c>
      <c r="AG9" s="28">
        <f>N9-'Mai25'!N9</f>
        <v>-1.2200000000000016E-2</v>
      </c>
      <c r="AH9" s="28">
        <f>P9-'Mai25'!P9</f>
        <v>8.9999999999999802E-4</v>
      </c>
      <c r="AI9" s="28">
        <f>R9-'Mai25'!R9</f>
        <v>0</v>
      </c>
      <c r="AK9" s="10">
        <f>I9-'Mai25'!I9</f>
        <v>-27643322.210000038</v>
      </c>
      <c r="AL9" s="76">
        <f>I9/'Mai25'!I9-1</f>
        <v>-1.7872789111692766E-2</v>
      </c>
    </row>
    <row r="10" spans="2:43" x14ac:dyDescent="0.25">
      <c r="F10" s="7">
        <f t="shared" si="3"/>
        <v>0.99999999999999989</v>
      </c>
      <c r="H10" s="3" t="s">
        <v>73</v>
      </c>
      <c r="I10" s="78">
        <v>7807148956.3800001</v>
      </c>
      <c r="J10" s="77">
        <v>0.3004</v>
      </c>
      <c r="K10" s="78">
        <f t="shared" si="0"/>
        <v>2345267546.496552</v>
      </c>
      <c r="L10" s="77">
        <v>0.41599999999999998</v>
      </c>
      <c r="M10" s="78">
        <f t="shared" si="0"/>
        <v>3247773965.8540797</v>
      </c>
      <c r="N10" s="77">
        <v>0.20380000000000001</v>
      </c>
      <c r="O10" s="78">
        <f t="shared" si="0"/>
        <v>1591096957.3102441</v>
      </c>
      <c r="P10" s="77">
        <v>7.9699999999999993E-2</v>
      </c>
      <c r="Q10" s="78">
        <f t="shared" si="0"/>
        <v>622229771.82348597</v>
      </c>
      <c r="R10" s="77"/>
      <c r="S10" s="78">
        <f t="shared" si="1"/>
        <v>0</v>
      </c>
      <c r="T10" s="77">
        <v>1E-4</v>
      </c>
      <c r="U10" s="57">
        <f t="shared" si="2"/>
        <v>780714.8956380001</v>
      </c>
      <c r="Y10" s="12">
        <f>K10-'Mai25'!K10</f>
        <v>-534007073.88560772</v>
      </c>
      <c r="Z10" s="12">
        <f>M10-'Mai25'!M10</f>
        <v>107466206.81089973</v>
      </c>
      <c r="AA10" s="12">
        <f>O10-'Mai25'!O10</f>
        <v>-30472540.432455778</v>
      </c>
      <c r="AB10" s="12">
        <f>Q10-'Mai25'!Q10</f>
        <v>353286538.05152595</v>
      </c>
      <c r="AC10" s="12">
        <f>+S10-'Mai25'!S10</f>
        <v>0</v>
      </c>
      <c r="AE10" s="28">
        <f>J10-'Mai25'!J10</f>
        <v>-6.359999999999999E-2</v>
      </c>
      <c r="AF10" s="28">
        <f>L10-'Mai25'!L10</f>
        <v>1.8999999999999961E-2</v>
      </c>
      <c r="AG10" s="28">
        <f>N10-'Mai25'!N10</f>
        <v>-1.1999999999999789E-3</v>
      </c>
      <c r="AH10" s="28">
        <f>P10-'Mai25'!P10</f>
        <v>4.5699999999999991E-2</v>
      </c>
      <c r="AI10" s="28">
        <f>R10-'Mai25'!R10</f>
        <v>0</v>
      </c>
      <c r="AJ10" s="93"/>
      <c r="AK10" s="10">
        <f>I10-'Mai25'!I10</f>
        <v>-102946154.55999947</v>
      </c>
      <c r="AL10" s="76">
        <f>I10/'Mai25'!I10-1</f>
        <v>-1.3014528032364692E-2</v>
      </c>
    </row>
    <row r="11" spans="2:43" x14ac:dyDescent="0.25">
      <c r="F11" s="7">
        <f t="shared" si="3"/>
        <v>1</v>
      </c>
      <c r="H11" s="3" t="s">
        <v>47</v>
      </c>
      <c r="I11" s="78">
        <v>3134579982.1599998</v>
      </c>
      <c r="J11" s="77">
        <v>0.67</v>
      </c>
      <c r="K11" s="78">
        <f t="shared" si="0"/>
        <v>2100168588.0472</v>
      </c>
      <c r="L11" s="77">
        <v>0.22</v>
      </c>
      <c r="M11" s="78">
        <f t="shared" si="0"/>
        <v>689607596.07519996</v>
      </c>
      <c r="N11" s="77">
        <v>0.11</v>
      </c>
      <c r="O11" s="78">
        <f t="shared" si="0"/>
        <v>344803798.03759998</v>
      </c>
      <c r="P11" s="77"/>
      <c r="Q11" s="78">
        <f t="shared" si="0"/>
        <v>0</v>
      </c>
      <c r="R11" s="77"/>
      <c r="S11" s="78">
        <f t="shared" si="1"/>
        <v>0</v>
      </c>
      <c r="T11" s="77"/>
      <c r="U11" s="57">
        <f t="shared" si="2"/>
        <v>0</v>
      </c>
      <c r="Y11" s="12">
        <f>K11-'Mai25'!K11</f>
        <v>-22360018.225600243</v>
      </c>
      <c r="Z11" s="12">
        <f>M11-'Mai25'!M11</f>
        <v>65334476.583199978</v>
      </c>
      <c r="AA11" s="12">
        <f>O11-'Mai25'!O11</f>
        <v>-29760073.657599986</v>
      </c>
      <c r="AB11" s="12">
        <f>Q11-'Mai25'!Q11</f>
        <v>0</v>
      </c>
      <c r="AC11" s="12">
        <f>+S11-'Mai25'!S12</f>
        <v>0</v>
      </c>
      <c r="AE11" s="28">
        <f>J11-'Mai25'!J11</f>
        <v>-1.0000000000000009E-2</v>
      </c>
      <c r="AF11" s="28">
        <f>L11-'Mai25'!L11</f>
        <v>1.999999999999999E-2</v>
      </c>
      <c r="AG11" s="28">
        <f>N11-'Mai25'!N11</f>
        <v>-9.999999999999995E-3</v>
      </c>
      <c r="AH11" s="28">
        <f>P11-'Mai25'!P11</f>
        <v>0</v>
      </c>
      <c r="AI11" s="28">
        <f>R11-'Mai25'!R11</f>
        <v>0</v>
      </c>
      <c r="AK11" s="10">
        <f>I11-'Mai25'!I11</f>
        <v>13214384.699999809</v>
      </c>
      <c r="AL11" s="76">
        <f>I11/'Mai25'!I11-1</f>
        <v>4.2335267328994508E-3</v>
      </c>
    </row>
    <row r="12" spans="2:43" x14ac:dyDescent="0.25">
      <c r="B12" t="s">
        <v>70</v>
      </c>
      <c r="F12" s="7">
        <f t="shared" si="3"/>
        <v>0.99999999999999989</v>
      </c>
      <c r="H12" s="3" t="s">
        <v>30</v>
      </c>
      <c r="I12" s="78">
        <v>1401350000</v>
      </c>
      <c r="J12" s="77">
        <v>0.307</v>
      </c>
      <c r="K12" s="78">
        <f t="shared" ref="K12" si="4">+J12*$I12</f>
        <v>430214450</v>
      </c>
      <c r="L12" s="77">
        <v>0.42</v>
      </c>
      <c r="M12" s="78">
        <f t="shared" ref="M12" si="5">+L12*$I12</f>
        <v>588567000</v>
      </c>
      <c r="N12" s="77">
        <v>0.252</v>
      </c>
      <c r="O12" s="78">
        <f t="shared" ref="O12" si="6">+N12*$I12</f>
        <v>353140200</v>
      </c>
      <c r="P12" s="77">
        <v>2.1999999999999999E-2</v>
      </c>
      <c r="Q12" s="78">
        <f t="shared" si="0"/>
        <v>30829700</v>
      </c>
      <c r="R12" s="77"/>
      <c r="S12" s="78">
        <f t="shared" ref="S12" si="7">+R12*$I12</f>
        <v>0</v>
      </c>
      <c r="T12" s="77">
        <v>-1E-3</v>
      </c>
      <c r="U12" s="57">
        <f t="shared" si="2"/>
        <v>-1401350</v>
      </c>
      <c r="Y12" s="12">
        <f>K12-'Mai25'!K12</f>
        <v>-245963054.68839991</v>
      </c>
      <c r="Z12" s="12">
        <f>M12-'Mai25'!M12</f>
        <v>279816527.8179</v>
      </c>
      <c r="AA12" s="12">
        <f>O12-'Mai25'!O12</f>
        <v>-47816295.548699915</v>
      </c>
      <c r="AB12" s="12">
        <f>Q12-'Mai25'!Q12</f>
        <v>29712051.23192</v>
      </c>
      <c r="AC12" s="12">
        <f>+S12-'Mai25'!S12</f>
        <v>0</v>
      </c>
      <c r="AE12" s="28">
        <f>J12-'Mai25'!J12</f>
        <v>-0.17699999999999999</v>
      </c>
      <c r="AF12" s="28">
        <f>L12-'Mai25'!L12</f>
        <v>0.19899999999999998</v>
      </c>
      <c r="AG12" s="28">
        <f>N12-'Mai25'!N12</f>
        <v>-3.4999999999999976E-2</v>
      </c>
      <c r="AH12" s="28">
        <f>P12-'Mai25'!P12</f>
        <v>2.12E-2</v>
      </c>
      <c r="AI12" s="28">
        <f>R12-'Mai25'!R12</f>
        <v>0</v>
      </c>
      <c r="AJ12" s="93"/>
      <c r="AK12" s="10">
        <f>I12-'Mai25'!I12</f>
        <v>4289039.9000000954</v>
      </c>
      <c r="AL12" s="76">
        <f>I12/'Mai25'!I12-1</f>
        <v>3.070044917505399E-3</v>
      </c>
    </row>
    <row r="13" spans="2:43" x14ac:dyDescent="0.25">
      <c r="B13" t="s">
        <v>74</v>
      </c>
      <c r="F13" s="7">
        <f t="shared" si="3"/>
        <v>1</v>
      </c>
      <c r="H13" s="3" t="s">
        <v>64</v>
      </c>
      <c r="I13" s="102">
        <v>1103378874.0599999</v>
      </c>
      <c r="J13" s="77">
        <v>0.48</v>
      </c>
      <c r="K13" s="78">
        <f t="shared" si="0"/>
        <v>529621859.54879993</v>
      </c>
      <c r="L13" s="77">
        <v>0.3</v>
      </c>
      <c r="M13" s="78">
        <f t="shared" si="0"/>
        <v>331013662.21799999</v>
      </c>
      <c r="N13" s="77">
        <v>0.19</v>
      </c>
      <c r="O13" s="78">
        <f t="shared" si="0"/>
        <v>209641986.07139999</v>
      </c>
      <c r="P13" s="77">
        <v>0.04</v>
      </c>
      <c r="Q13" s="78">
        <f t="shared" si="0"/>
        <v>44135154.962399997</v>
      </c>
      <c r="R13" s="77"/>
      <c r="S13" s="78">
        <f t="shared" si="1"/>
        <v>0</v>
      </c>
      <c r="T13" s="77">
        <v>-0.01</v>
      </c>
      <c r="U13" s="57">
        <f t="shared" si="2"/>
        <v>-11033788.740599999</v>
      </c>
      <c r="Y13" s="12">
        <f>K13-'Mai25'!K13</f>
        <v>59609370.673799932</v>
      </c>
      <c r="Z13" s="12">
        <f>M13-'Mai25'!M13</f>
        <v>161809166.22299999</v>
      </c>
      <c r="AA13" s="12">
        <f>O13-'Mai25'!O13</f>
        <v>-53565007.698600024</v>
      </c>
      <c r="AB13" s="12">
        <f>Q13-'Mai25'!Q13</f>
        <v>6534155.8523999974</v>
      </c>
      <c r="AC13" s="12">
        <f>+S13-'Mai25'!S13</f>
        <v>0</v>
      </c>
      <c r="AE13" s="28">
        <f>J13-'Mai25'!J13</f>
        <v>-2.0000000000000018E-2</v>
      </c>
      <c r="AF13" s="28">
        <f>L13-'Mai25'!L13</f>
        <v>0.12</v>
      </c>
      <c r="AG13" s="28">
        <f>N13-'Mai25'!N13</f>
        <v>-9.0000000000000024E-2</v>
      </c>
      <c r="AH13" s="28">
        <f>P13-'Mai25'!P13</f>
        <v>0</v>
      </c>
      <c r="AI13" s="28">
        <f>R13-'Mai25'!R13</f>
        <v>0</v>
      </c>
      <c r="AK13" s="10">
        <f>I13-'Mai25'!I13</f>
        <v>163353896.30999994</v>
      </c>
      <c r="AL13" s="76">
        <f>I13/'Mai25'!I13-1</f>
        <v>0.17377612316323354</v>
      </c>
    </row>
    <row r="14" spans="2:43" s="8" customFormat="1" x14ac:dyDescent="0.25">
      <c r="B14" t="s">
        <v>42</v>
      </c>
      <c r="E14"/>
      <c r="F14" s="7">
        <f>J14+L14+N14+P14+R14+T14</f>
        <v>0.99999999999999978</v>
      </c>
      <c r="G14"/>
      <c r="H14" s="21" t="s">
        <v>45</v>
      </c>
      <c r="I14" s="20">
        <f>SUM(I3:I13)</f>
        <v>25199196400.150002</v>
      </c>
      <c r="J14" s="15">
        <f>K14/$I$14</f>
        <v>0.36792021824567117</v>
      </c>
      <c r="K14" s="17">
        <f>SUM(K3:K13)</f>
        <v>9271293839.15872</v>
      </c>
      <c r="L14" s="15">
        <f>M14/$I$14</f>
        <v>0.32703570150240052</v>
      </c>
      <c r="M14" s="20">
        <f>SUM(M3:M13)</f>
        <v>8241036872.0198221</v>
      </c>
      <c r="N14" s="15">
        <f>O14/$I$14</f>
        <v>0.22103421399124998</v>
      </c>
      <c r="O14" s="17">
        <f>SUM(O3:O13)</f>
        <v>5569884569.5182915</v>
      </c>
      <c r="P14" s="15">
        <f>Q14/$I$14</f>
        <v>5.083136031563467E-2</v>
      </c>
      <c r="Q14" s="17">
        <f>SUM(Q3:Q13)</f>
        <v>1280909431.8804688</v>
      </c>
      <c r="R14" s="15">
        <f>S14/$I$14</f>
        <v>1.5341975872837702E-3</v>
      </c>
      <c r="S14" s="17">
        <f>SUM(S3:S13)</f>
        <v>38660546.318599999</v>
      </c>
      <c r="T14" s="15">
        <f>U14/$I$14</f>
        <v>3.16443083577597E-2</v>
      </c>
      <c r="U14" s="63">
        <f>SUM(U3:U13)</f>
        <v>797411141.25409484</v>
      </c>
      <c r="Y14" s="12">
        <f>K14-'Mai25'!K14</f>
        <v>-811650887.20991516</v>
      </c>
      <c r="Z14" s="12">
        <f>M14-'Mai25'!M14</f>
        <v>561581151.39839649</v>
      </c>
      <c r="AA14" s="12">
        <f>O14-'Mai25'!O14</f>
        <v>-705662673.21699905</v>
      </c>
      <c r="AB14" s="12">
        <f>Q14-'Mai25'!Q14</f>
        <v>462979984.83294284</v>
      </c>
      <c r="AC14" s="12">
        <f>+S14-'Mai25'!S14</f>
        <v>10772932.514599998</v>
      </c>
      <c r="AE14" s="28">
        <f>J14-'Mai25'!J14</f>
        <v>-3.2685222915529499E-2</v>
      </c>
      <c r="AF14" s="28">
        <f>L14-'Mai25'!L14</f>
        <v>2.19232735038562E-2</v>
      </c>
      <c r="AG14" s="28">
        <f>N14-'Mai25'!N14</f>
        <v>-2.8299531251777782E-2</v>
      </c>
      <c r="AH14" s="28">
        <f>P14-'Mai25'!P14</f>
        <v>1.8334208356018594E-2</v>
      </c>
      <c r="AI14" s="28">
        <f>R14-'Mai25'!R14</f>
        <v>4.2619490214873307E-4</v>
      </c>
      <c r="AK14" s="92">
        <f>I14-'Mai25'!I14</f>
        <v>29930857.620006561</v>
      </c>
      <c r="AL14" s="76">
        <f>I14/'Mai25'!I14-1</f>
        <v>1.1891827979417791E-3</v>
      </c>
    </row>
    <row r="15" spans="2:43" x14ac:dyDescent="0.25">
      <c r="B15" t="s">
        <v>66</v>
      </c>
      <c r="F15" s="7"/>
      <c r="I15" s="10"/>
      <c r="J15" s="10"/>
      <c r="K15" s="10"/>
      <c r="L15" s="5"/>
      <c r="M15" s="10"/>
      <c r="N15" s="10"/>
      <c r="O15" s="10"/>
      <c r="P15" s="5"/>
      <c r="Q15" s="10"/>
    </row>
    <row r="16" spans="2:43" x14ac:dyDescent="0.25">
      <c r="F16" s="7"/>
      <c r="H16" s="4" t="s">
        <v>2</v>
      </c>
      <c r="I16" s="9" t="s">
        <v>4</v>
      </c>
      <c r="J16" s="112" t="s">
        <v>7</v>
      </c>
      <c r="K16" s="112"/>
      <c r="L16" s="112" t="s">
        <v>8</v>
      </c>
      <c r="M16" s="112"/>
      <c r="N16" s="112" t="s">
        <v>10</v>
      </c>
      <c r="O16" s="112"/>
      <c r="P16" s="112" t="s">
        <v>9</v>
      </c>
      <c r="Q16" s="112"/>
      <c r="R16" s="112" t="s">
        <v>21</v>
      </c>
      <c r="S16" s="112"/>
      <c r="T16" s="112" t="s">
        <v>55</v>
      </c>
      <c r="U16" s="112"/>
      <c r="Y16" s="27" t="s">
        <v>49</v>
      </c>
      <c r="Z16" s="27" t="s">
        <v>50</v>
      </c>
      <c r="AA16" s="27" t="s">
        <v>51</v>
      </c>
      <c r="AB16" s="27" t="s">
        <v>52</v>
      </c>
      <c r="AC16" s="27" t="s">
        <v>53</v>
      </c>
      <c r="AE16" s="27" t="s">
        <v>49</v>
      </c>
      <c r="AF16" s="27" t="s">
        <v>50</v>
      </c>
      <c r="AG16" s="27" t="s">
        <v>51</v>
      </c>
      <c r="AH16" s="27" t="s">
        <v>52</v>
      </c>
      <c r="AI16" s="27" t="s">
        <v>53</v>
      </c>
    </row>
    <row r="17" spans="2:39" x14ac:dyDescent="0.25">
      <c r="F17" s="7">
        <f t="shared" si="3"/>
        <v>1</v>
      </c>
      <c r="H17" s="21" t="s">
        <v>6</v>
      </c>
      <c r="I17" s="80">
        <v>294366580.74000001</v>
      </c>
      <c r="J17" s="81">
        <v>0.29120000000000001</v>
      </c>
      <c r="K17" s="80">
        <f t="shared" ref="K17:K26" si="8">+J17*$I17</f>
        <v>85719548.311488003</v>
      </c>
      <c r="L17" s="81">
        <v>0.24490000000000001</v>
      </c>
      <c r="M17" s="80">
        <f t="shared" ref="M17:M26" si="9">+L17*$I17</f>
        <v>72090375.623226002</v>
      </c>
      <c r="N17" s="81">
        <v>0.33019999999999999</v>
      </c>
      <c r="O17" s="80">
        <f t="shared" ref="O17:O26" si="10">+N17*$I17</f>
        <v>97199844.960347995</v>
      </c>
      <c r="P17" s="81">
        <v>6.9699999999999998E-2</v>
      </c>
      <c r="Q17" s="80">
        <f t="shared" ref="Q17:Q26" si="11">+P17*$I17</f>
        <v>20517350.677577998</v>
      </c>
      <c r="R17" s="81"/>
      <c r="S17" s="80">
        <f t="shared" ref="S17:S26" si="12">+R17*$I17</f>
        <v>0</v>
      </c>
      <c r="T17" s="81">
        <v>6.4000000000000001E-2</v>
      </c>
      <c r="U17" s="80">
        <f t="shared" ref="U17:U26" si="13">+T17*$I17</f>
        <v>18839461.16736</v>
      </c>
      <c r="Y17" s="12">
        <f>K17-'Mai25'!K17</f>
        <v>11511038.304218993</v>
      </c>
      <c r="Z17" s="12">
        <f>M17-'Mai25'!M17</f>
        <v>-3557706.0882540047</v>
      </c>
      <c r="AA17" s="12">
        <f>O17-'Mai25'!O17</f>
        <v>1623574.5592019856</v>
      </c>
      <c r="AB17" s="12">
        <f>Q17-'Mai25'!Q17</f>
        <v>250439.23397999629</v>
      </c>
      <c r="AC17" s="12">
        <f>+S17-'Mai25'!S17</f>
        <v>0</v>
      </c>
      <c r="AD17" s="98"/>
      <c r="AE17" s="28">
        <f>J17-'Mai25'!J17</f>
        <v>2.8299999999999992E-2</v>
      </c>
      <c r="AF17" s="28">
        <f>L17-'Mai25'!L17</f>
        <v>-2.3100000000000009E-2</v>
      </c>
      <c r="AG17" s="28">
        <f>N17-'Mai25'!N17</f>
        <v>-8.4000000000000186E-3</v>
      </c>
      <c r="AH17" s="28">
        <f>P17-'Mai25'!P17</f>
        <v>-2.1000000000000046E-3</v>
      </c>
      <c r="AI17" s="28">
        <f>R17-'Mai25'!R17</f>
        <v>0</v>
      </c>
      <c r="AJ17" s="98"/>
      <c r="AK17" s="10">
        <f>I17-'Mai25'!I17</f>
        <v>12097619.129999995</v>
      </c>
      <c r="AL17" s="76">
        <f>I17/'Mai25'!I17-1</f>
        <v>4.2858481715445595E-2</v>
      </c>
      <c r="AM17" s="98"/>
    </row>
    <row r="18" spans="2:39" x14ac:dyDescent="0.25">
      <c r="F18" s="7">
        <f t="shared" si="3"/>
        <v>1</v>
      </c>
      <c r="H18" s="3" t="s">
        <v>26</v>
      </c>
      <c r="I18" s="78">
        <v>836802620.95000005</v>
      </c>
      <c r="J18" s="77">
        <v>0.12</v>
      </c>
      <c r="K18" s="78">
        <f t="shared" si="8"/>
        <v>100416314.514</v>
      </c>
      <c r="L18" s="77">
        <v>0.28999999999999998</v>
      </c>
      <c r="M18" s="78">
        <f t="shared" si="9"/>
        <v>242672760.07550001</v>
      </c>
      <c r="N18" s="77">
        <v>0.2</v>
      </c>
      <c r="O18" s="78">
        <f t="shared" si="10"/>
        <v>167360524.19000003</v>
      </c>
      <c r="P18" s="77">
        <v>0.17</v>
      </c>
      <c r="Q18" s="78">
        <f t="shared" si="11"/>
        <v>142256445.56150001</v>
      </c>
      <c r="R18" s="77"/>
      <c r="S18" s="78">
        <f t="shared" si="12"/>
        <v>0</v>
      </c>
      <c r="T18" s="77">
        <v>0.22</v>
      </c>
      <c r="U18" s="78">
        <f t="shared" si="13"/>
        <v>184096576.609</v>
      </c>
      <c r="Y18" s="12">
        <f>K18-'Mai25'!K18</f>
        <v>-4950771.6886930019</v>
      </c>
      <c r="Z18" s="12">
        <f>M18-'Mai25'!M18</f>
        <v>91143349.534942985</v>
      </c>
      <c r="AA18" s="12">
        <f>O18-'Mai25'!O18</f>
        <v>-188342317.45449999</v>
      </c>
      <c r="AB18" s="12">
        <f>Q18-'Mai25'!Q18</f>
        <v>23688831.680000007</v>
      </c>
      <c r="AC18" s="12">
        <f>+S18-'Mai25'!S18</f>
        <v>0</v>
      </c>
      <c r="AE18" s="28">
        <f>J18-'Mai25'!J18</f>
        <v>-1.3300000000000006E-2</v>
      </c>
      <c r="AF18" s="28">
        <f>L18-'Mai25'!L18</f>
        <v>9.8299999999999971E-2</v>
      </c>
      <c r="AG18" s="28">
        <f>N18-'Mai25'!N18</f>
        <v>-0.25</v>
      </c>
      <c r="AH18" s="28">
        <f>P18-'Mai25'!P18</f>
        <v>2.0000000000000018E-2</v>
      </c>
      <c r="AI18" s="28">
        <f>R18-'Mai25'!R18</f>
        <v>0</v>
      </c>
      <c r="AK18" s="10">
        <f>I18-'Mai25'!I18</f>
        <v>46351861.74000001</v>
      </c>
      <c r="AL18" s="76">
        <f>I18/'Mai25'!I18-1</f>
        <v>5.8639783945967139E-2</v>
      </c>
    </row>
    <row r="19" spans="2:39" x14ac:dyDescent="0.25">
      <c r="F19" s="7">
        <f t="shared" si="3"/>
        <v>1</v>
      </c>
      <c r="H19" s="3" t="s">
        <v>27</v>
      </c>
      <c r="I19" s="78">
        <v>665926250.5</v>
      </c>
      <c r="J19" s="77">
        <v>9.1999999999999998E-2</v>
      </c>
      <c r="K19" s="78">
        <f t="shared" si="8"/>
        <v>61265215.045999996</v>
      </c>
      <c r="L19" s="77">
        <v>0.38</v>
      </c>
      <c r="M19" s="78">
        <f t="shared" si="9"/>
        <v>253051975.19</v>
      </c>
      <c r="N19" s="77">
        <v>0.46100000000000002</v>
      </c>
      <c r="O19" s="78">
        <f t="shared" si="10"/>
        <v>306992001.48050004</v>
      </c>
      <c r="P19" s="77">
        <v>0.04</v>
      </c>
      <c r="Q19" s="78">
        <f t="shared" si="11"/>
        <v>26637050.02</v>
      </c>
      <c r="R19" s="77"/>
      <c r="S19" s="78">
        <f t="shared" si="12"/>
        <v>0</v>
      </c>
      <c r="T19" s="77">
        <v>2.7E-2</v>
      </c>
      <c r="U19" s="78">
        <f t="shared" si="13"/>
        <v>17980008.763500001</v>
      </c>
      <c r="Y19" s="12">
        <f>K19-'Mai25'!K19</f>
        <v>7648544.4253199995</v>
      </c>
      <c r="Z19" s="12">
        <f>M19-'Mai25'!M19</f>
        <v>5542460.8131399751</v>
      </c>
      <c r="AA19" s="12">
        <f>O19-'Mai25'!O19</f>
        <v>22698957.259220064</v>
      </c>
      <c r="AB19" s="12">
        <f>Q19-'Mai25'!Q19</f>
        <v>4192862.3183200024</v>
      </c>
      <c r="AC19" s="12">
        <f>+S19-'Mai25'!S19</f>
        <v>0</v>
      </c>
      <c r="AE19" s="28">
        <f>J19-'Mai25'!J19</f>
        <v>6.0000000000000053E-3</v>
      </c>
      <c r="AF19" s="28">
        <f>L19-'Mai25'!L19</f>
        <v>-1.7000000000000015E-2</v>
      </c>
      <c r="AG19" s="28">
        <f>N19-'Mai25'!N19</f>
        <v>5.0000000000000044E-3</v>
      </c>
      <c r="AH19" s="28">
        <f>P19-'Mai25'!P19</f>
        <v>4.0000000000000036E-3</v>
      </c>
      <c r="AI19" s="28">
        <f>R19-'Mai25'!R19</f>
        <v>0</v>
      </c>
      <c r="AJ19" s="93"/>
      <c r="AK19" s="10">
        <f>I19-'Mai25'!I19</f>
        <v>42476592.120000005</v>
      </c>
      <c r="AL19" s="76">
        <f>I19/'Mai25'!I19-1</f>
        <v>6.8131550878338887E-2</v>
      </c>
    </row>
    <row r="20" spans="2:39" x14ac:dyDescent="0.25">
      <c r="B20" s="1"/>
      <c r="C20" s="1" t="s">
        <v>20</v>
      </c>
      <c r="D20" s="1"/>
      <c r="F20" s="7">
        <f t="shared" si="3"/>
        <v>1</v>
      </c>
      <c r="H20" s="3" t="s">
        <v>67</v>
      </c>
      <c r="I20" s="78">
        <v>1252020554.5699999</v>
      </c>
      <c r="J20" s="77">
        <v>0.23</v>
      </c>
      <c r="K20" s="78">
        <f t="shared" si="8"/>
        <v>287964727.55110002</v>
      </c>
      <c r="L20" s="77">
        <v>0.28000000000000003</v>
      </c>
      <c r="M20" s="78">
        <f t="shared" si="9"/>
        <v>350565755.27960002</v>
      </c>
      <c r="N20" s="77">
        <v>0.34</v>
      </c>
      <c r="O20" s="78">
        <f t="shared" si="10"/>
        <v>425686988.55379999</v>
      </c>
      <c r="P20" s="77">
        <v>0.16</v>
      </c>
      <c r="Q20" s="78">
        <f t="shared" si="11"/>
        <v>200323288.73119998</v>
      </c>
      <c r="R20" s="77"/>
      <c r="S20" s="78">
        <f t="shared" si="12"/>
        <v>0</v>
      </c>
      <c r="T20" s="77">
        <v>-0.01</v>
      </c>
      <c r="U20" s="78">
        <f t="shared" si="13"/>
        <v>-12520205.545699999</v>
      </c>
      <c r="Y20" s="12">
        <f>K20-'Mai25'!K20</f>
        <v>16335314.630299985</v>
      </c>
      <c r="Z20" s="12">
        <f>M20-'Mai25'!M20</f>
        <v>54242759.365999997</v>
      </c>
      <c r="AA20" s="12">
        <f>O20-'Mai25'!O20</f>
        <v>-43491088.309400082</v>
      </c>
      <c r="AB20" s="12">
        <f>Q20-'Mai25'!Q20</f>
        <v>2774624.7887999713</v>
      </c>
      <c r="AC20" s="12">
        <f>+S20-'Mai25'!S20</f>
        <v>0</v>
      </c>
      <c r="AE20" s="28">
        <f>J20-'Mai25'!J20</f>
        <v>1.0000000000000009E-2</v>
      </c>
      <c r="AF20" s="28">
        <f>L20-'Mai25'!L20</f>
        <v>4.0000000000000036E-2</v>
      </c>
      <c r="AG20" s="28">
        <f>N20-'Mai25'!N20</f>
        <v>-3.999999999999998E-2</v>
      </c>
      <c r="AH20" s="28">
        <f>P20-'Mai25'!P20</f>
        <v>0</v>
      </c>
      <c r="AI20" s="28">
        <f>R20-'Mai25'!R20</f>
        <v>0</v>
      </c>
      <c r="AJ20" s="93"/>
      <c r="AK20" s="10">
        <f>I20-'Mai25'!I20</f>
        <v>17341404.929999828</v>
      </c>
      <c r="AL20" s="76">
        <f>I20/'Mai25'!I20-1</f>
        <v>1.4045272356835392E-2</v>
      </c>
    </row>
    <row r="21" spans="2:39" x14ac:dyDescent="0.25">
      <c r="B21" t="s">
        <v>11</v>
      </c>
      <c r="C21" s="2" t="s">
        <v>10</v>
      </c>
      <c r="D21" t="s">
        <v>7</v>
      </c>
      <c r="F21" s="7">
        <f t="shared" si="3"/>
        <v>1</v>
      </c>
      <c r="H21" s="3" t="s">
        <v>32</v>
      </c>
      <c r="I21" s="78">
        <v>196799832.97999999</v>
      </c>
      <c r="J21" s="77">
        <v>0.23</v>
      </c>
      <c r="K21" s="78">
        <f t="shared" si="8"/>
        <v>45263961.5854</v>
      </c>
      <c r="L21" s="77">
        <v>0.12</v>
      </c>
      <c r="M21" s="78">
        <f t="shared" si="9"/>
        <v>23615979.957599998</v>
      </c>
      <c r="N21" s="77">
        <v>0.52</v>
      </c>
      <c r="O21" s="78">
        <f t="shared" si="10"/>
        <v>102335913.1496</v>
      </c>
      <c r="P21" s="77">
        <v>0.12</v>
      </c>
      <c r="Q21" s="78">
        <f t="shared" si="11"/>
        <v>23615979.957599998</v>
      </c>
      <c r="R21" s="77"/>
      <c r="S21" s="78">
        <f t="shared" si="12"/>
        <v>0</v>
      </c>
      <c r="T21" s="77">
        <v>0.01</v>
      </c>
      <c r="U21" s="78">
        <f t="shared" si="13"/>
        <v>1967998.3297999999</v>
      </c>
      <c r="Y21" s="12">
        <f>K21-'Mai25'!K21</f>
        <v>21046874.857000001</v>
      </c>
      <c r="Z21" s="12">
        <f>M21-'Mai25'!M21</f>
        <v>-18763921.817099996</v>
      </c>
      <c r="AA21" s="12">
        <f>O21-'Mai25'!O21</f>
        <v>-6640977.1282000095</v>
      </c>
      <c r="AB21" s="12">
        <f>Q21-'Mai25'!Q21</f>
        <v>1416983.7898999974</v>
      </c>
      <c r="AC21" s="12">
        <f>+S21-'Mai25'!S21</f>
        <v>0</v>
      </c>
      <c r="AE21" s="28">
        <f>J21-'Mai25'!J21</f>
        <v>0.11000000000000001</v>
      </c>
      <c r="AF21" s="28">
        <f>L21-'Mai25'!L21</f>
        <v>-0.09</v>
      </c>
      <c r="AG21" s="28">
        <f>N21-'Mai25'!N21</f>
        <v>-2.0000000000000018E-2</v>
      </c>
      <c r="AH21" s="28">
        <f>P21-'Mai25'!P21</f>
        <v>9.999999999999995E-3</v>
      </c>
      <c r="AI21" s="28">
        <f>R21-'Mai25'!R21</f>
        <v>0</v>
      </c>
      <c r="AK21" s="10">
        <f>I21-'Mai25'!I21</f>
        <v>-5009223.0900000036</v>
      </c>
      <c r="AL21" s="76">
        <f>I21/'Mai25'!I21-1</f>
        <v>-2.4821597145087915E-2</v>
      </c>
    </row>
    <row r="22" spans="2:39" x14ac:dyDescent="0.25">
      <c r="B22" t="s">
        <v>12</v>
      </c>
      <c r="C22" s="2" t="s">
        <v>16</v>
      </c>
      <c r="D22" t="s">
        <v>58</v>
      </c>
      <c r="F22" s="7">
        <f t="shared" si="3"/>
        <v>1</v>
      </c>
      <c r="H22" s="3" t="s">
        <v>33</v>
      </c>
      <c r="I22" s="78">
        <v>1283126672.5599999</v>
      </c>
      <c r="J22" s="77">
        <v>0.16</v>
      </c>
      <c r="K22" s="78">
        <f t="shared" si="8"/>
        <v>205300267.60960001</v>
      </c>
      <c r="L22" s="77">
        <v>0.22</v>
      </c>
      <c r="M22" s="78">
        <f t="shared" si="9"/>
        <v>282287867.96319997</v>
      </c>
      <c r="N22" s="77">
        <v>0.59</v>
      </c>
      <c r="O22" s="78">
        <f t="shared" si="10"/>
        <v>757044736.81039989</v>
      </c>
      <c r="P22" s="77">
        <v>0.03</v>
      </c>
      <c r="Q22" s="78">
        <f t="shared" si="11"/>
        <v>38493800.176799998</v>
      </c>
      <c r="R22" s="77"/>
      <c r="S22" s="78">
        <f t="shared" si="12"/>
        <v>0</v>
      </c>
      <c r="T22" s="77"/>
      <c r="U22" s="78">
        <f t="shared" si="13"/>
        <v>0</v>
      </c>
      <c r="Y22" s="12">
        <f>K22-'Mai25'!K22</f>
        <v>-78045165.986699998</v>
      </c>
      <c r="Z22" s="12">
        <f>M22-'Mai25'!M22</f>
        <v>72858634.435499966</v>
      </c>
      <c r="AA22" s="12">
        <f>O22-'Mai25'!O22</f>
        <v>54840836.158699989</v>
      </c>
      <c r="AB22" s="12">
        <f>Q22-'Mai25'!Q22</f>
        <v>13855066.820599999</v>
      </c>
      <c r="AC22" s="12">
        <f>+S22-'Mai25'!S22</f>
        <v>0</v>
      </c>
      <c r="AE22" s="28">
        <f>J22-'Mai25'!J22</f>
        <v>-7.0000000000000007E-2</v>
      </c>
      <c r="AF22" s="28">
        <f>L22-'Mai25'!L22</f>
        <v>4.9999999999999989E-2</v>
      </c>
      <c r="AG22" s="28">
        <f>N22-'Mai25'!N22</f>
        <v>2.0000000000000018E-2</v>
      </c>
      <c r="AH22" s="28">
        <f>P22-'Mai25'!P22</f>
        <v>9.9999999999999985E-3</v>
      </c>
      <c r="AI22" s="28">
        <f>R22-'Mai25'!R22</f>
        <v>0</v>
      </c>
      <c r="AK22" s="10">
        <f>I22-'Mai25'!I22</f>
        <v>51190004.75</v>
      </c>
      <c r="AL22" s="76">
        <f>I22/'Mai25'!I22-1</f>
        <v>4.1552464576770642E-2</v>
      </c>
    </row>
    <row r="23" spans="2:39" x14ac:dyDescent="0.25">
      <c r="B23" t="s">
        <v>13</v>
      </c>
      <c r="C23" s="2" t="s">
        <v>17</v>
      </c>
      <c r="D23" t="s">
        <v>59</v>
      </c>
      <c r="F23" s="7">
        <f t="shared" si="3"/>
        <v>1</v>
      </c>
      <c r="H23" s="3" t="s">
        <v>68</v>
      </c>
      <c r="I23" s="78">
        <v>226314625.08000001</v>
      </c>
      <c r="J23" s="77">
        <v>0.50890000000000002</v>
      </c>
      <c r="K23" s="78">
        <f t="shared" si="8"/>
        <v>115171512.70321201</v>
      </c>
      <c r="L23" s="77">
        <v>0.1202</v>
      </c>
      <c r="M23" s="78">
        <f t="shared" si="9"/>
        <v>27203017.934616003</v>
      </c>
      <c r="N23" s="77">
        <v>0.28999999999999998</v>
      </c>
      <c r="O23" s="78">
        <f t="shared" si="10"/>
        <v>65631241.273199998</v>
      </c>
      <c r="P23" s="77">
        <v>8.0399999999999999E-2</v>
      </c>
      <c r="Q23" s="78">
        <f t="shared" si="11"/>
        <v>18195695.856432002</v>
      </c>
      <c r="R23" s="77"/>
      <c r="S23" s="78">
        <f t="shared" si="12"/>
        <v>0</v>
      </c>
      <c r="T23" s="77">
        <v>5.0000000000000001E-4</v>
      </c>
      <c r="U23" s="78">
        <f t="shared" si="13"/>
        <v>113157.31254000001</v>
      </c>
      <c r="Y23" s="12">
        <f>K23-'Mai25'!K23</f>
        <v>3132351.3544890136</v>
      </c>
      <c r="Z23" s="12">
        <f>M23-'Mai25'!M23</f>
        <v>-405096.96044399589</v>
      </c>
      <c r="AA23" s="12">
        <f>O23-'Mai25'!O23</f>
        <v>-2664898.6885140017</v>
      </c>
      <c r="AB23" s="12">
        <f>Q23-'Mai25'!Q23</f>
        <v>-89022.86095199734</v>
      </c>
      <c r="AC23" s="12">
        <f>+S23-'Mai25'!S23</f>
        <v>0</v>
      </c>
      <c r="AE23" s="28">
        <f>J23-'Mai25'!J23</f>
        <v>1.3800000000000034E-2</v>
      </c>
      <c r="AF23" s="28">
        <f>L23-'Mai25'!L23</f>
        <v>-1.799999999999996E-3</v>
      </c>
      <c r="AG23" s="28">
        <f>N23-'Mai25'!N23</f>
        <v>-1.1800000000000033E-2</v>
      </c>
      <c r="AH23" s="28">
        <f>P23-'Mai25'!P23</f>
        <v>-3.9999999999999758E-4</v>
      </c>
      <c r="AI23" s="28">
        <f>R23-'Mai25'!R23</f>
        <v>0</v>
      </c>
      <c r="AJ23" s="93"/>
      <c r="AK23" s="10">
        <f>I23-'Mai25'!I23</f>
        <v>18601.350000023842</v>
      </c>
      <c r="AL23" s="76">
        <f>I23/'Mai25'!I23-1</f>
        <v>8.219919065921566E-5</v>
      </c>
    </row>
    <row r="24" spans="2:39" x14ac:dyDescent="0.25">
      <c r="B24" t="s">
        <v>14</v>
      </c>
      <c r="C24" s="2" t="s">
        <v>18</v>
      </c>
      <c r="F24" s="7">
        <f t="shared" si="3"/>
        <v>1</v>
      </c>
      <c r="H24" s="3" t="s">
        <v>35</v>
      </c>
      <c r="I24" s="78">
        <v>469598046.27999997</v>
      </c>
      <c r="J24" s="77">
        <v>0.11</v>
      </c>
      <c r="K24" s="78">
        <f t="shared" si="8"/>
        <v>51655785.090799995</v>
      </c>
      <c r="L24" s="77">
        <v>0.41</v>
      </c>
      <c r="M24" s="78">
        <f t="shared" si="9"/>
        <v>192535198.97479999</v>
      </c>
      <c r="N24" s="77">
        <v>0.41</v>
      </c>
      <c r="O24" s="78">
        <f t="shared" si="10"/>
        <v>192535198.97479999</v>
      </c>
      <c r="P24" s="77">
        <v>0.02</v>
      </c>
      <c r="Q24" s="78">
        <f t="shared" si="11"/>
        <v>9391960.9255999997</v>
      </c>
      <c r="R24" s="77"/>
      <c r="S24" s="78">
        <f t="shared" si="12"/>
        <v>0</v>
      </c>
      <c r="T24" s="77">
        <v>0.05</v>
      </c>
      <c r="U24" s="78">
        <f t="shared" si="13"/>
        <v>23479902.313999999</v>
      </c>
      <c r="Y24" s="12">
        <f>K24-'Mai25'!K24</f>
        <v>-14336310.614799999</v>
      </c>
      <c r="Z24" s="12">
        <f>M24-'Mai25'!M24</f>
        <v>58253.166800022125</v>
      </c>
      <c r="AA24" s="12">
        <f>O24-'Mai25'!O24</f>
        <v>28929795.038000017</v>
      </c>
      <c r="AB24" s="12">
        <f>Q24-'Mai25'!Q24</f>
        <v>-26812036.023999996</v>
      </c>
      <c r="AC24" s="12">
        <f>+S24-'Mai25'!S24</f>
        <v>0</v>
      </c>
      <c r="AE24" s="28">
        <f>J24-'Mai25'!J24</f>
        <v>-3.3999999999999989E-2</v>
      </c>
      <c r="AF24" s="28">
        <f>L24-'Mai25'!L24</f>
        <v>-1.0000000000000009E-2</v>
      </c>
      <c r="AG24" s="28">
        <f>N24-'Mai25'!N24</f>
        <v>5.2999999999999992E-2</v>
      </c>
      <c r="AH24" s="28">
        <f>P24-'Mai25'!P24</f>
        <v>-5.8999999999999997E-2</v>
      </c>
      <c r="AI24" s="28">
        <f>R24-'Mai25'!R24</f>
        <v>0</v>
      </c>
      <c r="AJ24" s="93"/>
      <c r="AK24" s="10">
        <f>I24-'Mai25'!I24</f>
        <v>11319603.879999995</v>
      </c>
      <c r="AL24" s="76">
        <f>I24/'Mai25'!I24-1</f>
        <v>2.4700275711681652E-2</v>
      </c>
    </row>
    <row r="25" spans="2:39" x14ac:dyDescent="0.25">
      <c r="B25" t="s">
        <v>15</v>
      </c>
      <c r="C25" s="2" t="s">
        <v>19</v>
      </c>
      <c r="F25" s="7">
        <f t="shared" si="3"/>
        <v>1</v>
      </c>
      <c r="H25" s="3" t="s">
        <v>36</v>
      </c>
      <c r="I25" s="78">
        <v>786542530.15999997</v>
      </c>
      <c r="J25" s="77">
        <v>0.23</v>
      </c>
      <c r="K25" s="78">
        <f t="shared" si="8"/>
        <v>180904781.9368</v>
      </c>
      <c r="L25" s="77">
        <v>0.2</v>
      </c>
      <c r="M25" s="78">
        <f t="shared" si="9"/>
        <v>157308506.03200001</v>
      </c>
      <c r="N25" s="77">
        <v>0.49</v>
      </c>
      <c r="O25" s="78">
        <f t="shared" si="10"/>
        <v>385405839.7784</v>
      </c>
      <c r="P25" s="77">
        <v>0.09</v>
      </c>
      <c r="Q25" s="78">
        <f t="shared" si="11"/>
        <v>70788827.714399993</v>
      </c>
      <c r="R25" s="77"/>
      <c r="S25" s="78">
        <f t="shared" si="12"/>
        <v>0</v>
      </c>
      <c r="T25" s="77">
        <v>-0.01</v>
      </c>
      <c r="U25" s="78">
        <f t="shared" si="13"/>
        <v>-7865425.3015999999</v>
      </c>
      <c r="Y25" s="12">
        <f>K25-'Mai25'!K25</f>
        <v>20469734.330799997</v>
      </c>
      <c r="Z25" s="12">
        <f>M25-'Mai25'!M25</f>
        <v>-3126541.574000001</v>
      </c>
      <c r="AA25" s="12">
        <f>O25-'Mai25'!O25</f>
        <v>-31725283.997200012</v>
      </c>
      <c r="AB25" s="12">
        <f>Q25-'Mai25'!Q25</f>
        <v>6614808.6719999909</v>
      </c>
      <c r="AC25" s="12">
        <f>+S25-'Mai25'!S25</f>
        <v>0</v>
      </c>
      <c r="AE25" s="28">
        <f>J25-'Mai25'!J25</f>
        <v>0.03</v>
      </c>
      <c r="AF25" s="28">
        <f>L25-'Mai25'!L25</f>
        <v>0</v>
      </c>
      <c r="AG25" s="28">
        <f>N25-'Mai25'!N25</f>
        <v>-3.0000000000000027E-2</v>
      </c>
      <c r="AH25" s="28">
        <f>P25-'Mai25'!P25</f>
        <v>9.999999999999995E-3</v>
      </c>
      <c r="AI25" s="28">
        <f>R25-'Mai25'!R25</f>
        <v>0</v>
      </c>
      <c r="AJ25" s="93"/>
      <c r="AK25" s="10">
        <f>I25-'Mai25'!I25</f>
        <v>-15632707.870000005</v>
      </c>
      <c r="AL25" s="76">
        <f>I25/'Mai25'!I25-1</f>
        <v>-1.9487896320997344E-2</v>
      </c>
    </row>
    <row r="26" spans="2:39" x14ac:dyDescent="0.25">
      <c r="B26" t="s">
        <v>57</v>
      </c>
      <c r="F26" s="7">
        <f>J26+L26+N26+P26+R26+T26</f>
        <v>1</v>
      </c>
      <c r="H26" s="3" t="s">
        <v>65</v>
      </c>
      <c r="I26" s="78">
        <v>1587298288.75</v>
      </c>
      <c r="J26" s="77">
        <v>0.34</v>
      </c>
      <c r="K26" s="78">
        <f t="shared" si="8"/>
        <v>539681418.17500007</v>
      </c>
      <c r="L26" s="77">
        <v>0.2</v>
      </c>
      <c r="M26" s="78">
        <f t="shared" si="9"/>
        <v>317459657.75</v>
      </c>
      <c r="N26" s="77">
        <v>0.39</v>
      </c>
      <c r="O26" s="78">
        <f t="shared" si="10"/>
        <v>619046332.61250007</v>
      </c>
      <c r="P26" s="77">
        <v>7.0000000000000007E-2</v>
      </c>
      <c r="Q26" s="78">
        <f t="shared" si="11"/>
        <v>111110880.21250001</v>
      </c>
      <c r="R26" s="77"/>
      <c r="S26" s="78">
        <f t="shared" si="12"/>
        <v>0</v>
      </c>
      <c r="T26" s="77"/>
      <c r="U26" s="78">
        <f t="shared" si="13"/>
        <v>0</v>
      </c>
      <c r="Y26" s="12">
        <f>K26-'Mai25'!K26</f>
        <v>50565410.277000129</v>
      </c>
      <c r="Z26" s="12">
        <f>M26-'Mai25'!M26</f>
        <v>51939539.176800013</v>
      </c>
      <c r="AA26" s="12">
        <f>O26-'Mai25'!O26</f>
        <v>88006095.466100097</v>
      </c>
      <c r="AB26" s="12">
        <f>Q26-'Mai25'!Q26</f>
        <v>-687064.44990000129</v>
      </c>
      <c r="AC26" s="12">
        <f>+S26-'Mai25'!S26</f>
        <v>0</v>
      </c>
      <c r="AE26" s="28">
        <f>J26-'Mai25'!J26</f>
        <v>-9.9999999999999534E-3</v>
      </c>
      <c r="AF26" s="28">
        <f>L26-'Mai25'!L26</f>
        <v>1.0000000000000009E-2</v>
      </c>
      <c r="AG26" s="28">
        <f>N26-'Mai25'!N26</f>
        <v>1.0000000000000009E-2</v>
      </c>
      <c r="AH26" s="28">
        <f>P26-'Mai25'!P26</f>
        <v>-9.999999999999995E-3</v>
      </c>
      <c r="AI26" s="28">
        <f>R26-'Mai25'!R26</f>
        <v>0</v>
      </c>
      <c r="AK26" s="10">
        <f>I26-'Mai25'!I26</f>
        <v>189823980.47000003</v>
      </c>
      <c r="AL26" s="76">
        <f>I26/'Mai25'!I26-1</f>
        <v>0.13583361021043294</v>
      </c>
    </row>
    <row r="27" spans="2:39" s="8" customFormat="1" x14ac:dyDescent="0.25">
      <c r="B27"/>
      <c r="C27"/>
      <c r="E27"/>
      <c r="F27" s="7">
        <f t="shared" si="3"/>
        <v>1.0000000000000002</v>
      </c>
      <c r="G27"/>
      <c r="H27" s="21" t="s">
        <v>45</v>
      </c>
      <c r="I27" s="20">
        <f>SUM(I17:I26)</f>
        <v>7598796002.5699997</v>
      </c>
      <c r="J27" s="15">
        <f>K27/$I$27</f>
        <v>0.22021166668475589</v>
      </c>
      <c r="K27" s="63">
        <f>SUM(K17:K26)</f>
        <v>1673343532.5234003</v>
      </c>
      <c r="L27" s="15">
        <f>M27/$I$27</f>
        <v>0.25251251568427224</v>
      </c>
      <c r="M27" s="62">
        <f>SUM(M17:M26)</f>
        <v>1918791094.7805424</v>
      </c>
      <c r="N27" s="15">
        <f>O27/$I$27</f>
        <v>0.41049116474880837</v>
      </c>
      <c r="O27" s="63">
        <f>SUM(O17:O26)</f>
        <v>3119238621.7835484</v>
      </c>
      <c r="P27" s="15">
        <f>Q27/$I$27</f>
        <v>8.7031061185211464E-2</v>
      </c>
      <c r="Q27" s="63">
        <f>SUM(Q17:Q26)</f>
        <v>661331279.83360994</v>
      </c>
      <c r="R27" s="15">
        <f>S27/$I$27</f>
        <v>0</v>
      </c>
      <c r="S27" s="63">
        <f>SUM(S17:S26)</f>
        <v>0</v>
      </c>
      <c r="T27" s="15">
        <f>U27/$I$27</f>
        <v>2.9753591696952159E-2</v>
      </c>
      <c r="U27" s="17">
        <f>SUM(U17:U26)</f>
        <v>226091473.6489</v>
      </c>
      <c r="Y27" s="12">
        <f>K27-'Mai25'!K27</f>
        <v>33377019.888935328</v>
      </c>
      <c r="Z27" s="12">
        <f>M27-'Mai25'!M27</f>
        <v>249931730.05338526</v>
      </c>
      <c r="AA27" s="12">
        <f>O27-'Mai25'!O27</f>
        <v>-76765307.096591473</v>
      </c>
      <c r="AB27" s="12">
        <f>Q27-'Mai25'!Q27</f>
        <v>25205493.968747973</v>
      </c>
      <c r="AC27" s="12">
        <f>+S27-'Mai25'!S27</f>
        <v>0</v>
      </c>
      <c r="AE27" s="28">
        <f>J27-'Mai25'!J27</f>
        <v>-6.0274874290446034E-3</v>
      </c>
      <c r="AF27" s="28">
        <f>L27-'Mai25'!L27</f>
        <v>2.2287490903585255E-2</v>
      </c>
      <c r="AG27" s="28">
        <f>N27-'Mai25'!N27</f>
        <v>-3.0408829149658645E-2</v>
      </c>
      <c r="AH27" s="28">
        <f>P27-'Mai25'!P27</f>
        <v>-7.247305308360763E-4</v>
      </c>
      <c r="AI27" s="28">
        <f>R27-'Mai25'!R27</f>
        <v>0</v>
      </c>
      <c r="AK27" s="92">
        <f>I27-'Mai25'!I27</f>
        <v>349977737.4100008</v>
      </c>
      <c r="AL27" s="76">
        <f>I27/'Mai25'!I27-1</f>
        <v>4.8280661013685444E-2</v>
      </c>
    </row>
    <row r="28" spans="2:39" x14ac:dyDescent="0.25">
      <c r="F28" s="7"/>
      <c r="I28" s="10"/>
      <c r="J28" s="10"/>
      <c r="K28" s="10"/>
      <c r="L28" s="5"/>
      <c r="M28" s="10"/>
      <c r="N28" s="10"/>
      <c r="O28" s="10"/>
      <c r="P28" s="5"/>
      <c r="Q28" s="10"/>
    </row>
    <row r="29" spans="2:39" x14ac:dyDescent="0.25">
      <c r="F29" s="7"/>
      <c r="H29" s="4" t="s">
        <v>38</v>
      </c>
      <c r="I29" s="9" t="s">
        <v>4</v>
      </c>
      <c r="J29" s="113" t="s">
        <v>7</v>
      </c>
      <c r="K29" s="113"/>
      <c r="L29" s="112" t="s">
        <v>8</v>
      </c>
      <c r="M29" s="112"/>
      <c r="N29" s="112" t="s">
        <v>10</v>
      </c>
      <c r="O29" s="112"/>
      <c r="P29" s="112" t="s">
        <v>9</v>
      </c>
      <c r="Q29" s="112"/>
      <c r="R29" s="112" t="s">
        <v>40</v>
      </c>
      <c r="S29" s="112"/>
      <c r="T29" s="112" t="s">
        <v>55</v>
      </c>
      <c r="U29" s="112"/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  <c r="AE29" s="27" t="s">
        <v>49</v>
      </c>
      <c r="AF29" s="27" t="s">
        <v>50</v>
      </c>
      <c r="AG29" s="27" t="s">
        <v>51</v>
      </c>
      <c r="AH29" s="27" t="s">
        <v>52</v>
      </c>
      <c r="AI29" s="27" t="s">
        <v>54</v>
      </c>
    </row>
    <row r="30" spans="2:39" x14ac:dyDescent="0.25">
      <c r="F30" s="7">
        <f>J30+L30+N30+P30+R30+T30</f>
        <v>1</v>
      </c>
      <c r="H30" s="21" t="s">
        <v>39</v>
      </c>
      <c r="I30" s="94">
        <v>264401627.77000001</v>
      </c>
      <c r="J30" s="81">
        <v>0.1404</v>
      </c>
      <c r="K30" s="80">
        <f t="shared" ref="K30:K35" si="14">+J30*$I30</f>
        <v>37121988.538907997</v>
      </c>
      <c r="L30" s="81">
        <v>0.22819999999999999</v>
      </c>
      <c r="M30" s="80">
        <f t="shared" ref="M30:M35" si="15">+L30*$I30</f>
        <v>60336451.457113996</v>
      </c>
      <c r="N30" s="81">
        <v>0.53649999999999998</v>
      </c>
      <c r="O30" s="80">
        <f t="shared" ref="O30:O35" si="16">+N30*$I30</f>
        <v>141851473.298605</v>
      </c>
      <c r="P30" s="81">
        <v>0.1095</v>
      </c>
      <c r="Q30" s="80">
        <f t="shared" ref="Q30:Q35" si="17">+P30*$I30</f>
        <v>28951978.240815002</v>
      </c>
      <c r="R30" s="88">
        <v>3.5799999999999998E-2</v>
      </c>
      <c r="S30" s="80">
        <f t="shared" ref="S30:S35" si="18">+R30*$I30</f>
        <v>9465578.2741659991</v>
      </c>
      <c r="T30" s="81">
        <v>-5.04E-2</v>
      </c>
      <c r="U30" s="80">
        <f t="shared" ref="U30:U35" si="19">+T30*$I30</f>
        <v>-13325842.039608</v>
      </c>
      <c r="V30" s="98"/>
      <c r="Y30" s="12">
        <f>K30-'Mai25'!K30</f>
        <v>2002433.6646679938</v>
      </c>
      <c r="Z30" s="12">
        <f>M30-'Mai25'!M30</f>
        <v>5181064.1977859959</v>
      </c>
      <c r="AA30" s="12">
        <f>O30-'Mai25'!O30</f>
        <v>24415724.337836996</v>
      </c>
      <c r="AB30" s="12">
        <f>Q30-'Mai25'!Q30</f>
        <v>2877603.6867030039</v>
      </c>
      <c r="AC30" s="12">
        <f>+S30-'Mai25'!S30</f>
        <v>-362843.917258</v>
      </c>
      <c r="AD30" s="98"/>
      <c r="AE30" s="28">
        <f>J30-'Mai25'!J30</f>
        <v>1.3999999999999846E-3</v>
      </c>
      <c r="AF30" s="28">
        <f>L30-'Mai25'!L30</f>
        <v>9.8999999999999921E-3</v>
      </c>
      <c r="AG30" s="28">
        <f>N30-'Mai25'!N30</f>
        <v>7.1699999999999986E-2</v>
      </c>
      <c r="AH30" s="28">
        <f>P30-'Mai25'!P30</f>
        <v>6.3E-3</v>
      </c>
      <c r="AI30" s="28">
        <f>R30-'Mai25'!R30</f>
        <v>-3.0999999999999986E-3</v>
      </c>
      <c r="AJ30" s="98"/>
      <c r="AK30" s="10">
        <f>I30-'Mai25'!I30</f>
        <v>11742959.610000014</v>
      </c>
      <c r="AL30" s="76">
        <f>I30/'Mai25'!I30-1</f>
        <v>4.6477564753739653E-2</v>
      </c>
      <c r="AM30" s="98"/>
    </row>
    <row r="31" spans="2:39" hidden="1" outlineLevel="1" x14ac:dyDescent="0.25">
      <c r="F31" s="7">
        <f t="shared" si="3"/>
        <v>0</v>
      </c>
      <c r="H31" s="3" t="s">
        <v>56</v>
      </c>
      <c r="I31" s="78"/>
      <c r="J31" s="77"/>
      <c r="K31" s="78">
        <f t="shared" si="14"/>
        <v>0</v>
      </c>
      <c r="L31" s="77"/>
      <c r="M31" s="78">
        <f t="shared" si="15"/>
        <v>0</v>
      </c>
      <c r="N31" s="77"/>
      <c r="O31" s="78">
        <f t="shared" si="16"/>
        <v>0</v>
      </c>
      <c r="P31" s="77"/>
      <c r="Q31" s="78">
        <f t="shared" si="17"/>
        <v>0</v>
      </c>
      <c r="R31" s="77"/>
      <c r="S31" s="78">
        <f t="shared" si="18"/>
        <v>0</v>
      </c>
      <c r="T31" s="77"/>
      <c r="U31" s="78">
        <f t="shared" si="19"/>
        <v>0</v>
      </c>
      <c r="Y31" s="12">
        <f>K31-'Mai25'!K31</f>
        <v>0</v>
      </c>
      <c r="Z31" s="12">
        <f>M31-'Mai25'!M31</f>
        <v>0</v>
      </c>
      <c r="AA31" s="12">
        <f>O31-'Mai25'!O31</f>
        <v>0</v>
      </c>
      <c r="AB31" s="12">
        <f>Q31-'Mai25'!Q31</f>
        <v>0</v>
      </c>
      <c r="AC31" s="12">
        <f>+S31-'Mai25'!S31</f>
        <v>0</v>
      </c>
      <c r="AE31" s="28">
        <f>J31-'Mai25'!J31</f>
        <v>0</v>
      </c>
      <c r="AF31" s="28">
        <f>L31-'Mai25'!L31</f>
        <v>0</v>
      </c>
      <c r="AG31" s="28">
        <f>N31-'Mai25'!N31</f>
        <v>0</v>
      </c>
      <c r="AH31" s="28">
        <f>P31-'Mai25'!P31</f>
        <v>0</v>
      </c>
      <c r="AI31" s="28">
        <f>R31-'Mai25'!R31</f>
        <v>0</v>
      </c>
      <c r="AK31" s="10">
        <f>I31-'Mai25'!I31</f>
        <v>0</v>
      </c>
      <c r="AL31" s="76" t="e">
        <f>I31/'Mai25'!I31-1</f>
        <v>#DIV/0!</v>
      </c>
    </row>
    <row r="32" spans="2:39" collapsed="1" x14ac:dyDescent="0.25">
      <c r="F32" s="7">
        <f t="shared" si="3"/>
        <v>1</v>
      </c>
      <c r="H32" s="3" t="s">
        <v>42</v>
      </c>
      <c r="I32" s="84">
        <v>205440943</v>
      </c>
      <c r="J32" s="77">
        <v>0.05</v>
      </c>
      <c r="K32" s="78">
        <f t="shared" si="14"/>
        <v>10272047.15</v>
      </c>
      <c r="L32" s="77">
        <v>0.1</v>
      </c>
      <c r="M32" s="78">
        <f t="shared" si="15"/>
        <v>20544094.300000001</v>
      </c>
      <c r="N32" s="77">
        <v>0.65</v>
      </c>
      <c r="O32" s="78">
        <f t="shared" si="16"/>
        <v>133536612.95</v>
      </c>
      <c r="P32" s="77">
        <v>7.0000000000000007E-2</v>
      </c>
      <c r="Q32" s="78">
        <f t="shared" si="17"/>
        <v>14380866.010000002</v>
      </c>
      <c r="R32" s="77">
        <v>0.2</v>
      </c>
      <c r="S32" s="78">
        <f t="shared" si="18"/>
        <v>41088188.600000001</v>
      </c>
      <c r="T32" s="77">
        <v>-7.0000000000000007E-2</v>
      </c>
      <c r="U32" s="78">
        <f t="shared" si="19"/>
        <v>-14380866.010000002</v>
      </c>
      <c r="Y32" s="12">
        <f>K32-'Mai25'!K32</f>
        <v>-3915991.1300000008</v>
      </c>
      <c r="Z32" s="12">
        <f>M32-'Mai25'!M32</f>
        <v>10721606.260000002</v>
      </c>
      <c r="AA32" s="12">
        <f>O32-'Mai25'!O32</f>
        <v>94246660.790000007</v>
      </c>
      <c r="AB32" s="12">
        <f>Q32-'Mai25'!Q32</f>
        <v>8923928.2100000009</v>
      </c>
      <c r="AC32" s="12">
        <f>+S32-'Mai25'!S32</f>
        <v>22534600.080000002</v>
      </c>
      <c r="AE32" s="28">
        <f>J32-'Mai25'!J32</f>
        <v>-0.08</v>
      </c>
      <c r="AF32" s="28">
        <f>L32-'Mai25'!L32</f>
        <v>1.0000000000000009E-2</v>
      </c>
      <c r="AG32" s="28">
        <f>N32-'Mai25'!N32</f>
        <v>0.29000000000000004</v>
      </c>
      <c r="AH32" s="28">
        <f>P32-'Mai25'!P32</f>
        <v>2.0000000000000004E-2</v>
      </c>
      <c r="AI32" s="28">
        <f>R32-'Mai25'!R32</f>
        <v>3.0000000000000027E-2</v>
      </c>
      <c r="AK32" s="10">
        <f>I32-'Mai25'!I32</f>
        <v>96302187</v>
      </c>
      <c r="AL32" s="76">
        <f>I32/'Mai25'!I32-1</f>
        <v>0.88238303724114275</v>
      </c>
    </row>
    <row r="33" spans="5:38" x14ac:dyDescent="0.25">
      <c r="F33" s="7">
        <f t="shared" si="3"/>
        <v>1</v>
      </c>
      <c r="H33" s="3" t="s">
        <v>69</v>
      </c>
      <c r="I33" s="84">
        <v>462207547.93000001</v>
      </c>
      <c r="J33" s="77">
        <v>0.17</v>
      </c>
      <c r="K33" s="78">
        <f t="shared" si="14"/>
        <v>78575283.148100004</v>
      </c>
      <c r="L33" s="77">
        <v>0.11</v>
      </c>
      <c r="M33" s="78">
        <f t="shared" si="15"/>
        <v>50842830.272299998</v>
      </c>
      <c r="N33" s="77">
        <v>0.52</v>
      </c>
      <c r="O33" s="78">
        <f t="shared" si="16"/>
        <v>240347924.92360002</v>
      </c>
      <c r="P33" s="77"/>
      <c r="Q33" s="78">
        <f t="shared" si="17"/>
        <v>0</v>
      </c>
      <c r="R33" s="77">
        <v>0.01</v>
      </c>
      <c r="S33" s="78">
        <f t="shared" si="18"/>
        <v>4622075.4792999998</v>
      </c>
      <c r="T33" s="77">
        <v>0.19</v>
      </c>
      <c r="U33" s="78">
        <f t="shared" si="19"/>
        <v>87819434.106700003</v>
      </c>
      <c r="Y33" s="12">
        <f>K33-'Mai25'!K33</f>
        <v>-6864502161.3018999</v>
      </c>
      <c r="Z33" s="12">
        <f>M33-'Mai25'!M33</f>
        <v>-1800644488.2477</v>
      </c>
      <c r="AA33" s="12">
        <f>O33-'Mai25'!O33</f>
        <v>-27069090023.246399</v>
      </c>
      <c r="AB33" s="12">
        <f>Q33-'Mai25'!Q33</f>
        <v>0</v>
      </c>
      <c r="AC33" s="12">
        <f>+S33-'Mai25'!S33</f>
        <v>4622075.4792999998</v>
      </c>
      <c r="AE33" s="28">
        <f>J33-'Mai25'!J33</f>
        <v>2.0000000000000018E-2</v>
      </c>
      <c r="AF33" s="28">
        <f>L33-'Mai25'!L33</f>
        <v>7.0000000000000007E-2</v>
      </c>
      <c r="AG33" s="28">
        <f>N33-'Mai25'!N33</f>
        <v>-6.9999999999999951E-2</v>
      </c>
      <c r="AH33" s="28">
        <f>P33-'Mai25'!P33</f>
        <v>0</v>
      </c>
      <c r="AI33" s="28">
        <f>R33-'Mai25'!R33</f>
        <v>0.01</v>
      </c>
      <c r="AK33" s="10">
        <f>I33-'Mai25'!I33</f>
        <v>-45824975415.07</v>
      </c>
      <c r="AL33" s="76">
        <f>I33/'Mai25'!I33-1</f>
        <v>-0.99001435130974658</v>
      </c>
    </row>
    <row r="34" spans="5:38" x14ac:dyDescent="0.25">
      <c r="F34" s="7">
        <f t="shared" si="3"/>
        <v>1</v>
      </c>
      <c r="H34" s="3" t="s">
        <v>44</v>
      </c>
      <c r="I34" s="84">
        <v>79634096.109999999</v>
      </c>
      <c r="J34" s="77">
        <v>7.0000000000000007E-2</v>
      </c>
      <c r="K34" s="78">
        <f t="shared" si="14"/>
        <v>5574386.7277000006</v>
      </c>
      <c r="L34" s="77">
        <v>0.13</v>
      </c>
      <c r="M34" s="78">
        <f t="shared" si="15"/>
        <v>10352432.4943</v>
      </c>
      <c r="N34" s="77">
        <v>0.65</v>
      </c>
      <c r="O34" s="78">
        <f t="shared" si="16"/>
        <v>51762162.471500002</v>
      </c>
      <c r="P34" s="77">
        <v>0.03</v>
      </c>
      <c r="Q34" s="78">
        <f t="shared" si="17"/>
        <v>2389022.8832999999</v>
      </c>
      <c r="R34" s="77">
        <v>0.12</v>
      </c>
      <c r="S34" s="78">
        <f t="shared" si="18"/>
        <v>9556091.5331999995</v>
      </c>
      <c r="T34" s="77"/>
      <c r="U34" s="78">
        <f t="shared" si="19"/>
        <v>0</v>
      </c>
      <c r="Y34" s="12">
        <f>K34-'Mai25'!K34</f>
        <v>608027.90350000095</v>
      </c>
      <c r="Z34" s="12">
        <f>M34-'Mai25'!M34</f>
        <v>419714.845900001</v>
      </c>
      <c r="AA34" s="12">
        <f>O34-'Mai25'!O34</f>
        <v>-1212331.6532999948</v>
      </c>
      <c r="AB34" s="12">
        <f>Q34-'Mai25'!Q34</f>
        <v>733569.94189999998</v>
      </c>
      <c r="AC34" s="12">
        <f>+S34-'Mai25'!S34</f>
        <v>-3687531.9979999997</v>
      </c>
      <c r="AE34" s="28">
        <f>J34-'Mai25'!J34</f>
        <v>1.0000000000000009E-2</v>
      </c>
      <c r="AF34" s="28">
        <f>L34-'Mai25'!L34</f>
        <v>1.0000000000000009E-2</v>
      </c>
      <c r="AG34" s="28">
        <f>N34-'Mai25'!N34</f>
        <v>1.0000000000000009E-2</v>
      </c>
      <c r="AH34" s="28">
        <f>P34-'Mai25'!P34</f>
        <v>9.9999999999999985E-3</v>
      </c>
      <c r="AI34" s="28">
        <f>R34-'Mai25'!R34</f>
        <v>-4.0000000000000008E-2</v>
      </c>
      <c r="AK34" s="10">
        <f>I34-'Mai25'!I34</f>
        <v>-3138550.9599999934</v>
      </c>
      <c r="AL34" s="76">
        <f>I34/'Mai25'!I34-1</f>
        <v>-3.7917730930433491E-2</v>
      </c>
    </row>
    <row r="35" spans="5:38" x14ac:dyDescent="0.25">
      <c r="F35" s="7">
        <f t="shared" si="3"/>
        <v>1</v>
      </c>
      <c r="H35" s="3" t="s">
        <v>66</v>
      </c>
      <c r="I35" s="84">
        <v>319800000</v>
      </c>
      <c r="J35" s="77">
        <v>0.08</v>
      </c>
      <c r="K35" s="78">
        <f t="shared" si="14"/>
        <v>25584000</v>
      </c>
      <c r="L35" s="77">
        <v>0.01</v>
      </c>
      <c r="M35" s="78">
        <f t="shared" si="15"/>
        <v>3198000</v>
      </c>
      <c r="N35" s="77">
        <v>0.46</v>
      </c>
      <c r="O35" s="78">
        <f t="shared" si="16"/>
        <v>147108000</v>
      </c>
      <c r="P35" s="77">
        <v>0.27</v>
      </c>
      <c r="Q35" s="78">
        <f t="shared" si="17"/>
        <v>86346000</v>
      </c>
      <c r="R35" s="77">
        <v>0.18</v>
      </c>
      <c r="S35" s="78">
        <f t="shared" si="18"/>
        <v>57564000</v>
      </c>
      <c r="T35" s="77"/>
      <c r="U35" s="78">
        <f t="shared" si="19"/>
        <v>0</v>
      </c>
      <c r="Y35" s="12">
        <f>K35-'Mai25'!K35</f>
        <v>19358000</v>
      </c>
      <c r="Z35" s="12">
        <f>M35-'Mai25'!M35</f>
        <v>-83966000.000000015</v>
      </c>
      <c r="AA35" s="12">
        <f>O35-'Mai25'!O35</f>
        <v>797000</v>
      </c>
      <c r="AB35" s="12">
        <f>Q35-'Mai25'!Q35</f>
        <v>67668000</v>
      </c>
      <c r="AC35" s="12">
        <f>+S35-'Mai25'!S35</f>
        <v>4642999.9999999925</v>
      </c>
      <c r="AE35" s="28">
        <f>J35-'Mai25'!J35</f>
        <v>0.06</v>
      </c>
      <c r="AF35" s="28">
        <f>L35-'Mai25'!L35</f>
        <v>-0.27</v>
      </c>
      <c r="AG35" s="28">
        <f>N35-'Mai25'!N35</f>
        <v>-9.9999999999999534E-3</v>
      </c>
      <c r="AH35" s="28">
        <f>P35-'Mai25'!P35</f>
        <v>0.21000000000000002</v>
      </c>
      <c r="AI35" s="28">
        <f>R35-'Mai25'!R35</f>
        <v>9.9999999999999811E-3</v>
      </c>
      <c r="AK35" s="10">
        <f>I35-'Mai25'!I35</f>
        <v>8500000</v>
      </c>
      <c r="AL35" s="76">
        <f>I35/'Mai25'!I35-1</f>
        <v>2.7304850626405308E-2</v>
      </c>
    </row>
    <row r="36" spans="5:38" s="8" customFormat="1" x14ac:dyDescent="0.25">
      <c r="E36"/>
      <c r="F36" s="7">
        <f t="shared" si="3"/>
        <v>1</v>
      </c>
      <c r="G36"/>
      <c r="H36" s="3" t="s">
        <v>45</v>
      </c>
      <c r="I36" s="17">
        <f>SUM(I30:I35)</f>
        <v>1331484214.8099999</v>
      </c>
      <c r="J36" s="15">
        <f>+K36/$I$36</f>
        <v>0.11800943925356996</v>
      </c>
      <c r="K36" s="17">
        <f>SUM(K30:K35)</f>
        <v>157127705.56470799</v>
      </c>
      <c r="L36" s="15">
        <f>+M36/$I$36</f>
        <v>0.10910666976584794</v>
      </c>
      <c r="M36" s="17">
        <f>SUM(M30:M35)</f>
        <v>145273808.52371401</v>
      </c>
      <c r="N36" s="15">
        <f>+O36/$I$36</f>
        <v>0.53669894520355077</v>
      </c>
      <c r="O36" s="17">
        <f>SUM(O30:O35)</f>
        <v>714606173.64370501</v>
      </c>
      <c r="P36" s="15">
        <f>+Q36/$I$36</f>
        <v>9.9188458762885762E-2</v>
      </c>
      <c r="Q36" s="17">
        <f>SUM(Q30:Q35)</f>
        <v>132067867.13411501</v>
      </c>
      <c r="R36" s="15">
        <f>+S36/$I$36</f>
        <v>9.1849330638979737E-2</v>
      </c>
      <c r="S36" s="17">
        <f>SUM(S30:S35)</f>
        <v>122295933.886666</v>
      </c>
      <c r="T36" s="15">
        <f>+U36/$I$36</f>
        <v>4.5147156375165864E-2</v>
      </c>
      <c r="U36" s="63">
        <f>SUM(U30:U35)</f>
        <v>60112726.057092004</v>
      </c>
      <c r="Y36" s="12">
        <f>K36-'Mai25'!K36</f>
        <v>-6846449690.8637314</v>
      </c>
      <c r="Z36" s="12">
        <f>M36-'Mai25'!M36</f>
        <v>-1868288102.9440141</v>
      </c>
      <c r="AA36" s="12">
        <f>O36-'Mai25'!O36</f>
        <v>-26950842969.771866</v>
      </c>
      <c r="AB36" s="12">
        <f>Q36-'Mai25'!Q36</f>
        <v>80203101.83860302</v>
      </c>
      <c r="AC36" s="12">
        <f>+S36-'Mai25'!S36</f>
        <v>27749299.644041985</v>
      </c>
      <c r="AE36" s="28">
        <f>J36-'Mai25'!J36</f>
        <v>-3.0866472165963471E-2</v>
      </c>
      <c r="AF36" s="28">
        <f>L36-'Mai25'!L36</f>
        <v>6.6304135032343364E-2</v>
      </c>
      <c r="AG36" s="28">
        <f>N36-'Mai25'!N36</f>
        <v>-5.1388930880625128E-2</v>
      </c>
      <c r="AH36" s="28">
        <f>P36-'Mai25'!P36</f>
        <v>9.8085963028653259E-2</v>
      </c>
      <c r="AI36" s="28">
        <f>R36-'Mai25'!R36</f>
        <v>8.9839541134590445E-2</v>
      </c>
      <c r="AK36" s="92">
        <f>I36-'Mai25'!I36</f>
        <v>-45711568819.420006</v>
      </c>
      <c r="AL36" s="76">
        <f>I36/'Mai25'!I36-1</f>
        <v>-0.97169647527253022</v>
      </c>
    </row>
    <row r="37" spans="5:38" x14ac:dyDescent="0.25">
      <c r="F37" s="7"/>
    </row>
    <row r="38" spans="5:38" x14ac:dyDescent="0.25">
      <c r="F38" s="7"/>
      <c r="K38"/>
    </row>
    <row r="39" spans="5:38" x14ac:dyDescent="0.25">
      <c r="F39" s="7"/>
      <c r="J39" s="38"/>
    </row>
    <row r="40" spans="5:38" x14ac:dyDescent="0.25">
      <c r="F40" s="7"/>
      <c r="I40" s="30"/>
      <c r="J40" s="35"/>
    </row>
    <row r="41" spans="5:38" x14ac:dyDescent="0.25">
      <c r="F41" s="7"/>
      <c r="I41" s="37"/>
      <c r="J41" s="35"/>
    </row>
    <row r="42" spans="5:38" x14ac:dyDescent="0.25">
      <c r="F42" s="7"/>
      <c r="I42" s="37"/>
      <c r="J42" s="35"/>
    </row>
    <row r="43" spans="5:38" x14ac:dyDescent="0.25">
      <c r="F43" s="7"/>
      <c r="I43" s="37"/>
      <c r="J43" s="35"/>
    </row>
    <row r="44" spans="5:38" x14ac:dyDescent="0.25">
      <c r="F44" s="7"/>
      <c r="I44" s="37"/>
      <c r="J44" s="35"/>
    </row>
    <row r="45" spans="5:38" x14ac:dyDescent="0.25">
      <c r="F45" s="7"/>
      <c r="I45" s="37"/>
      <c r="J45" s="35"/>
      <c r="K45" s="37"/>
    </row>
    <row r="46" spans="5:38" x14ac:dyDescent="0.25">
      <c r="F46" s="7"/>
      <c r="I46" s="37"/>
      <c r="J46" s="35"/>
    </row>
    <row r="47" spans="5:38" x14ac:dyDescent="0.25">
      <c r="F47" s="7"/>
      <c r="I47" s="37"/>
      <c r="J47" s="35"/>
    </row>
    <row r="48" spans="5:38" x14ac:dyDescent="0.25">
      <c r="F48" s="7"/>
      <c r="I48" s="37"/>
      <c r="J48" s="35"/>
    </row>
    <row r="49" spans="9:10" x14ac:dyDescent="0.25">
      <c r="I49" s="37"/>
      <c r="J49" s="35"/>
    </row>
    <row r="50" spans="9:10" x14ac:dyDescent="0.25">
      <c r="I50" s="37"/>
      <c r="J50" s="35"/>
    </row>
    <row r="51" spans="9:10" x14ac:dyDescent="0.25">
      <c r="I51" s="37"/>
      <c r="J51" s="35"/>
    </row>
    <row r="52" spans="9:10" x14ac:dyDescent="0.25">
      <c r="I52" s="37"/>
      <c r="J52" s="35"/>
    </row>
    <row r="53" spans="9:10" x14ac:dyDescent="0.25">
      <c r="I53" s="37"/>
      <c r="J53" s="35"/>
    </row>
    <row r="54" spans="9:10" x14ac:dyDescent="0.25">
      <c r="I54" s="37"/>
      <c r="J54" s="35"/>
    </row>
    <row r="55" spans="9:10" x14ac:dyDescent="0.25">
      <c r="I55" s="37"/>
      <c r="J55" s="35"/>
    </row>
    <row r="56" spans="9:10" x14ac:dyDescent="0.25">
      <c r="I56" s="37"/>
      <c r="J56" s="35"/>
    </row>
    <row r="57" spans="9:10" x14ac:dyDescent="0.25">
      <c r="I57" s="37"/>
      <c r="J57" s="35"/>
    </row>
    <row r="58" spans="9:10" x14ac:dyDescent="0.25">
      <c r="I58" s="37"/>
      <c r="J58" s="35"/>
    </row>
    <row r="59" spans="9:10" x14ac:dyDescent="0.25">
      <c r="I59" s="37"/>
      <c r="J59" s="35"/>
    </row>
    <row r="60" spans="9:10" x14ac:dyDescent="0.25">
      <c r="I60" s="37"/>
      <c r="J60" s="35"/>
    </row>
    <row r="61" spans="9:10" x14ac:dyDescent="0.25">
      <c r="I61" s="37"/>
      <c r="J61" s="35"/>
    </row>
    <row r="62" spans="9:10" x14ac:dyDescent="0.25">
      <c r="I62" s="37"/>
      <c r="J62" s="35"/>
    </row>
    <row r="63" spans="9:10" x14ac:dyDescent="0.25">
      <c r="I63" s="37"/>
      <c r="J63" s="35"/>
    </row>
    <row r="64" spans="9:10" x14ac:dyDescent="0.25">
      <c r="I64" s="37"/>
      <c r="J64" s="35"/>
    </row>
    <row r="65" spans="9:10" x14ac:dyDescent="0.25">
      <c r="I65" s="37"/>
      <c r="J65" s="35"/>
    </row>
    <row r="66" spans="9:10" x14ac:dyDescent="0.25">
      <c r="I66" s="37"/>
      <c r="J66" s="35"/>
    </row>
    <row r="67" spans="9:10" x14ac:dyDescent="0.25">
      <c r="I67" s="37"/>
      <c r="J67" s="35"/>
    </row>
    <row r="68" spans="9:10" x14ac:dyDescent="0.25">
      <c r="I68" s="37"/>
      <c r="J68" s="35"/>
    </row>
    <row r="69" spans="9:10" x14ac:dyDescent="0.25">
      <c r="I69" s="37"/>
      <c r="J69" s="35"/>
    </row>
    <row r="70" spans="9:10" x14ac:dyDescent="0.25">
      <c r="I70" s="37"/>
      <c r="J70" s="35"/>
    </row>
    <row r="71" spans="9:10" x14ac:dyDescent="0.25">
      <c r="I71" s="37"/>
      <c r="J71" s="35"/>
    </row>
    <row r="72" spans="9:10" x14ac:dyDescent="0.25">
      <c r="I72" s="37"/>
      <c r="J72" s="35"/>
    </row>
    <row r="73" spans="9:10" x14ac:dyDescent="0.25">
      <c r="I73" s="37"/>
      <c r="J73" s="35"/>
    </row>
    <row r="74" spans="9:10" x14ac:dyDescent="0.25">
      <c r="I74" s="37"/>
      <c r="J74" s="35"/>
    </row>
    <row r="75" spans="9:10" x14ac:dyDescent="0.25">
      <c r="I75" s="37"/>
      <c r="J75" s="35"/>
    </row>
    <row r="76" spans="9:10" x14ac:dyDescent="0.25">
      <c r="I76" s="37"/>
      <c r="J76" s="35"/>
    </row>
    <row r="77" spans="9:10" x14ac:dyDescent="0.25">
      <c r="I77" s="37"/>
      <c r="J77" s="35"/>
    </row>
    <row r="78" spans="9:10" x14ac:dyDescent="0.25">
      <c r="I78" s="37"/>
      <c r="J78" s="35"/>
    </row>
    <row r="79" spans="9:10" x14ac:dyDescent="0.25">
      <c r="I79" s="37"/>
      <c r="J79" s="35"/>
    </row>
    <row r="80" spans="9:10" x14ac:dyDescent="0.25">
      <c r="I80" s="37"/>
      <c r="J80" s="35"/>
    </row>
    <row r="81" spans="9:10" x14ac:dyDescent="0.25">
      <c r="I81" s="37"/>
      <c r="J81" s="35"/>
    </row>
    <row r="82" spans="9:10" x14ac:dyDescent="0.25">
      <c r="I82" s="37"/>
      <c r="J82" s="35"/>
    </row>
    <row r="83" spans="9:10" x14ac:dyDescent="0.25">
      <c r="I83" s="37"/>
      <c r="J83" s="35"/>
    </row>
    <row r="84" spans="9:10" x14ac:dyDescent="0.25">
      <c r="I84" s="37"/>
      <c r="J84" s="35"/>
    </row>
    <row r="85" spans="9:10" x14ac:dyDescent="0.25">
      <c r="I85" s="37"/>
      <c r="J85" s="35"/>
    </row>
    <row r="86" spans="9:10" x14ac:dyDescent="0.25">
      <c r="I86" s="37"/>
      <c r="J86" s="35"/>
    </row>
    <row r="87" spans="9:10" x14ac:dyDescent="0.25">
      <c r="I87" s="37"/>
      <c r="J87" s="35"/>
    </row>
    <row r="88" spans="9:10" x14ac:dyDescent="0.25">
      <c r="I88" s="37"/>
      <c r="J88" s="35"/>
    </row>
    <row r="89" spans="9:10" x14ac:dyDescent="0.25">
      <c r="I89" s="37"/>
      <c r="J89" s="35"/>
    </row>
    <row r="90" spans="9:10" x14ac:dyDescent="0.25">
      <c r="I90" s="37"/>
      <c r="J90" s="35"/>
    </row>
    <row r="91" spans="9:10" x14ac:dyDescent="0.25">
      <c r="I91" s="37"/>
      <c r="J91" s="35"/>
    </row>
    <row r="92" spans="9:10" x14ac:dyDescent="0.25">
      <c r="I92" s="37"/>
      <c r="J92" s="35"/>
    </row>
    <row r="93" spans="9:10" x14ac:dyDescent="0.25">
      <c r="I93" s="37"/>
      <c r="J93" s="35"/>
    </row>
    <row r="94" spans="9:10" x14ac:dyDescent="0.25">
      <c r="I94" s="37"/>
      <c r="J94" s="35"/>
    </row>
    <row r="95" spans="9:10" x14ac:dyDescent="0.25">
      <c r="I95" s="37"/>
      <c r="J95" s="35"/>
    </row>
    <row r="96" spans="9:10" x14ac:dyDescent="0.25">
      <c r="I96" s="37"/>
      <c r="J96" s="35"/>
    </row>
    <row r="97" spans="9:10" x14ac:dyDescent="0.25">
      <c r="I97" s="37"/>
      <c r="J97" s="35"/>
    </row>
    <row r="98" spans="9:10" x14ac:dyDescent="0.25">
      <c r="I98" s="37"/>
      <c r="J98" s="35"/>
    </row>
    <row r="99" spans="9:10" x14ac:dyDescent="0.25">
      <c r="I99" s="37"/>
      <c r="J99" s="35"/>
    </row>
    <row r="100" spans="9:10" x14ac:dyDescent="0.25">
      <c r="I100" s="37"/>
      <c r="J100" s="35"/>
    </row>
    <row r="101" spans="9:10" x14ac:dyDescent="0.25">
      <c r="I101" s="37"/>
      <c r="J101" s="35"/>
    </row>
    <row r="102" spans="9:10" x14ac:dyDescent="0.25">
      <c r="I102" s="37"/>
      <c r="J102" s="35"/>
    </row>
    <row r="103" spans="9:10" x14ac:dyDescent="0.25">
      <c r="I103" s="37"/>
      <c r="J103" s="35"/>
    </row>
    <row r="104" spans="9:10" x14ac:dyDescent="0.25">
      <c r="I104" s="37"/>
      <c r="J104" s="35"/>
    </row>
    <row r="105" spans="9:10" x14ac:dyDescent="0.25">
      <c r="I105" s="37"/>
      <c r="J105" s="35"/>
    </row>
    <row r="106" spans="9:10" x14ac:dyDescent="0.25">
      <c r="I106" s="37"/>
      <c r="J106" s="35"/>
    </row>
    <row r="107" spans="9:10" x14ac:dyDescent="0.25">
      <c r="I107" s="37"/>
      <c r="J107" s="35"/>
    </row>
    <row r="108" spans="9:10" x14ac:dyDescent="0.25">
      <c r="I108" s="37"/>
      <c r="J108" s="35"/>
    </row>
    <row r="109" spans="9:10" x14ac:dyDescent="0.25">
      <c r="I109" s="37"/>
      <c r="J109" s="35"/>
    </row>
    <row r="110" spans="9:10" x14ac:dyDescent="0.25">
      <c r="I110" s="37"/>
      <c r="J110" s="35"/>
    </row>
    <row r="111" spans="9:10" x14ac:dyDescent="0.25">
      <c r="I111" s="37"/>
      <c r="J111" s="35"/>
    </row>
    <row r="112" spans="9:10" x14ac:dyDescent="0.25">
      <c r="I112" s="37"/>
      <c r="J112" s="35"/>
    </row>
    <row r="113" spans="9:10" x14ac:dyDescent="0.25">
      <c r="I113" s="37"/>
      <c r="J113" s="35"/>
    </row>
    <row r="114" spans="9:10" x14ac:dyDescent="0.25">
      <c r="I114" s="37"/>
      <c r="J114" s="35"/>
    </row>
    <row r="115" spans="9:10" x14ac:dyDescent="0.25">
      <c r="I115" s="37"/>
      <c r="J115" s="35"/>
    </row>
    <row r="116" spans="9:10" x14ac:dyDescent="0.25">
      <c r="I116" s="37"/>
      <c r="J116" s="35"/>
    </row>
    <row r="117" spans="9:10" x14ac:dyDescent="0.25">
      <c r="I117" s="37"/>
      <c r="J117" s="35"/>
    </row>
    <row r="118" spans="9:10" x14ac:dyDescent="0.25">
      <c r="I118" s="37"/>
      <c r="J118" s="35"/>
    </row>
    <row r="119" spans="9:10" x14ac:dyDescent="0.25">
      <c r="I119" s="37"/>
      <c r="J119" s="35"/>
    </row>
    <row r="120" spans="9:10" x14ac:dyDescent="0.25">
      <c r="I120" s="37"/>
      <c r="J120" s="35"/>
    </row>
    <row r="121" spans="9:10" x14ac:dyDescent="0.25">
      <c r="I121" s="37"/>
      <c r="J121" s="35"/>
    </row>
    <row r="122" spans="9:10" x14ac:dyDescent="0.25">
      <c r="I122" s="37"/>
      <c r="J122" s="35"/>
    </row>
    <row r="123" spans="9:10" x14ac:dyDescent="0.25">
      <c r="I123" s="37"/>
      <c r="J123" s="35"/>
    </row>
    <row r="124" spans="9:10" x14ac:dyDescent="0.25">
      <c r="I124" s="37"/>
      <c r="J124" s="35"/>
    </row>
    <row r="125" spans="9:10" x14ac:dyDescent="0.25">
      <c r="I125" s="37"/>
      <c r="J125" s="35"/>
    </row>
    <row r="126" spans="9:10" x14ac:dyDescent="0.25">
      <c r="I126" s="37"/>
      <c r="J126" s="35"/>
    </row>
    <row r="127" spans="9:10" x14ac:dyDescent="0.25">
      <c r="I127" s="37"/>
      <c r="J127" s="35"/>
    </row>
    <row r="128" spans="9:10" x14ac:dyDescent="0.25">
      <c r="I128" s="37"/>
      <c r="J128" s="35"/>
    </row>
    <row r="129" spans="9:10" x14ac:dyDescent="0.25">
      <c r="I129" s="37"/>
      <c r="J129" s="35"/>
    </row>
    <row r="130" spans="9:10" x14ac:dyDescent="0.25">
      <c r="I130" s="37"/>
      <c r="J130" s="35"/>
    </row>
    <row r="131" spans="9:10" x14ac:dyDescent="0.25">
      <c r="I131" s="37"/>
      <c r="J131" s="35"/>
    </row>
    <row r="132" spans="9:10" x14ac:dyDescent="0.25">
      <c r="I132" s="37"/>
      <c r="J132" s="35"/>
    </row>
    <row r="133" spans="9:10" x14ac:dyDescent="0.25">
      <c r="I133" s="37"/>
      <c r="J133" s="35"/>
    </row>
    <row r="134" spans="9:10" x14ac:dyDescent="0.25">
      <c r="I134" s="37"/>
      <c r="J134" s="35"/>
    </row>
    <row r="135" spans="9:10" x14ac:dyDescent="0.25">
      <c r="I135" s="37"/>
      <c r="J135" s="35"/>
    </row>
    <row r="136" spans="9:10" x14ac:dyDescent="0.25">
      <c r="I136" s="37"/>
      <c r="J136" s="35"/>
    </row>
    <row r="137" spans="9:10" x14ac:dyDescent="0.25">
      <c r="I137" s="37"/>
      <c r="J137" s="35"/>
    </row>
    <row r="138" spans="9:10" x14ac:dyDescent="0.25">
      <c r="I138" s="37"/>
      <c r="J138" s="35"/>
    </row>
    <row r="139" spans="9:10" x14ac:dyDescent="0.25">
      <c r="I139" s="37"/>
      <c r="J139" s="35"/>
    </row>
    <row r="140" spans="9:10" x14ac:dyDescent="0.25">
      <c r="I140" s="37"/>
      <c r="J140" s="35"/>
    </row>
    <row r="141" spans="9:10" x14ac:dyDescent="0.25">
      <c r="I141" s="37"/>
      <c r="J141" s="35"/>
    </row>
    <row r="142" spans="9:10" x14ac:dyDescent="0.25">
      <c r="I142" s="37"/>
      <c r="J142" s="35"/>
    </row>
    <row r="143" spans="9:10" x14ac:dyDescent="0.25">
      <c r="I143" s="37"/>
      <c r="J143" s="35"/>
    </row>
    <row r="144" spans="9:10" x14ac:dyDescent="0.25">
      <c r="I144" s="37"/>
      <c r="J144" s="35"/>
    </row>
    <row r="145" spans="9:10" x14ac:dyDescent="0.25">
      <c r="I145" s="37"/>
      <c r="J145" s="35"/>
    </row>
    <row r="146" spans="9:10" x14ac:dyDescent="0.25">
      <c r="I146" s="37"/>
      <c r="J146" s="35"/>
    </row>
    <row r="147" spans="9:10" x14ac:dyDescent="0.25">
      <c r="I147" s="37"/>
      <c r="J147" s="35"/>
    </row>
    <row r="148" spans="9:10" x14ac:dyDescent="0.25">
      <c r="I148" s="37"/>
      <c r="J148" s="35"/>
    </row>
    <row r="149" spans="9:10" x14ac:dyDescent="0.25">
      <c r="I149" s="37"/>
      <c r="J149" s="35"/>
    </row>
    <row r="150" spans="9:10" x14ac:dyDescent="0.25">
      <c r="I150" s="37"/>
      <c r="J150" s="35"/>
    </row>
    <row r="151" spans="9:10" x14ac:dyDescent="0.25">
      <c r="I151" s="37"/>
      <c r="J151" s="35"/>
    </row>
    <row r="152" spans="9:10" x14ac:dyDescent="0.25">
      <c r="I152" s="37"/>
      <c r="J152" s="35"/>
    </row>
    <row r="153" spans="9:10" x14ac:dyDescent="0.25">
      <c r="I153" s="37"/>
      <c r="J153" s="35"/>
    </row>
    <row r="154" spans="9:10" x14ac:dyDescent="0.25">
      <c r="I154" s="37"/>
      <c r="J154" s="35"/>
    </row>
    <row r="155" spans="9:10" x14ac:dyDescent="0.25">
      <c r="I155" s="37"/>
      <c r="J155" s="35"/>
    </row>
    <row r="156" spans="9:10" x14ac:dyDescent="0.25">
      <c r="I156" s="37"/>
      <c r="J156" s="35"/>
    </row>
    <row r="157" spans="9:10" x14ac:dyDescent="0.25">
      <c r="I157" s="37"/>
      <c r="J157" s="35"/>
    </row>
    <row r="158" spans="9:10" x14ac:dyDescent="0.25">
      <c r="I158" s="37"/>
      <c r="J158" s="35"/>
    </row>
    <row r="159" spans="9:10" x14ac:dyDescent="0.25">
      <c r="I159" s="37"/>
      <c r="J159" s="35"/>
    </row>
    <row r="160" spans="9:10" x14ac:dyDescent="0.25">
      <c r="I160" s="37"/>
      <c r="J160" s="35"/>
    </row>
    <row r="161" spans="9:10" x14ac:dyDescent="0.25">
      <c r="I161" s="37"/>
      <c r="J161" s="35"/>
    </row>
    <row r="162" spans="9:10" x14ac:dyDescent="0.25">
      <c r="I162" s="37"/>
      <c r="J162" s="35"/>
    </row>
    <row r="163" spans="9:10" x14ac:dyDescent="0.25">
      <c r="I163" s="37"/>
      <c r="J163" s="35"/>
    </row>
    <row r="164" spans="9:10" x14ac:dyDescent="0.25">
      <c r="I164" s="37"/>
      <c r="J164" s="35"/>
    </row>
    <row r="165" spans="9:10" x14ac:dyDescent="0.25">
      <c r="I165" s="37"/>
      <c r="J165" s="35"/>
    </row>
    <row r="166" spans="9:10" x14ac:dyDescent="0.25">
      <c r="I166" s="37"/>
      <c r="J166" s="35"/>
    </row>
    <row r="167" spans="9:10" x14ac:dyDescent="0.25">
      <c r="I167" s="37"/>
      <c r="J167" s="35"/>
    </row>
    <row r="168" spans="9:10" x14ac:dyDescent="0.25">
      <c r="I168" s="37"/>
      <c r="J168" s="35"/>
    </row>
    <row r="169" spans="9:10" x14ac:dyDescent="0.25">
      <c r="I169" s="37"/>
      <c r="J169" s="35"/>
    </row>
    <row r="170" spans="9:10" x14ac:dyDescent="0.25">
      <c r="I170" s="37"/>
      <c r="J170" s="35"/>
    </row>
    <row r="171" spans="9:10" x14ac:dyDescent="0.25">
      <c r="I171" s="37"/>
      <c r="J171" s="35"/>
    </row>
    <row r="172" spans="9:10" x14ac:dyDescent="0.25">
      <c r="I172" s="37"/>
      <c r="J172" s="35"/>
    </row>
    <row r="173" spans="9:10" x14ac:dyDescent="0.25">
      <c r="I173" s="37"/>
      <c r="J173" s="35"/>
    </row>
    <row r="174" spans="9:10" x14ac:dyDescent="0.25">
      <c r="I174" s="37"/>
      <c r="J174" s="35"/>
    </row>
    <row r="175" spans="9:10" x14ac:dyDescent="0.25">
      <c r="I175" s="37"/>
      <c r="J175" s="35"/>
    </row>
    <row r="176" spans="9:10" x14ac:dyDescent="0.25">
      <c r="I176" s="37"/>
      <c r="J176" s="35"/>
    </row>
    <row r="177" spans="9:10" x14ac:dyDescent="0.25">
      <c r="I177" s="37"/>
      <c r="J177" s="35"/>
    </row>
    <row r="178" spans="9:10" x14ac:dyDescent="0.25">
      <c r="I178" s="37"/>
      <c r="J178" s="35"/>
    </row>
    <row r="179" spans="9:10" x14ac:dyDescent="0.25">
      <c r="I179" s="37"/>
      <c r="J179" s="35"/>
    </row>
    <row r="180" spans="9:10" x14ac:dyDescent="0.25">
      <c r="I180" s="37"/>
      <c r="J180" s="35"/>
    </row>
    <row r="181" spans="9:10" x14ac:dyDescent="0.25">
      <c r="I181" s="37"/>
      <c r="J181" s="35"/>
    </row>
    <row r="182" spans="9:10" x14ac:dyDescent="0.25">
      <c r="I182" s="37"/>
      <c r="J182" s="35"/>
    </row>
    <row r="183" spans="9:10" x14ac:dyDescent="0.25">
      <c r="I183" s="37"/>
      <c r="J183" s="35"/>
    </row>
    <row r="184" spans="9:10" x14ac:dyDescent="0.25">
      <c r="I184" s="37"/>
      <c r="J184" s="35"/>
    </row>
    <row r="185" spans="9:10" x14ac:dyDescent="0.25">
      <c r="I185" s="37"/>
      <c r="J185" s="35"/>
    </row>
    <row r="186" spans="9:10" x14ac:dyDescent="0.25">
      <c r="I186" s="37"/>
      <c r="J186" s="35"/>
    </row>
    <row r="187" spans="9:10" x14ac:dyDescent="0.25">
      <c r="I187" s="37"/>
      <c r="J187" s="35"/>
    </row>
    <row r="188" spans="9:10" x14ac:dyDescent="0.25">
      <c r="I188" s="37"/>
      <c r="J188" s="35"/>
    </row>
    <row r="189" spans="9:10" x14ac:dyDescent="0.25">
      <c r="I189" s="37"/>
      <c r="J189" s="35"/>
    </row>
    <row r="190" spans="9:10" x14ac:dyDescent="0.25">
      <c r="I190" s="37"/>
      <c r="J190" s="35"/>
    </row>
    <row r="191" spans="9:10" x14ac:dyDescent="0.25">
      <c r="I191" s="37"/>
      <c r="J191" s="35"/>
    </row>
    <row r="192" spans="9:10" x14ac:dyDescent="0.25">
      <c r="I192" s="37"/>
      <c r="J192" s="35"/>
    </row>
    <row r="193" spans="9:10" x14ac:dyDescent="0.25">
      <c r="I193" s="37"/>
      <c r="J193" s="35"/>
    </row>
    <row r="194" spans="9:10" x14ac:dyDescent="0.25">
      <c r="I194" s="37"/>
      <c r="J194" s="35"/>
    </row>
    <row r="195" spans="9:10" x14ac:dyDescent="0.25">
      <c r="I195" s="37"/>
      <c r="J195" s="35"/>
    </row>
    <row r="196" spans="9:10" x14ac:dyDescent="0.25">
      <c r="I196" s="37"/>
      <c r="J196" s="35"/>
    </row>
    <row r="197" spans="9:10" x14ac:dyDescent="0.25">
      <c r="I197" s="37"/>
      <c r="J197" s="35"/>
    </row>
    <row r="198" spans="9:10" x14ac:dyDescent="0.25">
      <c r="I198" s="37"/>
      <c r="J198" s="35"/>
    </row>
    <row r="199" spans="9:10" x14ac:dyDescent="0.25">
      <c r="I199" s="37"/>
      <c r="J199" s="35"/>
    </row>
    <row r="200" spans="9:10" x14ac:dyDescent="0.25">
      <c r="I200" s="37"/>
      <c r="J200" s="35"/>
    </row>
    <row r="201" spans="9:10" x14ac:dyDescent="0.25">
      <c r="I201" s="37"/>
      <c r="J201" s="35"/>
    </row>
    <row r="202" spans="9:10" x14ac:dyDescent="0.25">
      <c r="I202" s="37"/>
      <c r="J202" s="35"/>
    </row>
    <row r="203" spans="9:10" x14ac:dyDescent="0.25">
      <c r="I203" s="37"/>
      <c r="J203" s="35"/>
    </row>
    <row r="204" spans="9:10" x14ac:dyDescent="0.25">
      <c r="I204" s="37"/>
      <c r="J204" s="35"/>
    </row>
    <row r="205" spans="9:10" x14ac:dyDescent="0.25">
      <c r="I205" s="37"/>
      <c r="J205" s="35"/>
    </row>
    <row r="206" spans="9:10" x14ac:dyDescent="0.25">
      <c r="I206" s="37"/>
      <c r="J206" s="35"/>
    </row>
    <row r="207" spans="9:10" x14ac:dyDescent="0.25">
      <c r="I207" s="37"/>
      <c r="J207" s="35"/>
    </row>
    <row r="208" spans="9:10" x14ac:dyDescent="0.25">
      <c r="I208" s="37"/>
      <c r="J208" s="35"/>
    </row>
    <row r="209" spans="9:10" x14ac:dyDescent="0.25">
      <c r="I209" s="37"/>
      <c r="J209" s="35"/>
    </row>
    <row r="210" spans="9:10" x14ac:dyDescent="0.25">
      <c r="I210" s="37"/>
      <c r="J210" s="35"/>
    </row>
    <row r="211" spans="9:10" x14ac:dyDescent="0.25">
      <c r="I211" s="37"/>
      <c r="J211" s="35"/>
    </row>
    <row r="212" spans="9:10" x14ac:dyDescent="0.25">
      <c r="I212" s="37"/>
      <c r="J212" s="35"/>
    </row>
    <row r="213" spans="9:10" x14ac:dyDescent="0.25">
      <c r="I213" s="37"/>
      <c r="J213" s="35"/>
    </row>
    <row r="214" spans="9:10" x14ac:dyDescent="0.25">
      <c r="I214" s="37"/>
      <c r="J214" s="35"/>
    </row>
    <row r="215" spans="9:10" x14ac:dyDescent="0.25">
      <c r="I215" s="37"/>
      <c r="J215" s="35"/>
    </row>
    <row r="216" spans="9:10" x14ac:dyDescent="0.25">
      <c r="I216" s="37"/>
      <c r="J216" s="35"/>
    </row>
    <row r="217" spans="9:10" x14ac:dyDescent="0.25">
      <c r="I217" s="37"/>
      <c r="J217" s="35"/>
    </row>
    <row r="218" spans="9:10" x14ac:dyDescent="0.25">
      <c r="I218" s="37"/>
      <c r="J218" s="35"/>
    </row>
    <row r="219" spans="9:10" x14ac:dyDescent="0.25">
      <c r="I219" s="37"/>
      <c r="J219" s="35"/>
    </row>
    <row r="220" spans="9:10" x14ac:dyDescent="0.25">
      <c r="I220" s="37"/>
      <c r="J220" s="35"/>
    </row>
    <row r="221" spans="9:10" x14ac:dyDescent="0.25">
      <c r="I221" s="37"/>
      <c r="J221" s="35"/>
    </row>
    <row r="222" spans="9:10" x14ac:dyDescent="0.25">
      <c r="I222" s="37"/>
      <c r="J222" s="35"/>
    </row>
    <row r="223" spans="9:10" x14ac:dyDescent="0.25">
      <c r="I223" s="37"/>
      <c r="J223" s="35"/>
    </row>
    <row r="224" spans="9:10" x14ac:dyDescent="0.25">
      <c r="I224" s="37"/>
      <c r="J224" s="35"/>
    </row>
    <row r="225" spans="9:10" x14ac:dyDescent="0.25">
      <c r="I225" s="37"/>
      <c r="J225" s="35"/>
    </row>
    <row r="226" spans="9:10" x14ac:dyDescent="0.25">
      <c r="I226" s="37"/>
      <c r="J226" s="35"/>
    </row>
    <row r="227" spans="9:10" x14ac:dyDescent="0.25">
      <c r="I227" s="37"/>
      <c r="J227" s="35"/>
    </row>
    <row r="228" spans="9:10" x14ac:dyDescent="0.25">
      <c r="I228" s="37"/>
      <c r="J228" s="35"/>
    </row>
    <row r="229" spans="9:10" x14ac:dyDescent="0.25">
      <c r="I229" s="37"/>
      <c r="J229" s="35"/>
    </row>
    <row r="230" spans="9:10" x14ac:dyDescent="0.25">
      <c r="I230" s="37"/>
      <c r="J230" s="35"/>
    </row>
    <row r="231" spans="9:10" x14ac:dyDescent="0.25">
      <c r="I231" s="37"/>
      <c r="J231" s="35"/>
    </row>
    <row r="232" spans="9:10" x14ac:dyDescent="0.25">
      <c r="I232" s="37"/>
      <c r="J232" s="35"/>
    </row>
    <row r="233" spans="9:10" x14ac:dyDescent="0.25">
      <c r="I233" s="37"/>
      <c r="J233" s="35"/>
    </row>
    <row r="234" spans="9:10" x14ac:dyDescent="0.25">
      <c r="I234" s="37"/>
      <c r="J234" s="35"/>
    </row>
    <row r="235" spans="9:10" x14ac:dyDescent="0.25">
      <c r="I235" s="37"/>
      <c r="J235" s="35"/>
    </row>
    <row r="236" spans="9:10" x14ac:dyDescent="0.25">
      <c r="I236" s="37"/>
      <c r="J236" s="35"/>
    </row>
    <row r="237" spans="9:10" x14ac:dyDescent="0.25">
      <c r="I237" s="37"/>
      <c r="J237" s="35"/>
    </row>
    <row r="238" spans="9:10" x14ac:dyDescent="0.25">
      <c r="I238" s="37"/>
      <c r="J238" s="35"/>
    </row>
    <row r="239" spans="9:10" x14ac:dyDescent="0.25">
      <c r="I239" s="37"/>
      <c r="J239" s="35"/>
    </row>
    <row r="240" spans="9:10" x14ac:dyDescent="0.25">
      <c r="I240" s="37"/>
      <c r="J240" s="35"/>
    </row>
    <row r="241" spans="9:10" x14ac:dyDescent="0.25">
      <c r="I241" s="37"/>
      <c r="J241" s="35"/>
    </row>
    <row r="242" spans="9:10" x14ac:dyDescent="0.25">
      <c r="I242" s="37"/>
      <c r="J242" s="35"/>
    </row>
    <row r="243" spans="9:10" x14ac:dyDescent="0.25">
      <c r="I243" s="37"/>
      <c r="J243" s="35"/>
    </row>
    <row r="244" spans="9:10" x14ac:dyDescent="0.25">
      <c r="I244" s="37"/>
      <c r="J244" s="35"/>
    </row>
    <row r="245" spans="9:10" x14ac:dyDescent="0.25">
      <c r="I245" s="37"/>
      <c r="J245" s="35"/>
    </row>
    <row r="246" spans="9:10" x14ac:dyDescent="0.25">
      <c r="I246" s="37"/>
      <c r="J246" s="35"/>
    </row>
    <row r="247" spans="9:10" x14ac:dyDescent="0.25">
      <c r="I247" s="37"/>
      <c r="J247" s="35"/>
    </row>
    <row r="248" spans="9:10" x14ac:dyDescent="0.25">
      <c r="I248" s="37"/>
      <c r="J248" s="35"/>
    </row>
    <row r="249" spans="9:10" x14ac:dyDescent="0.25">
      <c r="I249" s="37"/>
      <c r="J249" s="35"/>
    </row>
    <row r="250" spans="9:10" x14ac:dyDescent="0.25">
      <c r="I250" s="37"/>
      <c r="J250" s="35"/>
    </row>
    <row r="251" spans="9:10" x14ac:dyDescent="0.25">
      <c r="I251" s="37"/>
      <c r="J251" s="35"/>
    </row>
    <row r="252" spans="9:10" x14ac:dyDescent="0.25">
      <c r="I252" s="37"/>
      <c r="J252" s="35"/>
    </row>
    <row r="253" spans="9:10" x14ac:dyDescent="0.25">
      <c r="I253" s="37"/>
      <c r="J253" s="35"/>
    </row>
    <row r="254" spans="9:10" x14ac:dyDescent="0.25">
      <c r="I254" s="37"/>
      <c r="J254" s="35"/>
    </row>
    <row r="255" spans="9:10" x14ac:dyDescent="0.25">
      <c r="I255" s="37"/>
      <c r="J255" s="35"/>
    </row>
    <row r="256" spans="9:10" x14ac:dyDescent="0.25">
      <c r="I256" s="37"/>
      <c r="J256" s="35"/>
    </row>
    <row r="257" spans="9:10" x14ac:dyDescent="0.25">
      <c r="I257" s="37"/>
      <c r="J257" s="35"/>
    </row>
    <row r="258" spans="9:10" x14ac:dyDescent="0.25">
      <c r="I258" s="37"/>
      <c r="J258" s="35"/>
    </row>
    <row r="259" spans="9:10" x14ac:dyDescent="0.25">
      <c r="I259" s="37"/>
      <c r="J259" s="35"/>
    </row>
    <row r="260" spans="9:10" x14ac:dyDescent="0.25">
      <c r="I260" s="37"/>
      <c r="J260" s="35"/>
    </row>
    <row r="261" spans="9:10" x14ac:dyDescent="0.25">
      <c r="I261" s="37"/>
      <c r="J261" s="35"/>
    </row>
    <row r="262" spans="9:10" x14ac:dyDescent="0.25">
      <c r="I262" s="37"/>
      <c r="J262" s="35"/>
    </row>
    <row r="263" spans="9:10" x14ac:dyDescent="0.25">
      <c r="I263" s="37"/>
      <c r="J263" s="35"/>
    </row>
    <row r="264" spans="9:10" x14ac:dyDescent="0.25">
      <c r="I264" s="37"/>
      <c r="J264" s="35"/>
    </row>
    <row r="265" spans="9:10" x14ac:dyDescent="0.25">
      <c r="I265" s="37"/>
      <c r="J265" s="35"/>
    </row>
    <row r="266" spans="9:10" x14ac:dyDescent="0.25">
      <c r="I266" s="37"/>
      <c r="J266" s="35"/>
    </row>
    <row r="267" spans="9:10" x14ac:dyDescent="0.25">
      <c r="I267" s="37"/>
      <c r="J267" s="35"/>
    </row>
    <row r="268" spans="9:10" x14ac:dyDescent="0.25">
      <c r="I268" s="37"/>
      <c r="J268" s="35"/>
    </row>
    <row r="269" spans="9:10" x14ac:dyDescent="0.25">
      <c r="I269" s="37"/>
      <c r="J269" s="35"/>
    </row>
    <row r="270" spans="9:10" x14ac:dyDescent="0.25">
      <c r="I270" s="37"/>
      <c r="J270" s="35"/>
    </row>
    <row r="271" spans="9:10" x14ac:dyDescent="0.25">
      <c r="I271" s="37"/>
      <c r="J271" s="35"/>
    </row>
    <row r="272" spans="9:10" x14ac:dyDescent="0.25">
      <c r="I272" s="37"/>
      <c r="J272" s="35"/>
    </row>
    <row r="273" spans="9:10" x14ac:dyDescent="0.25">
      <c r="I273" s="37"/>
      <c r="J273" s="35"/>
    </row>
    <row r="274" spans="9:10" x14ac:dyDescent="0.25">
      <c r="I274" s="37"/>
      <c r="J274" s="35"/>
    </row>
    <row r="275" spans="9:10" x14ac:dyDescent="0.25">
      <c r="I275" s="37"/>
      <c r="J275" s="35"/>
    </row>
    <row r="276" spans="9:10" x14ac:dyDescent="0.25">
      <c r="I276" s="37"/>
      <c r="J276" s="35"/>
    </row>
    <row r="277" spans="9:10" x14ac:dyDescent="0.25">
      <c r="I277" s="37"/>
      <c r="J277" s="35"/>
    </row>
    <row r="278" spans="9:10" x14ac:dyDescent="0.25">
      <c r="I278" s="37"/>
      <c r="J278" s="35"/>
    </row>
    <row r="279" spans="9:10" x14ac:dyDescent="0.25">
      <c r="I279" s="37"/>
      <c r="J279" s="35"/>
    </row>
    <row r="280" spans="9:10" x14ac:dyDescent="0.25">
      <c r="I280" s="37"/>
      <c r="J280" s="35"/>
    </row>
    <row r="281" spans="9:10" x14ac:dyDescent="0.25">
      <c r="I281" s="37"/>
      <c r="J281" s="35"/>
    </row>
    <row r="282" spans="9:10" x14ac:dyDescent="0.25">
      <c r="I282" s="37"/>
      <c r="J282" s="35"/>
    </row>
    <row r="283" spans="9:10" x14ac:dyDescent="0.25">
      <c r="I283" s="37"/>
      <c r="J283" s="35"/>
    </row>
    <row r="284" spans="9:10" x14ac:dyDescent="0.25">
      <c r="I284" s="37"/>
      <c r="J284" s="35"/>
    </row>
    <row r="285" spans="9:10" x14ac:dyDescent="0.25">
      <c r="I285" s="37"/>
      <c r="J285" s="35"/>
    </row>
    <row r="286" spans="9:10" x14ac:dyDescent="0.25">
      <c r="I286" s="37"/>
      <c r="J286" s="35"/>
    </row>
    <row r="287" spans="9:10" x14ac:dyDescent="0.25">
      <c r="I287" s="37"/>
      <c r="J287" s="35"/>
    </row>
    <row r="288" spans="9:10" x14ac:dyDescent="0.25">
      <c r="I288" s="37"/>
      <c r="J288" s="35"/>
    </row>
    <row r="289" spans="9:10" x14ac:dyDescent="0.25">
      <c r="I289" s="37"/>
      <c r="J289" s="35"/>
    </row>
    <row r="290" spans="9:10" x14ac:dyDescent="0.25">
      <c r="I290" s="37"/>
      <c r="J290" s="35"/>
    </row>
    <row r="291" spans="9:10" x14ac:dyDescent="0.25">
      <c r="I291" s="37"/>
      <c r="J291" s="35"/>
    </row>
    <row r="292" spans="9:10" x14ac:dyDescent="0.25">
      <c r="I292" s="37"/>
      <c r="J292" s="35"/>
    </row>
    <row r="293" spans="9:10" x14ac:dyDescent="0.25">
      <c r="I293" s="37"/>
      <c r="J293" s="35"/>
    </row>
    <row r="294" spans="9:10" x14ac:dyDescent="0.25">
      <c r="I294" s="37"/>
      <c r="J294" s="35"/>
    </row>
    <row r="295" spans="9:10" x14ac:dyDescent="0.25">
      <c r="I295" s="37"/>
      <c r="J295" s="35"/>
    </row>
    <row r="296" spans="9:10" x14ac:dyDescent="0.25">
      <c r="I296" s="37"/>
      <c r="J296" s="35"/>
    </row>
    <row r="297" spans="9:10" x14ac:dyDescent="0.25">
      <c r="I297" s="37"/>
      <c r="J297" s="35"/>
    </row>
    <row r="298" spans="9:10" x14ac:dyDescent="0.25">
      <c r="I298" s="37"/>
      <c r="J298" s="35"/>
    </row>
    <row r="299" spans="9:10" x14ac:dyDescent="0.25">
      <c r="I299" s="37"/>
      <c r="J299" s="35"/>
    </row>
    <row r="300" spans="9:10" x14ac:dyDescent="0.25">
      <c r="I300" s="37"/>
      <c r="J300" s="35"/>
    </row>
    <row r="301" spans="9:10" x14ac:dyDescent="0.25">
      <c r="I301" s="37"/>
      <c r="J301" s="35"/>
    </row>
    <row r="302" spans="9:10" x14ac:dyDescent="0.25">
      <c r="I302" s="37"/>
      <c r="J302" s="35"/>
    </row>
    <row r="303" spans="9:10" x14ac:dyDescent="0.25">
      <c r="I303" s="37"/>
      <c r="J303" s="35"/>
    </row>
    <row r="304" spans="9:10" x14ac:dyDescent="0.25">
      <c r="I304" s="37"/>
      <c r="J304" s="35"/>
    </row>
    <row r="305" spans="9:12" x14ac:dyDescent="0.25">
      <c r="I305" s="37"/>
      <c r="J305" s="35"/>
    </row>
    <row r="306" spans="9:12" x14ac:dyDescent="0.25">
      <c r="I306" s="37"/>
      <c r="J306" s="35"/>
    </row>
    <row r="307" spans="9:12" x14ac:dyDescent="0.25">
      <c r="I307" s="37"/>
      <c r="J307" s="35"/>
    </row>
    <row r="308" spans="9:12" x14ac:dyDescent="0.25">
      <c r="I308" s="37"/>
      <c r="J308" s="35"/>
    </row>
    <row r="309" spans="9:12" x14ac:dyDescent="0.25">
      <c r="I309" s="37"/>
      <c r="J309" s="35"/>
    </row>
    <row r="310" spans="9:12" x14ac:dyDescent="0.25">
      <c r="I310" s="37"/>
      <c r="J310" s="35"/>
    </row>
    <row r="311" spans="9:12" x14ac:dyDescent="0.25">
      <c r="I311" s="37"/>
      <c r="J311" s="35"/>
    </row>
    <row r="312" spans="9:12" x14ac:dyDescent="0.25">
      <c r="I312" s="37"/>
      <c r="J312" s="35"/>
      <c r="L312" s="36"/>
    </row>
    <row r="313" spans="9:12" x14ac:dyDescent="0.25">
      <c r="I313" s="37"/>
      <c r="J313" s="35"/>
    </row>
    <row r="314" spans="9:12" x14ac:dyDescent="0.25">
      <c r="I314" s="37"/>
      <c r="J314" s="35"/>
    </row>
    <row r="315" spans="9:12" x14ac:dyDescent="0.25">
      <c r="I315" s="37"/>
      <c r="J315" s="35"/>
    </row>
    <row r="316" spans="9:12" x14ac:dyDescent="0.25">
      <c r="I316" s="37"/>
      <c r="J316" s="35"/>
    </row>
    <row r="317" spans="9:12" x14ac:dyDescent="0.25">
      <c r="I317" s="37"/>
      <c r="J317" s="35"/>
    </row>
    <row r="318" spans="9:12" x14ac:dyDescent="0.25">
      <c r="I318" s="37"/>
      <c r="J318" s="35"/>
    </row>
    <row r="319" spans="9:12" x14ac:dyDescent="0.25">
      <c r="I319" s="37"/>
      <c r="J319" s="35"/>
    </row>
    <row r="320" spans="9:12" x14ac:dyDescent="0.25">
      <c r="I320" s="37"/>
      <c r="J320" s="35"/>
    </row>
    <row r="321" spans="9:10" x14ac:dyDescent="0.25">
      <c r="I321" s="37"/>
      <c r="J321" s="35"/>
    </row>
    <row r="322" spans="9:10" x14ac:dyDescent="0.25">
      <c r="I322" s="37"/>
      <c r="J322" s="35"/>
    </row>
    <row r="323" spans="9:10" x14ac:dyDescent="0.25">
      <c r="I323" s="37"/>
      <c r="J323" s="35"/>
    </row>
    <row r="324" spans="9:10" x14ac:dyDescent="0.25">
      <c r="I324" s="37"/>
      <c r="J324" s="35"/>
    </row>
    <row r="325" spans="9:10" x14ac:dyDescent="0.25">
      <c r="I325" s="37"/>
      <c r="J325" s="35"/>
    </row>
    <row r="326" spans="9:10" x14ac:dyDescent="0.25">
      <c r="I326" s="37"/>
      <c r="J326" s="35"/>
    </row>
    <row r="327" spans="9:10" x14ac:dyDescent="0.25">
      <c r="I327" s="37"/>
      <c r="J327" s="35"/>
    </row>
    <row r="328" spans="9:10" x14ac:dyDescent="0.25">
      <c r="I328" s="37"/>
      <c r="J328" s="35"/>
    </row>
    <row r="329" spans="9:10" x14ac:dyDescent="0.25">
      <c r="I329" s="37"/>
      <c r="J329" s="35"/>
    </row>
    <row r="330" spans="9:10" x14ac:dyDescent="0.25">
      <c r="I330" s="37"/>
      <c r="J330" s="35"/>
    </row>
    <row r="331" spans="9:10" x14ac:dyDescent="0.25">
      <c r="I331" s="37"/>
      <c r="J331" s="35"/>
    </row>
    <row r="332" spans="9:10" x14ac:dyDescent="0.25">
      <c r="I332" s="37"/>
      <c r="J332" s="35"/>
    </row>
    <row r="333" spans="9:10" x14ac:dyDescent="0.25">
      <c r="I333" s="37"/>
      <c r="J333" s="35"/>
    </row>
    <row r="334" spans="9:10" x14ac:dyDescent="0.25">
      <c r="I334" s="37"/>
      <c r="J334" s="35"/>
    </row>
    <row r="335" spans="9:10" x14ac:dyDescent="0.25">
      <c r="I335" s="37"/>
      <c r="J335" s="35"/>
    </row>
    <row r="336" spans="9:10" x14ac:dyDescent="0.25">
      <c r="I336" s="37"/>
      <c r="J336" s="35"/>
    </row>
    <row r="337" spans="9:10" x14ac:dyDescent="0.25">
      <c r="I337" s="37"/>
      <c r="J337" s="35"/>
    </row>
    <row r="338" spans="9:10" x14ac:dyDescent="0.25">
      <c r="I338" s="37"/>
      <c r="J338" s="35"/>
    </row>
    <row r="339" spans="9:10" x14ac:dyDescent="0.25">
      <c r="I339" s="37"/>
      <c r="J339" s="35"/>
    </row>
    <row r="340" spans="9:10" x14ac:dyDescent="0.25">
      <c r="I340" s="37"/>
      <c r="J340" s="35"/>
    </row>
    <row r="341" spans="9:10" x14ac:dyDescent="0.25">
      <c r="I341" s="37"/>
      <c r="J341" s="35"/>
    </row>
    <row r="342" spans="9:10" x14ac:dyDescent="0.25">
      <c r="I342" s="37"/>
      <c r="J342" s="35"/>
    </row>
    <row r="343" spans="9:10" x14ac:dyDescent="0.25">
      <c r="I343" s="37"/>
      <c r="J343" s="35"/>
    </row>
    <row r="344" spans="9:10" x14ac:dyDescent="0.25">
      <c r="I344" s="37"/>
      <c r="J344" s="35"/>
    </row>
    <row r="345" spans="9:10" x14ac:dyDescent="0.25">
      <c r="I345" s="37"/>
      <c r="J345" s="35"/>
    </row>
    <row r="346" spans="9:10" x14ac:dyDescent="0.25">
      <c r="I346" s="37"/>
      <c r="J346" s="35"/>
    </row>
    <row r="347" spans="9:10" x14ac:dyDescent="0.25">
      <c r="I347" s="37"/>
      <c r="J347" s="35"/>
    </row>
    <row r="348" spans="9:10" x14ac:dyDescent="0.25">
      <c r="I348" s="37"/>
      <c r="J348" s="35"/>
    </row>
    <row r="349" spans="9:10" x14ac:dyDescent="0.25">
      <c r="I349" s="37"/>
      <c r="J349" s="35"/>
    </row>
    <row r="350" spans="9:10" x14ac:dyDescent="0.25">
      <c r="I350" s="37"/>
      <c r="J350" s="35"/>
    </row>
    <row r="351" spans="9:10" x14ac:dyDescent="0.25">
      <c r="I351" s="37"/>
      <c r="J351" s="35"/>
    </row>
    <row r="352" spans="9:10" x14ac:dyDescent="0.25">
      <c r="I352" s="37"/>
      <c r="J352" s="35"/>
    </row>
    <row r="353" spans="9:10" x14ac:dyDescent="0.25">
      <c r="I353" s="37"/>
      <c r="J353" s="35"/>
    </row>
    <row r="354" spans="9:10" x14ac:dyDescent="0.25">
      <c r="I354" s="37"/>
      <c r="J354" s="35"/>
    </row>
    <row r="355" spans="9:10" x14ac:dyDescent="0.25">
      <c r="I355" s="37"/>
      <c r="J355" s="35"/>
    </row>
    <row r="356" spans="9:10" x14ac:dyDescent="0.25">
      <c r="I356" s="37"/>
      <c r="J356" s="35"/>
    </row>
    <row r="357" spans="9:10" x14ac:dyDescent="0.25">
      <c r="I357" s="37"/>
      <c r="J357" s="35"/>
    </row>
    <row r="358" spans="9:10" x14ac:dyDescent="0.25">
      <c r="I358" s="37"/>
      <c r="J358" s="35"/>
    </row>
    <row r="359" spans="9:10" x14ac:dyDescent="0.25">
      <c r="I359" s="37"/>
      <c r="J359" s="35"/>
    </row>
    <row r="360" spans="9:10" x14ac:dyDescent="0.25">
      <c r="I360" s="37"/>
      <c r="J360" s="35"/>
    </row>
    <row r="361" spans="9:10" x14ac:dyDescent="0.25">
      <c r="I361" s="37"/>
      <c r="J361" s="35"/>
    </row>
    <row r="362" spans="9:10" x14ac:dyDescent="0.25">
      <c r="I362" s="37"/>
      <c r="J362" s="35"/>
    </row>
    <row r="363" spans="9:10" x14ac:dyDescent="0.25">
      <c r="I363" s="37"/>
      <c r="J363" s="35"/>
    </row>
    <row r="364" spans="9:10" x14ac:dyDescent="0.25">
      <c r="I364" s="37"/>
      <c r="J364" s="35"/>
    </row>
    <row r="365" spans="9:10" x14ac:dyDescent="0.25">
      <c r="I365" s="37"/>
      <c r="J365" s="35"/>
    </row>
    <row r="366" spans="9:10" x14ac:dyDescent="0.25">
      <c r="I366" s="37"/>
      <c r="J366" s="35"/>
    </row>
    <row r="367" spans="9:10" x14ac:dyDescent="0.25">
      <c r="I367" s="37"/>
      <c r="J367" s="35"/>
    </row>
    <row r="368" spans="9:10" x14ac:dyDescent="0.25">
      <c r="I368" s="37"/>
      <c r="J368" s="35"/>
    </row>
    <row r="369" spans="9:10" x14ac:dyDescent="0.25">
      <c r="I369" s="37"/>
      <c r="J369" s="35"/>
    </row>
    <row r="370" spans="9:10" x14ac:dyDescent="0.25">
      <c r="I370" s="37"/>
      <c r="J370" s="35"/>
    </row>
    <row r="371" spans="9:10" x14ac:dyDescent="0.25">
      <c r="I371" s="37"/>
      <c r="J371" s="35"/>
    </row>
    <row r="372" spans="9:10" x14ac:dyDescent="0.25">
      <c r="I372" s="37"/>
      <c r="J372" s="35"/>
    </row>
    <row r="373" spans="9:10" x14ac:dyDescent="0.25">
      <c r="I373" s="37"/>
      <c r="J373" s="35"/>
    </row>
    <row r="374" spans="9:10" x14ac:dyDescent="0.25">
      <c r="I374" s="37"/>
      <c r="J374" s="35"/>
    </row>
    <row r="375" spans="9:10" x14ac:dyDescent="0.25">
      <c r="I375" s="37"/>
      <c r="J375" s="35"/>
    </row>
    <row r="376" spans="9:10" x14ac:dyDescent="0.25">
      <c r="I376" s="37"/>
      <c r="J376" s="35"/>
    </row>
    <row r="377" spans="9:10" x14ac:dyDescent="0.25">
      <c r="I377" s="37"/>
      <c r="J377" s="35"/>
    </row>
    <row r="378" spans="9:10" x14ac:dyDescent="0.25">
      <c r="I378" s="37"/>
      <c r="J378" s="35"/>
    </row>
    <row r="379" spans="9:10" x14ac:dyDescent="0.25">
      <c r="I379" s="37"/>
      <c r="J379" s="35"/>
    </row>
    <row r="380" spans="9:10" x14ac:dyDescent="0.25">
      <c r="I380" s="37"/>
      <c r="J380" s="35"/>
    </row>
    <row r="381" spans="9:10" x14ac:dyDescent="0.25">
      <c r="I381" s="37"/>
      <c r="J381" s="35"/>
    </row>
    <row r="382" spans="9:10" x14ac:dyDescent="0.25">
      <c r="I382" s="37"/>
      <c r="J382" s="35"/>
    </row>
    <row r="383" spans="9:10" x14ac:dyDescent="0.25">
      <c r="I383" s="37"/>
      <c r="J383" s="35"/>
    </row>
    <row r="384" spans="9:10" x14ac:dyDescent="0.25">
      <c r="I384" s="37"/>
      <c r="J384" s="35"/>
    </row>
    <row r="385" spans="9:10" x14ac:dyDescent="0.25">
      <c r="I385" s="37"/>
      <c r="J385" s="35"/>
    </row>
    <row r="386" spans="9:10" x14ac:dyDescent="0.25">
      <c r="I386" s="37"/>
      <c r="J386" s="35"/>
    </row>
    <row r="387" spans="9:10" x14ac:dyDescent="0.25">
      <c r="I387" s="37"/>
      <c r="J387" s="35"/>
    </row>
    <row r="388" spans="9:10" x14ac:dyDescent="0.25">
      <c r="I388" s="37"/>
      <c r="J388" s="35"/>
    </row>
    <row r="389" spans="9:10" x14ac:dyDescent="0.25">
      <c r="I389" s="37"/>
      <c r="J389" s="35"/>
    </row>
    <row r="390" spans="9:10" x14ac:dyDescent="0.25">
      <c r="I390" s="37"/>
      <c r="J390" s="35"/>
    </row>
    <row r="391" spans="9:10" x14ac:dyDescent="0.25">
      <c r="I391" s="37"/>
      <c r="J391" s="35"/>
    </row>
    <row r="392" spans="9:10" x14ac:dyDescent="0.25">
      <c r="I392" s="37"/>
      <c r="J392" s="35"/>
    </row>
    <row r="393" spans="9:10" x14ac:dyDescent="0.25">
      <c r="I393" s="37"/>
      <c r="J393" s="35"/>
    </row>
    <row r="394" spans="9:10" x14ac:dyDescent="0.25">
      <c r="I394" s="37"/>
      <c r="J394" s="35"/>
    </row>
    <row r="395" spans="9:10" x14ac:dyDescent="0.25">
      <c r="I395" s="37"/>
      <c r="J395" s="35"/>
    </row>
    <row r="396" spans="9:10" x14ac:dyDescent="0.25">
      <c r="I396" s="37"/>
      <c r="J396" s="35"/>
    </row>
    <row r="397" spans="9:10" x14ac:dyDescent="0.25">
      <c r="I397" s="37"/>
      <c r="J397" s="35"/>
    </row>
    <row r="398" spans="9:10" x14ac:dyDescent="0.25">
      <c r="I398" s="37"/>
      <c r="J398" s="35"/>
    </row>
    <row r="399" spans="9:10" x14ac:dyDescent="0.25">
      <c r="I399" s="37"/>
      <c r="J399" s="35"/>
    </row>
    <row r="400" spans="9:10" x14ac:dyDescent="0.25">
      <c r="I400" s="37"/>
      <c r="J400" s="35"/>
    </row>
    <row r="401" spans="9:10" x14ac:dyDescent="0.25">
      <c r="I401" s="37"/>
      <c r="J401" s="35"/>
    </row>
    <row r="402" spans="9:10" x14ac:dyDescent="0.25">
      <c r="I402" s="37"/>
      <c r="J402" s="35"/>
    </row>
    <row r="403" spans="9:10" x14ac:dyDescent="0.25">
      <c r="I403" s="37"/>
      <c r="J403" s="35"/>
    </row>
    <row r="404" spans="9:10" x14ac:dyDescent="0.25">
      <c r="I404" s="37"/>
      <c r="J404" s="35"/>
    </row>
    <row r="405" spans="9:10" x14ac:dyDescent="0.25">
      <c r="I405" s="37"/>
      <c r="J405" s="35"/>
    </row>
    <row r="406" spans="9:10" x14ac:dyDescent="0.25">
      <c r="I406" s="37"/>
      <c r="J406" s="35"/>
    </row>
    <row r="407" spans="9:10" x14ac:dyDescent="0.25">
      <c r="I407" s="37"/>
      <c r="J407" s="35"/>
    </row>
    <row r="408" spans="9:10" x14ac:dyDescent="0.25">
      <c r="I408" s="37"/>
      <c r="J408" s="35"/>
    </row>
    <row r="409" spans="9:10" x14ac:dyDescent="0.25">
      <c r="I409" s="37"/>
      <c r="J409" s="35"/>
    </row>
    <row r="410" spans="9:10" x14ac:dyDescent="0.25">
      <c r="I410" s="37"/>
      <c r="J410" s="35"/>
    </row>
    <row r="411" spans="9:10" x14ac:dyDescent="0.25">
      <c r="I411" s="37"/>
      <c r="J411" s="35"/>
    </row>
    <row r="412" spans="9:10" x14ac:dyDescent="0.25">
      <c r="I412" s="37"/>
      <c r="J412" s="35"/>
    </row>
    <row r="413" spans="9:10" x14ac:dyDescent="0.25">
      <c r="I413" s="37"/>
      <c r="J413" s="35"/>
    </row>
    <row r="414" spans="9:10" x14ac:dyDescent="0.25">
      <c r="I414" s="37"/>
      <c r="J414" s="35"/>
    </row>
    <row r="415" spans="9:10" x14ac:dyDescent="0.25">
      <c r="I415" s="37"/>
      <c r="J415" s="35"/>
    </row>
    <row r="416" spans="9:10" x14ac:dyDescent="0.25">
      <c r="I416" s="37"/>
      <c r="J416" s="35"/>
    </row>
    <row r="417" spans="9:10" x14ac:dyDescent="0.25">
      <c r="I417" s="37"/>
      <c r="J417" s="35"/>
    </row>
    <row r="418" spans="9:10" x14ac:dyDescent="0.25">
      <c r="I418" s="37"/>
      <c r="J418" s="35"/>
    </row>
    <row r="419" spans="9:10" x14ac:dyDescent="0.25">
      <c r="I419" s="37"/>
      <c r="J419" s="35"/>
    </row>
    <row r="420" spans="9:10" x14ac:dyDescent="0.25">
      <c r="I420" s="37"/>
      <c r="J420" s="35"/>
    </row>
    <row r="421" spans="9:10" x14ac:dyDescent="0.25">
      <c r="I421" s="37"/>
      <c r="J421" s="35"/>
    </row>
    <row r="422" spans="9:10" x14ac:dyDescent="0.25">
      <c r="I422" s="37"/>
      <c r="J422" s="35"/>
    </row>
    <row r="423" spans="9:10" x14ac:dyDescent="0.25">
      <c r="I423" s="37"/>
      <c r="J423" s="35"/>
    </row>
    <row r="424" spans="9:10" x14ac:dyDescent="0.25">
      <c r="I424" s="37"/>
      <c r="J424" s="35"/>
    </row>
    <row r="425" spans="9:10" x14ac:dyDescent="0.25">
      <c r="I425" s="37"/>
      <c r="J425" s="35"/>
    </row>
    <row r="426" spans="9:10" x14ac:dyDescent="0.25">
      <c r="I426" s="37"/>
      <c r="J426" s="35"/>
    </row>
    <row r="427" spans="9:10" x14ac:dyDescent="0.25">
      <c r="I427" s="37"/>
      <c r="J427" s="35"/>
    </row>
    <row r="428" spans="9:10" x14ac:dyDescent="0.25">
      <c r="I428" s="37"/>
      <c r="J428" s="35"/>
    </row>
    <row r="429" spans="9:10" x14ac:dyDescent="0.25">
      <c r="I429" s="37"/>
      <c r="J429" s="35"/>
    </row>
    <row r="430" spans="9:10" x14ac:dyDescent="0.25">
      <c r="I430" s="37"/>
      <c r="J430" s="35"/>
    </row>
    <row r="431" spans="9:10" x14ac:dyDescent="0.25">
      <c r="I431" s="37"/>
      <c r="J431" s="35"/>
    </row>
    <row r="432" spans="9:10" x14ac:dyDescent="0.25">
      <c r="I432" s="37"/>
      <c r="J432" s="35"/>
    </row>
    <row r="433" spans="9:10" x14ac:dyDescent="0.25">
      <c r="I433" s="37"/>
      <c r="J433" s="35"/>
    </row>
    <row r="434" spans="9:10" x14ac:dyDescent="0.25">
      <c r="I434" s="37"/>
      <c r="J434" s="35"/>
    </row>
    <row r="435" spans="9:10" x14ac:dyDescent="0.25">
      <c r="I435" s="37"/>
      <c r="J435" s="35"/>
    </row>
    <row r="436" spans="9:10" x14ac:dyDescent="0.25">
      <c r="I436" s="37"/>
      <c r="J436" s="35"/>
    </row>
    <row r="437" spans="9:10" x14ac:dyDescent="0.25">
      <c r="I437" s="37"/>
      <c r="J437" s="35"/>
    </row>
    <row r="438" spans="9:10" x14ac:dyDescent="0.25">
      <c r="I438" s="37"/>
      <c r="J438" s="35"/>
    </row>
    <row r="439" spans="9:10" x14ac:dyDescent="0.25">
      <c r="I439" s="37"/>
      <c r="J439" s="35"/>
    </row>
    <row r="440" spans="9:10" x14ac:dyDescent="0.25">
      <c r="I440" s="37"/>
      <c r="J440" s="35"/>
    </row>
    <row r="441" spans="9:10" x14ac:dyDescent="0.25">
      <c r="I441" s="37"/>
      <c r="J441" s="35"/>
    </row>
    <row r="442" spans="9:10" x14ac:dyDescent="0.25">
      <c r="I442" s="37"/>
      <c r="J442" s="35"/>
    </row>
    <row r="443" spans="9:10" x14ac:dyDescent="0.25">
      <c r="I443" s="37"/>
      <c r="J443" s="35"/>
    </row>
    <row r="444" spans="9:10" x14ac:dyDescent="0.25">
      <c r="I444" s="37"/>
      <c r="J444" s="35"/>
    </row>
    <row r="445" spans="9:10" x14ac:dyDescent="0.25">
      <c r="I445" s="37"/>
      <c r="J445" s="35"/>
    </row>
    <row r="446" spans="9:10" x14ac:dyDescent="0.25">
      <c r="I446" s="37"/>
      <c r="J446" s="35"/>
    </row>
    <row r="447" spans="9:10" x14ac:dyDescent="0.25">
      <c r="I447" s="37"/>
      <c r="J447" s="35"/>
    </row>
    <row r="448" spans="9:10" x14ac:dyDescent="0.25">
      <c r="I448" s="37"/>
      <c r="J448" s="35"/>
    </row>
    <row r="449" spans="9:10" x14ac:dyDescent="0.25">
      <c r="I449" s="37"/>
      <c r="J449" s="35"/>
    </row>
    <row r="450" spans="9:10" x14ac:dyDescent="0.25">
      <c r="I450" s="37"/>
      <c r="J450" s="35"/>
    </row>
    <row r="451" spans="9:10" x14ac:dyDescent="0.25">
      <c r="I451" s="37"/>
      <c r="J451" s="35"/>
    </row>
    <row r="452" spans="9:10" x14ac:dyDescent="0.25">
      <c r="I452" s="37"/>
      <c r="J452" s="35"/>
    </row>
    <row r="453" spans="9:10" x14ac:dyDescent="0.25">
      <c r="I453" s="37"/>
      <c r="J453" s="35"/>
    </row>
    <row r="454" spans="9:10" x14ac:dyDescent="0.25">
      <c r="I454" s="37"/>
      <c r="J454" s="35"/>
    </row>
    <row r="455" spans="9:10" x14ac:dyDescent="0.25">
      <c r="I455" s="37"/>
      <c r="J455" s="35"/>
    </row>
    <row r="456" spans="9:10" x14ac:dyDescent="0.25">
      <c r="I456" s="37"/>
      <c r="J456" s="35"/>
    </row>
    <row r="457" spans="9:10" x14ac:dyDescent="0.25">
      <c r="I457" s="37"/>
      <c r="J457" s="35"/>
    </row>
    <row r="458" spans="9:10" x14ac:dyDescent="0.25">
      <c r="I458" s="37"/>
      <c r="J458" s="35"/>
    </row>
    <row r="459" spans="9:10" x14ac:dyDescent="0.25">
      <c r="I459" s="37"/>
      <c r="J459" s="35"/>
    </row>
    <row r="460" spans="9:10" x14ac:dyDescent="0.25">
      <c r="I460" s="37"/>
      <c r="J460" s="35"/>
    </row>
    <row r="461" spans="9:10" x14ac:dyDescent="0.25">
      <c r="I461" s="37"/>
      <c r="J461" s="35"/>
    </row>
    <row r="462" spans="9:10" x14ac:dyDescent="0.25">
      <c r="I462" s="37"/>
      <c r="J462" s="35"/>
    </row>
    <row r="463" spans="9:10" x14ac:dyDescent="0.25">
      <c r="I463" s="37"/>
      <c r="J463" s="35"/>
    </row>
    <row r="464" spans="9:10" x14ac:dyDescent="0.25">
      <c r="I464" s="37"/>
      <c r="J464" s="35"/>
    </row>
    <row r="465" spans="9:10" x14ac:dyDescent="0.25">
      <c r="I465" s="37"/>
      <c r="J465" s="35"/>
    </row>
    <row r="466" spans="9:10" x14ac:dyDescent="0.25">
      <c r="I466" s="37"/>
      <c r="J466" s="35"/>
    </row>
    <row r="467" spans="9:10" x14ac:dyDescent="0.25">
      <c r="I467" s="37"/>
      <c r="J467" s="35"/>
    </row>
    <row r="468" spans="9:10" x14ac:dyDescent="0.25">
      <c r="I468" s="37"/>
      <c r="J468" s="35"/>
    </row>
    <row r="469" spans="9:10" x14ac:dyDescent="0.25">
      <c r="I469" s="37"/>
      <c r="J469" s="35"/>
    </row>
    <row r="470" spans="9:10" x14ac:dyDescent="0.25">
      <c r="I470" s="37"/>
      <c r="J470" s="35"/>
    </row>
    <row r="471" spans="9:10" x14ac:dyDescent="0.25">
      <c r="I471" s="37"/>
      <c r="J471" s="35"/>
    </row>
    <row r="472" spans="9:10" x14ac:dyDescent="0.25">
      <c r="I472" s="37"/>
      <c r="J472" s="35"/>
    </row>
    <row r="473" spans="9:10" x14ac:dyDescent="0.25">
      <c r="I473" s="37"/>
      <c r="J473" s="35"/>
    </row>
    <row r="474" spans="9:10" x14ac:dyDescent="0.25">
      <c r="I474" s="37"/>
      <c r="J474" s="35"/>
    </row>
    <row r="475" spans="9:10" x14ac:dyDescent="0.25">
      <c r="I475" s="37"/>
      <c r="J475" s="35"/>
    </row>
    <row r="476" spans="9:10" x14ac:dyDescent="0.25">
      <c r="I476" s="37"/>
      <c r="J476" s="35"/>
    </row>
    <row r="477" spans="9:10" x14ac:dyDescent="0.25">
      <c r="I477" s="37"/>
      <c r="J477" s="35"/>
    </row>
    <row r="478" spans="9:10" x14ac:dyDescent="0.25">
      <c r="I478" s="37"/>
      <c r="J478" s="35"/>
    </row>
    <row r="479" spans="9:10" x14ac:dyDescent="0.25">
      <c r="I479" s="37"/>
      <c r="J479" s="35"/>
    </row>
    <row r="480" spans="9:10" x14ac:dyDescent="0.25">
      <c r="I480" s="37"/>
      <c r="J480" s="35"/>
    </row>
    <row r="481" spans="9:10" x14ac:dyDescent="0.25">
      <c r="I481" s="37"/>
      <c r="J481" s="35"/>
    </row>
    <row r="482" spans="9:10" x14ac:dyDescent="0.25">
      <c r="I482" s="37"/>
      <c r="J482" s="35"/>
    </row>
    <row r="483" spans="9:10" x14ac:dyDescent="0.25">
      <c r="I483" s="37"/>
      <c r="J483" s="35"/>
    </row>
    <row r="484" spans="9:10" x14ac:dyDescent="0.25">
      <c r="I484" s="37"/>
      <c r="J484" s="35"/>
    </row>
    <row r="485" spans="9:10" x14ac:dyDescent="0.25">
      <c r="I485" s="37"/>
      <c r="J485" s="35"/>
    </row>
    <row r="486" spans="9:10" x14ac:dyDescent="0.25">
      <c r="I486" s="37"/>
      <c r="J486" s="35"/>
    </row>
    <row r="487" spans="9:10" x14ac:dyDescent="0.25">
      <c r="I487" s="37"/>
      <c r="J487" s="35"/>
    </row>
    <row r="488" spans="9:10" x14ac:dyDescent="0.25">
      <c r="I488" s="37"/>
      <c r="J488" s="35"/>
    </row>
    <row r="489" spans="9:10" x14ac:dyDescent="0.25">
      <c r="I489" s="37"/>
      <c r="J489" s="35"/>
    </row>
    <row r="490" spans="9:10" x14ac:dyDescent="0.25">
      <c r="I490" s="37"/>
      <c r="J490" s="35"/>
    </row>
    <row r="491" spans="9:10" x14ac:dyDescent="0.25">
      <c r="I491" s="37"/>
      <c r="J491" s="35"/>
    </row>
    <row r="492" spans="9:10" x14ac:dyDescent="0.25">
      <c r="I492" s="37"/>
      <c r="J492" s="35"/>
    </row>
    <row r="493" spans="9:10" x14ac:dyDescent="0.25">
      <c r="I493" s="37"/>
      <c r="J493" s="35"/>
    </row>
    <row r="494" spans="9:10" x14ac:dyDescent="0.25">
      <c r="I494" s="37"/>
      <c r="J494" s="35"/>
    </row>
    <row r="495" spans="9:10" x14ac:dyDescent="0.25">
      <c r="I495" s="37"/>
      <c r="J495" s="35"/>
    </row>
    <row r="496" spans="9:10" x14ac:dyDescent="0.25">
      <c r="I496" s="37"/>
      <c r="J496" s="35"/>
    </row>
    <row r="497" spans="9:10" x14ac:dyDescent="0.25">
      <c r="I497" s="37"/>
      <c r="J497" s="35"/>
    </row>
    <row r="498" spans="9:10" x14ac:dyDescent="0.25">
      <c r="I498" s="37"/>
      <c r="J498" s="35"/>
    </row>
    <row r="499" spans="9:10" x14ac:dyDescent="0.25">
      <c r="I499" s="37"/>
      <c r="J499" s="35"/>
    </row>
    <row r="500" spans="9:10" x14ac:dyDescent="0.25">
      <c r="I500" s="37"/>
      <c r="J500" s="35"/>
    </row>
    <row r="501" spans="9:10" x14ac:dyDescent="0.25">
      <c r="I501" s="37"/>
      <c r="J501" s="35"/>
    </row>
    <row r="502" spans="9:10" x14ac:dyDescent="0.25">
      <c r="I502" s="37"/>
      <c r="J502" s="35"/>
    </row>
    <row r="503" spans="9:10" x14ac:dyDescent="0.25">
      <c r="I503" s="37"/>
      <c r="J503" s="35"/>
    </row>
    <row r="504" spans="9:10" x14ac:dyDescent="0.25">
      <c r="I504" s="37"/>
      <c r="J504" s="35"/>
    </row>
    <row r="505" spans="9:10" x14ac:dyDescent="0.25">
      <c r="I505" s="37"/>
      <c r="J505" s="35"/>
    </row>
    <row r="506" spans="9:10" x14ac:dyDescent="0.25">
      <c r="I506" s="37"/>
      <c r="J506" s="35"/>
    </row>
    <row r="507" spans="9:10" x14ac:dyDescent="0.25">
      <c r="I507" s="37"/>
      <c r="J507" s="35"/>
    </row>
    <row r="508" spans="9:10" x14ac:dyDescent="0.25">
      <c r="I508" s="37"/>
      <c r="J508" s="35"/>
    </row>
    <row r="509" spans="9:10" x14ac:dyDescent="0.25">
      <c r="I509" s="37"/>
      <c r="J509" s="35"/>
    </row>
    <row r="510" spans="9:10" x14ac:dyDescent="0.25">
      <c r="I510" s="37"/>
      <c r="J510" s="35"/>
    </row>
    <row r="511" spans="9:10" x14ac:dyDescent="0.25">
      <c r="I511" s="37"/>
      <c r="J511" s="35"/>
    </row>
    <row r="512" spans="9:10" x14ac:dyDescent="0.25">
      <c r="I512" s="37"/>
      <c r="J512" s="35"/>
    </row>
    <row r="513" spans="9:10" x14ac:dyDescent="0.25">
      <c r="I513" s="37"/>
      <c r="J513" s="35"/>
    </row>
    <row r="514" spans="9:10" x14ac:dyDescent="0.25">
      <c r="I514" s="37"/>
      <c r="J514" s="35"/>
    </row>
    <row r="515" spans="9:10" x14ac:dyDescent="0.25">
      <c r="I515" s="37"/>
      <c r="J515" s="35"/>
    </row>
    <row r="516" spans="9:10" x14ac:dyDescent="0.25">
      <c r="I516" s="37"/>
      <c r="J516" s="35"/>
    </row>
    <row r="517" spans="9:10" x14ac:dyDescent="0.25">
      <c r="I517" s="37"/>
      <c r="J517" s="35"/>
    </row>
    <row r="518" spans="9:10" x14ac:dyDescent="0.25">
      <c r="I518" s="37"/>
      <c r="J518" s="35"/>
    </row>
    <row r="519" spans="9:10" x14ac:dyDescent="0.25">
      <c r="I519" s="37"/>
      <c r="J519" s="35"/>
    </row>
    <row r="520" spans="9:10" x14ac:dyDescent="0.25">
      <c r="I520" s="37"/>
      <c r="J520" s="35"/>
    </row>
    <row r="521" spans="9:10" x14ac:dyDescent="0.25">
      <c r="I521" s="37"/>
      <c r="J521" s="35"/>
    </row>
    <row r="522" spans="9:10" x14ac:dyDescent="0.25">
      <c r="I522" s="37"/>
      <c r="J522" s="35"/>
    </row>
    <row r="523" spans="9:10" x14ac:dyDescent="0.25">
      <c r="I523" s="37"/>
      <c r="J523" s="35"/>
    </row>
    <row r="524" spans="9:10" x14ac:dyDescent="0.25">
      <c r="I524" s="37"/>
      <c r="J524" s="35"/>
    </row>
    <row r="525" spans="9:10" x14ac:dyDescent="0.25">
      <c r="I525" s="37"/>
      <c r="J525" s="35"/>
    </row>
    <row r="526" spans="9:10" x14ac:dyDescent="0.25">
      <c r="I526" s="37"/>
      <c r="J526" s="35"/>
    </row>
    <row r="527" spans="9:10" x14ac:dyDescent="0.25">
      <c r="I527" s="37"/>
      <c r="J527" s="35"/>
    </row>
    <row r="528" spans="9:10" x14ac:dyDescent="0.25">
      <c r="I528" s="37"/>
      <c r="J528" s="35"/>
    </row>
    <row r="529" spans="9:10" x14ac:dyDescent="0.25">
      <c r="I529" s="37"/>
      <c r="J529" s="35"/>
    </row>
    <row r="530" spans="9:10" x14ac:dyDescent="0.25">
      <c r="I530" s="37"/>
      <c r="J530" s="35"/>
    </row>
    <row r="531" spans="9:10" x14ac:dyDescent="0.25">
      <c r="I531" s="37"/>
      <c r="J531" s="35"/>
    </row>
    <row r="532" spans="9:10" x14ac:dyDescent="0.25">
      <c r="I532" s="37"/>
      <c r="J532" s="35"/>
    </row>
    <row r="533" spans="9:10" x14ac:dyDescent="0.25">
      <c r="I533" s="37"/>
      <c r="J533" s="35"/>
    </row>
    <row r="534" spans="9:10" x14ac:dyDescent="0.25">
      <c r="I534" s="37"/>
      <c r="J534" s="35"/>
    </row>
    <row r="535" spans="9:10" x14ac:dyDescent="0.25">
      <c r="I535" s="37"/>
      <c r="J535" s="35"/>
    </row>
    <row r="536" spans="9:10" x14ac:dyDescent="0.25">
      <c r="I536" s="37"/>
      <c r="J536" s="35"/>
    </row>
    <row r="537" spans="9:10" x14ac:dyDescent="0.25">
      <c r="I537" s="37"/>
      <c r="J537" s="35"/>
    </row>
    <row r="538" spans="9:10" x14ac:dyDescent="0.25">
      <c r="I538" s="37"/>
      <c r="J538" s="35"/>
    </row>
    <row r="539" spans="9:10" x14ac:dyDescent="0.25">
      <c r="I539" s="37"/>
      <c r="J539" s="35"/>
    </row>
    <row r="540" spans="9:10" x14ac:dyDescent="0.25">
      <c r="I540" s="37"/>
      <c r="J540" s="35"/>
    </row>
    <row r="541" spans="9:10" x14ac:dyDescent="0.25">
      <c r="I541" s="37"/>
      <c r="J541" s="35"/>
    </row>
    <row r="542" spans="9:10" x14ac:dyDescent="0.25">
      <c r="I542" s="37"/>
      <c r="J542" s="35"/>
    </row>
    <row r="543" spans="9:10" x14ac:dyDescent="0.25">
      <c r="I543" s="37"/>
      <c r="J543" s="35"/>
    </row>
    <row r="544" spans="9:10" x14ac:dyDescent="0.25">
      <c r="I544" s="37"/>
      <c r="J544" s="35"/>
    </row>
    <row r="545" spans="9:10" x14ac:dyDescent="0.25">
      <c r="I545" s="37"/>
      <c r="J545" s="35"/>
    </row>
    <row r="546" spans="9:10" x14ac:dyDescent="0.25">
      <c r="I546" s="37"/>
      <c r="J546" s="35"/>
    </row>
    <row r="547" spans="9:10" x14ac:dyDescent="0.25">
      <c r="I547" s="37"/>
      <c r="J547" s="35"/>
    </row>
    <row r="548" spans="9:10" x14ac:dyDescent="0.25">
      <c r="I548" s="37"/>
      <c r="J548" s="35"/>
    </row>
    <row r="549" spans="9:10" x14ac:dyDescent="0.25">
      <c r="I549" s="37"/>
      <c r="J549" s="35"/>
    </row>
    <row r="550" spans="9:10" x14ac:dyDescent="0.25">
      <c r="I550" s="37"/>
      <c r="J550" s="35"/>
    </row>
    <row r="551" spans="9:10" x14ac:dyDescent="0.25">
      <c r="I551" s="37"/>
      <c r="J551" s="35"/>
    </row>
    <row r="552" spans="9:10" x14ac:dyDescent="0.25">
      <c r="I552" s="37"/>
      <c r="J552" s="35"/>
    </row>
    <row r="553" spans="9:10" x14ac:dyDescent="0.25">
      <c r="I553" s="37"/>
      <c r="J553" s="35"/>
    </row>
    <row r="554" spans="9:10" x14ac:dyDescent="0.25">
      <c r="I554" s="37"/>
      <c r="J554" s="35"/>
    </row>
    <row r="555" spans="9:10" x14ac:dyDescent="0.25">
      <c r="I555" s="37"/>
      <c r="J555" s="35"/>
    </row>
    <row r="556" spans="9:10" x14ac:dyDescent="0.25">
      <c r="I556" s="37"/>
      <c r="J556" s="35"/>
    </row>
    <row r="557" spans="9:10" x14ac:dyDescent="0.25">
      <c r="I557" s="37"/>
      <c r="J557" s="35"/>
    </row>
    <row r="558" spans="9:10" x14ac:dyDescent="0.25">
      <c r="I558" s="37"/>
      <c r="J558" s="35"/>
    </row>
    <row r="559" spans="9:10" x14ac:dyDescent="0.25">
      <c r="I559" s="37"/>
      <c r="J559" s="35"/>
    </row>
    <row r="560" spans="9:10" x14ac:dyDescent="0.25">
      <c r="I560" s="37"/>
      <c r="J560" s="35"/>
    </row>
    <row r="561" spans="9:10" x14ac:dyDescent="0.25">
      <c r="I561" s="37"/>
      <c r="J561" s="35"/>
    </row>
    <row r="562" spans="9:10" x14ac:dyDescent="0.25">
      <c r="I562" s="37"/>
      <c r="J562" s="35"/>
    </row>
    <row r="563" spans="9:10" x14ac:dyDescent="0.25">
      <c r="I563" s="37"/>
      <c r="J563" s="35"/>
    </row>
    <row r="564" spans="9:10" x14ac:dyDescent="0.25">
      <c r="I564" s="37"/>
      <c r="J564" s="35"/>
    </row>
    <row r="565" spans="9:10" x14ac:dyDescent="0.25">
      <c r="I565" s="37"/>
      <c r="J565" s="35"/>
    </row>
    <row r="566" spans="9:10" x14ac:dyDescent="0.25">
      <c r="I566" s="37"/>
      <c r="J566" s="35"/>
    </row>
    <row r="567" spans="9:10" x14ac:dyDescent="0.25">
      <c r="I567" s="37"/>
      <c r="J567" s="35"/>
    </row>
    <row r="568" spans="9:10" x14ac:dyDescent="0.25">
      <c r="I568" s="37"/>
      <c r="J568" s="35"/>
    </row>
    <row r="569" spans="9:10" x14ac:dyDescent="0.25">
      <c r="I569" s="37"/>
      <c r="J569" s="35"/>
    </row>
    <row r="570" spans="9:10" x14ac:dyDescent="0.25">
      <c r="I570" s="37"/>
      <c r="J570" s="35"/>
    </row>
    <row r="571" spans="9:10" x14ac:dyDescent="0.25">
      <c r="I571" s="37"/>
      <c r="J571" s="35"/>
    </row>
    <row r="572" spans="9:10" x14ac:dyDescent="0.25">
      <c r="I572" s="37"/>
      <c r="J572" s="35"/>
    </row>
    <row r="573" spans="9:10" x14ac:dyDescent="0.25">
      <c r="I573" s="37"/>
      <c r="J573" s="35"/>
    </row>
    <row r="574" spans="9:10" x14ac:dyDescent="0.25">
      <c r="I574" s="37"/>
      <c r="J574" s="35"/>
    </row>
    <row r="575" spans="9:10" x14ac:dyDescent="0.25">
      <c r="I575" s="37"/>
      <c r="J575" s="35"/>
    </row>
    <row r="576" spans="9:10" x14ac:dyDescent="0.25">
      <c r="I576" s="37"/>
      <c r="J576" s="35"/>
    </row>
    <row r="577" spans="9:10" x14ac:dyDescent="0.25">
      <c r="I577" s="37"/>
      <c r="J577" s="35"/>
    </row>
    <row r="578" spans="9:10" x14ac:dyDescent="0.25">
      <c r="I578" s="37"/>
      <c r="J578" s="35"/>
    </row>
    <row r="579" spans="9:10" x14ac:dyDescent="0.25">
      <c r="I579" s="37"/>
      <c r="J579" s="35"/>
    </row>
    <row r="580" spans="9:10" x14ac:dyDescent="0.25">
      <c r="I580" s="37"/>
      <c r="J580" s="35"/>
    </row>
    <row r="581" spans="9:10" x14ac:dyDescent="0.25">
      <c r="I581" s="37"/>
      <c r="J581" s="35"/>
    </row>
    <row r="582" spans="9:10" x14ac:dyDescent="0.25">
      <c r="I582" s="37"/>
      <c r="J582" s="35"/>
    </row>
    <row r="583" spans="9:10" x14ac:dyDescent="0.25">
      <c r="I583" s="37"/>
      <c r="J583" s="35"/>
    </row>
    <row r="584" spans="9:10" x14ac:dyDescent="0.25">
      <c r="I584" s="37"/>
      <c r="J584" s="35"/>
    </row>
    <row r="585" spans="9:10" x14ac:dyDescent="0.25">
      <c r="I585" s="37"/>
      <c r="J585" s="35"/>
    </row>
    <row r="586" spans="9:10" x14ac:dyDescent="0.25">
      <c r="I586" s="37"/>
      <c r="J586" s="35"/>
    </row>
    <row r="587" spans="9:10" x14ac:dyDescent="0.25">
      <c r="I587" s="37"/>
      <c r="J587" s="35"/>
    </row>
    <row r="588" spans="9:10" x14ac:dyDescent="0.25">
      <c r="I588" s="37"/>
      <c r="J588" s="35"/>
    </row>
    <row r="589" spans="9:10" x14ac:dyDescent="0.25">
      <c r="I589" s="37"/>
      <c r="J589" s="35"/>
    </row>
    <row r="590" spans="9:10" x14ac:dyDescent="0.25">
      <c r="I590" s="37"/>
      <c r="J590" s="35"/>
    </row>
    <row r="591" spans="9:10" x14ac:dyDescent="0.25">
      <c r="I591" s="37"/>
      <c r="J591" s="35"/>
    </row>
    <row r="592" spans="9:10" x14ac:dyDescent="0.25">
      <c r="I592" s="37"/>
      <c r="J592" s="35"/>
    </row>
    <row r="593" spans="9:10" x14ac:dyDescent="0.25">
      <c r="I593" s="37"/>
      <c r="J593" s="35"/>
    </row>
    <row r="594" spans="9:10" x14ac:dyDescent="0.25">
      <c r="I594" s="37"/>
      <c r="J594" s="35"/>
    </row>
    <row r="595" spans="9:10" x14ac:dyDescent="0.25">
      <c r="I595" s="37"/>
      <c r="J595" s="35"/>
    </row>
    <row r="596" spans="9:10" x14ac:dyDescent="0.25">
      <c r="I596" s="37"/>
      <c r="J596" s="35"/>
    </row>
    <row r="597" spans="9:10" x14ac:dyDescent="0.25">
      <c r="I597" s="37"/>
      <c r="J597" s="35"/>
    </row>
    <row r="598" spans="9:10" x14ac:dyDescent="0.25">
      <c r="I598" s="37"/>
      <c r="J598" s="35"/>
    </row>
    <row r="599" spans="9:10" x14ac:dyDescent="0.25">
      <c r="I599" s="37"/>
      <c r="J599" s="35"/>
    </row>
    <row r="600" spans="9:10" x14ac:dyDescent="0.25">
      <c r="I600" s="37"/>
      <c r="J600" s="35"/>
    </row>
    <row r="601" spans="9:10" x14ac:dyDescent="0.25">
      <c r="I601" s="37"/>
      <c r="J601" s="35"/>
    </row>
    <row r="602" spans="9:10" x14ac:dyDescent="0.25">
      <c r="I602" s="37"/>
      <c r="J602" s="35"/>
    </row>
    <row r="603" spans="9:10" x14ac:dyDescent="0.25">
      <c r="I603" s="37"/>
      <c r="J603" s="35"/>
    </row>
    <row r="604" spans="9:10" x14ac:dyDescent="0.25">
      <c r="I604" s="37"/>
      <c r="J604" s="35"/>
    </row>
    <row r="605" spans="9:10" x14ac:dyDescent="0.25">
      <c r="I605" s="37"/>
      <c r="J605" s="35"/>
    </row>
    <row r="606" spans="9:10" x14ac:dyDescent="0.25">
      <c r="I606" s="37"/>
      <c r="J606" s="35"/>
    </row>
    <row r="607" spans="9:10" x14ac:dyDescent="0.25">
      <c r="I607" s="37"/>
      <c r="J607" s="35"/>
    </row>
    <row r="608" spans="9:10" x14ac:dyDescent="0.25">
      <c r="I608" s="37"/>
      <c r="J608" s="35"/>
    </row>
    <row r="609" spans="9:10" x14ac:dyDescent="0.25">
      <c r="I609" s="37"/>
      <c r="J609" s="35"/>
    </row>
    <row r="610" spans="9:10" x14ac:dyDescent="0.25">
      <c r="I610" s="37"/>
      <c r="J610" s="35"/>
    </row>
    <row r="611" spans="9:10" x14ac:dyDescent="0.25">
      <c r="I611" s="37"/>
      <c r="J611" s="35"/>
    </row>
    <row r="612" spans="9:10" x14ac:dyDescent="0.25">
      <c r="I612" s="37"/>
      <c r="J612" s="35"/>
    </row>
    <row r="613" spans="9:10" x14ac:dyDescent="0.25">
      <c r="I613" s="37"/>
      <c r="J613" s="35"/>
    </row>
    <row r="614" spans="9:10" x14ac:dyDescent="0.25">
      <c r="I614" s="37"/>
      <c r="J614" s="35"/>
    </row>
    <row r="615" spans="9:10" x14ac:dyDescent="0.25">
      <c r="I615" s="37"/>
      <c r="J615" s="35"/>
    </row>
    <row r="616" spans="9:10" x14ac:dyDescent="0.25">
      <c r="I616" s="37"/>
      <c r="J616" s="35"/>
    </row>
    <row r="617" spans="9:10" x14ac:dyDescent="0.25">
      <c r="I617" s="37"/>
      <c r="J617" s="35"/>
    </row>
    <row r="618" spans="9:10" x14ac:dyDescent="0.25">
      <c r="I618" s="37"/>
      <c r="J618" s="35"/>
    </row>
    <row r="619" spans="9:10" x14ac:dyDescent="0.25">
      <c r="I619" s="37"/>
      <c r="J619" s="35"/>
    </row>
    <row r="620" spans="9:10" x14ac:dyDescent="0.25">
      <c r="I620" s="37"/>
      <c r="J620" s="35"/>
    </row>
    <row r="621" spans="9:10" x14ac:dyDescent="0.25">
      <c r="I621" s="37"/>
      <c r="J621" s="35"/>
    </row>
    <row r="622" spans="9:10" x14ac:dyDescent="0.25">
      <c r="I622" s="37"/>
      <c r="J622" s="35"/>
    </row>
    <row r="623" spans="9:10" x14ac:dyDescent="0.25">
      <c r="I623" s="37"/>
      <c r="J623" s="35"/>
    </row>
    <row r="624" spans="9:10" x14ac:dyDescent="0.25">
      <c r="I624" s="37"/>
      <c r="J624" s="35"/>
    </row>
    <row r="625" spans="9:10" x14ac:dyDescent="0.25">
      <c r="I625" s="37"/>
      <c r="J625" s="35"/>
    </row>
    <row r="626" spans="9:10" x14ac:dyDescent="0.25">
      <c r="I626" s="37"/>
      <c r="J626" s="35"/>
    </row>
    <row r="627" spans="9:10" x14ac:dyDescent="0.25">
      <c r="I627" s="37"/>
      <c r="J627" s="35"/>
    </row>
    <row r="628" spans="9:10" x14ac:dyDescent="0.25">
      <c r="I628" s="37"/>
      <c r="J628" s="35"/>
    </row>
    <row r="629" spans="9:10" x14ac:dyDescent="0.25">
      <c r="I629" s="37"/>
      <c r="J629" s="35"/>
    </row>
    <row r="630" spans="9:10" x14ac:dyDescent="0.25">
      <c r="I630" s="37"/>
      <c r="J630" s="35"/>
    </row>
    <row r="631" spans="9:10" x14ac:dyDescent="0.25">
      <c r="I631" s="37"/>
      <c r="J631" s="35"/>
    </row>
    <row r="632" spans="9:10" x14ac:dyDescent="0.25">
      <c r="I632" s="37"/>
      <c r="J632" s="35"/>
    </row>
    <row r="633" spans="9:10" x14ac:dyDescent="0.25">
      <c r="I633" s="37"/>
      <c r="J633" s="35"/>
    </row>
    <row r="634" spans="9:10" x14ac:dyDescent="0.25">
      <c r="I634" s="37"/>
      <c r="J634" s="35"/>
    </row>
    <row r="635" spans="9:10" x14ac:dyDescent="0.25">
      <c r="I635" s="37"/>
      <c r="J635" s="35"/>
    </row>
    <row r="636" spans="9:10" x14ac:dyDescent="0.25">
      <c r="I636" s="37"/>
      <c r="J636" s="35"/>
    </row>
    <row r="637" spans="9:10" x14ac:dyDescent="0.25">
      <c r="I637" s="37"/>
      <c r="J637" s="35"/>
    </row>
    <row r="638" spans="9:10" x14ac:dyDescent="0.25">
      <c r="I638" s="37"/>
      <c r="J638" s="35"/>
    </row>
    <row r="639" spans="9:10" x14ac:dyDescent="0.25">
      <c r="I639" s="37"/>
      <c r="J639" s="35"/>
    </row>
    <row r="640" spans="9:10" x14ac:dyDescent="0.25">
      <c r="I640" s="37"/>
      <c r="J640" s="35"/>
    </row>
    <row r="641" spans="9:10" x14ac:dyDescent="0.25">
      <c r="I641" s="37"/>
      <c r="J641" s="35"/>
    </row>
    <row r="642" spans="9:10" x14ac:dyDescent="0.25">
      <c r="I642" s="37"/>
      <c r="J642" s="35"/>
    </row>
    <row r="643" spans="9:10" x14ac:dyDescent="0.25">
      <c r="I643" s="37"/>
      <c r="J643" s="35"/>
    </row>
    <row r="644" spans="9:10" x14ac:dyDescent="0.25">
      <c r="I644" s="37"/>
      <c r="J644" s="35"/>
    </row>
    <row r="645" spans="9:10" x14ac:dyDescent="0.25">
      <c r="I645" s="37"/>
      <c r="J645" s="35"/>
    </row>
    <row r="646" spans="9:10" x14ac:dyDescent="0.25">
      <c r="I646" s="37"/>
      <c r="J646" s="35"/>
    </row>
    <row r="647" spans="9:10" x14ac:dyDescent="0.25">
      <c r="I647" s="37"/>
      <c r="J647" s="35"/>
    </row>
    <row r="648" spans="9:10" x14ac:dyDescent="0.25">
      <c r="I648" s="37"/>
      <c r="J648" s="35"/>
    </row>
    <row r="649" spans="9:10" x14ac:dyDescent="0.25">
      <c r="I649" s="37"/>
      <c r="J649" s="35"/>
    </row>
    <row r="650" spans="9:10" x14ac:dyDescent="0.25">
      <c r="I650" s="37"/>
      <c r="J650" s="35"/>
    </row>
    <row r="651" spans="9:10" x14ac:dyDescent="0.25">
      <c r="I651" s="37"/>
      <c r="J651" s="35"/>
    </row>
    <row r="652" spans="9:10" x14ac:dyDescent="0.25">
      <c r="I652" s="37"/>
      <c r="J652" s="35"/>
    </row>
    <row r="653" spans="9:10" x14ac:dyDescent="0.25">
      <c r="I653" s="37"/>
      <c r="J653" s="35"/>
    </row>
    <row r="654" spans="9:10" x14ac:dyDescent="0.25">
      <c r="I654" s="37"/>
      <c r="J654" s="35"/>
    </row>
    <row r="655" spans="9:10" x14ac:dyDescent="0.25">
      <c r="I655" s="37"/>
      <c r="J655" s="35"/>
    </row>
    <row r="656" spans="9:10" x14ac:dyDescent="0.25">
      <c r="I656" s="37"/>
      <c r="J656" s="35"/>
    </row>
    <row r="657" spans="9:10" x14ac:dyDescent="0.25">
      <c r="I657" s="37"/>
      <c r="J657" s="35"/>
    </row>
    <row r="658" spans="9:10" x14ac:dyDescent="0.25">
      <c r="I658" s="37"/>
      <c r="J658" s="35"/>
    </row>
    <row r="659" spans="9:10" x14ac:dyDescent="0.25">
      <c r="I659" s="37"/>
      <c r="J659" s="35"/>
    </row>
    <row r="660" spans="9:10" x14ac:dyDescent="0.25">
      <c r="I660" s="37"/>
      <c r="J660" s="35"/>
    </row>
    <row r="661" spans="9:10" x14ac:dyDescent="0.25">
      <c r="I661" s="37"/>
      <c r="J661" s="35"/>
    </row>
    <row r="662" spans="9:10" x14ac:dyDescent="0.25">
      <c r="I662" s="37"/>
      <c r="J662" s="35"/>
    </row>
    <row r="663" spans="9:10" x14ac:dyDescent="0.25">
      <c r="I663" s="37"/>
      <c r="J663" s="35"/>
    </row>
    <row r="664" spans="9:10" x14ac:dyDescent="0.25">
      <c r="I664" s="37"/>
      <c r="J664" s="35"/>
    </row>
    <row r="665" spans="9:10" x14ac:dyDescent="0.25">
      <c r="I665" s="37"/>
      <c r="J665" s="35"/>
    </row>
    <row r="666" spans="9:10" x14ac:dyDescent="0.25">
      <c r="I666" s="37"/>
      <c r="J666" s="35"/>
    </row>
    <row r="667" spans="9:10" x14ac:dyDescent="0.25">
      <c r="I667" s="37"/>
      <c r="J667" s="35"/>
    </row>
    <row r="668" spans="9:10" x14ac:dyDescent="0.25">
      <c r="I668" s="37"/>
      <c r="J668" s="35"/>
    </row>
    <row r="669" spans="9:10" x14ac:dyDescent="0.25">
      <c r="I669" s="37"/>
      <c r="J669" s="35"/>
    </row>
    <row r="670" spans="9:10" x14ac:dyDescent="0.25">
      <c r="I670" s="37"/>
      <c r="J670" s="35"/>
    </row>
    <row r="671" spans="9:10" x14ac:dyDescent="0.25">
      <c r="I671" s="37"/>
      <c r="J671" s="35"/>
    </row>
    <row r="672" spans="9:10" x14ac:dyDescent="0.25">
      <c r="I672" s="37"/>
      <c r="J672" s="35"/>
    </row>
    <row r="673" spans="9:10" x14ac:dyDescent="0.25">
      <c r="I673" s="37"/>
      <c r="J673" s="35"/>
    </row>
    <row r="674" spans="9:10" x14ac:dyDescent="0.25">
      <c r="I674" s="37"/>
      <c r="J674" s="35"/>
    </row>
    <row r="675" spans="9:10" x14ac:dyDescent="0.25">
      <c r="I675" s="37"/>
      <c r="J675" s="35"/>
    </row>
    <row r="676" spans="9:10" x14ac:dyDescent="0.25">
      <c r="I676" s="37"/>
      <c r="J676" s="35"/>
    </row>
    <row r="677" spans="9:10" x14ac:dyDescent="0.25">
      <c r="I677" s="37"/>
      <c r="J677" s="35"/>
    </row>
    <row r="678" spans="9:10" x14ac:dyDescent="0.25">
      <c r="I678" s="37"/>
      <c r="J678" s="35"/>
    </row>
    <row r="679" spans="9:10" x14ac:dyDescent="0.25">
      <c r="I679" s="37"/>
      <c r="J679" s="35"/>
    </row>
    <row r="680" spans="9:10" x14ac:dyDescent="0.25">
      <c r="I680" s="37"/>
      <c r="J680" s="35"/>
    </row>
    <row r="681" spans="9:10" x14ac:dyDescent="0.25">
      <c r="I681" s="37"/>
      <c r="J681" s="35"/>
    </row>
    <row r="682" spans="9:10" x14ac:dyDescent="0.25">
      <c r="I682" s="37"/>
      <c r="J682" s="35"/>
    </row>
    <row r="683" spans="9:10" x14ac:dyDescent="0.25">
      <c r="I683" s="37"/>
      <c r="J683" s="35"/>
    </row>
    <row r="684" spans="9:10" x14ac:dyDescent="0.25">
      <c r="I684" s="37"/>
      <c r="J684" s="35"/>
    </row>
    <row r="685" spans="9:10" x14ac:dyDescent="0.25">
      <c r="I685" s="37"/>
      <c r="J685" s="35"/>
    </row>
    <row r="686" spans="9:10" x14ac:dyDescent="0.25">
      <c r="I686" s="37"/>
      <c r="J686" s="35"/>
    </row>
    <row r="687" spans="9:10" x14ac:dyDescent="0.25">
      <c r="I687" s="37"/>
      <c r="J687" s="35"/>
    </row>
    <row r="688" spans="9:10" x14ac:dyDescent="0.25">
      <c r="I688" s="37"/>
      <c r="J688" s="35"/>
    </row>
    <row r="689" spans="9:10" x14ac:dyDescent="0.25">
      <c r="I689" s="37"/>
      <c r="J689" s="35"/>
    </row>
    <row r="690" spans="9:10" x14ac:dyDescent="0.25">
      <c r="I690" s="37"/>
      <c r="J690" s="35"/>
    </row>
    <row r="691" spans="9:10" x14ac:dyDescent="0.25">
      <c r="I691" s="37"/>
      <c r="J691" s="35"/>
    </row>
    <row r="692" spans="9:10" x14ac:dyDescent="0.25">
      <c r="I692" s="37"/>
      <c r="J692" s="35"/>
    </row>
    <row r="693" spans="9:10" x14ac:dyDescent="0.25">
      <c r="I693" s="37"/>
      <c r="J693" s="35"/>
    </row>
    <row r="694" spans="9:10" x14ac:dyDescent="0.25">
      <c r="I694" s="37"/>
      <c r="J694" s="35"/>
    </row>
    <row r="695" spans="9:10" x14ac:dyDescent="0.25">
      <c r="I695" s="37"/>
      <c r="J695" s="35"/>
    </row>
    <row r="696" spans="9:10" x14ac:dyDescent="0.25">
      <c r="I696" s="37"/>
      <c r="J696" s="35"/>
    </row>
    <row r="697" spans="9:10" x14ac:dyDescent="0.25">
      <c r="I697" s="37"/>
      <c r="J697" s="35"/>
    </row>
    <row r="698" spans="9:10" x14ac:dyDescent="0.25">
      <c r="I698" s="37"/>
      <c r="J698" s="35"/>
    </row>
    <row r="699" spans="9:10" x14ac:dyDescent="0.25">
      <c r="I699" s="37"/>
      <c r="J699" s="35"/>
    </row>
    <row r="700" spans="9:10" x14ac:dyDescent="0.25">
      <c r="I700" s="37"/>
      <c r="J700" s="35"/>
    </row>
    <row r="701" spans="9:10" x14ac:dyDescent="0.25">
      <c r="I701" s="37"/>
      <c r="J701" s="35"/>
    </row>
    <row r="702" spans="9:10" x14ac:dyDescent="0.25">
      <c r="I702" s="37"/>
      <c r="J702" s="35"/>
    </row>
    <row r="703" spans="9:10" x14ac:dyDescent="0.25">
      <c r="I703" s="37"/>
      <c r="J703" s="35"/>
    </row>
    <row r="704" spans="9:10" x14ac:dyDescent="0.25">
      <c r="I704" s="37"/>
      <c r="J704" s="35"/>
    </row>
    <row r="705" spans="9:10" x14ac:dyDescent="0.25">
      <c r="I705" s="37"/>
      <c r="J705" s="35"/>
    </row>
    <row r="706" spans="9:10" x14ac:dyDescent="0.25">
      <c r="I706" s="37"/>
      <c r="J706" s="35"/>
    </row>
    <row r="707" spans="9:10" x14ac:dyDescent="0.25">
      <c r="I707" s="37"/>
      <c r="J707" s="35"/>
    </row>
    <row r="708" spans="9:10" x14ac:dyDescent="0.25">
      <c r="I708" s="37"/>
      <c r="J708" s="35"/>
    </row>
    <row r="709" spans="9:10" x14ac:dyDescent="0.25">
      <c r="I709" s="37"/>
      <c r="J709" s="35"/>
    </row>
    <row r="710" spans="9:10" x14ac:dyDescent="0.25">
      <c r="I710" s="37"/>
      <c r="J710" s="35"/>
    </row>
    <row r="711" spans="9:10" x14ac:dyDescent="0.25">
      <c r="I711" s="37"/>
      <c r="J711" s="35"/>
    </row>
    <row r="712" spans="9:10" x14ac:dyDescent="0.25">
      <c r="I712" s="37"/>
      <c r="J712" s="35"/>
    </row>
    <row r="713" spans="9:10" x14ac:dyDescent="0.25">
      <c r="I713" s="37"/>
      <c r="J713" s="35"/>
    </row>
    <row r="714" spans="9:10" x14ac:dyDescent="0.25">
      <c r="I714" s="37"/>
      <c r="J714" s="35"/>
    </row>
    <row r="715" spans="9:10" x14ac:dyDescent="0.25">
      <c r="I715" s="37"/>
      <c r="J715" s="35"/>
    </row>
    <row r="716" spans="9:10" x14ac:dyDescent="0.25">
      <c r="I716" s="37"/>
      <c r="J716" s="35"/>
    </row>
    <row r="717" spans="9:10" x14ac:dyDescent="0.25">
      <c r="I717" s="37"/>
      <c r="J717" s="35"/>
    </row>
    <row r="718" spans="9:10" x14ac:dyDescent="0.25">
      <c r="I718" s="37"/>
      <c r="J718" s="35"/>
    </row>
    <row r="719" spans="9:10" x14ac:dyDescent="0.25">
      <c r="I719" s="37"/>
      <c r="J719" s="35"/>
    </row>
    <row r="720" spans="9:10" x14ac:dyDescent="0.25">
      <c r="I720" s="37"/>
      <c r="J720" s="35"/>
    </row>
    <row r="721" spans="9:10" x14ac:dyDescent="0.25">
      <c r="I721" s="37"/>
      <c r="J721" s="35"/>
    </row>
    <row r="722" spans="9:10" x14ac:dyDescent="0.25">
      <c r="I722" s="37"/>
      <c r="J722" s="35"/>
    </row>
    <row r="723" spans="9:10" x14ac:dyDescent="0.25">
      <c r="I723" s="37"/>
      <c r="J723" s="35"/>
    </row>
    <row r="724" spans="9:10" x14ac:dyDescent="0.25">
      <c r="I724" s="37"/>
      <c r="J724" s="35"/>
    </row>
    <row r="725" spans="9:10" x14ac:dyDescent="0.25">
      <c r="I725" s="37"/>
      <c r="J725" s="35"/>
    </row>
    <row r="726" spans="9:10" x14ac:dyDescent="0.25">
      <c r="I726" s="37"/>
      <c r="J726" s="35"/>
    </row>
    <row r="727" spans="9:10" x14ac:dyDescent="0.25">
      <c r="I727" s="37"/>
      <c r="J727" s="35"/>
    </row>
    <row r="728" spans="9:10" x14ac:dyDescent="0.25">
      <c r="I728" s="37"/>
      <c r="J728" s="35"/>
    </row>
    <row r="729" spans="9:10" x14ac:dyDescent="0.25">
      <c r="I729" s="37"/>
      <c r="J729" s="35"/>
    </row>
    <row r="730" spans="9:10" x14ac:dyDescent="0.25">
      <c r="I730" s="37"/>
      <c r="J730" s="35"/>
    </row>
    <row r="731" spans="9:10" x14ac:dyDescent="0.25">
      <c r="I731" s="37"/>
      <c r="J731" s="35"/>
    </row>
    <row r="732" spans="9:10" x14ac:dyDescent="0.25">
      <c r="I732" s="37"/>
      <c r="J732" s="35"/>
    </row>
    <row r="733" spans="9:10" x14ac:dyDescent="0.25">
      <c r="I733" s="37"/>
      <c r="J733" s="35"/>
    </row>
    <row r="734" spans="9:10" x14ac:dyDescent="0.25">
      <c r="I734" s="37"/>
      <c r="J734" s="35"/>
    </row>
    <row r="735" spans="9:10" x14ac:dyDescent="0.25">
      <c r="I735" s="37"/>
      <c r="J735" s="35"/>
    </row>
    <row r="736" spans="9:10" x14ac:dyDescent="0.25">
      <c r="I736" s="37"/>
      <c r="J736" s="35"/>
    </row>
    <row r="737" spans="9:10" x14ac:dyDescent="0.25">
      <c r="I737" s="37"/>
      <c r="J737" s="35"/>
    </row>
    <row r="738" spans="9:10" x14ac:dyDescent="0.25">
      <c r="I738" s="37"/>
      <c r="J738" s="35"/>
    </row>
    <row r="739" spans="9:10" x14ac:dyDescent="0.25">
      <c r="I739" s="37"/>
      <c r="J739" s="35"/>
    </row>
    <row r="740" spans="9:10" x14ac:dyDescent="0.25">
      <c r="I740" s="37"/>
      <c r="J740" s="35"/>
    </row>
    <row r="741" spans="9:10" x14ac:dyDescent="0.25">
      <c r="I741" s="37"/>
      <c r="J741" s="35"/>
    </row>
    <row r="742" spans="9:10" x14ac:dyDescent="0.25">
      <c r="I742" s="37"/>
      <c r="J742" s="35"/>
    </row>
    <row r="743" spans="9:10" x14ac:dyDescent="0.25">
      <c r="I743" s="37"/>
      <c r="J743" s="35"/>
    </row>
    <row r="744" spans="9:10" x14ac:dyDescent="0.25">
      <c r="I744" s="37"/>
      <c r="J744" s="35"/>
    </row>
    <row r="745" spans="9:10" x14ac:dyDescent="0.25">
      <c r="I745" s="37"/>
      <c r="J745" s="35"/>
    </row>
    <row r="746" spans="9:10" x14ac:dyDescent="0.25">
      <c r="I746" s="37"/>
      <c r="J746" s="35"/>
    </row>
    <row r="747" spans="9:10" x14ac:dyDescent="0.25">
      <c r="I747" s="37"/>
      <c r="J747" s="35"/>
    </row>
    <row r="748" spans="9:10" x14ac:dyDescent="0.25">
      <c r="I748" s="37"/>
      <c r="J748" s="35"/>
    </row>
    <row r="749" spans="9:10" x14ac:dyDescent="0.25">
      <c r="I749" s="37"/>
      <c r="J749" s="35"/>
    </row>
    <row r="750" spans="9:10" x14ac:dyDescent="0.25">
      <c r="I750" s="37"/>
      <c r="J750" s="35"/>
    </row>
    <row r="751" spans="9:10" x14ac:dyDescent="0.25">
      <c r="I751" s="37"/>
      <c r="J751" s="35"/>
    </row>
    <row r="752" spans="9:10" x14ac:dyDescent="0.25">
      <c r="I752" s="37"/>
      <c r="J752" s="35"/>
    </row>
    <row r="753" spans="9:10" x14ac:dyDescent="0.25">
      <c r="I753" s="37"/>
      <c r="J753" s="35"/>
    </row>
    <row r="754" spans="9:10" x14ac:dyDescent="0.25">
      <c r="I754" s="37"/>
      <c r="J754" s="35"/>
    </row>
    <row r="755" spans="9:10" x14ac:dyDescent="0.25">
      <c r="I755" s="37"/>
      <c r="J755" s="35"/>
    </row>
    <row r="756" spans="9:10" x14ac:dyDescent="0.25">
      <c r="I756" s="37"/>
      <c r="J756" s="35"/>
    </row>
    <row r="757" spans="9:10" x14ac:dyDescent="0.25">
      <c r="I757" s="37"/>
      <c r="J757" s="35"/>
    </row>
    <row r="758" spans="9:10" x14ac:dyDescent="0.25">
      <c r="I758" s="37"/>
      <c r="J758" s="35"/>
    </row>
    <row r="759" spans="9:10" x14ac:dyDescent="0.25">
      <c r="I759" s="37"/>
      <c r="J759" s="35"/>
    </row>
    <row r="760" spans="9:10" x14ac:dyDescent="0.25">
      <c r="I760" s="37"/>
      <c r="J760" s="35"/>
    </row>
    <row r="761" spans="9:10" x14ac:dyDescent="0.25">
      <c r="I761" s="37"/>
      <c r="J761" s="35"/>
    </row>
    <row r="762" spans="9:10" x14ac:dyDescent="0.25">
      <c r="I762" s="37"/>
      <c r="J762" s="35"/>
    </row>
    <row r="763" spans="9:10" x14ac:dyDescent="0.25">
      <c r="I763" s="37"/>
      <c r="J763" s="35"/>
    </row>
    <row r="764" spans="9:10" x14ac:dyDescent="0.25">
      <c r="I764" s="37"/>
      <c r="J764" s="35"/>
    </row>
    <row r="765" spans="9:10" x14ac:dyDescent="0.25">
      <c r="I765" s="37"/>
      <c r="J765" s="35"/>
    </row>
    <row r="766" spans="9:10" x14ac:dyDescent="0.25">
      <c r="I766" s="37"/>
      <c r="J766" s="35"/>
    </row>
    <row r="767" spans="9:10" x14ac:dyDescent="0.25">
      <c r="I767" s="37"/>
      <c r="J767" s="35"/>
    </row>
    <row r="768" spans="9:10" x14ac:dyDescent="0.25">
      <c r="I768" s="37"/>
      <c r="J768" s="35"/>
    </row>
    <row r="769" spans="9:10" x14ac:dyDescent="0.25">
      <c r="I769" s="37"/>
      <c r="J769" s="35"/>
    </row>
    <row r="770" spans="9:10" x14ac:dyDescent="0.25">
      <c r="I770" s="37"/>
      <c r="J770" s="35"/>
    </row>
    <row r="771" spans="9:10" x14ac:dyDescent="0.25">
      <c r="I771" s="37"/>
      <c r="J771" s="35"/>
    </row>
    <row r="772" spans="9:10" x14ac:dyDescent="0.25">
      <c r="I772" s="37"/>
      <c r="J772" s="35"/>
    </row>
    <row r="773" spans="9:10" x14ac:dyDescent="0.25">
      <c r="I773" s="37"/>
      <c r="J773" s="35"/>
    </row>
    <row r="774" spans="9:10" x14ac:dyDescent="0.25">
      <c r="I774" s="37"/>
      <c r="J774" s="35"/>
    </row>
    <row r="775" spans="9:10" x14ac:dyDescent="0.25">
      <c r="I775" s="37"/>
      <c r="J775" s="35"/>
    </row>
    <row r="776" spans="9:10" x14ac:dyDescent="0.25">
      <c r="I776" s="37"/>
      <c r="J776" s="35"/>
    </row>
    <row r="777" spans="9:10" x14ac:dyDescent="0.25">
      <c r="I777" s="37"/>
      <c r="J777" s="35"/>
    </row>
    <row r="778" spans="9:10" x14ac:dyDescent="0.25">
      <c r="I778" s="37"/>
      <c r="J778" s="35"/>
    </row>
    <row r="779" spans="9:10" x14ac:dyDescent="0.25">
      <c r="I779" s="37"/>
      <c r="J779" s="35"/>
    </row>
    <row r="780" spans="9:10" x14ac:dyDescent="0.25">
      <c r="I780" s="37"/>
      <c r="J780" s="35"/>
    </row>
    <row r="781" spans="9:10" x14ac:dyDescent="0.25">
      <c r="I781" s="37"/>
      <c r="J781" s="35"/>
    </row>
    <row r="782" spans="9:10" x14ac:dyDescent="0.25">
      <c r="I782" s="37"/>
      <c r="J782" s="35"/>
    </row>
    <row r="783" spans="9:10" x14ac:dyDescent="0.25">
      <c r="I783" s="37"/>
      <c r="J783" s="35"/>
    </row>
    <row r="784" spans="9:10" x14ac:dyDescent="0.25">
      <c r="I784" s="37"/>
      <c r="J784" s="35"/>
    </row>
    <row r="785" spans="9:10" x14ac:dyDescent="0.25">
      <c r="I785" s="37"/>
      <c r="J785" s="35"/>
    </row>
    <row r="786" spans="9:10" x14ac:dyDescent="0.25">
      <c r="I786" s="37"/>
      <c r="J786" s="35"/>
    </row>
    <row r="787" spans="9:10" x14ac:dyDescent="0.25">
      <c r="I787" s="37"/>
      <c r="J787" s="35"/>
    </row>
    <row r="788" spans="9:10" x14ac:dyDescent="0.25">
      <c r="I788" s="37"/>
      <c r="J788" s="35"/>
    </row>
    <row r="789" spans="9:10" x14ac:dyDescent="0.25">
      <c r="I789" s="37"/>
      <c r="J789" s="35"/>
    </row>
    <row r="790" spans="9:10" x14ac:dyDescent="0.25">
      <c r="I790" s="37"/>
      <c r="J790" s="35"/>
    </row>
    <row r="791" spans="9:10" x14ac:dyDescent="0.25">
      <c r="I791" s="37"/>
      <c r="J791" s="35"/>
    </row>
    <row r="792" spans="9:10" x14ac:dyDescent="0.25">
      <c r="I792" s="37"/>
      <c r="J792" s="35"/>
    </row>
    <row r="793" spans="9:10" x14ac:dyDescent="0.25">
      <c r="I793" s="37"/>
      <c r="J793" s="35"/>
    </row>
    <row r="794" spans="9:10" x14ac:dyDescent="0.25">
      <c r="I794" s="37"/>
      <c r="J794" s="35"/>
    </row>
    <row r="795" spans="9:10" x14ac:dyDescent="0.25">
      <c r="I795" s="37"/>
      <c r="J795" s="35"/>
    </row>
    <row r="796" spans="9:10" x14ac:dyDescent="0.25">
      <c r="I796" s="37"/>
      <c r="J796" s="35"/>
    </row>
    <row r="797" spans="9:10" x14ac:dyDescent="0.25">
      <c r="I797" s="37"/>
      <c r="J797" s="35"/>
    </row>
    <row r="798" spans="9:10" x14ac:dyDescent="0.25">
      <c r="I798" s="37"/>
      <c r="J798" s="35"/>
    </row>
    <row r="799" spans="9:10" x14ac:dyDescent="0.25">
      <c r="I799" s="37"/>
      <c r="J799" s="35"/>
    </row>
    <row r="800" spans="9:10" x14ac:dyDescent="0.25">
      <c r="I800" s="37"/>
      <c r="J800" s="35"/>
    </row>
    <row r="801" spans="9:10" x14ac:dyDescent="0.25">
      <c r="I801" s="37"/>
      <c r="J801" s="35"/>
    </row>
    <row r="802" spans="9:10" x14ac:dyDescent="0.25">
      <c r="I802" s="37"/>
      <c r="J802" s="35"/>
    </row>
    <row r="803" spans="9:10" x14ac:dyDescent="0.25">
      <c r="I803" s="37"/>
      <c r="J803" s="35"/>
    </row>
    <row r="804" spans="9:10" x14ac:dyDescent="0.25">
      <c r="I804" s="37"/>
      <c r="J804" s="35"/>
    </row>
    <row r="805" spans="9:10" x14ac:dyDescent="0.25">
      <c r="I805" s="37"/>
      <c r="J805" s="35"/>
    </row>
    <row r="806" spans="9:10" x14ac:dyDescent="0.25">
      <c r="I806" s="37"/>
      <c r="J806" s="35"/>
    </row>
    <row r="807" spans="9:10" x14ac:dyDescent="0.25">
      <c r="I807" s="37"/>
      <c r="J807" s="35"/>
    </row>
    <row r="808" spans="9:10" x14ac:dyDescent="0.25">
      <c r="I808" s="37"/>
      <c r="J808" s="35"/>
    </row>
    <row r="809" spans="9:10" x14ac:dyDescent="0.25">
      <c r="I809" s="37"/>
      <c r="J809" s="35"/>
    </row>
    <row r="810" spans="9:10" x14ac:dyDescent="0.25">
      <c r="I810" s="37"/>
      <c r="J810" s="35"/>
    </row>
    <row r="811" spans="9:10" x14ac:dyDescent="0.25">
      <c r="I811" s="37"/>
      <c r="J811" s="35"/>
    </row>
    <row r="812" spans="9:10" x14ac:dyDescent="0.25">
      <c r="I812" s="37"/>
      <c r="J812" s="35"/>
    </row>
    <row r="813" spans="9:10" x14ac:dyDescent="0.25">
      <c r="I813" s="37"/>
      <c r="J813" s="35"/>
    </row>
    <row r="814" spans="9:10" x14ac:dyDescent="0.25">
      <c r="I814" s="37"/>
      <c r="J814" s="35"/>
    </row>
    <row r="815" spans="9:10" x14ac:dyDescent="0.25">
      <c r="I815" s="37"/>
      <c r="J815" s="35"/>
    </row>
    <row r="816" spans="9:10" x14ac:dyDescent="0.25">
      <c r="I816" s="37"/>
      <c r="J816" s="35"/>
    </row>
    <row r="817" spans="9:10" x14ac:dyDescent="0.25">
      <c r="I817" s="37"/>
      <c r="J817" s="35"/>
    </row>
    <row r="818" spans="9:10" x14ac:dyDescent="0.25">
      <c r="I818" s="37"/>
      <c r="J818" s="35"/>
    </row>
    <row r="819" spans="9:10" x14ac:dyDescent="0.25">
      <c r="I819" s="37"/>
      <c r="J819" s="35"/>
    </row>
    <row r="820" spans="9:10" x14ac:dyDescent="0.25">
      <c r="I820" s="37"/>
      <c r="J820" s="35"/>
    </row>
    <row r="821" spans="9:10" x14ac:dyDescent="0.25">
      <c r="I821" s="37"/>
      <c r="J821" s="35"/>
    </row>
    <row r="822" spans="9:10" x14ac:dyDescent="0.25">
      <c r="I822" s="37"/>
      <c r="J822" s="35"/>
    </row>
    <row r="823" spans="9:10" x14ac:dyDescent="0.25">
      <c r="I823" s="37"/>
      <c r="J823" s="35"/>
    </row>
    <row r="824" spans="9:10" x14ac:dyDescent="0.25">
      <c r="I824" s="37"/>
      <c r="J824" s="35"/>
    </row>
    <row r="825" spans="9:10" x14ac:dyDescent="0.25">
      <c r="I825" s="37"/>
      <c r="J825" s="35"/>
    </row>
    <row r="826" spans="9:10" x14ac:dyDescent="0.25">
      <c r="I826" s="37"/>
      <c r="J826" s="35"/>
    </row>
    <row r="827" spans="9:10" x14ac:dyDescent="0.25">
      <c r="I827" s="37"/>
      <c r="J827" s="35"/>
    </row>
    <row r="828" spans="9:10" x14ac:dyDescent="0.25">
      <c r="I828" s="37"/>
      <c r="J828" s="35"/>
    </row>
    <row r="829" spans="9:10" x14ac:dyDescent="0.25">
      <c r="I829" s="37"/>
      <c r="J829" s="35"/>
    </row>
    <row r="830" spans="9:10" x14ac:dyDescent="0.25">
      <c r="I830" s="37"/>
      <c r="J830" s="35"/>
    </row>
    <row r="831" spans="9:10" x14ac:dyDescent="0.25">
      <c r="I831" s="37"/>
      <c r="J831" s="35"/>
    </row>
    <row r="832" spans="9:10" x14ac:dyDescent="0.25">
      <c r="I832" s="37"/>
      <c r="J832" s="35"/>
    </row>
    <row r="833" spans="9:10" x14ac:dyDescent="0.25">
      <c r="I833" s="37"/>
      <c r="J833" s="35"/>
    </row>
    <row r="834" spans="9:10" x14ac:dyDescent="0.25">
      <c r="I834" s="37"/>
      <c r="J834" s="35"/>
    </row>
    <row r="835" spans="9:10" x14ac:dyDescent="0.25">
      <c r="I835" s="37"/>
      <c r="J835" s="35"/>
    </row>
    <row r="836" spans="9:10" x14ac:dyDescent="0.25">
      <c r="I836" s="37"/>
      <c r="J836" s="35"/>
    </row>
    <row r="837" spans="9:10" x14ac:dyDescent="0.25">
      <c r="I837" s="37"/>
      <c r="J837" s="35"/>
    </row>
    <row r="838" spans="9:10" x14ac:dyDescent="0.25">
      <c r="I838" s="37"/>
      <c r="J838" s="35"/>
    </row>
    <row r="839" spans="9:10" x14ac:dyDescent="0.25">
      <c r="I839" s="37"/>
      <c r="J839" s="35"/>
    </row>
    <row r="840" spans="9:10" x14ac:dyDescent="0.25">
      <c r="I840" s="37"/>
      <c r="J840" s="35"/>
    </row>
    <row r="841" spans="9:10" x14ac:dyDescent="0.25">
      <c r="I841" s="37"/>
      <c r="J841" s="35"/>
    </row>
    <row r="842" spans="9:10" x14ac:dyDescent="0.25">
      <c r="I842" s="37"/>
      <c r="J842" s="35"/>
    </row>
    <row r="843" spans="9:10" x14ac:dyDescent="0.25">
      <c r="I843" s="37"/>
      <c r="J843" s="35"/>
    </row>
    <row r="844" spans="9:10" x14ac:dyDescent="0.25">
      <c r="I844" s="37"/>
      <c r="J844" s="35"/>
    </row>
    <row r="845" spans="9:10" x14ac:dyDescent="0.25">
      <c r="I845" s="37"/>
      <c r="J845" s="35"/>
    </row>
    <row r="846" spans="9:10" x14ac:dyDescent="0.25">
      <c r="I846" s="37"/>
      <c r="J846" s="35"/>
    </row>
    <row r="847" spans="9:10" x14ac:dyDescent="0.25">
      <c r="I847" s="37"/>
      <c r="J847" s="35"/>
    </row>
    <row r="848" spans="9:10" x14ac:dyDescent="0.25">
      <c r="I848" s="37"/>
      <c r="J848" s="35"/>
    </row>
    <row r="849" spans="9:10" x14ac:dyDescent="0.25">
      <c r="I849" s="37"/>
      <c r="J849" s="35"/>
    </row>
    <row r="850" spans="9:10" x14ac:dyDescent="0.25">
      <c r="I850" s="37"/>
      <c r="J850" s="35"/>
    </row>
    <row r="851" spans="9:10" x14ac:dyDescent="0.25">
      <c r="I851" s="37"/>
      <c r="J851" s="35"/>
    </row>
    <row r="852" spans="9:10" x14ac:dyDescent="0.25">
      <c r="I852" s="37"/>
      <c r="J852" s="35"/>
    </row>
    <row r="853" spans="9:10" x14ac:dyDescent="0.25">
      <c r="I853" s="37"/>
      <c r="J853" s="35"/>
    </row>
    <row r="854" spans="9:10" x14ac:dyDescent="0.25">
      <c r="I854" s="37"/>
      <c r="J854" s="35"/>
    </row>
    <row r="855" spans="9:10" x14ac:dyDescent="0.25">
      <c r="I855" s="37"/>
      <c r="J855" s="35"/>
    </row>
    <row r="856" spans="9:10" x14ac:dyDescent="0.25">
      <c r="I856" s="37"/>
      <c r="J856" s="35"/>
    </row>
    <row r="857" spans="9:10" x14ac:dyDescent="0.25">
      <c r="I857" s="37"/>
      <c r="J857" s="35"/>
    </row>
    <row r="858" spans="9:10" x14ac:dyDescent="0.25">
      <c r="I858" s="37"/>
      <c r="J858" s="35"/>
    </row>
    <row r="859" spans="9:10" x14ac:dyDescent="0.25">
      <c r="I859" s="37"/>
      <c r="J859" s="35"/>
    </row>
    <row r="860" spans="9:10" x14ac:dyDescent="0.25">
      <c r="I860" s="37"/>
      <c r="J860" s="35"/>
    </row>
    <row r="861" spans="9:10" x14ac:dyDescent="0.25">
      <c r="I861" s="37"/>
      <c r="J861" s="35"/>
    </row>
    <row r="862" spans="9:10" x14ac:dyDescent="0.25">
      <c r="I862" s="37"/>
      <c r="J862" s="35"/>
    </row>
    <row r="863" spans="9:10" x14ac:dyDescent="0.25">
      <c r="I863" s="37"/>
      <c r="J863" s="35"/>
    </row>
    <row r="864" spans="9:10" x14ac:dyDescent="0.25">
      <c r="I864" s="37"/>
      <c r="J864" s="35"/>
    </row>
    <row r="865" spans="9:10" x14ac:dyDescent="0.25">
      <c r="I865" s="37"/>
      <c r="J865" s="35"/>
    </row>
    <row r="866" spans="9:10" x14ac:dyDescent="0.25">
      <c r="I866" s="37"/>
      <c r="J866" s="35"/>
    </row>
    <row r="867" spans="9:10" x14ac:dyDescent="0.25">
      <c r="I867" s="37"/>
      <c r="J867" s="35"/>
    </row>
    <row r="868" spans="9:10" x14ac:dyDescent="0.25">
      <c r="I868" s="37"/>
      <c r="J868" s="35"/>
    </row>
    <row r="869" spans="9:10" x14ac:dyDescent="0.25">
      <c r="I869" s="37"/>
      <c r="J869" s="35"/>
    </row>
    <row r="870" spans="9:10" x14ac:dyDescent="0.25">
      <c r="I870" s="37"/>
      <c r="J870" s="35"/>
    </row>
    <row r="871" spans="9:10" x14ac:dyDescent="0.25">
      <c r="I871" s="37"/>
      <c r="J871" s="35"/>
    </row>
    <row r="872" spans="9:10" x14ac:dyDescent="0.25">
      <c r="I872" s="37"/>
      <c r="J872" s="35"/>
    </row>
    <row r="873" spans="9:10" x14ac:dyDescent="0.25">
      <c r="I873" s="37"/>
      <c r="J873" s="35"/>
    </row>
    <row r="874" spans="9:10" x14ac:dyDescent="0.25">
      <c r="I874" s="37"/>
      <c r="J874" s="35"/>
    </row>
    <row r="875" spans="9:10" x14ac:dyDescent="0.25">
      <c r="I875" s="37"/>
      <c r="J875" s="35"/>
    </row>
    <row r="876" spans="9:10" x14ac:dyDescent="0.25">
      <c r="I876" s="37"/>
      <c r="J876" s="35"/>
    </row>
    <row r="877" spans="9:10" x14ac:dyDescent="0.25">
      <c r="I877" s="37"/>
      <c r="J877" s="35"/>
    </row>
    <row r="878" spans="9:10" x14ac:dyDescent="0.25">
      <c r="I878" s="37"/>
      <c r="J878" s="35"/>
    </row>
    <row r="879" spans="9:10" x14ac:dyDescent="0.25">
      <c r="I879" s="37"/>
      <c r="J879" s="35"/>
    </row>
    <row r="880" spans="9:10" x14ac:dyDescent="0.25">
      <c r="I880" s="37"/>
      <c r="J880" s="35"/>
    </row>
    <row r="881" spans="9:10" x14ac:dyDescent="0.25">
      <c r="I881" s="37"/>
      <c r="J881" s="35"/>
    </row>
    <row r="882" spans="9:10" x14ac:dyDescent="0.25">
      <c r="I882" s="37"/>
      <c r="J882" s="35"/>
    </row>
    <row r="883" spans="9:10" x14ac:dyDescent="0.25">
      <c r="I883" s="37"/>
      <c r="J883" s="35"/>
    </row>
    <row r="884" spans="9:10" x14ac:dyDescent="0.25">
      <c r="I884" s="37"/>
      <c r="J884" s="35"/>
    </row>
    <row r="885" spans="9:10" x14ac:dyDescent="0.25">
      <c r="I885" s="37"/>
      <c r="J885" s="35"/>
    </row>
    <row r="886" spans="9:10" x14ac:dyDescent="0.25">
      <c r="I886" s="37"/>
      <c r="J886" s="35"/>
    </row>
    <row r="887" spans="9:10" x14ac:dyDescent="0.25">
      <c r="I887" s="37"/>
      <c r="J887" s="35"/>
    </row>
    <row r="888" spans="9:10" x14ac:dyDescent="0.25">
      <c r="I888" s="37"/>
      <c r="J888" s="35"/>
    </row>
    <row r="889" spans="9:10" x14ac:dyDescent="0.25">
      <c r="I889" s="37"/>
      <c r="J889" s="35"/>
    </row>
    <row r="890" spans="9:10" x14ac:dyDescent="0.25">
      <c r="I890" s="37"/>
      <c r="J890" s="35"/>
    </row>
    <row r="891" spans="9:10" x14ac:dyDescent="0.25">
      <c r="I891" s="37"/>
      <c r="J891" s="35"/>
    </row>
    <row r="892" spans="9:10" x14ac:dyDescent="0.25">
      <c r="I892" s="37"/>
      <c r="J892" s="35"/>
    </row>
    <row r="893" spans="9:10" x14ac:dyDescent="0.25">
      <c r="I893" s="37"/>
      <c r="J893" s="35"/>
    </row>
    <row r="894" spans="9:10" x14ac:dyDescent="0.25">
      <c r="I894" s="37"/>
      <c r="J894" s="35"/>
    </row>
    <row r="895" spans="9:10" x14ac:dyDescent="0.25">
      <c r="I895" s="37"/>
      <c r="J895" s="35"/>
    </row>
    <row r="896" spans="9:10" x14ac:dyDescent="0.25">
      <c r="I896" s="37"/>
      <c r="J896" s="35"/>
    </row>
    <row r="897" spans="9:10" x14ac:dyDescent="0.25">
      <c r="I897" s="37"/>
      <c r="J897" s="35"/>
    </row>
    <row r="898" spans="9:10" x14ac:dyDescent="0.25">
      <c r="I898" s="37"/>
      <c r="J898" s="35"/>
    </row>
    <row r="899" spans="9:10" x14ac:dyDescent="0.25">
      <c r="I899" s="37"/>
      <c r="J899" s="35"/>
    </row>
    <row r="900" spans="9:10" x14ac:dyDescent="0.25">
      <c r="I900" s="37"/>
      <c r="J900" s="35"/>
    </row>
    <row r="901" spans="9:10" x14ac:dyDescent="0.25">
      <c r="I901" s="37"/>
      <c r="J901" s="35"/>
    </row>
    <row r="902" spans="9:10" x14ac:dyDescent="0.25">
      <c r="I902" s="37"/>
      <c r="J902" s="35"/>
    </row>
    <row r="903" spans="9:10" x14ac:dyDescent="0.25">
      <c r="I903" s="37"/>
      <c r="J903" s="35"/>
    </row>
    <row r="904" spans="9:10" x14ac:dyDescent="0.25">
      <c r="I904" s="37"/>
      <c r="J904" s="35"/>
    </row>
    <row r="905" spans="9:10" x14ac:dyDescent="0.25">
      <c r="I905" s="37"/>
      <c r="J905" s="35"/>
    </row>
    <row r="906" spans="9:10" x14ac:dyDescent="0.25">
      <c r="I906" s="37"/>
      <c r="J906" s="35"/>
    </row>
    <row r="907" spans="9:10" x14ac:dyDescent="0.25">
      <c r="I907" s="37"/>
      <c r="J907" s="35"/>
    </row>
    <row r="908" spans="9:10" x14ac:dyDescent="0.25">
      <c r="I908" s="37"/>
      <c r="J908" s="35"/>
    </row>
    <row r="909" spans="9:10" x14ac:dyDescent="0.25">
      <c r="I909" s="37"/>
      <c r="J909" s="35"/>
    </row>
    <row r="910" spans="9:10" x14ac:dyDescent="0.25">
      <c r="I910" s="37"/>
      <c r="J910" s="35"/>
    </row>
    <row r="911" spans="9:10" x14ac:dyDescent="0.25">
      <c r="I911" s="37"/>
      <c r="J911" s="35"/>
    </row>
    <row r="912" spans="9:10" x14ac:dyDescent="0.25">
      <c r="I912" s="37"/>
      <c r="J912" s="35"/>
    </row>
    <row r="913" spans="9:10" x14ac:dyDescent="0.25">
      <c r="I913" s="37"/>
      <c r="J913" s="35"/>
    </row>
    <row r="914" spans="9:10" x14ac:dyDescent="0.25">
      <c r="I914" s="37"/>
      <c r="J914" s="35"/>
    </row>
    <row r="915" spans="9:10" x14ac:dyDescent="0.25">
      <c r="I915" s="37"/>
      <c r="J915" s="35"/>
    </row>
    <row r="916" spans="9:10" x14ac:dyDescent="0.25">
      <c r="I916" s="37"/>
      <c r="J916" s="35"/>
    </row>
    <row r="917" spans="9:10" x14ac:dyDescent="0.25">
      <c r="I917" s="37"/>
      <c r="J917" s="35"/>
    </row>
    <row r="918" spans="9:10" x14ac:dyDescent="0.25">
      <c r="I918" s="37"/>
      <c r="J918" s="35"/>
    </row>
    <row r="919" spans="9:10" x14ac:dyDescent="0.25">
      <c r="I919" s="37"/>
      <c r="J919" s="35"/>
    </row>
    <row r="920" spans="9:10" x14ac:dyDescent="0.25">
      <c r="I920" s="37"/>
      <c r="J920" s="35"/>
    </row>
    <row r="921" spans="9:10" x14ac:dyDescent="0.25">
      <c r="I921" s="37"/>
      <c r="J921" s="35"/>
    </row>
    <row r="922" spans="9:10" x14ac:dyDescent="0.25">
      <c r="I922" s="37"/>
      <c r="J922" s="35"/>
    </row>
    <row r="923" spans="9:10" x14ac:dyDescent="0.25">
      <c r="I923" s="37"/>
      <c r="J923" s="35"/>
    </row>
    <row r="924" spans="9:10" x14ac:dyDescent="0.25">
      <c r="I924" s="37"/>
      <c r="J924" s="35"/>
    </row>
    <row r="925" spans="9:10" x14ac:dyDescent="0.25">
      <c r="I925" s="37"/>
      <c r="J925" s="35"/>
    </row>
    <row r="926" spans="9:10" x14ac:dyDescent="0.25">
      <c r="I926" s="37"/>
      <c r="J926" s="35"/>
    </row>
    <row r="927" spans="9:10" x14ac:dyDescent="0.25">
      <c r="I927" s="37"/>
      <c r="J927" s="35"/>
    </row>
    <row r="928" spans="9:10" x14ac:dyDescent="0.25">
      <c r="I928" s="37"/>
      <c r="J928" s="35"/>
    </row>
    <row r="929" spans="9:10" x14ac:dyDescent="0.25">
      <c r="I929" s="37"/>
      <c r="J929" s="35"/>
    </row>
    <row r="930" spans="9:10" x14ac:dyDescent="0.25">
      <c r="I930" s="37"/>
      <c r="J930" s="35"/>
    </row>
    <row r="931" spans="9:10" x14ac:dyDescent="0.25">
      <c r="I931" s="37"/>
      <c r="J931" s="35"/>
    </row>
    <row r="932" spans="9:10" x14ac:dyDescent="0.25">
      <c r="I932" s="37"/>
      <c r="J932" s="35"/>
    </row>
    <row r="933" spans="9:10" x14ac:dyDescent="0.25">
      <c r="I933" s="37"/>
      <c r="J933" s="35"/>
    </row>
    <row r="934" spans="9:10" x14ac:dyDescent="0.25">
      <c r="I934" s="37"/>
      <c r="J934" s="35"/>
    </row>
    <row r="935" spans="9:10" x14ac:dyDescent="0.25">
      <c r="I935" s="37"/>
      <c r="J935" s="35"/>
    </row>
    <row r="936" spans="9:10" x14ac:dyDescent="0.25">
      <c r="I936" s="37"/>
      <c r="J936" s="35"/>
    </row>
    <row r="937" spans="9:10" x14ac:dyDescent="0.25">
      <c r="I937" s="37"/>
      <c r="J937" s="35"/>
    </row>
    <row r="938" spans="9:10" x14ac:dyDescent="0.25">
      <c r="I938" s="37"/>
      <c r="J938" s="35"/>
    </row>
    <row r="939" spans="9:10" x14ac:dyDescent="0.25">
      <c r="I939" s="37"/>
      <c r="J939" s="35"/>
    </row>
    <row r="940" spans="9:10" x14ac:dyDescent="0.25">
      <c r="I940" s="37"/>
      <c r="J940" s="35"/>
    </row>
    <row r="941" spans="9:10" x14ac:dyDescent="0.25">
      <c r="I941" s="37"/>
      <c r="J941" s="35"/>
    </row>
    <row r="942" spans="9:10" x14ac:dyDescent="0.25">
      <c r="I942" s="37"/>
      <c r="J942" s="35"/>
    </row>
    <row r="943" spans="9:10" x14ac:dyDescent="0.25">
      <c r="I943" s="37"/>
      <c r="J943" s="35"/>
    </row>
    <row r="944" spans="9:10" x14ac:dyDescent="0.25">
      <c r="I944" s="37"/>
      <c r="J944" s="35"/>
    </row>
    <row r="945" spans="9:10" x14ac:dyDescent="0.25">
      <c r="I945" s="37"/>
      <c r="J945" s="35"/>
    </row>
    <row r="946" spans="9:10" x14ac:dyDescent="0.25">
      <c r="I946" s="37"/>
      <c r="J946" s="35"/>
    </row>
    <row r="947" spans="9:10" x14ac:dyDescent="0.25">
      <c r="I947" s="37"/>
      <c r="J947" s="35"/>
    </row>
    <row r="948" spans="9:10" x14ac:dyDescent="0.25">
      <c r="I948" s="37"/>
      <c r="J948" s="35"/>
    </row>
    <row r="949" spans="9:10" x14ac:dyDescent="0.25">
      <c r="I949" s="37"/>
      <c r="J949" s="35"/>
    </row>
    <row r="950" spans="9:10" x14ac:dyDescent="0.25">
      <c r="I950" s="37"/>
      <c r="J950" s="35"/>
    </row>
    <row r="951" spans="9:10" x14ac:dyDescent="0.25">
      <c r="I951" s="37"/>
      <c r="J951" s="35"/>
    </row>
    <row r="952" spans="9:10" x14ac:dyDescent="0.25">
      <c r="I952" s="37"/>
      <c r="J952" s="35"/>
    </row>
    <row r="953" spans="9:10" x14ac:dyDescent="0.25">
      <c r="I953" s="37"/>
      <c r="J953" s="35"/>
    </row>
    <row r="954" spans="9:10" x14ac:dyDescent="0.25">
      <c r="I954" s="37"/>
      <c r="J954" s="35"/>
    </row>
    <row r="955" spans="9:10" x14ac:dyDescent="0.25">
      <c r="I955" s="37"/>
      <c r="J955" s="35"/>
    </row>
    <row r="956" spans="9:10" x14ac:dyDescent="0.25">
      <c r="I956" s="37"/>
      <c r="J956" s="35"/>
    </row>
    <row r="957" spans="9:10" x14ac:dyDescent="0.25">
      <c r="I957" s="37"/>
      <c r="J957" s="35"/>
    </row>
    <row r="958" spans="9:10" x14ac:dyDescent="0.25">
      <c r="I958" s="37"/>
      <c r="J958" s="35"/>
    </row>
    <row r="959" spans="9:10" x14ac:dyDescent="0.25">
      <c r="I959" s="37"/>
      <c r="J959" s="35"/>
    </row>
    <row r="960" spans="9:10" x14ac:dyDescent="0.25">
      <c r="I960" s="37"/>
      <c r="J960" s="35"/>
    </row>
    <row r="961" spans="9:10" x14ac:dyDescent="0.25">
      <c r="I961" s="37"/>
      <c r="J961" s="35"/>
    </row>
    <row r="962" spans="9:10" x14ac:dyDescent="0.25">
      <c r="I962" s="37"/>
      <c r="J962" s="35"/>
    </row>
    <row r="963" spans="9:10" x14ac:dyDescent="0.25">
      <c r="I963" s="37"/>
      <c r="J963" s="35"/>
    </row>
    <row r="964" spans="9:10" x14ac:dyDescent="0.25">
      <c r="I964" s="37"/>
      <c r="J964" s="35"/>
    </row>
    <row r="965" spans="9:10" x14ac:dyDescent="0.25">
      <c r="I965" s="37"/>
      <c r="J965" s="35"/>
    </row>
    <row r="966" spans="9:10" x14ac:dyDescent="0.25">
      <c r="I966" s="37"/>
      <c r="J966" s="35"/>
    </row>
    <row r="967" spans="9:10" x14ac:dyDescent="0.25">
      <c r="I967" s="37"/>
      <c r="J967" s="35"/>
    </row>
    <row r="968" spans="9:10" x14ac:dyDescent="0.25">
      <c r="I968" s="37"/>
      <c r="J968" s="35"/>
    </row>
    <row r="969" spans="9:10" x14ac:dyDescent="0.25">
      <c r="I969" s="37"/>
      <c r="J969" s="35"/>
    </row>
    <row r="970" spans="9:10" x14ac:dyDescent="0.25">
      <c r="I970" s="37"/>
      <c r="J970" s="35"/>
    </row>
    <row r="971" spans="9:10" x14ac:dyDescent="0.25">
      <c r="I971" s="37"/>
      <c r="J971" s="35"/>
    </row>
    <row r="972" spans="9:10" x14ac:dyDescent="0.25">
      <c r="I972" s="37"/>
      <c r="J972" s="35"/>
    </row>
    <row r="973" spans="9:10" x14ac:dyDescent="0.25">
      <c r="I973" s="37"/>
      <c r="J973" s="35"/>
    </row>
    <row r="974" spans="9:10" x14ac:dyDescent="0.25">
      <c r="I974" s="37"/>
      <c r="J974" s="35"/>
    </row>
    <row r="975" spans="9:10" x14ac:dyDescent="0.25">
      <c r="I975" s="37"/>
      <c r="J975" s="35"/>
    </row>
    <row r="976" spans="9:10" x14ac:dyDescent="0.25">
      <c r="I976" s="37"/>
      <c r="J976" s="35"/>
    </row>
    <row r="977" spans="9:10" x14ac:dyDescent="0.25">
      <c r="I977" s="37"/>
      <c r="J977" s="35"/>
    </row>
    <row r="978" spans="9:10" x14ac:dyDescent="0.25">
      <c r="I978" s="37"/>
      <c r="J978" s="35"/>
    </row>
    <row r="979" spans="9:10" x14ac:dyDescent="0.25">
      <c r="I979" s="37"/>
      <c r="J979" s="35"/>
    </row>
    <row r="980" spans="9:10" x14ac:dyDescent="0.25">
      <c r="I980" s="37"/>
      <c r="J980" s="35"/>
    </row>
    <row r="981" spans="9:10" x14ac:dyDescent="0.25">
      <c r="I981" s="37"/>
      <c r="J981" s="35"/>
    </row>
    <row r="982" spans="9:10" x14ac:dyDescent="0.25">
      <c r="I982" s="37"/>
      <c r="J982" s="35"/>
    </row>
    <row r="983" spans="9:10" x14ac:dyDescent="0.25">
      <c r="I983" s="37"/>
      <c r="J983" s="35"/>
    </row>
    <row r="984" spans="9:10" x14ac:dyDescent="0.25">
      <c r="I984" s="37"/>
      <c r="J984" s="35"/>
    </row>
    <row r="985" spans="9:10" x14ac:dyDescent="0.25">
      <c r="I985" s="37"/>
      <c r="J985" s="35"/>
    </row>
    <row r="986" spans="9:10" x14ac:dyDescent="0.25">
      <c r="I986" s="37"/>
      <c r="J986" s="35"/>
    </row>
    <row r="987" spans="9:10" x14ac:dyDescent="0.25">
      <c r="I987" s="37"/>
      <c r="J987" s="35"/>
    </row>
    <row r="988" spans="9:10" x14ac:dyDescent="0.25">
      <c r="I988" s="37"/>
      <c r="J988" s="35"/>
    </row>
    <row r="989" spans="9:10" x14ac:dyDescent="0.25">
      <c r="I989" s="37"/>
      <c r="J989" s="35"/>
    </row>
    <row r="990" spans="9:10" x14ac:dyDescent="0.25">
      <c r="I990" s="37"/>
      <c r="J990" s="35"/>
    </row>
    <row r="991" spans="9:10" x14ac:dyDescent="0.25">
      <c r="I991" s="37"/>
      <c r="J991" s="35"/>
    </row>
    <row r="992" spans="9:10" x14ac:dyDescent="0.25">
      <c r="I992" s="37"/>
      <c r="J992" s="35"/>
    </row>
    <row r="993" spans="9:10" x14ac:dyDescent="0.25">
      <c r="I993" s="37"/>
      <c r="J993" s="35"/>
    </row>
    <row r="994" spans="9:10" x14ac:dyDescent="0.25">
      <c r="I994" s="37"/>
      <c r="J994" s="35"/>
    </row>
    <row r="995" spans="9:10" x14ac:dyDescent="0.25">
      <c r="I995" s="37"/>
      <c r="J995" s="35"/>
    </row>
    <row r="996" spans="9:10" x14ac:dyDescent="0.25">
      <c r="I996" s="37"/>
      <c r="J996" s="35"/>
    </row>
    <row r="997" spans="9:10" x14ac:dyDescent="0.25">
      <c r="I997" s="37"/>
      <c r="J997" s="35"/>
    </row>
    <row r="998" spans="9:10" x14ac:dyDescent="0.25">
      <c r="I998" s="37"/>
      <c r="J998" s="35"/>
    </row>
    <row r="999" spans="9:10" x14ac:dyDescent="0.25">
      <c r="I999" s="37"/>
      <c r="J999" s="35"/>
    </row>
    <row r="1000" spans="9:10" x14ac:dyDescent="0.25">
      <c r="I1000" s="37"/>
      <c r="J1000" s="35"/>
    </row>
    <row r="1001" spans="9:10" x14ac:dyDescent="0.25">
      <c r="I1001" s="37"/>
      <c r="J1001" s="35"/>
    </row>
    <row r="1002" spans="9:10" x14ac:dyDescent="0.25">
      <c r="I1002" s="37"/>
      <c r="J1002" s="35"/>
    </row>
    <row r="1003" spans="9:10" x14ac:dyDescent="0.25">
      <c r="I1003" s="37"/>
      <c r="J1003" s="35"/>
    </row>
    <row r="1004" spans="9:10" x14ac:dyDescent="0.25">
      <c r="I1004" s="37"/>
      <c r="J1004" s="35"/>
    </row>
    <row r="1005" spans="9:10" x14ac:dyDescent="0.25">
      <c r="I1005" s="37"/>
      <c r="J1005" s="35"/>
    </row>
    <row r="1006" spans="9:10" x14ac:dyDescent="0.25">
      <c r="I1006" s="37"/>
      <c r="J1006" s="35"/>
    </row>
    <row r="1007" spans="9:10" x14ac:dyDescent="0.25">
      <c r="I1007" s="37"/>
      <c r="J1007" s="35"/>
    </row>
    <row r="1008" spans="9:10" x14ac:dyDescent="0.25">
      <c r="I1008" s="37"/>
      <c r="J1008" s="35"/>
    </row>
    <row r="1009" spans="9:10" x14ac:dyDescent="0.25">
      <c r="I1009" s="37"/>
      <c r="J1009" s="35"/>
    </row>
    <row r="1010" spans="9:10" x14ac:dyDescent="0.25">
      <c r="I1010" s="37"/>
      <c r="J1010" s="35"/>
    </row>
    <row r="1011" spans="9:10" x14ac:dyDescent="0.25">
      <c r="I1011" s="37"/>
      <c r="J1011" s="35"/>
    </row>
    <row r="1012" spans="9:10" x14ac:dyDescent="0.25">
      <c r="I1012" s="37"/>
      <c r="J1012" s="35"/>
    </row>
    <row r="1013" spans="9:10" x14ac:dyDescent="0.25">
      <c r="I1013" s="37"/>
      <c r="J1013" s="35"/>
    </row>
    <row r="1014" spans="9:10" x14ac:dyDescent="0.25">
      <c r="I1014" s="37"/>
      <c r="J1014" s="35"/>
    </row>
    <row r="1015" spans="9:10" x14ac:dyDescent="0.25">
      <c r="I1015" s="37"/>
      <c r="J1015" s="35"/>
    </row>
    <row r="1016" spans="9:10" x14ac:dyDescent="0.25">
      <c r="I1016" s="37"/>
      <c r="J1016" s="35"/>
    </row>
    <row r="1017" spans="9:10" x14ac:dyDescent="0.25">
      <c r="I1017" s="37"/>
      <c r="J1017" s="35"/>
    </row>
    <row r="1018" spans="9:10" x14ac:dyDescent="0.25">
      <c r="I1018" s="37"/>
      <c r="J1018" s="35"/>
    </row>
    <row r="1019" spans="9:10" x14ac:dyDescent="0.25">
      <c r="I1019" s="37"/>
      <c r="J1019" s="35"/>
    </row>
    <row r="1020" spans="9:10" x14ac:dyDescent="0.25">
      <c r="I1020" s="37"/>
      <c r="J1020" s="35"/>
    </row>
    <row r="1021" spans="9:10" x14ac:dyDescent="0.25">
      <c r="I1021" s="37"/>
      <c r="J1021" s="35"/>
    </row>
    <row r="1022" spans="9:10" x14ac:dyDescent="0.25">
      <c r="I1022" s="37"/>
      <c r="J1022" s="35"/>
    </row>
    <row r="1023" spans="9:10" x14ac:dyDescent="0.25">
      <c r="I1023" s="37"/>
      <c r="J1023" s="35"/>
    </row>
    <row r="1024" spans="9:10" x14ac:dyDescent="0.25">
      <c r="I1024" s="37"/>
      <c r="J1024" s="35"/>
    </row>
    <row r="1025" spans="9:10" x14ac:dyDescent="0.25">
      <c r="I1025" s="37"/>
      <c r="J1025" s="35"/>
    </row>
    <row r="1026" spans="9:10" x14ac:dyDescent="0.25">
      <c r="I1026" s="37"/>
      <c r="J1026" s="35"/>
    </row>
    <row r="1027" spans="9:10" x14ac:dyDescent="0.25">
      <c r="I1027" s="37"/>
      <c r="J1027" s="35"/>
    </row>
    <row r="1028" spans="9:10" x14ac:dyDescent="0.25">
      <c r="I1028" s="37"/>
      <c r="J1028" s="35"/>
    </row>
    <row r="1029" spans="9:10" x14ac:dyDescent="0.25">
      <c r="I1029" s="37"/>
      <c r="J1029" s="35"/>
    </row>
    <row r="1030" spans="9:10" x14ac:dyDescent="0.25">
      <c r="I1030" s="37"/>
      <c r="J1030" s="35"/>
    </row>
    <row r="1031" spans="9:10" x14ac:dyDescent="0.25">
      <c r="I1031" s="37"/>
      <c r="J1031" s="35"/>
    </row>
    <row r="1032" spans="9:10" x14ac:dyDescent="0.25">
      <c r="I1032" s="37"/>
      <c r="J1032" s="35"/>
    </row>
    <row r="1033" spans="9:10" x14ac:dyDescent="0.25">
      <c r="I1033" s="37"/>
      <c r="J1033" s="35"/>
    </row>
    <row r="1034" spans="9:10" x14ac:dyDescent="0.25">
      <c r="I1034" s="37"/>
      <c r="J1034" s="35"/>
    </row>
    <row r="1035" spans="9:10" x14ac:dyDescent="0.25">
      <c r="I1035" s="37"/>
      <c r="J1035" s="35"/>
    </row>
    <row r="1036" spans="9:10" x14ac:dyDescent="0.25">
      <c r="I1036" s="37"/>
      <c r="J1036" s="35"/>
    </row>
    <row r="1037" spans="9:10" x14ac:dyDescent="0.25">
      <c r="I1037" s="37"/>
      <c r="J1037" s="35"/>
    </row>
    <row r="1038" spans="9:10" x14ac:dyDescent="0.25">
      <c r="I1038" s="37"/>
      <c r="J1038" s="35"/>
    </row>
    <row r="1039" spans="9:10" x14ac:dyDescent="0.25">
      <c r="I1039" s="37"/>
      <c r="J1039" s="35"/>
    </row>
    <row r="1040" spans="9:10" x14ac:dyDescent="0.25">
      <c r="I1040" s="37"/>
      <c r="J1040" s="35"/>
    </row>
    <row r="1041" spans="9:10" x14ac:dyDescent="0.25">
      <c r="I1041" s="37"/>
      <c r="J1041" s="35"/>
    </row>
    <row r="1042" spans="9:10" x14ac:dyDescent="0.25">
      <c r="I1042" s="37"/>
      <c r="J1042" s="35"/>
    </row>
    <row r="1043" spans="9:10" x14ac:dyDescent="0.25">
      <c r="I1043" s="37"/>
      <c r="J1043" s="35"/>
    </row>
    <row r="1044" spans="9:10" x14ac:dyDescent="0.25">
      <c r="I1044" s="37"/>
      <c r="J1044" s="35"/>
    </row>
    <row r="1045" spans="9:10" x14ac:dyDescent="0.25">
      <c r="I1045" s="37"/>
      <c r="J1045" s="35"/>
    </row>
    <row r="1046" spans="9:10" x14ac:dyDescent="0.25">
      <c r="I1046" s="37"/>
      <c r="J1046" s="35"/>
    </row>
    <row r="1047" spans="9:10" x14ac:dyDescent="0.25">
      <c r="I1047" s="37"/>
      <c r="J1047" s="35"/>
    </row>
    <row r="1048" spans="9:10" x14ac:dyDescent="0.25">
      <c r="I1048" s="37"/>
      <c r="J1048" s="35"/>
    </row>
    <row r="1049" spans="9:10" x14ac:dyDescent="0.25">
      <c r="I1049" s="37"/>
      <c r="J1049" s="35"/>
    </row>
    <row r="1050" spans="9:10" x14ac:dyDescent="0.25">
      <c r="I1050" s="37"/>
      <c r="J1050" s="35"/>
    </row>
    <row r="1051" spans="9:10" x14ac:dyDescent="0.25">
      <c r="I1051" s="37"/>
      <c r="J1051" s="35"/>
    </row>
    <row r="1052" spans="9:10" x14ac:dyDescent="0.25">
      <c r="I1052" s="37"/>
      <c r="J1052" s="35"/>
    </row>
    <row r="1053" spans="9:10" x14ac:dyDescent="0.25">
      <c r="I1053" s="37"/>
      <c r="J1053" s="35"/>
    </row>
    <row r="1054" spans="9:10" x14ac:dyDescent="0.25">
      <c r="I1054" s="37"/>
      <c r="J1054" s="35"/>
    </row>
    <row r="1055" spans="9:10" x14ac:dyDescent="0.25">
      <c r="I1055" s="37"/>
      <c r="J1055" s="35"/>
    </row>
    <row r="1056" spans="9:10" x14ac:dyDescent="0.25">
      <c r="I1056" s="37"/>
      <c r="J1056" s="35"/>
    </row>
    <row r="1057" spans="9:10" x14ac:dyDescent="0.25">
      <c r="I1057" s="37"/>
      <c r="J1057" s="35"/>
    </row>
    <row r="1058" spans="9:10" x14ac:dyDescent="0.25">
      <c r="I1058" s="37"/>
      <c r="J1058" s="35"/>
    </row>
    <row r="1059" spans="9:10" x14ac:dyDescent="0.25">
      <c r="I1059" s="37"/>
      <c r="J1059" s="35"/>
    </row>
    <row r="1060" spans="9:10" x14ac:dyDescent="0.25">
      <c r="I1060" s="37"/>
      <c r="J1060" s="35"/>
    </row>
    <row r="1061" spans="9:10" x14ac:dyDescent="0.25">
      <c r="I1061" s="37"/>
      <c r="J1061" s="35"/>
    </row>
    <row r="1062" spans="9:10" x14ac:dyDescent="0.25">
      <c r="I1062" s="37"/>
      <c r="J1062" s="35"/>
    </row>
    <row r="1063" spans="9:10" x14ac:dyDescent="0.25">
      <c r="I1063" s="37"/>
      <c r="J1063" s="35"/>
    </row>
    <row r="1064" spans="9:10" x14ac:dyDescent="0.25">
      <c r="I1064" s="37"/>
      <c r="J1064" s="35"/>
    </row>
    <row r="1065" spans="9:10" x14ac:dyDescent="0.25">
      <c r="I1065" s="37"/>
      <c r="J1065" s="35"/>
    </row>
    <row r="1066" spans="9:10" x14ac:dyDescent="0.25">
      <c r="I1066" s="37"/>
      <c r="J1066" s="35"/>
    </row>
    <row r="1067" spans="9:10" x14ac:dyDescent="0.25">
      <c r="I1067" s="37"/>
      <c r="J1067" s="35"/>
    </row>
    <row r="1068" spans="9:10" x14ac:dyDescent="0.25">
      <c r="I1068" s="37"/>
      <c r="J1068" s="35"/>
    </row>
    <row r="1069" spans="9:10" x14ac:dyDescent="0.25">
      <c r="I1069" s="37"/>
      <c r="J1069" s="35"/>
    </row>
    <row r="1070" spans="9:10" x14ac:dyDescent="0.25">
      <c r="I1070" s="37"/>
      <c r="J1070" s="35"/>
    </row>
    <row r="1071" spans="9:10" x14ac:dyDescent="0.25">
      <c r="I1071" s="37"/>
      <c r="J1071" s="35"/>
    </row>
    <row r="1072" spans="9:10" x14ac:dyDescent="0.25">
      <c r="I1072" s="37"/>
      <c r="J1072" s="35"/>
    </row>
    <row r="1073" spans="9:10" x14ac:dyDescent="0.25">
      <c r="I1073" s="37"/>
      <c r="J1073" s="35"/>
    </row>
    <row r="1074" spans="9:10" x14ac:dyDescent="0.25">
      <c r="I1074" s="37"/>
      <c r="J1074" s="35"/>
    </row>
    <row r="1075" spans="9:10" x14ac:dyDescent="0.25">
      <c r="I1075" s="37"/>
      <c r="J1075" s="35"/>
    </row>
    <row r="1076" spans="9:10" x14ac:dyDescent="0.25">
      <c r="I1076" s="37"/>
      <c r="J1076" s="35"/>
    </row>
    <row r="1077" spans="9:10" x14ac:dyDescent="0.25">
      <c r="I1077" s="37"/>
      <c r="J1077" s="35"/>
    </row>
    <row r="1078" spans="9:10" x14ac:dyDescent="0.25">
      <c r="I1078" s="37"/>
      <c r="J1078" s="35"/>
    </row>
    <row r="1079" spans="9:10" x14ac:dyDescent="0.25">
      <c r="I1079" s="37"/>
      <c r="J1079" s="35"/>
    </row>
    <row r="1080" spans="9:10" x14ac:dyDescent="0.25">
      <c r="I1080" s="37"/>
      <c r="J1080" s="35"/>
    </row>
    <row r="1081" spans="9:10" x14ac:dyDescent="0.25">
      <c r="I1081" s="37"/>
      <c r="J1081" s="35"/>
    </row>
    <row r="1082" spans="9:10" x14ac:dyDescent="0.25">
      <c r="I1082" s="37"/>
      <c r="J1082" s="35"/>
    </row>
    <row r="1083" spans="9:10" x14ac:dyDescent="0.25">
      <c r="I1083" s="37"/>
      <c r="J1083" s="35"/>
    </row>
    <row r="1084" spans="9:10" x14ac:dyDescent="0.25">
      <c r="I1084" s="37"/>
      <c r="J1084" s="35"/>
    </row>
    <row r="1085" spans="9:10" x14ac:dyDescent="0.25">
      <c r="I1085" s="37"/>
      <c r="J1085" s="35"/>
    </row>
    <row r="1086" spans="9:10" x14ac:dyDescent="0.25">
      <c r="I1086" s="37"/>
      <c r="J1086" s="35"/>
    </row>
    <row r="1087" spans="9:10" x14ac:dyDescent="0.25">
      <c r="I1087" s="37"/>
      <c r="J1087" s="35"/>
    </row>
    <row r="1088" spans="9:10" x14ac:dyDescent="0.25">
      <c r="I1088" s="37"/>
      <c r="J1088" s="35"/>
    </row>
    <row r="1089" spans="9:10" x14ac:dyDescent="0.25">
      <c r="I1089" s="37"/>
      <c r="J1089" s="35"/>
    </row>
    <row r="1090" spans="9:10" x14ac:dyDescent="0.25">
      <c r="I1090" s="37"/>
      <c r="J1090" s="35"/>
    </row>
    <row r="1091" spans="9:10" x14ac:dyDescent="0.25">
      <c r="I1091" s="37"/>
      <c r="J1091" s="35"/>
    </row>
    <row r="1092" spans="9:10" x14ac:dyDescent="0.25">
      <c r="I1092" s="37"/>
      <c r="J1092" s="35"/>
    </row>
    <row r="1093" spans="9:10" x14ac:dyDescent="0.25">
      <c r="I1093" s="37"/>
      <c r="J1093" s="35"/>
    </row>
    <row r="1094" spans="9:10" x14ac:dyDescent="0.25">
      <c r="I1094" s="37"/>
      <c r="J1094" s="35"/>
    </row>
    <row r="1095" spans="9:10" x14ac:dyDescent="0.25">
      <c r="I1095" s="37"/>
      <c r="J1095" s="35"/>
    </row>
    <row r="1096" spans="9:10" x14ac:dyDescent="0.25">
      <c r="I1096" s="37"/>
      <c r="J1096" s="35"/>
    </row>
    <row r="1097" spans="9:10" x14ac:dyDescent="0.25">
      <c r="I1097" s="37"/>
      <c r="J1097" s="35"/>
    </row>
    <row r="1098" spans="9:10" x14ac:dyDescent="0.25">
      <c r="I1098" s="37"/>
      <c r="J1098" s="35"/>
    </row>
    <row r="1099" spans="9:10" x14ac:dyDescent="0.25">
      <c r="I1099" s="37"/>
      <c r="J1099" s="35"/>
    </row>
    <row r="1100" spans="9:10" x14ac:dyDescent="0.25">
      <c r="I1100" s="37"/>
      <c r="J1100" s="35"/>
    </row>
    <row r="1101" spans="9:10" x14ac:dyDescent="0.25">
      <c r="I1101" s="37"/>
      <c r="J1101" s="35"/>
    </row>
    <row r="1102" spans="9:10" x14ac:dyDescent="0.25">
      <c r="I1102" s="37"/>
      <c r="J1102" s="35"/>
    </row>
    <row r="1103" spans="9:10" x14ac:dyDescent="0.25">
      <c r="I1103" s="37"/>
      <c r="J1103" s="35"/>
    </row>
    <row r="1104" spans="9:10" x14ac:dyDescent="0.25">
      <c r="I1104" s="37"/>
      <c r="J1104" s="35"/>
    </row>
    <row r="1105" spans="9:10" x14ac:dyDescent="0.25">
      <c r="I1105" s="37"/>
      <c r="J1105" s="35"/>
    </row>
    <row r="1106" spans="9:10" x14ac:dyDescent="0.25">
      <c r="I1106" s="37"/>
      <c r="J1106" s="35"/>
    </row>
    <row r="1107" spans="9:10" x14ac:dyDescent="0.25">
      <c r="I1107" s="37"/>
      <c r="J1107" s="35"/>
    </row>
    <row r="1108" spans="9:10" x14ac:dyDescent="0.25">
      <c r="I1108" s="37"/>
      <c r="J1108" s="35"/>
    </row>
    <row r="1109" spans="9:10" x14ac:dyDescent="0.25">
      <c r="I1109" s="37"/>
      <c r="J1109" s="35"/>
    </row>
    <row r="1110" spans="9:10" x14ac:dyDescent="0.25">
      <c r="I1110" s="37"/>
      <c r="J1110" s="35"/>
    </row>
    <row r="1111" spans="9:10" x14ac:dyDescent="0.25">
      <c r="I1111" s="37"/>
      <c r="J1111" s="35"/>
    </row>
    <row r="1112" spans="9:10" x14ac:dyDescent="0.25">
      <c r="I1112" s="37"/>
      <c r="J1112" s="35"/>
    </row>
    <row r="1113" spans="9:10" x14ac:dyDescent="0.25">
      <c r="I1113" s="37"/>
      <c r="J1113" s="35"/>
    </row>
    <row r="1114" spans="9:10" x14ac:dyDescent="0.25">
      <c r="I1114" s="37"/>
      <c r="J1114" s="35"/>
    </row>
    <row r="1115" spans="9:10" x14ac:dyDescent="0.25">
      <c r="I1115" s="37"/>
      <c r="J1115" s="35"/>
    </row>
    <row r="1116" spans="9:10" x14ac:dyDescent="0.25">
      <c r="I1116" s="37"/>
      <c r="J1116" s="35"/>
    </row>
    <row r="1117" spans="9:10" x14ac:dyDescent="0.25">
      <c r="I1117" s="37"/>
      <c r="J1117" s="35"/>
    </row>
    <row r="1118" spans="9:10" x14ac:dyDescent="0.25">
      <c r="I1118" s="37"/>
      <c r="J1118" s="35"/>
    </row>
    <row r="1119" spans="9:10" x14ac:dyDescent="0.25">
      <c r="I1119" s="37"/>
      <c r="J1119" s="35"/>
    </row>
    <row r="1120" spans="9:10" x14ac:dyDescent="0.25">
      <c r="I1120" s="37"/>
      <c r="J1120" s="35"/>
    </row>
    <row r="1121" spans="9:10" x14ac:dyDescent="0.25">
      <c r="I1121" s="37"/>
      <c r="J1121" s="35"/>
    </row>
    <row r="1122" spans="9:10" x14ac:dyDescent="0.25">
      <c r="I1122" s="37"/>
      <c r="J1122" s="35"/>
    </row>
    <row r="1123" spans="9:10" x14ac:dyDescent="0.25">
      <c r="I1123" s="37"/>
      <c r="J1123" s="35"/>
    </row>
    <row r="1124" spans="9:10" x14ac:dyDescent="0.25">
      <c r="I1124" s="37"/>
      <c r="J1124" s="35"/>
    </row>
    <row r="1125" spans="9:10" x14ac:dyDescent="0.25">
      <c r="I1125" s="37"/>
      <c r="J1125" s="35"/>
    </row>
    <row r="1126" spans="9:10" x14ac:dyDescent="0.25">
      <c r="I1126" s="37"/>
      <c r="J1126" s="35"/>
    </row>
    <row r="1127" spans="9:10" x14ac:dyDescent="0.25">
      <c r="I1127" s="37"/>
      <c r="J1127" s="35"/>
    </row>
    <row r="1128" spans="9:10" x14ac:dyDescent="0.25">
      <c r="I1128" s="37"/>
      <c r="J1128" s="35"/>
    </row>
    <row r="1129" spans="9:10" x14ac:dyDescent="0.25">
      <c r="I1129" s="37"/>
      <c r="J1129" s="35"/>
    </row>
    <row r="1130" spans="9:10" x14ac:dyDescent="0.25">
      <c r="I1130" s="37"/>
      <c r="J1130" s="35"/>
    </row>
    <row r="1131" spans="9:10" x14ac:dyDescent="0.25">
      <c r="I1131" s="37"/>
      <c r="J1131" s="35"/>
    </row>
    <row r="1132" spans="9:10" x14ac:dyDescent="0.25">
      <c r="I1132" s="37"/>
      <c r="J1132" s="35"/>
    </row>
    <row r="1133" spans="9:10" x14ac:dyDescent="0.25">
      <c r="I1133" s="37"/>
      <c r="J1133" s="35"/>
    </row>
    <row r="1134" spans="9:10" x14ac:dyDescent="0.25">
      <c r="I1134" s="37"/>
      <c r="J1134" s="35"/>
    </row>
    <row r="1135" spans="9:10" x14ac:dyDescent="0.25">
      <c r="I1135" s="37"/>
      <c r="J1135" s="35"/>
    </row>
    <row r="1136" spans="9:10" x14ac:dyDescent="0.25">
      <c r="I1136" s="37"/>
      <c r="J1136" s="35"/>
    </row>
    <row r="1137" spans="9:10" x14ac:dyDescent="0.25">
      <c r="I1137" s="37"/>
      <c r="J1137" s="35"/>
    </row>
    <row r="1138" spans="9:10" x14ac:dyDescent="0.25">
      <c r="I1138" s="37"/>
      <c r="J1138" s="35"/>
    </row>
    <row r="1139" spans="9:10" x14ac:dyDescent="0.25">
      <c r="I1139" s="37"/>
      <c r="J1139" s="35"/>
    </row>
    <row r="1140" spans="9:10" x14ac:dyDescent="0.25">
      <c r="I1140" s="37"/>
      <c r="J1140" s="35"/>
    </row>
    <row r="1141" spans="9:10" x14ac:dyDescent="0.25">
      <c r="I1141" s="37"/>
      <c r="J1141" s="35"/>
    </row>
    <row r="1142" spans="9:10" x14ac:dyDescent="0.25">
      <c r="I1142" s="37"/>
      <c r="J1142" s="35"/>
    </row>
    <row r="1143" spans="9:10" x14ac:dyDescent="0.25">
      <c r="I1143" s="37"/>
      <c r="J1143" s="35"/>
    </row>
    <row r="1144" spans="9:10" x14ac:dyDescent="0.25">
      <c r="I1144" s="37"/>
      <c r="J1144" s="35"/>
    </row>
    <row r="1145" spans="9:10" x14ac:dyDescent="0.25">
      <c r="I1145" s="37"/>
      <c r="J1145" s="35"/>
    </row>
    <row r="1146" spans="9:10" x14ac:dyDescent="0.25">
      <c r="I1146" s="37"/>
      <c r="J1146" s="35"/>
    </row>
    <row r="1147" spans="9:10" x14ac:dyDescent="0.25">
      <c r="I1147" s="37"/>
      <c r="J1147" s="35"/>
    </row>
    <row r="1148" spans="9:10" x14ac:dyDescent="0.25">
      <c r="I1148" s="37"/>
      <c r="J1148" s="35"/>
    </row>
    <row r="1149" spans="9:10" x14ac:dyDescent="0.25">
      <c r="I1149" s="37"/>
      <c r="J1149" s="35"/>
    </row>
    <row r="1150" spans="9:10" x14ac:dyDescent="0.25">
      <c r="I1150" s="37"/>
      <c r="J1150" s="35"/>
    </row>
    <row r="1151" spans="9:10" x14ac:dyDescent="0.25">
      <c r="I1151" s="37"/>
      <c r="J1151" s="35"/>
    </row>
    <row r="1152" spans="9:10" x14ac:dyDescent="0.25">
      <c r="I1152" s="37"/>
      <c r="J1152" s="35"/>
    </row>
    <row r="1153" spans="9:10" x14ac:dyDescent="0.25">
      <c r="I1153" s="37"/>
      <c r="J1153" s="35"/>
    </row>
    <row r="1154" spans="9:10" x14ac:dyDescent="0.25">
      <c r="I1154" s="37"/>
      <c r="J1154" s="35"/>
    </row>
    <row r="1155" spans="9:10" x14ac:dyDescent="0.25">
      <c r="I1155" s="37"/>
      <c r="J1155" s="35"/>
    </row>
    <row r="1156" spans="9:10" x14ac:dyDescent="0.25">
      <c r="I1156" s="37"/>
      <c r="J1156" s="35"/>
    </row>
    <row r="1157" spans="9:10" x14ac:dyDescent="0.25">
      <c r="I1157" s="37"/>
      <c r="J1157" s="35"/>
    </row>
    <row r="1158" spans="9:10" x14ac:dyDescent="0.25">
      <c r="I1158" s="37"/>
      <c r="J1158" s="35"/>
    </row>
    <row r="1159" spans="9:10" x14ac:dyDescent="0.25">
      <c r="I1159" s="37"/>
      <c r="J1159" s="35"/>
    </row>
    <row r="1160" spans="9:10" x14ac:dyDescent="0.25">
      <c r="I1160" s="37"/>
      <c r="J1160" s="35"/>
    </row>
    <row r="1161" spans="9:10" x14ac:dyDescent="0.25">
      <c r="I1161" s="37"/>
      <c r="J1161" s="35"/>
    </row>
    <row r="1162" spans="9:10" x14ac:dyDescent="0.25">
      <c r="I1162" s="37"/>
      <c r="J1162" s="35"/>
    </row>
    <row r="1163" spans="9:10" x14ac:dyDescent="0.25">
      <c r="I1163" s="37"/>
      <c r="J1163" s="35"/>
    </row>
    <row r="1164" spans="9:10" x14ac:dyDescent="0.25">
      <c r="I1164" s="37"/>
      <c r="J1164" s="35"/>
    </row>
    <row r="1165" spans="9:10" x14ac:dyDescent="0.25">
      <c r="I1165" s="37"/>
      <c r="J1165" s="35"/>
    </row>
    <row r="1166" spans="9:10" x14ac:dyDescent="0.25">
      <c r="I1166" s="37"/>
      <c r="J1166" s="35"/>
    </row>
    <row r="1167" spans="9:10" x14ac:dyDescent="0.25">
      <c r="I1167" s="37"/>
      <c r="J1167" s="35"/>
    </row>
    <row r="1168" spans="9:10" x14ac:dyDescent="0.25">
      <c r="I1168" s="37"/>
      <c r="J1168" s="35"/>
    </row>
    <row r="1169" spans="9:10" x14ac:dyDescent="0.25">
      <c r="I1169" s="37"/>
      <c r="J1169" s="35"/>
    </row>
    <row r="1170" spans="9:10" x14ac:dyDescent="0.25">
      <c r="I1170" s="37"/>
      <c r="J1170" s="35"/>
    </row>
    <row r="1171" spans="9:10" x14ac:dyDescent="0.25">
      <c r="I1171" s="37"/>
      <c r="J1171" s="35"/>
    </row>
    <row r="1172" spans="9:10" x14ac:dyDescent="0.25">
      <c r="I1172" s="37"/>
      <c r="J1172" s="35"/>
    </row>
    <row r="1173" spans="9:10" x14ac:dyDescent="0.25">
      <c r="I1173" s="37"/>
      <c r="J1173" s="35"/>
    </row>
    <row r="1174" spans="9:10" x14ac:dyDescent="0.25">
      <c r="I1174" s="37"/>
      <c r="J1174" s="35"/>
    </row>
    <row r="1175" spans="9:10" x14ac:dyDescent="0.25">
      <c r="I1175" s="37"/>
      <c r="J1175" s="35"/>
    </row>
    <row r="1176" spans="9:10" x14ac:dyDescent="0.25">
      <c r="I1176" s="37"/>
      <c r="J1176" s="35"/>
    </row>
    <row r="1177" spans="9:10" x14ac:dyDescent="0.25">
      <c r="I1177" s="37"/>
      <c r="J1177" s="35"/>
    </row>
    <row r="1178" spans="9:10" x14ac:dyDescent="0.25">
      <c r="I1178" s="37"/>
      <c r="J1178" s="35"/>
    </row>
    <row r="1179" spans="9:10" x14ac:dyDescent="0.25">
      <c r="I1179" s="37"/>
      <c r="J1179" s="35"/>
    </row>
    <row r="1180" spans="9:10" x14ac:dyDescent="0.25">
      <c r="I1180" s="37"/>
      <c r="J1180" s="35"/>
    </row>
    <row r="1181" spans="9:10" x14ac:dyDescent="0.25">
      <c r="I1181" s="37"/>
      <c r="J1181" s="35"/>
    </row>
    <row r="1182" spans="9:10" x14ac:dyDescent="0.25">
      <c r="I1182" s="37"/>
      <c r="J1182" s="35"/>
    </row>
    <row r="1183" spans="9:10" x14ac:dyDescent="0.25">
      <c r="I1183" s="37"/>
      <c r="J1183" s="35"/>
    </row>
    <row r="1184" spans="9:10" x14ac:dyDescent="0.25">
      <c r="I1184" s="37"/>
      <c r="J1184" s="35"/>
    </row>
    <row r="1185" spans="9:10" x14ac:dyDescent="0.25">
      <c r="I1185" s="37"/>
      <c r="J1185" s="35"/>
    </row>
    <row r="1186" spans="9:10" x14ac:dyDescent="0.25">
      <c r="I1186" s="37"/>
      <c r="J1186" s="35"/>
    </row>
    <row r="1187" spans="9:10" x14ac:dyDescent="0.25">
      <c r="I1187" s="37"/>
      <c r="J1187" s="35"/>
    </row>
    <row r="1188" spans="9:10" x14ac:dyDescent="0.25">
      <c r="I1188" s="37"/>
      <c r="J1188" s="35"/>
    </row>
    <row r="1189" spans="9:10" x14ac:dyDescent="0.25">
      <c r="I1189" s="37"/>
      <c r="J1189" s="35"/>
    </row>
    <row r="1190" spans="9:10" x14ac:dyDescent="0.25">
      <c r="I1190" s="37"/>
      <c r="J1190" s="35"/>
    </row>
    <row r="1191" spans="9:10" x14ac:dyDescent="0.25">
      <c r="I1191" s="37"/>
      <c r="J1191" s="35"/>
    </row>
    <row r="1192" spans="9:10" x14ac:dyDescent="0.25">
      <c r="I1192" s="37"/>
      <c r="J1192" s="35"/>
    </row>
    <row r="1193" spans="9:10" x14ac:dyDescent="0.25">
      <c r="I1193" s="37"/>
      <c r="J1193" s="35"/>
    </row>
    <row r="1194" spans="9:10" x14ac:dyDescent="0.25">
      <c r="I1194" s="37"/>
      <c r="J1194" s="35"/>
    </row>
    <row r="1195" spans="9:10" x14ac:dyDescent="0.25">
      <c r="I1195" s="37"/>
      <c r="J1195" s="35"/>
    </row>
    <row r="1196" spans="9:10" x14ac:dyDescent="0.25">
      <c r="I1196" s="37"/>
      <c r="J1196" s="35"/>
    </row>
    <row r="1197" spans="9:10" x14ac:dyDescent="0.25">
      <c r="I1197" s="37"/>
      <c r="J1197" s="35"/>
    </row>
    <row r="1198" spans="9:10" x14ac:dyDescent="0.25">
      <c r="I1198" s="37"/>
      <c r="J1198" s="35"/>
    </row>
    <row r="1199" spans="9:10" x14ac:dyDescent="0.25">
      <c r="I1199" s="37"/>
      <c r="J1199" s="35"/>
    </row>
    <row r="1200" spans="9:10" x14ac:dyDescent="0.25">
      <c r="I1200" s="37"/>
      <c r="J1200" s="35"/>
    </row>
    <row r="1201" spans="9:10" x14ac:dyDescent="0.25">
      <c r="I1201" s="37"/>
      <c r="J1201" s="35"/>
    </row>
    <row r="1202" spans="9:10" x14ac:dyDescent="0.25">
      <c r="I1202" s="37"/>
      <c r="J1202" s="35"/>
    </row>
    <row r="1203" spans="9:10" x14ac:dyDescent="0.25">
      <c r="I1203" s="37"/>
      <c r="J1203" s="35"/>
    </row>
    <row r="1204" spans="9:10" x14ac:dyDescent="0.25">
      <c r="I1204" s="37"/>
      <c r="J1204" s="35"/>
    </row>
    <row r="1205" spans="9:10" x14ac:dyDescent="0.25">
      <c r="I1205" s="37"/>
      <c r="J1205" s="35"/>
    </row>
    <row r="1206" spans="9:10" x14ac:dyDescent="0.25">
      <c r="I1206" s="37"/>
      <c r="J1206" s="35"/>
    </row>
    <row r="1207" spans="9:10" x14ac:dyDescent="0.25">
      <c r="I1207" s="37"/>
      <c r="J1207" s="35"/>
    </row>
    <row r="1208" spans="9:10" x14ac:dyDescent="0.25">
      <c r="I1208" s="37"/>
      <c r="J1208" s="35"/>
    </row>
    <row r="1209" spans="9:10" x14ac:dyDescent="0.25">
      <c r="I1209" s="37"/>
      <c r="J1209" s="35"/>
    </row>
    <row r="1210" spans="9:10" x14ac:dyDescent="0.25">
      <c r="I1210" s="37"/>
      <c r="J1210" s="35"/>
    </row>
    <row r="1211" spans="9:10" x14ac:dyDescent="0.25">
      <c r="I1211" s="37"/>
      <c r="J1211" s="35"/>
    </row>
    <row r="1212" spans="9:10" x14ac:dyDescent="0.25">
      <c r="I1212" s="37"/>
      <c r="J1212" s="35"/>
    </row>
    <row r="1213" spans="9:10" x14ac:dyDescent="0.25">
      <c r="I1213" s="37"/>
      <c r="J1213" s="35"/>
    </row>
    <row r="1214" spans="9:10" x14ac:dyDescent="0.25">
      <c r="I1214" s="37"/>
      <c r="J1214" s="35"/>
    </row>
    <row r="1215" spans="9:10" x14ac:dyDescent="0.25">
      <c r="I1215" s="37"/>
      <c r="J1215" s="35"/>
    </row>
    <row r="1216" spans="9:10" x14ac:dyDescent="0.25">
      <c r="I1216" s="37"/>
      <c r="J1216" s="35"/>
    </row>
    <row r="1217" spans="9:10" x14ac:dyDescent="0.25">
      <c r="I1217" s="37"/>
      <c r="J1217" s="35"/>
    </row>
    <row r="1218" spans="9:10" x14ac:dyDescent="0.25">
      <c r="I1218" s="37"/>
      <c r="J1218" s="35"/>
    </row>
    <row r="1219" spans="9:10" x14ac:dyDescent="0.25">
      <c r="I1219" s="37"/>
      <c r="J1219" s="35"/>
    </row>
    <row r="1220" spans="9:10" x14ac:dyDescent="0.25">
      <c r="I1220" s="37"/>
      <c r="J1220" s="35"/>
    </row>
    <row r="1221" spans="9:10" x14ac:dyDescent="0.25">
      <c r="I1221" s="37"/>
      <c r="J1221" s="35"/>
    </row>
    <row r="1222" spans="9:10" x14ac:dyDescent="0.25">
      <c r="I1222" s="37"/>
      <c r="J1222" s="35"/>
    </row>
    <row r="1223" spans="9:10" x14ac:dyDescent="0.25">
      <c r="I1223" s="37"/>
      <c r="J1223" s="35"/>
    </row>
    <row r="1224" spans="9:10" x14ac:dyDescent="0.25">
      <c r="I1224" s="37"/>
      <c r="J1224" s="35"/>
    </row>
    <row r="1225" spans="9:10" x14ac:dyDescent="0.25">
      <c r="I1225" s="37"/>
      <c r="J1225" s="35"/>
    </row>
    <row r="1226" spans="9:10" x14ac:dyDescent="0.25">
      <c r="I1226" s="37"/>
      <c r="J1226" s="35"/>
    </row>
    <row r="1227" spans="9:10" x14ac:dyDescent="0.25">
      <c r="I1227" s="37"/>
      <c r="J1227" s="35"/>
    </row>
    <row r="1228" spans="9:10" x14ac:dyDescent="0.25">
      <c r="I1228" s="37"/>
      <c r="J1228" s="35"/>
    </row>
    <row r="1229" spans="9:10" x14ac:dyDescent="0.25">
      <c r="I1229" s="37"/>
      <c r="J1229" s="35"/>
    </row>
    <row r="1230" spans="9:10" x14ac:dyDescent="0.25">
      <c r="I1230" s="37"/>
      <c r="J1230" s="35"/>
    </row>
    <row r="1231" spans="9:10" x14ac:dyDescent="0.25">
      <c r="I1231" s="37"/>
      <c r="J1231" s="35"/>
    </row>
    <row r="1232" spans="9:10" x14ac:dyDescent="0.25">
      <c r="I1232" s="37"/>
      <c r="J1232" s="35"/>
    </row>
    <row r="1233" spans="9:10" x14ac:dyDescent="0.25">
      <c r="I1233" s="37"/>
      <c r="J1233" s="35"/>
    </row>
    <row r="1234" spans="9:10" x14ac:dyDescent="0.25">
      <c r="I1234" s="37"/>
      <c r="J1234" s="35"/>
    </row>
    <row r="1235" spans="9:10" x14ac:dyDescent="0.25">
      <c r="I1235" s="37"/>
      <c r="J1235" s="35"/>
    </row>
    <row r="1236" spans="9:10" x14ac:dyDescent="0.25">
      <c r="I1236" s="37"/>
      <c r="J1236" s="35"/>
    </row>
    <row r="1237" spans="9:10" x14ac:dyDescent="0.25">
      <c r="I1237" s="37"/>
      <c r="J1237" s="35"/>
    </row>
    <row r="1238" spans="9:10" x14ac:dyDescent="0.25">
      <c r="I1238" s="37"/>
      <c r="J1238" s="35"/>
    </row>
    <row r="1239" spans="9:10" x14ac:dyDescent="0.25">
      <c r="I1239" s="37"/>
      <c r="J1239" s="35"/>
    </row>
    <row r="1240" spans="9:10" x14ac:dyDescent="0.25">
      <c r="I1240" s="37"/>
      <c r="J1240" s="35"/>
    </row>
    <row r="1241" spans="9:10" x14ac:dyDescent="0.25">
      <c r="I1241" s="37"/>
      <c r="J1241" s="35"/>
    </row>
    <row r="1242" spans="9:10" x14ac:dyDescent="0.25">
      <c r="I1242" s="37"/>
      <c r="J1242" s="35"/>
    </row>
    <row r="1243" spans="9:10" x14ac:dyDescent="0.25">
      <c r="I1243" s="37"/>
      <c r="J1243" s="35"/>
    </row>
    <row r="1244" spans="9:10" x14ac:dyDescent="0.25">
      <c r="I1244" s="37"/>
      <c r="J1244" s="35"/>
    </row>
    <row r="1245" spans="9:10" x14ac:dyDescent="0.25">
      <c r="I1245" s="37"/>
      <c r="J1245" s="35"/>
    </row>
    <row r="1246" spans="9:10" x14ac:dyDescent="0.25">
      <c r="I1246" s="37"/>
      <c r="J1246" s="35"/>
    </row>
    <row r="1247" spans="9:10" x14ac:dyDescent="0.25">
      <c r="I1247" s="37"/>
      <c r="J1247" s="35"/>
    </row>
    <row r="1248" spans="9:10" x14ac:dyDescent="0.25">
      <c r="I1248" s="37"/>
      <c r="J1248" s="35"/>
    </row>
    <row r="1249" spans="9:10" x14ac:dyDescent="0.25">
      <c r="I1249" s="37"/>
      <c r="J1249" s="35"/>
    </row>
    <row r="1250" spans="9:10" x14ac:dyDescent="0.25">
      <c r="I1250" s="37"/>
      <c r="J1250" s="35"/>
    </row>
    <row r="1251" spans="9:10" x14ac:dyDescent="0.25">
      <c r="I1251" s="37"/>
      <c r="J1251" s="35"/>
    </row>
    <row r="1252" spans="9:10" x14ac:dyDescent="0.25">
      <c r="I1252" s="37"/>
      <c r="J1252" s="35"/>
    </row>
    <row r="1253" spans="9:10" x14ac:dyDescent="0.25">
      <c r="I1253" s="37"/>
      <c r="J1253" s="35"/>
    </row>
    <row r="1254" spans="9:10" x14ac:dyDescent="0.25">
      <c r="I1254" s="37"/>
      <c r="J1254" s="35"/>
    </row>
    <row r="1255" spans="9:10" x14ac:dyDescent="0.25">
      <c r="I1255" s="37"/>
      <c r="J1255" s="35"/>
    </row>
    <row r="1256" spans="9:10" x14ac:dyDescent="0.25">
      <c r="I1256" s="37"/>
      <c r="J1256" s="35"/>
    </row>
    <row r="1257" spans="9:10" x14ac:dyDescent="0.25">
      <c r="I1257" s="37"/>
      <c r="J1257" s="35"/>
    </row>
    <row r="1258" spans="9:10" x14ac:dyDescent="0.25">
      <c r="I1258" s="37"/>
      <c r="J1258" s="35"/>
    </row>
    <row r="1259" spans="9:10" x14ac:dyDescent="0.25">
      <c r="I1259" s="37"/>
      <c r="J1259" s="35"/>
    </row>
    <row r="1260" spans="9:10" x14ac:dyDescent="0.25">
      <c r="I1260" s="37"/>
      <c r="J1260" s="35"/>
    </row>
    <row r="1261" spans="9:10" x14ac:dyDescent="0.25">
      <c r="I1261" s="37"/>
      <c r="J1261" s="35"/>
    </row>
    <row r="1262" spans="9:10" x14ac:dyDescent="0.25">
      <c r="I1262" s="37"/>
      <c r="J1262" s="35"/>
    </row>
    <row r="1263" spans="9:10" x14ac:dyDescent="0.25">
      <c r="I1263" s="37"/>
      <c r="J1263" s="35"/>
    </row>
    <row r="1264" spans="9:10" x14ac:dyDescent="0.25">
      <c r="I1264" s="37"/>
      <c r="J1264" s="35"/>
    </row>
    <row r="1265" spans="9:10" x14ac:dyDescent="0.25">
      <c r="I1265" s="37"/>
      <c r="J1265" s="35"/>
    </row>
    <row r="1266" spans="9:10" x14ac:dyDescent="0.25">
      <c r="I1266" s="37"/>
      <c r="J1266" s="35"/>
    </row>
    <row r="1267" spans="9:10" x14ac:dyDescent="0.25">
      <c r="I1267" s="37"/>
      <c r="J1267" s="35"/>
    </row>
    <row r="1268" spans="9:10" x14ac:dyDescent="0.25">
      <c r="I1268" s="37"/>
      <c r="J1268" s="35"/>
    </row>
    <row r="1269" spans="9:10" x14ac:dyDescent="0.25">
      <c r="I1269" s="37"/>
      <c r="J1269" s="35"/>
    </row>
    <row r="1270" spans="9:10" x14ac:dyDescent="0.25">
      <c r="I1270" s="37"/>
      <c r="J1270" s="35"/>
    </row>
    <row r="1271" spans="9:10" x14ac:dyDescent="0.25">
      <c r="I1271" s="37"/>
      <c r="J1271" s="35"/>
    </row>
    <row r="1272" spans="9:10" x14ac:dyDescent="0.25">
      <c r="I1272" s="37"/>
      <c r="J1272" s="35"/>
    </row>
    <row r="1273" spans="9:10" x14ac:dyDescent="0.25">
      <c r="I1273" s="37"/>
      <c r="J1273" s="35"/>
    </row>
    <row r="1274" spans="9:10" x14ac:dyDescent="0.25">
      <c r="I1274" s="37"/>
      <c r="J1274" s="35"/>
    </row>
    <row r="1275" spans="9:10" x14ac:dyDescent="0.25">
      <c r="I1275" s="37"/>
      <c r="J1275" s="35"/>
    </row>
    <row r="1276" spans="9:10" x14ac:dyDescent="0.25">
      <c r="I1276" s="37"/>
      <c r="J1276" s="35"/>
    </row>
    <row r="1277" spans="9:10" x14ac:dyDescent="0.25">
      <c r="I1277" s="37"/>
      <c r="J1277" s="35"/>
    </row>
    <row r="1278" spans="9:10" x14ac:dyDescent="0.25">
      <c r="I1278" s="37"/>
      <c r="J1278" s="35"/>
    </row>
    <row r="1279" spans="9:10" x14ac:dyDescent="0.25">
      <c r="I1279" s="37"/>
      <c r="J1279" s="35"/>
    </row>
    <row r="1280" spans="9:10" x14ac:dyDescent="0.25">
      <c r="I1280" s="37"/>
      <c r="J1280" s="35"/>
    </row>
    <row r="1281" spans="9:10" x14ac:dyDescent="0.25">
      <c r="I1281" s="37"/>
      <c r="J1281" s="35"/>
    </row>
    <row r="1282" spans="9:10" x14ac:dyDescent="0.25">
      <c r="I1282" s="37"/>
      <c r="J1282" s="35"/>
    </row>
    <row r="1283" spans="9:10" x14ac:dyDescent="0.25">
      <c r="I1283" s="37"/>
      <c r="J1283" s="35"/>
    </row>
    <row r="1284" spans="9:10" x14ac:dyDescent="0.25">
      <c r="I1284" s="37"/>
      <c r="J1284" s="35"/>
    </row>
    <row r="1285" spans="9:10" x14ac:dyDescent="0.25">
      <c r="I1285" s="37"/>
      <c r="J1285" s="35"/>
    </row>
    <row r="1286" spans="9:10" x14ac:dyDescent="0.25">
      <c r="I1286" s="37"/>
      <c r="J1286" s="35"/>
    </row>
    <row r="1287" spans="9:10" x14ac:dyDescent="0.25">
      <c r="I1287" s="37"/>
      <c r="J1287" s="35"/>
    </row>
    <row r="1288" spans="9:10" x14ac:dyDescent="0.25">
      <c r="I1288" s="37"/>
      <c r="J1288" s="35"/>
    </row>
    <row r="1289" spans="9:10" x14ac:dyDescent="0.25">
      <c r="I1289" s="37"/>
      <c r="J1289" s="35"/>
    </row>
    <row r="1290" spans="9:10" x14ac:dyDescent="0.25">
      <c r="I1290" s="37"/>
      <c r="J1290" s="35"/>
    </row>
    <row r="1291" spans="9:10" x14ac:dyDescent="0.25">
      <c r="I1291" s="37"/>
      <c r="J1291" s="35"/>
    </row>
    <row r="1292" spans="9:10" x14ac:dyDescent="0.25">
      <c r="I1292" s="37"/>
      <c r="J1292" s="35"/>
    </row>
    <row r="1293" spans="9:10" x14ac:dyDescent="0.25">
      <c r="I1293" s="37"/>
      <c r="J1293" s="35"/>
    </row>
    <row r="1294" spans="9:10" x14ac:dyDescent="0.25">
      <c r="I1294" s="37"/>
      <c r="J1294" s="35"/>
    </row>
    <row r="1295" spans="9:10" x14ac:dyDescent="0.25">
      <c r="I1295" s="37"/>
      <c r="J1295" s="35"/>
    </row>
    <row r="1296" spans="9:10" x14ac:dyDescent="0.25">
      <c r="I1296" s="37"/>
      <c r="J1296" s="35"/>
    </row>
    <row r="1297" spans="9:10" x14ac:dyDescent="0.25">
      <c r="I1297" s="37"/>
      <c r="J1297" s="35"/>
    </row>
    <row r="1298" spans="9:10" x14ac:dyDescent="0.25">
      <c r="I1298" s="37"/>
      <c r="J1298" s="35"/>
    </row>
    <row r="1299" spans="9:10" x14ac:dyDescent="0.25">
      <c r="I1299" s="37"/>
      <c r="J1299" s="35"/>
    </row>
    <row r="1300" spans="9:10" x14ac:dyDescent="0.25">
      <c r="I1300" s="37"/>
      <c r="J1300" s="35"/>
    </row>
    <row r="1301" spans="9:10" x14ac:dyDescent="0.25">
      <c r="I1301" s="37"/>
      <c r="J1301" s="35"/>
    </row>
    <row r="1302" spans="9:10" x14ac:dyDescent="0.25">
      <c r="I1302" s="37"/>
      <c r="J1302" s="35"/>
    </row>
    <row r="1303" spans="9:10" x14ac:dyDescent="0.25">
      <c r="I1303" s="37"/>
      <c r="J1303" s="35"/>
    </row>
    <row r="1304" spans="9:10" x14ac:dyDescent="0.25">
      <c r="I1304" s="37"/>
      <c r="J1304" s="35"/>
    </row>
    <row r="1305" spans="9:10" x14ac:dyDescent="0.25">
      <c r="I1305" s="37"/>
      <c r="J1305" s="35"/>
    </row>
    <row r="1306" spans="9:10" x14ac:dyDescent="0.25">
      <c r="I1306" s="37"/>
      <c r="J1306" s="35"/>
    </row>
    <row r="1307" spans="9:10" x14ac:dyDescent="0.25">
      <c r="I1307" s="37"/>
      <c r="J1307" s="35"/>
    </row>
    <row r="1308" spans="9:10" x14ac:dyDescent="0.25">
      <c r="I1308" s="37"/>
      <c r="J1308" s="35"/>
    </row>
    <row r="1309" spans="9:10" x14ac:dyDescent="0.25">
      <c r="I1309" s="37"/>
      <c r="J1309" s="35"/>
    </row>
    <row r="1310" spans="9:10" x14ac:dyDescent="0.25">
      <c r="I1310" s="37"/>
      <c r="J1310" s="35"/>
    </row>
    <row r="1311" spans="9:10" x14ac:dyDescent="0.25">
      <c r="I1311" s="37"/>
      <c r="J1311" s="35"/>
    </row>
    <row r="1312" spans="9:10" x14ac:dyDescent="0.25">
      <c r="I1312" s="37"/>
      <c r="J1312" s="35"/>
    </row>
    <row r="1313" spans="9:10" x14ac:dyDescent="0.25">
      <c r="I1313" s="37"/>
      <c r="J1313" s="35"/>
    </row>
    <row r="1314" spans="9:10" x14ac:dyDescent="0.25">
      <c r="I1314" s="37"/>
      <c r="J1314" s="35"/>
    </row>
    <row r="1315" spans="9:10" x14ac:dyDescent="0.25">
      <c r="I1315" s="37"/>
      <c r="J1315" s="35"/>
    </row>
    <row r="1316" spans="9:10" x14ac:dyDescent="0.25">
      <c r="I1316" s="37"/>
      <c r="J1316" s="35"/>
    </row>
    <row r="1317" spans="9:10" x14ac:dyDescent="0.25">
      <c r="I1317" s="37"/>
      <c r="J1317" s="35"/>
    </row>
    <row r="1318" spans="9:10" x14ac:dyDescent="0.25">
      <c r="I1318" s="37"/>
      <c r="J1318" s="35"/>
    </row>
    <row r="1319" spans="9:10" x14ac:dyDescent="0.25">
      <c r="I1319" s="37"/>
      <c r="J1319" s="35"/>
    </row>
    <row r="1320" spans="9:10" x14ac:dyDescent="0.25">
      <c r="I1320" s="37"/>
      <c r="J1320" s="35"/>
    </row>
    <row r="1321" spans="9:10" x14ac:dyDescent="0.25">
      <c r="I1321" s="37"/>
      <c r="J1321" s="35"/>
    </row>
    <row r="1322" spans="9:10" x14ac:dyDescent="0.25">
      <c r="I1322" s="37"/>
      <c r="J1322" s="35"/>
    </row>
    <row r="1323" spans="9:10" x14ac:dyDescent="0.25">
      <c r="I1323" s="37"/>
      <c r="J1323" s="35"/>
    </row>
    <row r="1324" spans="9:10" x14ac:dyDescent="0.25">
      <c r="I1324" s="37"/>
      <c r="J1324" s="35"/>
    </row>
    <row r="1325" spans="9:10" x14ac:dyDescent="0.25">
      <c r="I1325" s="37"/>
      <c r="J1325" s="35"/>
    </row>
    <row r="1326" spans="9:10" x14ac:dyDescent="0.25">
      <c r="I1326" s="37"/>
      <c r="J1326" s="35"/>
    </row>
    <row r="1327" spans="9:10" x14ac:dyDescent="0.25">
      <c r="I1327" s="37"/>
      <c r="J1327" s="35"/>
    </row>
    <row r="1328" spans="9:10" x14ac:dyDescent="0.25">
      <c r="I1328" s="37"/>
      <c r="J1328" s="35"/>
    </row>
    <row r="1329" spans="9:10" x14ac:dyDescent="0.25">
      <c r="I1329" s="37"/>
      <c r="J1329" s="35"/>
    </row>
    <row r="1330" spans="9:10" x14ac:dyDescent="0.25">
      <c r="I1330" s="37"/>
      <c r="J1330" s="35"/>
    </row>
    <row r="1331" spans="9:10" x14ac:dyDescent="0.25">
      <c r="I1331" s="37"/>
      <c r="J1331" s="35"/>
    </row>
    <row r="1332" spans="9:10" x14ac:dyDescent="0.25">
      <c r="I1332" s="37"/>
      <c r="J1332" s="35"/>
    </row>
    <row r="1333" spans="9:10" x14ac:dyDescent="0.25">
      <c r="I1333" s="37"/>
      <c r="J1333" s="35"/>
    </row>
    <row r="1334" spans="9:10" x14ac:dyDescent="0.25">
      <c r="I1334" s="37"/>
      <c r="J1334" s="35"/>
    </row>
  </sheetData>
  <mergeCells count="18">
    <mergeCell ref="T29:U29"/>
    <mergeCell ref="J16:K16"/>
    <mergeCell ref="L16:M16"/>
    <mergeCell ref="N16:O16"/>
    <mergeCell ref="P16:Q16"/>
    <mergeCell ref="R16:S16"/>
    <mergeCell ref="T16:U16"/>
    <mergeCell ref="J29:K29"/>
    <mergeCell ref="L29:M29"/>
    <mergeCell ref="N29:O29"/>
    <mergeCell ref="P29:Q29"/>
    <mergeCell ref="R29:S29"/>
    <mergeCell ref="T2:U2"/>
    <mergeCell ref="J2:K2"/>
    <mergeCell ref="L2:M2"/>
    <mergeCell ref="N2:O2"/>
    <mergeCell ref="P2:Q2"/>
    <mergeCell ref="R2:S2"/>
  </mergeCells>
  <conditionalFormatting sqref="AE3:AI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:AI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0:AI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05A4-9EAB-49D3-ABAE-4146AEB2F3A8}">
  <dimension ref="A1:AQ1334"/>
  <sheetViews>
    <sheetView showGridLines="0" zoomScale="85" zoomScaleNormal="85" workbookViewId="0">
      <selection activeCell="AF21" sqref="AF21"/>
    </sheetView>
  </sheetViews>
  <sheetFormatPr defaultRowHeight="15" outlineLevelRow="1" outlineLevelCol="1" x14ac:dyDescent="0.25"/>
  <cols>
    <col min="1" max="1" width="2.5703125" customWidth="1"/>
    <col min="2" max="2" width="9.140625" customWidth="1"/>
    <col min="3" max="3" width="16.28515625" bestFit="1" customWidth="1"/>
    <col min="4" max="4" width="15.28515625" bestFit="1" customWidth="1"/>
    <col min="5" max="5" width="2.5703125" customWidth="1"/>
    <col min="6" max="6" width="18.140625" bestFit="1" customWidth="1"/>
    <col min="7" max="7" width="2.5703125" customWidth="1"/>
    <col min="8" max="8" width="25.140625" bestFit="1" customWidth="1"/>
    <col min="9" max="9" width="24.28515625" style="11" customWidth="1" outlineLevel="1"/>
    <col min="10" max="10" width="9.42578125" style="6" customWidth="1"/>
    <col min="11" max="11" width="19" style="11" customWidth="1" outlineLevel="1"/>
    <col min="12" max="12" width="9.28515625" style="6" customWidth="1"/>
    <col min="13" max="13" width="19.5703125" style="11" hidden="1" customWidth="1" outlineLevel="1"/>
    <col min="14" max="14" width="10.42578125" style="6" customWidth="1" collapsed="1"/>
    <col min="15" max="15" width="17.85546875" style="11" hidden="1" customWidth="1" outlineLevel="1"/>
    <col min="16" max="16" width="8.5703125" style="6" bestFit="1" customWidth="1" collapsed="1"/>
    <col min="17" max="17" width="18" style="11" hidden="1" customWidth="1" outlineLevel="1"/>
    <col min="18" max="18" width="11.42578125" style="5" customWidth="1" collapsed="1"/>
    <col min="19" max="19" width="19.5703125" style="10" hidden="1" customWidth="1" outlineLevel="1"/>
    <col min="20" max="20" width="9.85546875" style="10" bestFit="1" customWidth="1" collapsed="1"/>
    <col min="21" max="21" width="19.5703125" style="10" hidden="1" customWidth="1" outlineLevel="1"/>
    <col min="22" max="22" width="2.5703125" customWidth="1" collapsed="1"/>
    <col min="23" max="24" width="7.140625" hidden="1" customWidth="1" outlineLevel="1"/>
    <col min="25" max="25" width="17.85546875" bestFit="1" customWidth="1" collapsed="1"/>
    <col min="26" max="27" width="17.85546875" bestFit="1" customWidth="1"/>
    <col min="28" max="28" width="16.140625" bestFit="1" customWidth="1"/>
    <col min="29" max="29" width="15.140625" bestFit="1" customWidth="1"/>
    <col min="30" max="30" width="2.5703125" customWidth="1"/>
    <col min="31" max="31" width="7.85546875" bestFit="1" customWidth="1"/>
    <col min="32" max="32" width="11.140625" bestFit="1" customWidth="1"/>
    <col min="33" max="33" width="13.28515625" bestFit="1" customWidth="1"/>
    <col min="34" max="34" width="7.85546875" bestFit="1" customWidth="1"/>
    <col min="35" max="35" width="8.140625" bestFit="1" customWidth="1"/>
    <col min="36" max="36" width="2.5703125" customWidth="1"/>
    <col min="37" max="37" width="17.85546875" bestFit="1" customWidth="1"/>
    <col min="38" max="38" width="8.140625" bestFit="1" customWidth="1"/>
    <col min="39" max="39" width="2.5703125" customWidth="1"/>
    <col min="41" max="41" width="16.28515625" bestFit="1" customWidth="1"/>
  </cols>
  <sheetData>
    <row r="1" spans="1:43" ht="9" customHeight="1" x14ac:dyDescent="0.25"/>
    <row r="2" spans="1:43" x14ac:dyDescent="0.25">
      <c r="B2" s="1"/>
      <c r="C2" s="1" t="s">
        <v>20</v>
      </c>
      <c r="D2" s="1"/>
      <c r="H2" s="4" t="s">
        <v>1</v>
      </c>
      <c r="I2" s="9" t="s">
        <v>4</v>
      </c>
      <c r="J2" s="112" t="s">
        <v>7</v>
      </c>
      <c r="K2" s="112"/>
      <c r="L2" s="112" t="s">
        <v>8</v>
      </c>
      <c r="M2" s="112"/>
      <c r="N2" s="112" t="s">
        <v>10</v>
      </c>
      <c r="O2" s="112"/>
      <c r="P2" s="112" t="s">
        <v>9</v>
      </c>
      <c r="Q2" s="112"/>
      <c r="R2" s="112" t="s">
        <v>21</v>
      </c>
      <c r="S2" s="112"/>
      <c r="T2" s="112" t="s">
        <v>55</v>
      </c>
      <c r="U2" s="112"/>
      <c r="W2" s="1" t="s">
        <v>46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27" t="s">
        <v>49</v>
      </c>
      <c r="AF2" s="27" t="s">
        <v>50</v>
      </c>
      <c r="AG2" s="27" t="s">
        <v>51</v>
      </c>
      <c r="AH2" s="27" t="s">
        <v>52</v>
      </c>
      <c r="AI2" s="27" t="s">
        <v>53</v>
      </c>
      <c r="AK2" s="75" t="s">
        <v>60</v>
      </c>
      <c r="AL2" s="75" t="s">
        <v>61</v>
      </c>
      <c r="AN2" s="1"/>
      <c r="AO2" s="1" t="s">
        <v>20</v>
      </c>
      <c r="AP2" s="1"/>
    </row>
    <row r="3" spans="1:43" x14ac:dyDescent="0.25">
      <c r="A3" s="98"/>
      <c r="B3" t="s">
        <v>11</v>
      </c>
      <c r="C3" s="2" t="s">
        <v>10</v>
      </c>
      <c r="D3" t="s">
        <v>7</v>
      </c>
      <c r="E3" s="98"/>
      <c r="F3" s="7">
        <f>J3+L3+N3+P3+R3+T3</f>
        <v>0.99999999999999989</v>
      </c>
      <c r="G3" s="99"/>
      <c r="H3" s="97" t="s">
        <v>5</v>
      </c>
      <c r="I3" s="80">
        <v>521090552.12</v>
      </c>
      <c r="J3" s="81">
        <v>0.51559999999999995</v>
      </c>
      <c r="K3" s="80">
        <f t="shared" ref="K3:O13" si="0">+J3*$I3</f>
        <v>268674288.67307198</v>
      </c>
      <c r="L3" s="81">
        <v>0.23019999999999999</v>
      </c>
      <c r="M3" s="80">
        <f t="shared" si="0"/>
        <v>119955045.098024</v>
      </c>
      <c r="N3" s="81">
        <v>0.21740000000000001</v>
      </c>
      <c r="O3" s="80">
        <f t="shared" si="0"/>
        <v>113285086.03088801</v>
      </c>
      <c r="P3" s="81">
        <v>4.41E-2</v>
      </c>
      <c r="Q3" s="80">
        <f t="shared" ref="Q3:Q13" si="1">+P3*$I3</f>
        <v>22980093.348492</v>
      </c>
      <c r="R3" s="82"/>
      <c r="S3" s="80">
        <f t="shared" ref="S3:S13" si="2">+R3*$I3</f>
        <v>0</v>
      </c>
      <c r="T3" s="81">
        <v>-7.3000000000000001E-3</v>
      </c>
      <c r="U3" s="65">
        <f t="shared" ref="U3:U13" si="3">+T3*$I3</f>
        <v>-3803961.0304760002</v>
      </c>
      <c r="V3" s="98"/>
      <c r="Y3" s="12">
        <f>K3-'Abr25'!K3</f>
        <v>27059291.765481979</v>
      </c>
      <c r="Z3" s="12">
        <f>M3-'Abr25'!M3</f>
        <v>371862.55410198867</v>
      </c>
      <c r="AA3" s="12">
        <f>O3-'Abr25'!O3</f>
        <v>-2100441.9648979902</v>
      </c>
      <c r="AB3" s="12">
        <f>Q3-'Abr25'!Q3</f>
        <v>-756643.67965799943</v>
      </c>
      <c r="AC3" s="12">
        <f>+S3-'Abr25'!S3</f>
        <v>0</v>
      </c>
      <c r="AD3" s="98"/>
      <c r="AE3" s="28">
        <f>J3-'Abr25'!J3</f>
        <v>3.2099999999999962E-2</v>
      </c>
      <c r="AF3" s="28">
        <f>L3-'Abr25'!L3</f>
        <v>-9.1000000000000247E-3</v>
      </c>
      <c r="AG3" s="28">
        <f>N3-'Abr25'!N3</f>
        <v>-1.3499999999999984E-2</v>
      </c>
      <c r="AH3" s="28">
        <f>P3-'Abr25'!P3</f>
        <v>-3.4000000000000002E-3</v>
      </c>
      <c r="AI3" s="28">
        <f>R3-'Abr25'!R3</f>
        <v>0</v>
      </c>
      <c r="AJ3" s="98"/>
      <c r="AK3" s="10">
        <f>I3-'Abr25'!I3</f>
        <v>21369772.579999983</v>
      </c>
      <c r="AL3" s="76">
        <f>I3/'Abr25'!I3-1</f>
        <v>4.2763426006961591E-2</v>
      </c>
      <c r="AM3" s="98"/>
      <c r="AN3" t="s">
        <v>11</v>
      </c>
      <c r="AO3" s="2" t="s">
        <v>10</v>
      </c>
      <c r="AP3" t="s">
        <v>7</v>
      </c>
      <c r="AQ3" s="98"/>
    </row>
    <row r="4" spans="1:43" x14ac:dyDescent="0.25">
      <c r="B4" t="s">
        <v>12</v>
      </c>
      <c r="C4" s="2" t="s">
        <v>16</v>
      </c>
      <c r="D4" t="s">
        <v>58</v>
      </c>
      <c r="F4" s="7">
        <f t="shared" ref="F4:F36" si="4">J4+L4+N4+P4+R4+T4</f>
        <v>1</v>
      </c>
      <c r="H4" s="3" t="s">
        <v>0</v>
      </c>
      <c r="I4" s="78">
        <v>1637310392</v>
      </c>
      <c r="J4" s="77">
        <v>0.39</v>
      </c>
      <c r="K4" s="78">
        <f t="shared" si="0"/>
        <v>638551052.88</v>
      </c>
      <c r="L4" s="77">
        <v>0.11</v>
      </c>
      <c r="M4" s="78">
        <f t="shared" si="0"/>
        <v>180104143.12</v>
      </c>
      <c r="N4" s="77">
        <v>0.35</v>
      </c>
      <c r="O4" s="78">
        <f t="shared" si="0"/>
        <v>573058637.19999993</v>
      </c>
      <c r="P4" s="77">
        <v>0.11</v>
      </c>
      <c r="Q4" s="78">
        <f t="shared" si="1"/>
        <v>180104143.12</v>
      </c>
      <c r="R4" s="77"/>
      <c r="S4" s="78">
        <f t="shared" si="2"/>
        <v>0</v>
      </c>
      <c r="T4" s="77">
        <v>0.04</v>
      </c>
      <c r="U4" s="57">
        <f t="shared" si="3"/>
        <v>65492415.68</v>
      </c>
      <c r="Y4" s="12">
        <f>K4-'Abr25'!K4</f>
        <v>82487878.027500033</v>
      </c>
      <c r="Z4" s="12">
        <f>M4-'Abr25'!M4</f>
        <v>21228950.304999977</v>
      </c>
      <c r="AA4" s="12">
        <f>O4-'Abr25'!O4</f>
        <v>16995462.347499967</v>
      </c>
      <c r="AB4" s="12">
        <f>Q4-'Abr25'!Q4</f>
        <v>5341431.0234999955</v>
      </c>
      <c r="AC4" s="12">
        <f>+S4-'Abr25'!S4</f>
        <v>0</v>
      </c>
      <c r="AE4" s="28">
        <f>J4-'Abr25'!J4</f>
        <v>4.0000000000000036E-2</v>
      </c>
      <c r="AF4" s="28">
        <f>L4-'Abr25'!L4</f>
        <v>9.999999999999995E-3</v>
      </c>
      <c r="AG4" s="28">
        <f>N4-'Abr25'!N4</f>
        <v>0</v>
      </c>
      <c r="AH4" s="28">
        <f>P4-'Abr25'!P4</f>
        <v>0</v>
      </c>
      <c r="AI4" s="28">
        <f>R4-'Abr25'!R4</f>
        <v>0</v>
      </c>
      <c r="AJ4" s="93"/>
      <c r="AK4" s="10">
        <f>I4-'Abr25'!I4</f>
        <v>48558463.849999905</v>
      </c>
      <c r="AL4" s="76">
        <f>I4/'Abr25'!I4-1</f>
        <v>3.0563905534669145E-2</v>
      </c>
      <c r="AN4" t="s">
        <v>12</v>
      </c>
      <c r="AO4" s="2" t="s">
        <v>16</v>
      </c>
      <c r="AP4" t="s">
        <v>58</v>
      </c>
    </row>
    <row r="5" spans="1:43" x14ac:dyDescent="0.25">
      <c r="B5" t="s">
        <v>13</v>
      </c>
      <c r="C5" s="2" t="s">
        <v>17</v>
      </c>
      <c r="D5" t="s">
        <v>59</v>
      </c>
      <c r="F5" s="7">
        <f>J5+L5+N5+P5+R5+T5</f>
        <v>1</v>
      </c>
      <c r="H5" s="3" t="s">
        <v>3</v>
      </c>
      <c r="I5" s="78">
        <v>309862375.60000002</v>
      </c>
      <c r="J5" s="77">
        <v>0.52</v>
      </c>
      <c r="K5" s="78">
        <f t="shared" si="0"/>
        <v>161128435.31200001</v>
      </c>
      <c r="L5" s="77">
        <v>0</v>
      </c>
      <c r="M5" s="78">
        <f t="shared" si="0"/>
        <v>0</v>
      </c>
      <c r="N5" s="77">
        <v>0.34</v>
      </c>
      <c r="O5" s="78">
        <f t="shared" si="0"/>
        <v>105353207.70400001</v>
      </c>
      <c r="P5" s="77">
        <v>0.03</v>
      </c>
      <c r="Q5" s="78">
        <f t="shared" si="1"/>
        <v>9295871.2680000011</v>
      </c>
      <c r="R5" s="77">
        <v>0.09</v>
      </c>
      <c r="S5" s="78">
        <f t="shared" si="2"/>
        <v>27887613.804000001</v>
      </c>
      <c r="T5" s="77">
        <v>0.02</v>
      </c>
      <c r="U5" s="57">
        <f t="shared" si="3"/>
        <v>6197247.512000001</v>
      </c>
      <c r="Y5" s="12">
        <f>K5-'Abr25'!K5</f>
        <v>2151499.8670000136</v>
      </c>
      <c r="Z5" s="12">
        <f>M5-'Abr25'!M5</f>
        <v>-6359077.4177999999</v>
      </c>
      <c r="AA5" s="12">
        <f>O5-'Abr25'!O5</f>
        <v>-5930647.107499972</v>
      </c>
      <c r="AB5" s="12">
        <f>Q5-'Abr25'!Q5</f>
        <v>-6601822.2764999997</v>
      </c>
      <c r="AC5" s="12">
        <f>+S5-'Abr25'!S5</f>
        <v>2451304.1328000017</v>
      </c>
      <c r="AE5" s="28">
        <f>J5-'Abr25'!J5</f>
        <v>2.0000000000000018E-2</v>
      </c>
      <c r="AF5" s="28">
        <f>L5-'Abr25'!L5</f>
        <v>-0.02</v>
      </c>
      <c r="AG5" s="28">
        <f>N5-'Abr25'!N5</f>
        <v>-9.9999999999999534E-3</v>
      </c>
      <c r="AH5" s="28">
        <f>P5-'Abr25'!P5</f>
        <v>-2.0000000000000004E-2</v>
      </c>
      <c r="AI5" s="28">
        <f>R5-'Abr25'!R5</f>
        <v>9.999999999999995E-3</v>
      </c>
      <c r="AK5" s="10">
        <f>I5-'Abr25'!I5</f>
        <v>-8091495.2899999619</v>
      </c>
      <c r="AL5" s="76">
        <f>I5/'Abr25'!I5-1</f>
        <v>-2.5448645325029884E-2</v>
      </c>
      <c r="AN5" t="s">
        <v>13</v>
      </c>
      <c r="AO5" s="2" t="s">
        <v>17</v>
      </c>
      <c r="AP5" t="s">
        <v>59</v>
      </c>
    </row>
    <row r="6" spans="1:43" x14ac:dyDescent="0.25">
      <c r="B6" t="s">
        <v>14</v>
      </c>
      <c r="C6" s="2" t="s">
        <v>18</v>
      </c>
      <c r="F6" s="7">
        <f t="shared" si="4"/>
        <v>1</v>
      </c>
      <c r="H6" s="3" t="s">
        <v>62</v>
      </c>
      <c r="I6" s="78">
        <v>4805748856.8299999</v>
      </c>
      <c r="J6" s="77">
        <v>0.245</v>
      </c>
      <c r="K6" s="78">
        <f t="shared" si="0"/>
        <v>1177408469.9233499</v>
      </c>
      <c r="L6" s="77">
        <v>0.41499999999999998</v>
      </c>
      <c r="M6" s="78">
        <f t="shared" si="0"/>
        <v>1994385775.5844498</v>
      </c>
      <c r="N6" s="77">
        <v>0.28000000000000003</v>
      </c>
      <c r="O6" s="78">
        <f t="shared" si="0"/>
        <v>1345609679.9124</v>
      </c>
      <c r="P6" s="77">
        <v>2.5000000000000001E-2</v>
      </c>
      <c r="Q6" s="78">
        <f t="shared" si="1"/>
        <v>120143721.42075001</v>
      </c>
      <c r="R6" s="77"/>
      <c r="S6" s="78">
        <f t="shared" si="2"/>
        <v>0</v>
      </c>
      <c r="T6" s="77">
        <v>3.5000000000000003E-2</v>
      </c>
      <c r="U6" s="57">
        <f t="shared" si="3"/>
        <v>168201209.98905</v>
      </c>
      <c r="Y6" s="12">
        <f>K6-'Abr25'!K6</f>
        <v>-44724611.361850023</v>
      </c>
      <c r="Z6" s="12">
        <f>M6-'Abr25'!M6</f>
        <v>-75758015.163950205</v>
      </c>
      <c r="AA6" s="12">
        <f>O6-'Abr25'!O6</f>
        <v>-51113841.556400061</v>
      </c>
      <c r="AB6" s="12">
        <f>Q6-'Abr25'!Q6</f>
        <v>-4563735.8532499969</v>
      </c>
      <c r="AC6" s="12">
        <f>+S6-'Abr25'!S6</f>
        <v>0</v>
      </c>
      <c r="AE6" s="28">
        <f>J6-'Abr25'!J6</f>
        <v>0</v>
      </c>
      <c r="AF6" s="28">
        <f>L6-'Abr25'!L6</f>
        <v>0</v>
      </c>
      <c r="AG6" s="28">
        <f>N6-'Abr25'!N6</f>
        <v>0</v>
      </c>
      <c r="AH6" s="28">
        <f>P6-'Abr25'!P6</f>
        <v>0</v>
      </c>
      <c r="AI6" s="28">
        <f>R6-'Abr25'!R6</f>
        <v>0</v>
      </c>
      <c r="AK6" s="10">
        <f>I6-'Abr25'!I6</f>
        <v>-182549434.13000011</v>
      </c>
      <c r="AL6" s="76">
        <f>I6/'Abr25'!I6-1</f>
        <v>-3.6595532881588899E-2</v>
      </c>
      <c r="AN6" t="s">
        <v>14</v>
      </c>
      <c r="AO6" s="2" t="s">
        <v>18</v>
      </c>
    </row>
    <row r="7" spans="1:43" x14ac:dyDescent="0.25">
      <c r="B7" t="s">
        <v>15</v>
      </c>
      <c r="C7" s="2" t="s">
        <v>19</v>
      </c>
      <c r="F7" s="7">
        <f t="shared" si="4"/>
        <v>1</v>
      </c>
      <c r="H7" s="3" t="s">
        <v>22</v>
      </c>
      <c r="I7" s="78">
        <v>2859008483.5500002</v>
      </c>
      <c r="J7" s="77">
        <v>0.28000000000000003</v>
      </c>
      <c r="K7" s="78">
        <f t="shared" si="0"/>
        <v>800522375.39400017</v>
      </c>
      <c r="L7" s="77">
        <v>0.30199999999999999</v>
      </c>
      <c r="M7" s="78">
        <f t="shared" si="0"/>
        <v>863420562.03210008</v>
      </c>
      <c r="N7" s="77">
        <v>0.375</v>
      </c>
      <c r="O7" s="78">
        <f t="shared" si="0"/>
        <v>1072128181.3312501</v>
      </c>
      <c r="P7" s="77">
        <v>3.7999999999999999E-2</v>
      </c>
      <c r="Q7" s="78">
        <f t="shared" si="1"/>
        <v>108642322.3749</v>
      </c>
      <c r="R7" s="77"/>
      <c r="S7" s="78">
        <f t="shared" si="2"/>
        <v>0</v>
      </c>
      <c r="T7" s="77">
        <v>5.0000000000000001E-3</v>
      </c>
      <c r="U7" s="57">
        <f t="shared" si="3"/>
        <v>14295042.417750001</v>
      </c>
      <c r="Y7" s="12">
        <f>K7-'Abr25'!K7</f>
        <v>83404538.440290093</v>
      </c>
      <c r="Z7" s="12">
        <f>M7-'Abr25'!M7</f>
        <v>17947003.289010048</v>
      </c>
      <c r="AA7" s="12">
        <f>O7-'Abr25'!O7</f>
        <v>-35637504.546660066</v>
      </c>
      <c r="AB7" s="12">
        <f>Q7-'Abr25'!Q7</f>
        <v>-181006.9682700038</v>
      </c>
      <c r="AC7" s="12">
        <f>+S7-'Abr25'!S7</f>
        <v>0</v>
      </c>
      <c r="AE7" s="28">
        <f>J7-'Abr25'!J7</f>
        <v>2.300000000000002E-2</v>
      </c>
      <c r="AF7" s="28">
        <f>L7-'Abr25'!L7</f>
        <v>-1.0000000000000009E-3</v>
      </c>
      <c r="AG7" s="28">
        <f>N7-'Abr25'!N7</f>
        <v>-2.200000000000002E-2</v>
      </c>
      <c r="AH7" s="28">
        <f>P7-'Abr25'!P7</f>
        <v>-1.0000000000000009E-3</v>
      </c>
      <c r="AI7" s="28">
        <f>R7-'Abr25'!R7</f>
        <v>0</v>
      </c>
      <c r="AK7" s="10">
        <f>I7-'Abr25'!I7</f>
        <v>68666705.519999981</v>
      </c>
      <c r="AL7" s="76">
        <f>I7/'Abr25'!I7-1</f>
        <v>2.4608707815169106E-2</v>
      </c>
      <c r="AN7" t="s">
        <v>15</v>
      </c>
      <c r="AO7" s="2" t="s">
        <v>19</v>
      </c>
    </row>
    <row r="8" spans="1:43" x14ac:dyDescent="0.25">
      <c r="B8" t="s">
        <v>57</v>
      </c>
      <c r="F8" s="7">
        <f t="shared" si="4"/>
        <v>1</v>
      </c>
      <c r="H8" s="3" t="s">
        <v>23</v>
      </c>
      <c r="I8" s="78">
        <v>121027370.36</v>
      </c>
      <c r="J8" s="77">
        <v>0.19</v>
      </c>
      <c r="K8" s="78">
        <f t="shared" si="0"/>
        <v>22995200.3684</v>
      </c>
      <c r="L8" s="77">
        <v>0.33</v>
      </c>
      <c r="M8" s="78">
        <f t="shared" si="0"/>
        <v>39939032.218800001</v>
      </c>
      <c r="N8" s="77">
        <v>0.24</v>
      </c>
      <c r="O8" s="78">
        <f t="shared" si="0"/>
        <v>29046568.886399999</v>
      </c>
      <c r="P8" s="77">
        <v>7.0000000000000007E-2</v>
      </c>
      <c r="Q8" s="78">
        <f t="shared" si="1"/>
        <v>8471915.9252000004</v>
      </c>
      <c r="R8" s="77"/>
      <c r="S8" s="78">
        <f t="shared" si="2"/>
        <v>0</v>
      </c>
      <c r="T8" s="77">
        <v>0.17</v>
      </c>
      <c r="U8" s="57">
        <f t="shared" si="3"/>
        <v>20574652.961200003</v>
      </c>
      <c r="Y8" s="12">
        <f>K8-'Abr25'!K8</f>
        <v>2064019.1003999971</v>
      </c>
      <c r="Z8" s="12">
        <f>M8-'Abr25'!M8</f>
        <v>5402583.1265999973</v>
      </c>
      <c r="AA8" s="12">
        <f>O8-'Abr25'!O8</f>
        <v>789474.1745999977</v>
      </c>
      <c r="AB8" s="12">
        <f>Q8-'Abr25'!Q8</f>
        <v>99443.417999999598</v>
      </c>
      <c r="AC8" s="12">
        <f>+S8-'Abr25'!S8</f>
        <v>-12558708.7608</v>
      </c>
      <c r="AE8" s="28">
        <f>J8-'Abr25'!J8</f>
        <v>-1.0000000000000009E-2</v>
      </c>
      <c r="AF8" s="28">
        <f>L8-'Abr25'!L8</f>
        <v>0</v>
      </c>
      <c r="AG8" s="28">
        <f>N8-'Abr25'!N8</f>
        <v>-3.0000000000000027E-2</v>
      </c>
      <c r="AH8" s="28">
        <f>P8-'Abr25'!P8</f>
        <v>-9.999999999999995E-3</v>
      </c>
      <c r="AI8" s="28">
        <f>R8-'Abr25'!R8</f>
        <v>-0.12</v>
      </c>
      <c r="AK8" s="10">
        <f>I8-'Abr25'!I8</f>
        <v>16371464.019999996</v>
      </c>
      <c r="AL8" s="76">
        <f>I8/'Abr25'!I8-1</f>
        <v>0.15643134336645415</v>
      </c>
      <c r="AN8" t="s">
        <v>57</v>
      </c>
    </row>
    <row r="9" spans="1:43" x14ac:dyDescent="0.25">
      <c r="F9" s="7">
        <f t="shared" si="4"/>
        <v>1</v>
      </c>
      <c r="H9" s="3" t="s">
        <v>24</v>
      </c>
      <c r="I9" s="78">
        <v>1546670865.8199999</v>
      </c>
      <c r="J9" s="77">
        <v>0.55969999999999998</v>
      </c>
      <c r="K9" s="78">
        <f t="shared" si="0"/>
        <v>865671683.59945393</v>
      </c>
      <c r="L9" s="77">
        <v>0.15459999999999999</v>
      </c>
      <c r="M9" s="78">
        <f t="shared" si="0"/>
        <v>239115315.85577196</v>
      </c>
      <c r="N9" s="77">
        <v>0.24360000000000001</v>
      </c>
      <c r="O9" s="78">
        <f t="shared" si="0"/>
        <v>376769022.91375202</v>
      </c>
      <c r="P9" s="77">
        <v>3.9199999999999999E-2</v>
      </c>
      <c r="Q9" s="78">
        <f t="shared" si="1"/>
        <v>60629497.940143995</v>
      </c>
      <c r="R9" s="77"/>
      <c r="S9" s="78">
        <f t="shared" si="2"/>
        <v>0</v>
      </c>
      <c r="T9" s="77">
        <v>2.8999999999999998E-3</v>
      </c>
      <c r="U9" s="57">
        <f t="shared" si="3"/>
        <v>4485345.5108779995</v>
      </c>
      <c r="Y9" s="12">
        <f>K9-'Abr25'!K9</f>
        <v>-5569114.1613849401</v>
      </c>
      <c r="Z9" s="12">
        <f>M9-'Abr25'!M9</f>
        <v>6950416.7203599811</v>
      </c>
      <c r="AA9" s="12">
        <f>O9-'Abr25'!O9</f>
        <v>-8512672.9704839587</v>
      </c>
      <c r="AB9" s="12">
        <f>Q9-'Abr25'!Q9</f>
        <v>98569.144115000963</v>
      </c>
      <c r="AC9" s="12">
        <f>+S9-'Abr25'!S9</f>
        <v>0</v>
      </c>
      <c r="AE9" s="28">
        <f>J9-'Abr25'!J9</f>
        <v>-1.9999999999997797E-4</v>
      </c>
      <c r="AF9" s="28">
        <f>L9-'Abr25'!L9</f>
        <v>5.3999999999999881E-3</v>
      </c>
      <c r="AG9" s="28">
        <f>N9-'Abr25'!N9</f>
        <v>-3.9999999999999758E-3</v>
      </c>
      <c r="AH9" s="28">
        <f>P9-'Abr25'!P9</f>
        <v>3.0000000000000165E-4</v>
      </c>
      <c r="AI9" s="28">
        <f>R9-'Abr25'!R9</f>
        <v>0</v>
      </c>
      <c r="AK9" s="10">
        <f>I9-'Abr25'!I9</f>
        <v>-9394141.7899999619</v>
      </c>
      <c r="AL9" s="76">
        <f>I9/'Abr25'!I9-1</f>
        <v>-6.0371139663558671E-3</v>
      </c>
    </row>
    <row r="10" spans="1:43" x14ac:dyDescent="0.25">
      <c r="F10" s="7">
        <f t="shared" si="4"/>
        <v>1</v>
      </c>
      <c r="H10" s="3" t="s">
        <v>73</v>
      </c>
      <c r="I10" s="78">
        <v>7910095110.9399996</v>
      </c>
      <c r="J10" s="77">
        <v>0.36399999999999999</v>
      </c>
      <c r="K10" s="78">
        <f t="shared" si="0"/>
        <v>2879274620.3821597</v>
      </c>
      <c r="L10" s="77">
        <v>0.39700000000000002</v>
      </c>
      <c r="M10" s="78">
        <f t="shared" si="0"/>
        <v>3140307759.04318</v>
      </c>
      <c r="N10" s="77">
        <v>0.20499999999999999</v>
      </c>
      <c r="O10" s="78">
        <f t="shared" si="0"/>
        <v>1621569497.7426999</v>
      </c>
      <c r="P10" s="77">
        <v>3.4000000000000002E-2</v>
      </c>
      <c r="Q10" s="78">
        <f t="shared" si="1"/>
        <v>268943233.77196002</v>
      </c>
      <c r="R10" s="77"/>
      <c r="S10" s="78">
        <f t="shared" si="2"/>
        <v>0</v>
      </c>
      <c r="T10" s="77"/>
      <c r="U10" s="57">
        <f t="shared" si="3"/>
        <v>0</v>
      </c>
      <c r="Y10" s="12">
        <f>K10-'Abr25'!K10</f>
        <v>19011569.515120029</v>
      </c>
      <c r="Z10" s="12">
        <f>M10-'Abr25'!M10</f>
        <v>20735145.872260094</v>
      </c>
      <c r="AA10" s="12">
        <f>O10-'Abr25'!O10</f>
        <v>10707065.248899937</v>
      </c>
      <c r="AB10" s="12">
        <f>Q10-'Abr25'!Q10</f>
        <v>1775805.9437200129</v>
      </c>
      <c r="AC10" s="12">
        <f>+S10-'Abr25'!S10</f>
        <v>0</v>
      </c>
      <c r="AE10" s="28">
        <f>J10-'Abr25'!J10</f>
        <v>0</v>
      </c>
      <c r="AF10" s="28">
        <f>L10-'Abr25'!L10</f>
        <v>0</v>
      </c>
      <c r="AG10" s="28">
        <f>N10-'Abr25'!N10</f>
        <v>0</v>
      </c>
      <c r="AH10" s="28">
        <f>P10-'Abr25'!P10</f>
        <v>0</v>
      </c>
      <c r="AI10" s="28">
        <f>R10-'Abr25'!R10</f>
        <v>0</v>
      </c>
      <c r="AJ10" s="93"/>
      <c r="AK10" s="10">
        <f>I10-'Abr25'!I10</f>
        <v>52229586.579999924</v>
      </c>
      <c r="AL10" s="76">
        <f>I10/'Abr25'!I10-1</f>
        <v>6.646790584298401E-3</v>
      </c>
    </row>
    <row r="11" spans="1:43" x14ac:dyDescent="0.25">
      <c r="F11" s="7">
        <f t="shared" si="4"/>
        <v>1</v>
      </c>
      <c r="H11" s="3" t="s">
        <v>47</v>
      </c>
      <c r="I11" s="78">
        <v>3121365597.46</v>
      </c>
      <c r="J11" s="77">
        <v>0.68</v>
      </c>
      <c r="K11" s="78">
        <f t="shared" si="0"/>
        <v>2122528606.2728002</v>
      </c>
      <c r="L11" s="77">
        <v>0.2</v>
      </c>
      <c r="M11" s="78">
        <f t="shared" si="0"/>
        <v>624273119.49199998</v>
      </c>
      <c r="N11" s="77">
        <v>0.12</v>
      </c>
      <c r="O11" s="78">
        <f t="shared" si="0"/>
        <v>374563871.69519997</v>
      </c>
      <c r="P11" s="77"/>
      <c r="Q11" s="78">
        <f t="shared" si="1"/>
        <v>0</v>
      </c>
      <c r="R11" s="77"/>
      <c r="S11" s="78">
        <f t="shared" si="2"/>
        <v>0</v>
      </c>
      <c r="T11" s="77"/>
      <c r="U11" s="57">
        <f t="shared" si="3"/>
        <v>0</v>
      </c>
      <c r="Y11" s="12">
        <f>K11-'Abr25'!K11</f>
        <v>10217658.066900015</v>
      </c>
      <c r="Z11" s="12">
        <f>M11-'Abr25'!M11</f>
        <v>56786596.093400002</v>
      </c>
      <c r="AA11" s="12">
        <f>O11-'Abr25'!O11</f>
        <v>-98341564.470300019</v>
      </c>
      <c r="AB11" s="12">
        <f>Q11-'Abr25'!Q11</f>
        <v>0</v>
      </c>
      <c r="AC11" s="12">
        <f>+S11-'Abr25'!S12</f>
        <v>0</v>
      </c>
      <c r="AE11" s="28">
        <f>J11-'Abr25'!J11</f>
        <v>1.0000000000000009E-2</v>
      </c>
      <c r="AF11" s="28">
        <f>L11-'Abr25'!L11</f>
        <v>2.0000000000000018E-2</v>
      </c>
      <c r="AG11" s="28">
        <f>N11-'Abr25'!N11</f>
        <v>-0.03</v>
      </c>
      <c r="AH11" s="28">
        <f>P11-'Abr25'!P11</f>
        <v>0</v>
      </c>
      <c r="AI11" s="28">
        <f>R11-'Abr25'!R11</f>
        <v>0</v>
      </c>
      <c r="AK11" s="10">
        <f>I11-'Abr25'!I11</f>
        <v>-31337310.309999943</v>
      </c>
      <c r="AL11" s="76">
        <f>I11/'Abr25'!I11-1</f>
        <v>-9.9398234552223741E-3</v>
      </c>
    </row>
    <row r="12" spans="1:43" x14ac:dyDescent="0.25">
      <c r="B12" t="s">
        <v>70</v>
      </c>
      <c r="F12" s="7">
        <f t="shared" si="4"/>
        <v>1</v>
      </c>
      <c r="H12" s="3" t="s">
        <v>30</v>
      </c>
      <c r="I12" s="101">
        <v>1397060960.0999999</v>
      </c>
      <c r="J12" s="77">
        <v>0.48399999999999999</v>
      </c>
      <c r="K12" s="78">
        <f t="shared" si="0"/>
        <v>676177504.68839991</v>
      </c>
      <c r="L12" s="77">
        <v>0.221</v>
      </c>
      <c r="M12" s="78">
        <f t="shared" si="0"/>
        <v>308750472.1821</v>
      </c>
      <c r="N12" s="77">
        <v>0.28699999999999998</v>
      </c>
      <c r="O12" s="78">
        <f t="shared" si="0"/>
        <v>400956495.54869992</v>
      </c>
      <c r="P12" s="77">
        <v>8.0000000000000004E-4</v>
      </c>
      <c r="Q12" s="78">
        <f t="shared" si="1"/>
        <v>1117648.7680800001</v>
      </c>
      <c r="R12" s="77"/>
      <c r="S12" s="78">
        <f t="shared" si="2"/>
        <v>0</v>
      </c>
      <c r="T12" s="77">
        <v>7.1999999999999998E-3</v>
      </c>
      <c r="U12" s="57">
        <f t="shared" si="3"/>
        <v>10058838.912719999</v>
      </c>
      <c r="Y12" s="12">
        <f>K12-'Abr25'!K12</f>
        <v>-3723671.9176800251</v>
      </c>
      <c r="Z12" s="12">
        <f>M12-'Abr25'!M12</f>
        <v>-1700271.6814199686</v>
      </c>
      <c r="AA12" s="12">
        <f>O12-'Abr25'!O12</f>
        <v>-2208045.1247400045</v>
      </c>
      <c r="AB12" s="12">
        <f>Q12-'Abr25'!Q12</f>
        <v>-10120387.20888</v>
      </c>
      <c r="AC12" s="12">
        <f>+S12-'Abr25'!S12</f>
        <v>0</v>
      </c>
      <c r="AE12" s="28">
        <f>J12-'Abr25'!J12</f>
        <v>0</v>
      </c>
      <c r="AF12" s="28">
        <f>L12-'Abr25'!L12</f>
        <v>0</v>
      </c>
      <c r="AG12" s="28">
        <f>N12-'Abr25'!N12</f>
        <v>0</v>
      </c>
      <c r="AH12" s="28">
        <f>P12-'Abr25'!P12</f>
        <v>-7.1999999999999998E-3</v>
      </c>
      <c r="AI12" s="28">
        <f>R12-'Abr25'!R12</f>
        <v>0</v>
      </c>
      <c r="AJ12" s="93"/>
      <c r="AK12" s="10">
        <f>I12-'Abr25'!I12</f>
        <v>-7693537.0199999809</v>
      </c>
      <c r="AL12" s="76">
        <f>I12/'Abr25'!I12-1</f>
        <v>-5.47678404715779E-3</v>
      </c>
    </row>
    <row r="13" spans="1:43" x14ac:dyDescent="0.25">
      <c r="B13" t="s">
        <v>74</v>
      </c>
      <c r="F13" s="7">
        <f t="shared" si="4"/>
        <v>1</v>
      </c>
      <c r="H13" s="3" t="s">
        <v>64</v>
      </c>
      <c r="I13" s="102">
        <v>940024977.75</v>
      </c>
      <c r="J13" s="77">
        <v>0.5</v>
      </c>
      <c r="K13" s="78">
        <f t="shared" si="0"/>
        <v>470012488.875</v>
      </c>
      <c r="L13" s="77">
        <v>0.18</v>
      </c>
      <c r="M13" s="78">
        <f t="shared" si="0"/>
        <v>169204495.995</v>
      </c>
      <c r="N13" s="77">
        <v>0.28000000000000003</v>
      </c>
      <c r="O13" s="78">
        <f t="shared" si="0"/>
        <v>263206993.77000001</v>
      </c>
      <c r="P13" s="77">
        <v>0.04</v>
      </c>
      <c r="Q13" s="78">
        <f t="shared" si="1"/>
        <v>37600999.109999999</v>
      </c>
      <c r="R13" s="77"/>
      <c r="S13" s="78">
        <f t="shared" si="2"/>
        <v>0</v>
      </c>
      <c r="T13" s="77"/>
      <c r="U13" s="57">
        <f t="shared" si="3"/>
        <v>0</v>
      </c>
      <c r="Y13" s="12">
        <f>K13-'Abr25'!K13</f>
        <v>8761114.162800014</v>
      </c>
      <c r="Z13" s="12">
        <f>M13-'Abr25'!M13</f>
        <v>-35796114.988199979</v>
      </c>
      <c r="AA13" s="12">
        <f>O13-'Abr25'!O13</f>
        <v>100914843.40830001</v>
      </c>
      <c r="AB13" s="12">
        <f>Q13-'Abr25'!Q13</f>
        <v>11975922.737100001</v>
      </c>
      <c r="AC13" s="12">
        <f>+S13-'Abr25'!S13</f>
        <v>0</v>
      </c>
      <c r="AE13" s="28">
        <f>J13-'Abr25'!J13</f>
        <v>-4.0000000000000036E-2</v>
      </c>
      <c r="AF13" s="28">
        <f>L13-'Abr25'!L13</f>
        <v>-0.06</v>
      </c>
      <c r="AG13" s="28">
        <f>N13-'Abr25'!N13</f>
        <v>9.0000000000000024E-2</v>
      </c>
      <c r="AH13" s="28">
        <f>P13-'Abr25'!P13</f>
        <v>1.0000000000000002E-2</v>
      </c>
      <c r="AI13" s="28">
        <f>R13-'Abr25'!R13</f>
        <v>0</v>
      </c>
      <c r="AK13" s="10">
        <f>I13-'Abr25'!I13</f>
        <v>85855765.320000052</v>
      </c>
      <c r="AL13" s="76">
        <f>I13/'Abr25'!I13-1</f>
        <v>0.10051376714427773</v>
      </c>
    </row>
    <row r="14" spans="1:43" s="8" customFormat="1" x14ac:dyDescent="0.25">
      <c r="B14" t="s">
        <v>42</v>
      </c>
      <c r="F14" s="7">
        <f>J14+L14+N14+P14+R14+T14</f>
        <v>1.0000000000000002</v>
      </c>
      <c r="H14" s="21" t="s">
        <v>45</v>
      </c>
      <c r="I14" s="20">
        <f>SUM(I3:I13)</f>
        <v>25169265542.529995</v>
      </c>
      <c r="J14" s="15">
        <f>K14/$I$14</f>
        <v>0.40060544116120067</v>
      </c>
      <c r="K14" s="17">
        <f>SUM(K3:K13)</f>
        <v>10082944726.368635</v>
      </c>
      <c r="L14" s="15">
        <f>M14/$I$14</f>
        <v>0.30511242799854432</v>
      </c>
      <c r="M14" s="20">
        <f>SUM(M3:M13)</f>
        <v>7679455720.6214256</v>
      </c>
      <c r="N14" s="15">
        <f>O14/$I$14</f>
        <v>0.24933374524302776</v>
      </c>
      <c r="O14" s="17">
        <f>SUM(O3:O13)</f>
        <v>6275547242.7352905</v>
      </c>
      <c r="P14" s="15">
        <f>Q14/$I$14</f>
        <v>3.2497151959616076E-2</v>
      </c>
      <c r="Q14" s="17">
        <f>SUM(Q3:Q13)</f>
        <v>817929447.047526</v>
      </c>
      <c r="R14" s="15">
        <f>S14/$I$14</f>
        <v>1.1080026851350371E-3</v>
      </c>
      <c r="S14" s="17">
        <f>SUM(S3:S13)</f>
        <v>27887613.804000001</v>
      </c>
      <c r="T14" s="15">
        <f>U14/$I$14</f>
        <v>1.1343230952476326E-2</v>
      </c>
      <c r="U14" s="63">
        <f>SUM(U3:U13)</f>
        <v>285500791.95312208</v>
      </c>
      <c r="Y14" s="12">
        <f>K14-'Abr25'!K14</f>
        <v>181140171.50457764</v>
      </c>
      <c r="Z14" s="12">
        <f>M14-'Abr25'!M14</f>
        <v>9809078.70936203</v>
      </c>
      <c r="AA14" s="12">
        <f>O14-'Abr25'!O14</f>
        <v>-74437872.561680794</v>
      </c>
      <c r="AB14" s="12">
        <f>Q14-'Abr25'!Q14</f>
        <v>-2932423.7201229334</v>
      </c>
      <c r="AC14" s="12">
        <f>+S14-'Abr25'!S14</f>
        <v>-10107404.627999995</v>
      </c>
      <c r="AE14" s="28">
        <f>J14-'Abr25'!J14</f>
        <v>6.3512392618507718E-3</v>
      </c>
      <c r="AF14" s="28">
        <f>L14-'Abr25'!L14</f>
        <v>-2.6528359966077053E-4</v>
      </c>
      <c r="AG14" s="28">
        <f>N14-'Abr25'!N14</f>
        <v>-3.4997963435269841E-3</v>
      </c>
      <c r="AH14" s="28">
        <f>P14-'Abr25'!P14</f>
        <v>-1.8661188726080274E-4</v>
      </c>
      <c r="AI14" s="28">
        <f>R14-'Abr25'!R14</f>
        <v>-4.0482213230703013E-4</v>
      </c>
      <c r="AK14" s="92">
        <f>I14-'Abr25'!I14</f>
        <v>53985839.329994202</v>
      </c>
      <c r="AL14" s="76">
        <f>I14/'Abr25'!I14-1</f>
        <v>2.1495217241445097E-3</v>
      </c>
    </row>
    <row r="15" spans="1:43" x14ac:dyDescent="0.25">
      <c r="B15" t="s">
        <v>66</v>
      </c>
      <c r="F15" s="7"/>
      <c r="I15" s="10"/>
      <c r="J15" s="10"/>
      <c r="K15" s="10"/>
      <c r="L15" s="5"/>
      <c r="M15" s="10"/>
      <c r="N15" s="10"/>
      <c r="O15" s="10"/>
      <c r="P15" s="5"/>
      <c r="Q15" s="10"/>
    </row>
    <row r="16" spans="1:43" x14ac:dyDescent="0.25">
      <c r="F16" s="7"/>
      <c r="H16" s="4" t="s">
        <v>2</v>
      </c>
      <c r="I16" s="9" t="s">
        <v>4</v>
      </c>
      <c r="J16" s="112" t="s">
        <v>7</v>
      </c>
      <c r="K16" s="112"/>
      <c r="L16" s="112" t="s">
        <v>8</v>
      </c>
      <c r="M16" s="112"/>
      <c r="N16" s="112" t="s">
        <v>10</v>
      </c>
      <c r="O16" s="112"/>
      <c r="P16" s="112" t="s">
        <v>9</v>
      </c>
      <c r="Q16" s="112"/>
      <c r="R16" s="112" t="s">
        <v>21</v>
      </c>
      <c r="S16" s="112"/>
      <c r="T16" s="112" t="s">
        <v>55</v>
      </c>
      <c r="U16" s="112"/>
      <c r="Y16" s="27" t="s">
        <v>49</v>
      </c>
      <c r="Z16" s="27" t="s">
        <v>50</v>
      </c>
      <c r="AA16" s="27" t="s">
        <v>51</v>
      </c>
      <c r="AB16" s="27" t="s">
        <v>52</v>
      </c>
      <c r="AC16" s="27" t="s">
        <v>53</v>
      </c>
      <c r="AE16" s="27" t="s">
        <v>49</v>
      </c>
      <c r="AF16" s="27" t="s">
        <v>50</v>
      </c>
      <c r="AG16" s="27" t="s">
        <v>51</v>
      </c>
      <c r="AH16" s="27" t="s">
        <v>52</v>
      </c>
      <c r="AI16" s="27" t="s">
        <v>53</v>
      </c>
    </row>
    <row r="17" spans="2:39" x14ac:dyDescent="0.25">
      <c r="E17" s="98"/>
      <c r="F17" s="7">
        <f t="shared" si="4"/>
        <v>1</v>
      </c>
      <c r="G17" s="99"/>
      <c r="H17" s="21" t="s">
        <v>6</v>
      </c>
      <c r="I17" s="80">
        <v>282268961.61000001</v>
      </c>
      <c r="J17" s="81">
        <v>0.26290000000000002</v>
      </c>
      <c r="K17" s="80">
        <f t="shared" ref="K17:M26" si="5">+J17*$I17</f>
        <v>74208510.00726901</v>
      </c>
      <c r="L17" s="81">
        <v>0.26800000000000002</v>
      </c>
      <c r="M17" s="80">
        <f t="shared" si="5"/>
        <v>75648081.711480007</v>
      </c>
      <c r="N17" s="81">
        <v>0.33860000000000001</v>
      </c>
      <c r="O17" s="80">
        <f t="shared" ref="O17:O26" si="6">+N17*$I17</f>
        <v>95576270.40114601</v>
      </c>
      <c r="P17" s="81">
        <v>7.1800000000000003E-2</v>
      </c>
      <c r="Q17" s="80">
        <f t="shared" ref="Q17:Q26" si="7">+P17*$I17</f>
        <v>20266911.443598002</v>
      </c>
      <c r="R17" s="81"/>
      <c r="S17" s="80">
        <f t="shared" ref="S17:S26" si="8">+R17*$I17</f>
        <v>0</v>
      </c>
      <c r="T17" s="81">
        <v>5.8700000000000002E-2</v>
      </c>
      <c r="U17" s="79">
        <f t="shared" ref="U17:U26" si="9">+T17*$I17</f>
        <v>16569188.046507001</v>
      </c>
      <c r="V17" s="98"/>
      <c r="Y17" s="12">
        <f>K17-'Abr25'!K17</f>
        <v>9419633.3487090096</v>
      </c>
      <c r="Z17" s="12">
        <f>M17-'Abr25'!M17</f>
        <v>1099163.976888001</v>
      </c>
      <c r="AA17" s="12">
        <f>O17-'Abr25'!O17</f>
        <v>-3497878.7552699894</v>
      </c>
      <c r="AB17" s="12">
        <f>Q17-'Abr25'!Q17</f>
        <v>-810328.25905799866</v>
      </c>
      <c r="AC17" s="12">
        <f>+S17-'Abr25'!S17</f>
        <v>-17823892.677312002</v>
      </c>
      <c r="AD17" s="98"/>
      <c r="AE17" s="28">
        <f>J17-'Abr25'!J17</f>
        <v>2.990000000000001E-2</v>
      </c>
      <c r="AF17" s="28">
        <f>L17-'Abr25'!L17</f>
        <v>-9.9999999999988987E-5</v>
      </c>
      <c r="AG17" s="28">
        <f>N17-'Abr25'!N17</f>
        <v>-1.7699999999999994E-2</v>
      </c>
      <c r="AH17" s="28">
        <f>P17-'Abr25'!P17</f>
        <v>-4.0000000000000036E-3</v>
      </c>
      <c r="AI17" s="28">
        <f>R17-'Abr25'!R17</f>
        <v>-6.4100000000000004E-2</v>
      </c>
      <c r="AJ17" s="98"/>
      <c r="AK17" s="10">
        <f>I17-'Abr25'!I17</f>
        <v>4205113.2900000215</v>
      </c>
      <c r="AL17" s="76">
        <f>I17/'Abr25'!I17-1</f>
        <v>1.5122833534119584E-2</v>
      </c>
      <c r="AM17" s="98"/>
    </row>
    <row r="18" spans="2:39" x14ac:dyDescent="0.25">
      <c r="F18" s="7">
        <f t="shared" si="4"/>
        <v>1</v>
      </c>
      <c r="H18" s="3" t="s">
        <v>26</v>
      </c>
      <c r="I18" s="78">
        <v>790450759.21000004</v>
      </c>
      <c r="J18" s="77">
        <v>0.1333</v>
      </c>
      <c r="K18" s="78">
        <f t="shared" si="5"/>
        <v>105367086.202693</v>
      </c>
      <c r="L18" s="77">
        <v>0.19170000000000001</v>
      </c>
      <c r="M18" s="78">
        <f t="shared" si="5"/>
        <v>151529410.54055703</v>
      </c>
      <c r="N18" s="77">
        <v>0.45</v>
      </c>
      <c r="O18" s="78">
        <f t="shared" si="6"/>
        <v>355702841.64450002</v>
      </c>
      <c r="P18" s="77">
        <v>0.15</v>
      </c>
      <c r="Q18" s="78">
        <f t="shared" si="7"/>
        <v>118567613.88150001</v>
      </c>
      <c r="R18" s="77"/>
      <c r="S18" s="78">
        <f t="shared" si="8"/>
        <v>0</v>
      </c>
      <c r="T18" s="77">
        <v>7.4999999999999997E-2</v>
      </c>
      <c r="U18" s="57">
        <f t="shared" si="9"/>
        <v>59283806.940750003</v>
      </c>
      <c r="Y18" s="12">
        <f>K18-'Abr25'!K18</f>
        <v>-12376887.713807002</v>
      </c>
      <c r="Z18" s="12">
        <f>M18-'Abr25'!M18</f>
        <v>-13312152.94254297</v>
      </c>
      <c r="AA18" s="12">
        <f>O18-'Abr25'!O18</f>
        <v>33869312.939400017</v>
      </c>
      <c r="AB18" s="12">
        <f>Q18-'Abr25'!Q18</f>
        <v>8673238.2260999978</v>
      </c>
      <c r="AC18" s="12">
        <f>+S18-'Abr25'!S18</f>
        <v>-70646384.349899992</v>
      </c>
      <c r="AE18" s="28">
        <f>J18-'Abr25'!J18</f>
        <v>-1.6699999999999993E-2</v>
      </c>
      <c r="AF18" s="28">
        <f>L18-'Abr25'!L18</f>
        <v>-1.8299999999999983E-2</v>
      </c>
      <c r="AG18" s="28">
        <f>N18-'Abr25'!N18</f>
        <v>4.0000000000000036E-2</v>
      </c>
      <c r="AH18" s="28">
        <f>P18-'Abr25'!P18</f>
        <v>9.9999999999999811E-3</v>
      </c>
      <c r="AI18" s="28">
        <f>R18-'Abr25'!R18</f>
        <v>-0.09</v>
      </c>
      <c r="AK18" s="10">
        <f>I18-'Abr25'!I18</f>
        <v>5490933.1000000238</v>
      </c>
      <c r="AL18" s="76">
        <f>I18/'Abr25'!I18-1</f>
        <v>6.995177227363758E-3</v>
      </c>
    </row>
    <row r="19" spans="2:39" x14ac:dyDescent="0.25">
      <c r="F19" s="7">
        <f t="shared" si="4"/>
        <v>1</v>
      </c>
      <c r="H19" s="3" t="s">
        <v>27</v>
      </c>
      <c r="I19" s="78">
        <v>623449658.38</v>
      </c>
      <c r="J19" s="77">
        <v>8.5999999999999993E-2</v>
      </c>
      <c r="K19" s="78">
        <f t="shared" si="5"/>
        <v>53616670.620679997</v>
      </c>
      <c r="L19" s="77">
        <v>0.39700000000000002</v>
      </c>
      <c r="M19" s="78">
        <f t="shared" si="5"/>
        <v>247509514.37686002</v>
      </c>
      <c r="N19" s="77">
        <v>0.45600000000000002</v>
      </c>
      <c r="O19" s="78">
        <f t="shared" si="6"/>
        <v>284293044.22127998</v>
      </c>
      <c r="P19" s="77">
        <v>3.5999999999999997E-2</v>
      </c>
      <c r="Q19" s="78">
        <f t="shared" si="7"/>
        <v>22444187.701679997</v>
      </c>
      <c r="R19" s="77"/>
      <c r="S19" s="78">
        <f t="shared" si="8"/>
        <v>0</v>
      </c>
      <c r="T19" s="77">
        <v>2.5000000000000001E-2</v>
      </c>
      <c r="U19" s="57">
        <f t="shared" si="9"/>
        <v>15586241.4595</v>
      </c>
      <c r="Y19" s="12">
        <f>K19-'Abr25'!K19</f>
        <v>-30750358.118170001</v>
      </c>
      <c r="Z19" s="12">
        <f>M19-'Abr25'!M19</f>
        <v>33937036.030960023</v>
      </c>
      <c r="AA19" s="12">
        <f>O19-'Abr25'!O19</f>
        <v>37681729.446179956</v>
      </c>
      <c r="AB19" s="12">
        <f>Q19-'Abr25'!Q19</f>
        <v>1794914.9334299937</v>
      </c>
      <c r="AC19" s="12">
        <f>+S19-'Abr25'!S19</f>
        <v>0</v>
      </c>
      <c r="AE19" s="28">
        <f>J19-'Abr25'!J19</f>
        <v>-5.6999999999999995E-2</v>
      </c>
      <c r="AF19" s="28">
        <f>L19-'Abr25'!L19</f>
        <v>3.5000000000000031E-2</v>
      </c>
      <c r="AG19" s="28">
        <f>N19-'Abr25'!N19</f>
        <v>3.8000000000000034E-2</v>
      </c>
      <c r="AH19" s="28">
        <f>P19-'Abr25'!P19</f>
        <v>9.9999999999999395E-4</v>
      </c>
      <c r="AI19" s="28">
        <f>R19-'Abr25'!R19</f>
        <v>0</v>
      </c>
      <c r="AJ19" s="93"/>
      <c r="AK19" s="10">
        <f>I19-'Abr25'!I19</f>
        <v>33470436.429999948</v>
      </c>
      <c r="AL19" s="76">
        <f>I19/'Abr25'!I19-1</f>
        <v>5.6731551188147655E-2</v>
      </c>
    </row>
    <row r="20" spans="2:39" x14ac:dyDescent="0.25">
      <c r="B20" s="1"/>
      <c r="C20" s="1" t="s">
        <v>20</v>
      </c>
      <c r="D20" s="1"/>
      <c r="F20" s="7">
        <f t="shared" si="4"/>
        <v>1</v>
      </c>
      <c r="H20" s="3" t="s">
        <v>67</v>
      </c>
      <c r="I20" s="78">
        <v>1234679149.6400001</v>
      </c>
      <c r="J20" s="77">
        <v>0.22</v>
      </c>
      <c r="K20" s="78">
        <f t="shared" si="5"/>
        <v>271629412.92080003</v>
      </c>
      <c r="L20" s="77">
        <v>0.24</v>
      </c>
      <c r="M20" s="78">
        <f t="shared" si="5"/>
        <v>296322995.91360003</v>
      </c>
      <c r="N20" s="77">
        <v>0.38</v>
      </c>
      <c r="O20" s="78">
        <f t="shared" si="6"/>
        <v>469178076.86320007</v>
      </c>
      <c r="P20" s="77">
        <v>0.16</v>
      </c>
      <c r="Q20" s="78">
        <f t="shared" si="7"/>
        <v>197548663.94240001</v>
      </c>
      <c r="R20" s="77"/>
      <c r="S20" s="78">
        <f t="shared" si="8"/>
        <v>0</v>
      </c>
      <c r="T20" s="77"/>
      <c r="U20" s="57">
        <f t="shared" si="9"/>
        <v>0</v>
      </c>
      <c r="Y20" s="12">
        <f>K20-'Abr25'!K20</f>
        <v>28014662.378800005</v>
      </c>
      <c r="Z20" s="12">
        <f>M20-'Abr25'!M20</f>
        <v>16166032.790300012</v>
      </c>
      <c r="AA20" s="12">
        <f>O20-'Abr25'!O20</f>
        <v>-30232161.74789989</v>
      </c>
      <c r="AB20" s="12">
        <f>Q20-'Abr25'!Q20</f>
        <v>14837601.035899997</v>
      </c>
      <c r="AC20" s="12">
        <f>+S20-'Abr25'!S20</f>
        <v>0</v>
      </c>
      <c r="AE20" s="28">
        <f>J20-'Abr25'!J20</f>
        <v>1.999999999999999E-2</v>
      </c>
      <c r="AF20" s="28">
        <f>L20-'Abr25'!L20</f>
        <v>9.9999999999999811E-3</v>
      </c>
      <c r="AG20" s="28">
        <f>N20-'Abr25'!N20</f>
        <v>-2.9999999999999971E-2</v>
      </c>
      <c r="AH20" s="28">
        <f>P20-'Abr25'!P20</f>
        <v>1.0000000000000009E-2</v>
      </c>
      <c r="AI20" s="28">
        <f>R20-'Abr25'!R20</f>
        <v>0</v>
      </c>
      <c r="AJ20" s="93"/>
      <c r="AK20" s="10">
        <f>I20-'Abr25'!I20</f>
        <v>16605396.930000067</v>
      </c>
      <c r="AL20" s="76">
        <f>I20/'Abr25'!I20-1</f>
        <v>1.3632505333158962E-2</v>
      </c>
    </row>
    <row r="21" spans="2:39" x14ac:dyDescent="0.25">
      <c r="B21" t="s">
        <v>11</v>
      </c>
      <c r="C21" s="2" t="s">
        <v>10</v>
      </c>
      <c r="D21" t="s">
        <v>7</v>
      </c>
      <c r="F21" s="7">
        <f t="shared" si="4"/>
        <v>1</v>
      </c>
      <c r="H21" s="3" t="s">
        <v>32</v>
      </c>
      <c r="I21" s="78">
        <v>201809056.06999999</v>
      </c>
      <c r="J21" s="77">
        <v>0.12</v>
      </c>
      <c r="K21" s="78">
        <f t="shared" si="5"/>
        <v>24217086.728399999</v>
      </c>
      <c r="L21" s="77">
        <v>0.21</v>
      </c>
      <c r="M21" s="78">
        <f t="shared" si="5"/>
        <v>42379901.774699993</v>
      </c>
      <c r="N21" s="77">
        <v>0.54</v>
      </c>
      <c r="O21" s="78">
        <f t="shared" si="6"/>
        <v>108976890.27780001</v>
      </c>
      <c r="P21" s="77">
        <v>0.11</v>
      </c>
      <c r="Q21" s="78">
        <f t="shared" si="7"/>
        <v>22198996.1677</v>
      </c>
      <c r="R21" s="77"/>
      <c r="S21" s="78">
        <f t="shared" si="8"/>
        <v>0</v>
      </c>
      <c r="T21" s="77">
        <v>0.02</v>
      </c>
      <c r="U21" s="57">
        <f t="shared" si="9"/>
        <v>4036181.1214000001</v>
      </c>
      <c r="Y21" s="12">
        <f>K21-'Abr25'!K21</f>
        <v>-14421577.168300003</v>
      </c>
      <c r="Z21" s="12">
        <f>M21-'Abr25'!M21</f>
        <v>17976535.103099994</v>
      </c>
      <c r="AA21" s="12">
        <f>O21-'Abr25'!O21</f>
        <v>-4905487.5230000019</v>
      </c>
      <c r="AB21" s="12">
        <f>Q21-'Abr25'!Q21</f>
        <v>-4237984.3932000026</v>
      </c>
      <c r="AC21" s="12">
        <f>+S21-'Abr25'!S21</f>
        <v>0</v>
      </c>
      <c r="AE21" s="28">
        <f>J21-'Abr25'!J21</f>
        <v>-7.0000000000000007E-2</v>
      </c>
      <c r="AF21" s="28">
        <f>L21-'Abr25'!L21</f>
        <v>0.09</v>
      </c>
      <c r="AG21" s="28">
        <f>N21-'Abr25'!N21</f>
        <v>-2.0000000000000018E-2</v>
      </c>
      <c r="AH21" s="28">
        <f>P21-'Abr25'!P21</f>
        <v>-2.0000000000000004E-2</v>
      </c>
      <c r="AI21" s="28">
        <f>R21-'Abr25'!R21</f>
        <v>0</v>
      </c>
      <c r="AK21" s="10">
        <f>I21-'Abr25'!I21</f>
        <v>-1552332.8600000143</v>
      </c>
      <c r="AL21" s="76">
        <f>I21/'Abr25'!I21-1</f>
        <v>-7.6333706617943697E-3</v>
      </c>
    </row>
    <row r="22" spans="2:39" x14ac:dyDescent="0.25">
      <c r="B22" t="s">
        <v>12</v>
      </c>
      <c r="C22" s="2" t="s">
        <v>16</v>
      </c>
      <c r="D22" t="s">
        <v>58</v>
      </c>
      <c r="F22" s="7">
        <f t="shared" si="4"/>
        <v>1</v>
      </c>
      <c r="H22" s="3" t="s">
        <v>33</v>
      </c>
      <c r="I22" s="78">
        <v>1231936667.8099999</v>
      </c>
      <c r="J22" s="77">
        <v>0.23</v>
      </c>
      <c r="K22" s="78">
        <f t="shared" si="5"/>
        <v>283345433.59630001</v>
      </c>
      <c r="L22" s="77">
        <v>0.17</v>
      </c>
      <c r="M22" s="78">
        <f t="shared" si="5"/>
        <v>209429233.52770001</v>
      </c>
      <c r="N22" s="77">
        <v>0.56999999999999995</v>
      </c>
      <c r="O22" s="78">
        <f t="shared" si="6"/>
        <v>702203900.6516999</v>
      </c>
      <c r="P22" s="77">
        <v>0.02</v>
      </c>
      <c r="Q22" s="78">
        <f t="shared" si="7"/>
        <v>24638733.356199998</v>
      </c>
      <c r="R22" s="77"/>
      <c r="S22" s="78">
        <f t="shared" si="8"/>
        <v>0</v>
      </c>
      <c r="T22" s="77">
        <v>0.01</v>
      </c>
      <c r="U22" s="57">
        <f t="shared" si="9"/>
        <v>12319366.678099999</v>
      </c>
      <c r="Y22" s="12">
        <f>K22-'Abr25'!K22</f>
        <v>-15273704.258700013</v>
      </c>
      <c r="Z22" s="12">
        <f>M22-'Abr25'!M22</f>
        <v>54147281.843099982</v>
      </c>
      <c r="AA22" s="12">
        <f>O22-'Abr25'!O22</f>
        <v>-14482030.200300097</v>
      </c>
      <c r="AB22" s="12">
        <f>Q22-'Abr25'!Q22</f>
        <v>749202.32779999822</v>
      </c>
      <c r="AC22" s="12">
        <f>+S22-'Abr25'!S22</f>
        <v>0</v>
      </c>
      <c r="AE22" s="28">
        <f>J22-'Abr25'!J22</f>
        <v>-1.999999999999999E-2</v>
      </c>
      <c r="AF22" s="28">
        <f>L22-'Abr25'!L22</f>
        <v>4.0000000000000008E-2</v>
      </c>
      <c r="AG22" s="28">
        <f>N22-'Abr25'!N22</f>
        <v>-3.0000000000000027E-2</v>
      </c>
      <c r="AH22" s="28">
        <f>P22-'Abr25'!P22</f>
        <v>0</v>
      </c>
      <c r="AI22" s="28">
        <f>R22-'Abr25'!R22</f>
        <v>0</v>
      </c>
      <c r="AK22" s="10">
        <f>I22-'Abr25'!I22</f>
        <v>37460116.389999866</v>
      </c>
      <c r="AL22" s="76">
        <f>I22/'Abr25'!I22-1</f>
        <v>3.1361114913027954E-2</v>
      </c>
    </row>
    <row r="23" spans="2:39" x14ac:dyDescent="0.25">
      <c r="B23" t="s">
        <v>13</v>
      </c>
      <c r="C23" s="2" t="s">
        <v>17</v>
      </c>
      <c r="D23" t="s">
        <v>59</v>
      </c>
      <c r="F23" s="7">
        <f t="shared" si="4"/>
        <v>1</v>
      </c>
      <c r="H23" s="3" t="s">
        <v>68</v>
      </c>
      <c r="I23" s="78">
        <v>226296023.72999999</v>
      </c>
      <c r="J23" s="77">
        <v>0.49509999999999998</v>
      </c>
      <c r="K23" s="78">
        <f t="shared" si="5"/>
        <v>112039161.34872299</v>
      </c>
      <c r="L23" s="77">
        <v>0.122</v>
      </c>
      <c r="M23" s="78">
        <f t="shared" si="5"/>
        <v>27608114.895059999</v>
      </c>
      <c r="N23" s="77">
        <v>0.30180000000000001</v>
      </c>
      <c r="O23" s="78">
        <f t="shared" si="6"/>
        <v>68296139.961714</v>
      </c>
      <c r="P23" s="77">
        <v>8.0799999999999997E-2</v>
      </c>
      <c r="Q23" s="78">
        <f t="shared" si="7"/>
        <v>18284718.717383999</v>
      </c>
      <c r="R23" s="77"/>
      <c r="S23" s="78">
        <f t="shared" si="8"/>
        <v>0</v>
      </c>
      <c r="T23" s="77">
        <v>2.9999999999999997E-4</v>
      </c>
      <c r="U23" s="57">
        <f t="shared" si="9"/>
        <v>67888.80711899999</v>
      </c>
      <c r="Y23" s="12">
        <f>K23-'Abr25'!K23</f>
        <v>11711240.802728996</v>
      </c>
      <c r="Z23" s="12">
        <f>M23-'Abr25'!M23</f>
        <v>747975.88494800031</v>
      </c>
      <c r="AA23" s="12">
        <f>O23-'Abr25'!O23</f>
        <v>-5193730.5042749941</v>
      </c>
      <c r="AB23" s="12">
        <f>Q23-'Abr25'!Q23</f>
        <v>-1484873.7283810005</v>
      </c>
      <c r="AC23" s="12">
        <f>+S23-'Abr25'!S23</f>
        <v>0</v>
      </c>
      <c r="AE23" s="28">
        <f>J23-'Abr25'!J23</f>
        <v>4.0899999999999992E-2</v>
      </c>
      <c r="AF23" s="28">
        <f>L23-'Abr25'!L23</f>
        <v>3.9999999999999758E-4</v>
      </c>
      <c r="AG23" s="28">
        <f>N23-'Abr25'!N23</f>
        <v>-3.0899999999999983E-2</v>
      </c>
      <c r="AH23" s="28">
        <f>P23-'Abr25'!P23</f>
        <v>-8.6999999999999994E-3</v>
      </c>
      <c r="AI23" s="28">
        <f>R23-'Abr25'!R23</f>
        <v>0</v>
      </c>
      <c r="AJ23" s="93"/>
      <c r="AK23" s="10">
        <f>I23-'Abr25'!I23</f>
        <v>5406722.6599999964</v>
      </c>
      <c r="AL23" s="76">
        <f>I23/'Abr25'!I23-1</f>
        <v>2.4477068983466133E-2</v>
      </c>
    </row>
    <row r="24" spans="2:39" x14ac:dyDescent="0.25">
      <c r="B24" t="s">
        <v>14</v>
      </c>
      <c r="C24" s="2" t="s">
        <v>18</v>
      </c>
      <c r="F24" s="7">
        <f t="shared" si="4"/>
        <v>0.99999999999999989</v>
      </c>
      <c r="H24" s="3" t="s">
        <v>35</v>
      </c>
      <c r="I24" s="78">
        <v>458278442.39999998</v>
      </c>
      <c r="J24" s="77">
        <v>0.14399999999999999</v>
      </c>
      <c r="K24" s="78">
        <f t="shared" si="5"/>
        <v>65992095.705599993</v>
      </c>
      <c r="L24" s="77">
        <v>0.42</v>
      </c>
      <c r="M24" s="78">
        <f t="shared" si="5"/>
        <v>192476945.80799997</v>
      </c>
      <c r="N24" s="77">
        <v>0.35699999999999998</v>
      </c>
      <c r="O24" s="78">
        <f t="shared" si="6"/>
        <v>163605403.93679997</v>
      </c>
      <c r="P24" s="77">
        <v>7.9000000000000001E-2</v>
      </c>
      <c r="Q24" s="78">
        <f t="shared" si="7"/>
        <v>36203996.949599996</v>
      </c>
      <c r="R24" s="77"/>
      <c r="S24" s="78">
        <f t="shared" si="8"/>
        <v>0</v>
      </c>
      <c r="T24" s="77"/>
      <c r="U24" s="57">
        <f t="shared" si="9"/>
        <v>0</v>
      </c>
      <c r="Y24" s="12">
        <f>K24-'Abr25'!K24</f>
        <v>5135089.6876499876</v>
      </c>
      <c r="Z24" s="12">
        <f>M24-'Abr25'!M24</f>
        <v>3144038.1965999603</v>
      </c>
      <c r="AA24" s="12">
        <f>O24-'Abr25'!O24</f>
        <v>-933908.63025003672</v>
      </c>
      <c r="AB24" s="12">
        <f>Q24-'Abr25'!Q24</f>
        <v>140585.97599999607</v>
      </c>
      <c r="AC24" s="12">
        <f>+S24-'Abr25'!S24</f>
        <v>0</v>
      </c>
      <c r="AE24" s="28">
        <f>J24-'Abr25'!J24</f>
        <v>8.9999999999999802E-3</v>
      </c>
      <c r="AF24" s="28">
        <f>L24-'Abr25'!L24</f>
        <v>0</v>
      </c>
      <c r="AG24" s="28">
        <f>N24-'Abr25'!N24</f>
        <v>-8.0000000000000071E-3</v>
      </c>
      <c r="AH24" s="28">
        <f>P24-'Abr25'!P24</f>
        <v>-1.0000000000000009E-3</v>
      </c>
      <c r="AI24" s="28">
        <f>R24-'Abr25'!R24</f>
        <v>0</v>
      </c>
      <c r="AJ24" s="93"/>
      <c r="AK24" s="10">
        <f>I24-'Abr25'!I24</f>
        <v>7485805.2299999595</v>
      </c>
      <c r="AL24" s="76">
        <f>I24/'Abr25'!I24-1</f>
        <v>1.6605872884247974E-2</v>
      </c>
    </row>
    <row r="25" spans="2:39" x14ac:dyDescent="0.25">
      <c r="B25" t="s">
        <v>15</v>
      </c>
      <c r="C25" s="2" t="s">
        <v>19</v>
      </c>
      <c r="F25" s="7">
        <f t="shared" si="4"/>
        <v>1</v>
      </c>
      <c r="H25" s="3" t="s">
        <v>36</v>
      </c>
      <c r="I25" s="78">
        <v>802175238.02999997</v>
      </c>
      <c r="J25" s="77">
        <v>0.2</v>
      </c>
      <c r="K25" s="78">
        <f t="shared" si="5"/>
        <v>160435047.60600001</v>
      </c>
      <c r="L25" s="77">
        <v>0.2</v>
      </c>
      <c r="M25" s="78">
        <f t="shared" si="5"/>
        <v>160435047.60600001</v>
      </c>
      <c r="N25" s="77">
        <v>0.52</v>
      </c>
      <c r="O25" s="78">
        <f t="shared" si="6"/>
        <v>417131123.77560002</v>
      </c>
      <c r="P25" s="77">
        <v>0.08</v>
      </c>
      <c r="Q25" s="78">
        <f t="shared" si="7"/>
        <v>64174019.042400002</v>
      </c>
      <c r="R25" s="77"/>
      <c r="S25" s="78">
        <f t="shared" si="8"/>
        <v>0</v>
      </c>
      <c r="T25" s="77"/>
      <c r="U25" s="57">
        <f t="shared" si="9"/>
        <v>0</v>
      </c>
      <c r="Y25" s="12">
        <f>K25-'Abr25'!K25</f>
        <v>21016230.668099999</v>
      </c>
      <c r="Z25" s="12">
        <f>M25-'Abr25'!M25</f>
        <v>4614016.9106999934</v>
      </c>
      <c r="AA25" s="12">
        <f>O25-'Abr25'!O25</f>
        <v>-33929754.552900016</v>
      </c>
      <c r="AB25" s="12">
        <f>Q25-'Abr25'!Q25</f>
        <v>-9635942.865899995</v>
      </c>
      <c r="AC25" s="12">
        <f>+S25-'Abr25'!S25</f>
        <v>0</v>
      </c>
      <c r="AE25" s="28">
        <f>J25-'Abr25'!J25</f>
        <v>0.03</v>
      </c>
      <c r="AF25" s="28">
        <f>L25-'Abr25'!L25</f>
        <v>1.0000000000000009E-2</v>
      </c>
      <c r="AG25" s="28">
        <f>N25-'Abr25'!N25</f>
        <v>-3.0000000000000027E-2</v>
      </c>
      <c r="AH25" s="28">
        <f>P25-'Abr25'!P25</f>
        <v>-9.999999999999995E-3</v>
      </c>
      <c r="AI25" s="28">
        <f>R25-'Abr25'!R25</f>
        <v>0</v>
      </c>
      <c r="AJ25" s="93"/>
      <c r="AK25" s="10">
        <f>I25-'Abr25'!I25</f>
        <v>-17935449.840000033</v>
      </c>
      <c r="AL25" s="76">
        <f>I25/'Abr25'!I25-1</f>
        <v>-2.1869547739442496E-2</v>
      </c>
    </row>
    <row r="26" spans="2:39" x14ac:dyDescent="0.25">
      <c r="B26" t="s">
        <v>57</v>
      </c>
      <c r="F26" s="7">
        <f>J26+L26+N26+P26+R26+T26</f>
        <v>1</v>
      </c>
      <c r="H26" s="3" t="s">
        <v>65</v>
      </c>
      <c r="I26" s="78">
        <v>1397474308.28</v>
      </c>
      <c r="J26" s="77">
        <v>0.35</v>
      </c>
      <c r="K26" s="78">
        <f t="shared" si="5"/>
        <v>489116007.89799994</v>
      </c>
      <c r="L26" s="77">
        <v>0.19</v>
      </c>
      <c r="M26" s="78">
        <f t="shared" si="5"/>
        <v>265520118.57319999</v>
      </c>
      <c r="N26" s="77">
        <v>0.38</v>
      </c>
      <c r="O26" s="78">
        <f t="shared" si="6"/>
        <v>531040237.14639997</v>
      </c>
      <c r="P26" s="77">
        <v>0.08</v>
      </c>
      <c r="Q26" s="78">
        <f t="shared" si="7"/>
        <v>111797944.66240001</v>
      </c>
      <c r="R26" s="77"/>
      <c r="S26" s="78">
        <f t="shared" si="8"/>
        <v>0</v>
      </c>
      <c r="T26" s="77"/>
      <c r="U26" s="57">
        <f t="shared" si="9"/>
        <v>0</v>
      </c>
      <c r="Y26" s="12">
        <f>K26-'Abr25'!K26</f>
        <v>31914244.942999959</v>
      </c>
      <c r="Z26" s="12">
        <f>M26-'Abr25'!M26</f>
        <v>43450690.852199972</v>
      </c>
      <c r="AA26" s="12">
        <f>O26-'Abr25'!O26</f>
        <v>8523936.6263999939</v>
      </c>
      <c r="AB26" s="12">
        <f>Q26-'Abr25'!Q26</f>
        <v>7294684.5584000051</v>
      </c>
      <c r="AC26" s="12">
        <f>+S26-'Abr25'!S26</f>
        <v>0</v>
      </c>
      <c r="AE26" s="28">
        <f>J26-'Abr25'!J26</f>
        <v>0</v>
      </c>
      <c r="AF26" s="28">
        <f>L26-'Abr25'!L26</f>
        <v>1.999999999999999E-2</v>
      </c>
      <c r="AG26" s="28">
        <f>N26-'Abr25'!N26</f>
        <v>-2.0000000000000018E-2</v>
      </c>
      <c r="AH26" s="28">
        <f>P26-'Abr25'!P26</f>
        <v>0</v>
      </c>
      <c r="AI26" s="28">
        <f>R26-'Abr25'!R26</f>
        <v>0</v>
      </c>
      <c r="AK26" s="10">
        <f>I26-'Abr25'!I26</f>
        <v>91183556.980000019</v>
      </c>
      <c r="AL26" s="76">
        <f>I26/'Abr25'!I26-1</f>
        <v>6.9803416191422718E-2</v>
      </c>
    </row>
    <row r="27" spans="2:39" s="8" customFormat="1" x14ac:dyDescent="0.25">
      <c r="B27"/>
      <c r="C27"/>
      <c r="F27" s="7">
        <f t="shared" si="4"/>
        <v>1</v>
      </c>
      <c r="H27" s="21" t="s">
        <v>45</v>
      </c>
      <c r="I27" s="20">
        <f>SUM(I17:I26)</f>
        <v>7248818265.1599989</v>
      </c>
      <c r="J27" s="15">
        <f>K27/$I$27</f>
        <v>0.22623915411380049</v>
      </c>
      <c r="K27" s="63">
        <f>SUM(K17:K26)</f>
        <v>1639966512.634465</v>
      </c>
      <c r="L27" s="15">
        <f>M27/$I$27</f>
        <v>0.23022502478068699</v>
      </c>
      <c r="M27" s="62">
        <f>SUM(M17:M26)</f>
        <v>1668859364.7271571</v>
      </c>
      <c r="N27" s="15">
        <f>O27/$I$27</f>
        <v>0.44089999389846701</v>
      </c>
      <c r="O27" s="63">
        <f>SUM(O17:O26)</f>
        <v>3196003928.8801398</v>
      </c>
      <c r="P27" s="15">
        <f>Q27/$I$27</f>
        <v>8.775579171604754E-2</v>
      </c>
      <c r="Q27" s="63">
        <f>SUM(Q17:Q26)</f>
        <v>636125785.86486197</v>
      </c>
      <c r="R27" s="15">
        <f>S27/$I$27</f>
        <v>0</v>
      </c>
      <c r="S27" s="63">
        <f>SUM(S17:S26)</f>
        <v>0</v>
      </c>
      <c r="T27" s="15">
        <f>U27/$I$27</f>
        <v>1.4880035490998093E-2</v>
      </c>
      <c r="U27" s="17">
        <f>SUM(U17:U26)</f>
        <v>107862673.053376</v>
      </c>
      <c r="Y27" s="12">
        <f>K27-'Abr25'!K27</f>
        <v>34388574.5700109</v>
      </c>
      <c r="Z27" s="12">
        <f>M27-'Abr25'!M27</f>
        <v>161970618.64625287</v>
      </c>
      <c r="AA27" s="12">
        <f>O27-'Abr25'!O27</f>
        <v>-13099972.90191555</v>
      </c>
      <c r="AB27" s="12">
        <f>Q27-'Abr25'!Q27</f>
        <v>17321097.811090946</v>
      </c>
      <c r="AC27" s="12">
        <f>+S27-'Abr25'!S27</f>
        <v>-88470277.027211994</v>
      </c>
      <c r="AE27" s="28">
        <f>J27-'Abr25'!J27</f>
        <v>-9.5461976245184155E-4</v>
      </c>
      <c r="AF27" s="28">
        <f>L27-'Abr25'!L27</f>
        <v>1.6996047901190942E-2</v>
      </c>
      <c r="AG27" s="28">
        <f>N27-'Abr25'!N27</f>
        <v>-1.3197193738401836E-2</v>
      </c>
      <c r="AH27" s="28">
        <f>P27-'Abr25'!P27</f>
        <v>1.9319569486979382E-4</v>
      </c>
      <c r="AI27" s="28">
        <f>R27-'Abr25'!R27</f>
        <v>-1.2518791917333207E-2</v>
      </c>
      <c r="AK27" s="92">
        <f>I27-'Abr25'!I27</f>
        <v>181820298.30999851</v>
      </c>
      <c r="AL27" s="76">
        <f>I27/'Abr25'!I27-1</f>
        <v>2.5728081310180784E-2</v>
      </c>
    </row>
    <row r="28" spans="2:39" x14ac:dyDescent="0.25">
      <c r="F28" s="7"/>
      <c r="I28" s="10"/>
      <c r="J28" s="10"/>
      <c r="K28" s="10"/>
      <c r="L28" s="5"/>
      <c r="M28" s="10"/>
      <c r="N28" s="10"/>
      <c r="O28" s="10"/>
      <c r="P28" s="5"/>
      <c r="Q28" s="10"/>
    </row>
    <row r="29" spans="2:39" x14ac:dyDescent="0.25">
      <c r="F29" s="7"/>
      <c r="H29" s="4" t="s">
        <v>38</v>
      </c>
      <c r="I29" s="9" t="s">
        <v>4</v>
      </c>
      <c r="J29" s="113" t="s">
        <v>7</v>
      </c>
      <c r="K29" s="113"/>
      <c r="L29" s="112" t="s">
        <v>8</v>
      </c>
      <c r="M29" s="112"/>
      <c r="N29" s="112" t="s">
        <v>10</v>
      </c>
      <c r="O29" s="112"/>
      <c r="P29" s="112" t="s">
        <v>9</v>
      </c>
      <c r="Q29" s="112"/>
      <c r="R29" s="112" t="s">
        <v>40</v>
      </c>
      <c r="S29" s="112"/>
      <c r="T29" s="112" t="s">
        <v>55</v>
      </c>
      <c r="U29" s="112"/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  <c r="AE29" s="27" t="s">
        <v>49</v>
      </c>
      <c r="AF29" s="27" t="s">
        <v>50</v>
      </c>
      <c r="AG29" s="27" t="s">
        <v>51</v>
      </c>
      <c r="AH29" s="27" t="s">
        <v>52</v>
      </c>
      <c r="AI29" s="27" t="s">
        <v>54</v>
      </c>
    </row>
    <row r="30" spans="2:39" x14ac:dyDescent="0.25">
      <c r="E30" s="98"/>
      <c r="F30" s="7">
        <f>J30+L30+N30+P30+R30+T30</f>
        <v>1</v>
      </c>
      <c r="G30" s="98"/>
      <c r="H30" s="21" t="s">
        <v>39</v>
      </c>
      <c r="I30" s="87">
        <v>252658668.16</v>
      </c>
      <c r="J30" s="81">
        <v>0.13900000000000001</v>
      </c>
      <c r="K30" s="80">
        <f t="shared" ref="K30:K35" si="10">+J30*$I30</f>
        <v>35119554.874240004</v>
      </c>
      <c r="L30" s="81">
        <v>0.21829999999999999</v>
      </c>
      <c r="M30" s="80">
        <f t="shared" ref="M30:M35" si="11">+L30*$I30</f>
        <v>55155387.259328</v>
      </c>
      <c r="N30" s="81">
        <v>0.46479999999999999</v>
      </c>
      <c r="O30" s="80">
        <f t="shared" ref="O30:O35" si="12">+N30*$I30</f>
        <v>117435748.960768</v>
      </c>
      <c r="P30" s="81">
        <v>0.1032</v>
      </c>
      <c r="Q30" s="80">
        <f t="shared" ref="Q30:Q35" si="13">+P30*$I30</f>
        <v>26074374.554111999</v>
      </c>
      <c r="R30" s="88">
        <v>3.8899999999999997E-2</v>
      </c>
      <c r="S30" s="80">
        <f t="shared" ref="S30:S35" si="14">+R30*$I30</f>
        <v>9828422.1914239991</v>
      </c>
      <c r="T30" s="81">
        <v>3.5799999999999998E-2</v>
      </c>
      <c r="U30" s="65">
        <f t="shared" ref="U30:U35" si="15">+T30*$I30</f>
        <v>9045180.3201279994</v>
      </c>
      <c r="V30" s="98"/>
      <c r="Y30" s="12">
        <f>K30-'Abr25'!K30</f>
        <v>16183032.377452005</v>
      </c>
      <c r="Z30" s="12">
        <f>M30-'Abr25'!M30</f>
        <v>-800278.68608799577</v>
      </c>
      <c r="AA30" s="12">
        <f>O30-'Abr25'!O30</f>
        <v>-12407515.373971999</v>
      </c>
      <c r="AB30" s="12">
        <f>Q30-'Abr25'!Q30</f>
        <v>-1024442.1223260015</v>
      </c>
      <c r="AC30" s="12">
        <f>+S30-'Abr25'!S30</f>
        <v>-167248.83473200165</v>
      </c>
      <c r="AD30" s="98"/>
      <c r="AE30" s="28">
        <f>J30-'Abr25'!J30</f>
        <v>6.3600000000000018E-2</v>
      </c>
      <c r="AF30" s="28">
        <f>L30-'Abr25'!L30</f>
        <v>-4.500000000000004E-3</v>
      </c>
      <c r="AG30" s="28">
        <f>N30-'Abr25'!N30</f>
        <v>-5.2200000000000024E-2</v>
      </c>
      <c r="AH30" s="28">
        <f>P30-'Abr25'!P30</f>
        <v>-4.6999999999999958E-3</v>
      </c>
      <c r="AI30" s="28">
        <f>R30-'Abr25'!R30</f>
        <v>-9.0000000000000496E-4</v>
      </c>
      <c r="AJ30" s="98"/>
      <c r="AK30" s="10">
        <f>I30-'Abr25'!I30</f>
        <v>1511154.9399999976</v>
      </c>
      <c r="AL30" s="76">
        <f>I30/'Abr25'!I30-1</f>
        <v>6.0170014053702037E-3</v>
      </c>
      <c r="AM30" s="98"/>
    </row>
    <row r="31" spans="2:39" hidden="1" outlineLevel="1" x14ac:dyDescent="0.25">
      <c r="F31" s="7">
        <f t="shared" si="4"/>
        <v>0</v>
      </c>
      <c r="H31" s="3" t="s">
        <v>56</v>
      </c>
      <c r="I31" s="78"/>
      <c r="J31" s="77"/>
      <c r="K31" s="78">
        <f t="shared" si="10"/>
        <v>0</v>
      </c>
      <c r="L31" s="77"/>
      <c r="M31" s="78">
        <f t="shared" si="11"/>
        <v>0</v>
      </c>
      <c r="N31" s="77"/>
      <c r="O31" s="78">
        <f t="shared" si="12"/>
        <v>0</v>
      </c>
      <c r="P31" s="77"/>
      <c r="Q31" s="78">
        <f t="shared" si="13"/>
        <v>0</v>
      </c>
      <c r="R31" s="77"/>
      <c r="S31" s="78">
        <f t="shared" si="14"/>
        <v>0</v>
      </c>
      <c r="T31" s="77"/>
      <c r="U31" s="72">
        <f t="shared" si="15"/>
        <v>0</v>
      </c>
      <c r="Y31" s="12">
        <f>K31-'Abr25'!K31</f>
        <v>0</v>
      </c>
      <c r="Z31" s="12">
        <f>M31-'Abr25'!M31</f>
        <v>0</v>
      </c>
      <c r="AA31" s="12">
        <f>O31-'Abr25'!O31</f>
        <v>0</v>
      </c>
      <c r="AB31" s="12">
        <f>Q31-'Abr25'!Q31</f>
        <v>0</v>
      </c>
      <c r="AC31" s="12">
        <f>+S31-'Abr25'!S31</f>
        <v>0</v>
      </c>
      <c r="AE31" s="28">
        <f>J31-'Abr25'!J31</f>
        <v>0</v>
      </c>
      <c r="AF31" s="28">
        <f>L31-'Abr25'!L31</f>
        <v>0</v>
      </c>
      <c r="AG31" s="28">
        <f>N31-'Abr25'!N31</f>
        <v>0</v>
      </c>
      <c r="AH31" s="28">
        <f>P31-'Abr25'!P31</f>
        <v>0</v>
      </c>
      <c r="AI31" s="28">
        <f>R31-'Abr25'!R31</f>
        <v>0</v>
      </c>
      <c r="AK31" s="10">
        <f>I31-'Abr25'!I31</f>
        <v>0</v>
      </c>
      <c r="AL31" s="76" t="e">
        <f>I31/'Abr25'!I31-1</f>
        <v>#DIV/0!</v>
      </c>
    </row>
    <row r="32" spans="2:39" collapsed="1" x14ac:dyDescent="0.25">
      <c r="F32" s="7">
        <f t="shared" si="4"/>
        <v>1</v>
      </c>
      <c r="H32" s="3" t="s">
        <v>42</v>
      </c>
      <c r="I32" s="84">
        <v>109138756</v>
      </c>
      <c r="J32" s="77">
        <v>0.13</v>
      </c>
      <c r="K32" s="78">
        <f t="shared" si="10"/>
        <v>14188038.280000001</v>
      </c>
      <c r="L32" s="77">
        <v>0.09</v>
      </c>
      <c r="M32" s="78">
        <f t="shared" si="11"/>
        <v>9822488.0399999991</v>
      </c>
      <c r="N32" s="77">
        <v>0.36</v>
      </c>
      <c r="O32" s="78">
        <f t="shared" si="12"/>
        <v>39289952.159999996</v>
      </c>
      <c r="P32" s="77">
        <v>0.05</v>
      </c>
      <c r="Q32" s="78">
        <f t="shared" si="13"/>
        <v>5456937.8000000007</v>
      </c>
      <c r="R32" s="77">
        <f>+-28%+45%</f>
        <v>0.16999999999999998</v>
      </c>
      <c r="S32" s="78">
        <f t="shared" si="14"/>
        <v>18553588.52</v>
      </c>
      <c r="T32" s="77">
        <v>0.2</v>
      </c>
      <c r="U32" s="72">
        <f t="shared" si="15"/>
        <v>21827751.200000003</v>
      </c>
      <c r="Y32" s="12">
        <f>K32-'Abr25'!K32</f>
        <v>1723887.9400000013</v>
      </c>
      <c r="Z32" s="12">
        <f>M32-'Abr25'!M32</f>
        <v>-17183171.030000001</v>
      </c>
      <c r="AA32" s="12">
        <f>O32-'Abr25'!O32</f>
        <v>-45881741.829999998</v>
      </c>
      <c r="AB32" s="12">
        <f>Q32-'Abr25'!Q32</f>
        <v>-7007212.5399999991</v>
      </c>
      <c r="AC32" s="12">
        <f>+S32-'Abr25'!S32</f>
        <v>-29225654.449999999</v>
      </c>
      <c r="AE32" s="28">
        <f>J32-'Abr25'!J32</f>
        <v>7.0000000000000007E-2</v>
      </c>
      <c r="AF32" s="28">
        <f>L32-'Abr25'!L32</f>
        <v>-4.0000000000000008E-2</v>
      </c>
      <c r="AG32" s="28">
        <f>N32-'Abr25'!N32</f>
        <v>-4.9999999999999989E-2</v>
      </c>
      <c r="AH32" s="28">
        <f>P32-'Abr25'!P32</f>
        <v>-9.999999999999995E-3</v>
      </c>
      <c r="AI32" s="28">
        <f>R32-'Abr25'!R32</f>
        <v>-6.0000000000000026E-2</v>
      </c>
      <c r="AK32" s="10">
        <f>I32-'Abr25'!I32</f>
        <v>-98597083</v>
      </c>
      <c r="AL32" s="76">
        <f>I32/'Abr25'!I32-1</f>
        <v>-0.47462721634662186</v>
      </c>
    </row>
    <row r="33" spans="6:38" x14ac:dyDescent="0.25">
      <c r="F33" s="7">
        <f t="shared" si="4"/>
        <v>1</v>
      </c>
      <c r="H33" s="3" t="s">
        <v>69</v>
      </c>
      <c r="I33" s="84">
        <v>46287182963</v>
      </c>
      <c r="J33" s="77">
        <v>0.15</v>
      </c>
      <c r="K33" s="78">
        <f t="shared" si="10"/>
        <v>6943077444.4499998</v>
      </c>
      <c r="L33" s="77">
        <v>0.04</v>
      </c>
      <c r="M33" s="78">
        <f t="shared" si="11"/>
        <v>1851487318.52</v>
      </c>
      <c r="N33" s="77">
        <v>0.59</v>
      </c>
      <c r="O33" s="78">
        <f t="shared" si="12"/>
        <v>27309437948.169998</v>
      </c>
      <c r="P33" s="77"/>
      <c r="Q33" s="78">
        <f t="shared" si="13"/>
        <v>0</v>
      </c>
      <c r="R33" s="77"/>
      <c r="S33" s="78">
        <f t="shared" si="14"/>
        <v>0</v>
      </c>
      <c r="T33" s="77">
        <v>0.22</v>
      </c>
      <c r="U33" s="72">
        <f t="shared" si="15"/>
        <v>10183180251.860001</v>
      </c>
      <c r="Y33" s="12">
        <f>K33-'Abr25'!K33</f>
        <v>6856069635.8217001</v>
      </c>
      <c r="Z33" s="12">
        <f>M33-'Abr25'!M33</f>
        <v>1831014892.9603999</v>
      </c>
      <c r="AA33" s="12">
        <f>O33-'Abr25'!O33</f>
        <v>26986997245.606297</v>
      </c>
      <c r="AB33" s="12">
        <f>Q33-'Abr25'!Q33</f>
        <v>-81889702.238399997</v>
      </c>
      <c r="AC33" s="12">
        <f>+S33-'Abr25'!S33</f>
        <v>0</v>
      </c>
      <c r="AE33" s="28">
        <f>J33-'Abr25'!J33</f>
        <v>-2.0000000000000018E-2</v>
      </c>
      <c r="AF33" s="28">
        <f>L33-'Abr25'!L33</f>
        <v>0</v>
      </c>
      <c r="AG33" s="28">
        <f>N33-'Abr25'!N33</f>
        <v>-4.0000000000000036E-2</v>
      </c>
      <c r="AH33" s="28">
        <f>P33-'Abr25'!P33</f>
        <v>-0.16</v>
      </c>
      <c r="AI33" s="28">
        <f>R33-'Abr25'!R33</f>
        <v>0</v>
      </c>
      <c r="AK33" s="10">
        <f>I33-'Abr25'!I33</f>
        <v>45775372324.010002</v>
      </c>
      <c r="AL33" s="76">
        <f>I33/'Abr25'!I33-1</f>
        <v>89.438102369936047</v>
      </c>
    </row>
    <row r="34" spans="6:38" x14ac:dyDescent="0.25">
      <c r="F34" s="7">
        <f t="shared" si="4"/>
        <v>1</v>
      </c>
      <c r="H34" s="3" t="s">
        <v>44</v>
      </c>
      <c r="I34" s="84">
        <v>82772647.069999993</v>
      </c>
      <c r="J34" s="77">
        <v>0.06</v>
      </c>
      <c r="K34" s="78">
        <f t="shared" si="10"/>
        <v>4966358.8241999997</v>
      </c>
      <c r="L34" s="77">
        <v>0.12</v>
      </c>
      <c r="M34" s="78">
        <f t="shared" si="11"/>
        <v>9932717.6483999994</v>
      </c>
      <c r="N34" s="77">
        <v>0.64</v>
      </c>
      <c r="O34" s="78">
        <f t="shared" si="12"/>
        <v>52974494.124799997</v>
      </c>
      <c r="P34" s="77">
        <v>0.02</v>
      </c>
      <c r="Q34" s="78">
        <f t="shared" si="13"/>
        <v>1655452.9413999999</v>
      </c>
      <c r="R34" s="77">
        <v>0.16</v>
      </c>
      <c r="S34" s="78">
        <f t="shared" si="14"/>
        <v>13243623.531199999</v>
      </c>
      <c r="T34" s="77"/>
      <c r="U34" s="72">
        <f t="shared" si="15"/>
        <v>0</v>
      </c>
      <c r="Y34" s="12">
        <f>K34-'Abr25'!K34</f>
        <v>919890.47219999926</v>
      </c>
      <c r="Z34" s="12">
        <f>M34-'Abr25'!M34</f>
        <v>7504836.6371999998</v>
      </c>
      <c r="AA34" s="12">
        <f>O34-'Abr25'!O34</f>
        <v>-38475690.630400002</v>
      </c>
      <c r="AB34" s="12">
        <f>Q34-'Abr25'!Q34</f>
        <v>846159.27099999983</v>
      </c>
      <c r="AC34" s="12">
        <f>+S34-'Abr25'!S34</f>
        <v>9197155.1791999992</v>
      </c>
      <c r="AE34" s="28">
        <f>J34-'Abr25'!J34</f>
        <v>9.999999999999995E-3</v>
      </c>
      <c r="AF34" s="28">
        <f>L34-'Abr25'!L34</f>
        <v>0.09</v>
      </c>
      <c r="AG34" s="28">
        <f>N34-'Abr25'!N34</f>
        <v>-0.48999999999999988</v>
      </c>
      <c r="AH34" s="28">
        <f>P34-'Abr25'!P34</f>
        <v>0.01</v>
      </c>
      <c r="AI34" s="28">
        <f>R34-'Abr25'!R34</f>
        <v>0.11</v>
      </c>
      <c r="AK34" s="10">
        <f>I34-'Abr25'!I34</f>
        <v>1843280.0299999863</v>
      </c>
      <c r="AL34" s="76">
        <f>I34/'Abr25'!I34-1</f>
        <v>2.2776404875240575E-2</v>
      </c>
    </row>
    <row r="35" spans="6:38" x14ac:dyDescent="0.25">
      <c r="F35" s="7">
        <f t="shared" si="4"/>
        <v>1</v>
      </c>
      <c r="H35" s="3" t="s">
        <v>66</v>
      </c>
      <c r="I35" s="84">
        <v>311300000</v>
      </c>
      <c r="J35" s="77">
        <v>0.02</v>
      </c>
      <c r="K35" s="78">
        <f t="shared" si="10"/>
        <v>6226000</v>
      </c>
      <c r="L35" s="77">
        <v>0.28000000000000003</v>
      </c>
      <c r="M35" s="78">
        <f t="shared" si="11"/>
        <v>87164000.000000015</v>
      </c>
      <c r="N35" s="77">
        <v>0.47</v>
      </c>
      <c r="O35" s="78">
        <f t="shared" si="12"/>
        <v>146311000</v>
      </c>
      <c r="P35" s="77">
        <v>0.06</v>
      </c>
      <c r="Q35" s="78">
        <f t="shared" si="13"/>
        <v>18678000</v>
      </c>
      <c r="R35" s="77">
        <v>0.17</v>
      </c>
      <c r="S35" s="78">
        <f t="shared" si="14"/>
        <v>52921000.000000007</v>
      </c>
      <c r="T35" s="77"/>
      <c r="U35" s="72">
        <f t="shared" si="15"/>
        <v>0</v>
      </c>
      <c r="Y35" s="12">
        <f>K35-'Abr25'!K35</f>
        <v>-6158000</v>
      </c>
      <c r="Z35" s="12">
        <f>M35-'Abr25'!M35</f>
        <v>80972000.000000015</v>
      </c>
      <c r="AA35" s="12">
        <f>O35-'Abr25'!O35</f>
        <v>-2297000</v>
      </c>
      <c r="AB35" s="12">
        <f>Q35-'Abr25'!Q35</f>
        <v>-71106000</v>
      </c>
      <c r="AC35" s="12">
        <f>+S35-'Abr25'!S35</f>
        <v>289000</v>
      </c>
      <c r="AE35" s="28">
        <f>J35-'Abr25'!J35</f>
        <v>-0.02</v>
      </c>
      <c r="AF35" s="28">
        <f>L35-'Abr25'!L35</f>
        <v>0.26</v>
      </c>
      <c r="AG35" s="28">
        <f>N35-'Abr25'!N35</f>
        <v>-1.0000000000000009E-2</v>
      </c>
      <c r="AH35" s="28">
        <f>P35-'Abr25'!P35</f>
        <v>-0.22999999999999998</v>
      </c>
      <c r="AI35" s="28">
        <f>R35-'Abr25'!R35</f>
        <v>0</v>
      </c>
      <c r="AK35" s="10">
        <f>I35-'Abr25'!I35</f>
        <v>1700000</v>
      </c>
      <c r="AL35" s="76">
        <f>I35/'Abr25'!I35-1</f>
        <v>5.490956072351505E-3</v>
      </c>
    </row>
    <row r="36" spans="6:38" s="8" customFormat="1" x14ac:dyDescent="0.25">
      <c r="F36" s="7">
        <f t="shared" si="4"/>
        <v>1</v>
      </c>
      <c r="H36" s="3" t="s">
        <v>45</v>
      </c>
      <c r="I36" s="17">
        <f>SUM(I30:I35)</f>
        <v>47043053034.230003</v>
      </c>
      <c r="J36" s="15">
        <f>+K36/$I$36</f>
        <v>0.14887591141953344</v>
      </c>
      <c r="K36" s="17">
        <f>SUM(K30:K35)</f>
        <v>7003577396.4284391</v>
      </c>
      <c r="L36" s="15">
        <f>+M36/$I$36</f>
        <v>4.2802534733504587E-2</v>
      </c>
      <c r="M36" s="17">
        <f>SUM(M30:M35)</f>
        <v>2013561911.4677281</v>
      </c>
      <c r="N36" s="15">
        <f>+O36/$I$36</f>
        <v>0.5880878760841759</v>
      </c>
      <c r="O36" s="17">
        <f>SUM(O30:O35)</f>
        <v>27665449143.415569</v>
      </c>
      <c r="P36" s="15">
        <f>+Q36/$I$36</f>
        <v>1.1024957342325033E-3</v>
      </c>
      <c r="Q36" s="17">
        <f>SUM(Q30:Q35)</f>
        <v>51864765.295511998</v>
      </c>
      <c r="R36" s="15">
        <f>+S36/$I$36</f>
        <v>2.0097895043892861E-3</v>
      </c>
      <c r="S36" s="17">
        <f>SUM(S30:S35)</f>
        <v>94546634.242624015</v>
      </c>
      <c r="T36" s="15">
        <f>+U36/$I$36</f>
        <v>0.21712139252416426</v>
      </c>
      <c r="U36" s="63">
        <f>SUM(U30:U35)</f>
        <v>10214053183.380129</v>
      </c>
      <c r="Y36" s="12">
        <f>K36-'Abr25'!K36</f>
        <v>6868738446.611351</v>
      </c>
      <c r="Z36" s="12">
        <f>M36-'Abr25'!M36</f>
        <v>1901508279.8815122</v>
      </c>
      <c r="AA36" s="12">
        <f>O36-'Abr25'!O36</f>
        <v>26887935297.771931</v>
      </c>
      <c r="AB36" s="12">
        <f>Q36-'Abr25'!Q36</f>
        <v>-160181197.62972599</v>
      </c>
      <c r="AC36" s="12">
        <f>+S36-'Abr25'!S36</f>
        <v>-19906748.105531991</v>
      </c>
      <c r="AE36" s="28">
        <f>J36-'Abr25'!J36</f>
        <v>4.9818729510432147E-2</v>
      </c>
      <c r="AF36" s="28">
        <f>L36-'Abr25'!L36</f>
        <v>-3.9515793781128801E-2</v>
      </c>
      <c r="AG36" s="28">
        <f>N36-'Abr25'!N36</f>
        <v>1.6900318266171444E-2</v>
      </c>
      <c r="AH36" s="28">
        <f>P36-'Abr25'!P36</f>
        <v>-0.15467352856044755</v>
      </c>
      <c r="AI36" s="28">
        <f>R36-'Abr25'!R36</f>
        <v>-8.2071475818076389E-2</v>
      </c>
      <c r="AK36" s="92">
        <f>I36-'Abr25'!I36</f>
        <v>45681829675.980003</v>
      </c>
      <c r="AL36" s="76">
        <f>I36/'Abr25'!I36-1</f>
        <v>33.559393026217933</v>
      </c>
    </row>
    <row r="37" spans="6:38" x14ac:dyDescent="0.25">
      <c r="F37" s="7"/>
    </row>
    <row r="38" spans="6:38" x14ac:dyDescent="0.25">
      <c r="F38" s="7"/>
      <c r="K38"/>
    </row>
    <row r="39" spans="6:38" x14ac:dyDescent="0.25">
      <c r="F39" s="7"/>
      <c r="J39" s="38"/>
    </row>
    <row r="40" spans="6:38" x14ac:dyDescent="0.25">
      <c r="F40" s="7"/>
      <c r="I40" s="30"/>
      <c r="J40" s="35"/>
    </row>
    <row r="41" spans="6:38" x14ac:dyDescent="0.25">
      <c r="F41" s="7"/>
      <c r="I41" s="37"/>
      <c r="J41" s="35"/>
    </row>
    <row r="42" spans="6:38" x14ac:dyDescent="0.25">
      <c r="F42" s="7"/>
      <c r="I42" s="37"/>
      <c r="J42" s="35"/>
    </row>
    <row r="43" spans="6:38" x14ac:dyDescent="0.25">
      <c r="F43" s="7"/>
      <c r="I43" s="37"/>
      <c r="J43" s="35"/>
    </row>
    <row r="44" spans="6:38" x14ac:dyDescent="0.25">
      <c r="F44" s="7"/>
      <c r="I44" s="37"/>
      <c r="J44" s="35"/>
    </row>
    <row r="45" spans="6:38" x14ac:dyDescent="0.25">
      <c r="F45" s="7"/>
      <c r="I45" s="37"/>
      <c r="J45" s="35"/>
      <c r="K45" s="37"/>
    </row>
    <row r="46" spans="6:38" x14ac:dyDescent="0.25">
      <c r="F46" s="7"/>
      <c r="I46" s="37"/>
      <c r="J46" s="35"/>
    </row>
    <row r="47" spans="6:38" x14ac:dyDescent="0.25">
      <c r="F47" s="7"/>
      <c r="I47" s="37"/>
      <c r="J47" s="35"/>
    </row>
    <row r="48" spans="6:38" x14ac:dyDescent="0.25">
      <c r="F48" s="7"/>
      <c r="I48" s="37"/>
      <c r="J48" s="35"/>
    </row>
    <row r="49" spans="9:10" x14ac:dyDescent="0.25">
      <c r="I49" s="37"/>
      <c r="J49" s="35"/>
    </row>
    <row r="50" spans="9:10" x14ac:dyDescent="0.25">
      <c r="I50" s="37"/>
      <c r="J50" s="35"/>
    </row>
    <row r="51" spans="9:10" x14ac:dyDescent="0.25">
      <c r="I51" s="37"/>
      <c r="J51" s="35"/>
    </row>
    <row r="52" spans="9:10" x14ac:dyDescent="0.25">
      <c r="I52" s="37"/>
      <c r="J52" s="35"/>
    </row>
    <row r="53" spans="9:10" x14ac:dyDescent="0.25">
      <c r="I53" s="37"/>
      <c r="J53" s="35"/>
    </row>
    <row r="54" spans="9:10" x14ac:dyDescent="0.25">
      <c r="I54" s="37"/>
      <c r="J54" s="35"/>
    </row>
    <row r="55" spans="9:10" x14ac:dyDescent="0.25">
      <c r="I55" s="37"/>
      <c r="J55" s="35"/>
    </row>
    <row r="56" spans="9:10" x14ac:dyDescent="0.25">
      <c r="I56" s="37"/>
      <c r="J56" s="35"/>
    </row>
    <row r="57" spans="9:10" x14ac:dyDescent="0.25">
      <c r="I57" s="37"/>
      <c r="J57" s="35"/>
    </row>
    <row r="58" spans="9:10" x14ac:dyDescent="0.25">
      <c r="I58" s="37"/>
      <c r="J58" s="35"/>
    </row>
    <row r="59" spans="9:10" x14ac:dyDescent="0.25">
      <c r="I59" s="37"/>
      <c r="J59" s="35"/>
    </row>
    <row r="60" spans="9:10" x14ac:dyDescent="0.25">
      <c r="I60" s="37"/>
      <c r="J60" s="35"/>
    </row>
    <row r="61" spans="9:10" x14ac:dyDescent="0.25">
      <c r="I61" s="37"/>
      <c r="J61" s="35"/>
    </row>
    <row r="62" spans="9:10" x14ac:dyDescent="0.25">
      <c r="I62" s="37"/>
      <c r="J62" s="35"/>
    </row>
    <row r="63" spans="9:10" x14ac:dyDescent="0.25">
      <c r="I63" s="37"/>
      <c r="J63" s="35"/>
    </row>
    <row r="64" spans="9:10" x14ac:dyDescent="0.25">
      <c r="I64" s="37"/>
      <c r="J64" s="35"/>
    </row>
    <row r="65" spans="9:10" x14ac:dyDescent="0.25">
      <c r="I65" s="37"/>
      <c r="J65" s="35"/>
    </row>
    <row r="66" spans="9:10" x14ac:dyDescent="0.25">
      <c r="I66" s="37"/>
      <c r="J66" s="35"/>
    </row>
    <row r="67" spans="9:10" x14ac:dyDescent="0.25">
      <c r="I67" s="37"/>
      <c r="J67" s="35"/>
    </row>
    <row r="68" spans="9:10" x14ac:dyDescent="0.25">
      <c r="I68" s="37"/>
      <c r="J68" s="35"/>
    </row>
    <row r="69" spans="9:10" x14ac:dyDescent="0.25">
      <c r="I69" s="37"/>
      <c r="J69" s="35"/>
    </row>
    <row r="70" spans="9:10" x14ac:dyDescent="0.25">
      <c r="I70" s="37"/>
      <c r="J70" s="35"/>
    </row>
    <row r="71" spans="9:10" x14ac:dyDescent="0.25">
      <c r="I71" s="37"/>
      <c r="J71" s="35"/>
    </row>
    <row r="72" spans="9:10" x14ac:dyDescent="0.25">
      <c r="I72" s="37"/>
      <c r="J72" s="35"/>
    </row>
    <row r="73" spans="9:10" x14ac:dyDescent="0.25">
      <c r="I73" s="37"/>
      <c r="J73" s="35"/>
    </row>
    <row r="74" spans="9:10" x14ac:dyDescent="0.25">
      <c r="I74" s="37"/>
      <c r="J74" s="35"/>
    </row>
    <row r="75" spans="9:10" x14ac:dyDescent="0.25">
      <c r="I75" s="37"/>
      <c r="J75" s="35"/>
    </row>
    <row r="76" spans="9:10" x14ac:dyDescent="0.25">
      <c r="I76" s="37"/>
      <c r="J76" s="35"/>
    </row>
    <row r="77" spans="9:10" x14ac:dyDescent="0.25">
      <c r="I77" s="37"/>
      <c r="J77" s="35"/>
    </row>
    <row r="78" spans="9:10" x14ac:dyDescent="0.25">
      <c r="I78" s="37"/>
      <c r="J78" s="35"/>
    </row>
    <row r="79" spans="9:10" x14ac:dyDescent="0.25">
      <c r="I79" s="37"/>
      <c r="J79" s="35"/>
    </row>
    <row r="80" spans="9:10" x14ac:dyDescent="0.25">
      <c r="I80" s="37"/>
      <c r="J80" s="35"/>
    </row>
    <row r="81" spans="9:10" x14ac:dyDescent="0.25">
      <c r="I81" s="37"/>
      <c r="J81" s="35"/>
    </row>
    <row r="82" spans="9:10" x14ac:dyDescent="0.25">
      <c r="I82" s="37"/>
      <c r="J82" s="35"/>
    </row>
    <row r="83" spans="9:10" x14ac:dyDescent="0.25">
      <c r="I83" s="37"/>
      <c r="J83" s="35"/>
    </row>
    <row r="84" spans="9:10" x14ac:dyDescent="0.25">
      <c r="I84" s="37"/>
      <c r="J84" s="35"/>
    </row>
    <row r="85" spans="9:10" x14ac:dyDescent="0.25">
      <c r="I85" s="37"/>
      <c r="J85" s="35"/>
    </row>
    <row r="86" spans="9:10" x14ac:dyDescent="0.25">
      <c r="I86" s="37"/>
      <c r="J86" s="35"/>
    </row>
    <row r="87" spans="9:10" x14ac:dyDescent="0.25">
      <c r="I87" s="37"/>
      <c r="J87" s="35"/>
    </row>
    <row r="88" spans="9:10" x14ac:dyDescent="0.25">
      <c r="I88" s="37"/>
      <c r="J88" s="35"/>
    </row>
    <row r="89" spans="9:10" x14ac:dyDescent="0.25">
      <c r="I89" s="37"/>
      <c r="J89" s="35"/>
    </row>
    <row r="90" spans="9:10" x14ac:dyDescent="0.25">
      <c r="I90" s="37"/>
      <c r="J90" s="35"/>
    </row>
    <row r="91" spans="9:10" x14ac:dyDescent="0.25">
      <c r="I91" s="37"/>
      <c r="J91" s="35"/>
    </row>
    <row r="92" spans="9:10" x14ac:dyDescent="0.25">
      <c r="I92" s="37"/>
      <c r="J92" s="35"/>
    </row>
    <row r="93" spans="9:10" x14ac:dyDescent="0.25">
      <c r="I93" s="37"/>
      <c r="J93" s="35"/>
    </row>
    <row r="94" spans="9:10" x14ac:dyDescent="0.25">
      <c r="I94" s="37"/>
      <c r="J94" s="35"/>
    </row>
    <row r="95" spans="9:10" x14ac:dyDescent="0.25">
      <c r="I95" s="37"/>
      <c r="J95" s="35"/>
    </row>
    <row r="96" spans="9:10" x14ac:dyDescent="0.25">
      <c r="I96" s="37"/>
      <c r="J96" s="35"/>
    </row>
    <row r="97" spans="9:10" x14ac:dyDescent="0.25">
      <c r="I97" s="37"/>
      <c r="J97" s="35"/>
    </row>
    <row r="98" spans="9:10" x14ac:dyDescent="0.25">
      <c r="I98" s="37"/>
      <c r="J98" s="35"/>
    </row>
    <row r="99" spans="9:10" x14ac:dyDescent="0.25">
      <c r="I99" s="37"/>
      <c r="J99" s="35"/>
    </row>
    <row r="100" spans="9:10" x14ac:dyDescent="0.25">
      <c r="I100" s="37"/>
      <c r="J100" s="35"/>
    </row>
    <row r="101" spans="9:10" x14ac:dyDescent="0.25">
      <c r="I101" s="37"/>
      <c r="J101" s="35"/>
    </row>
    <row r="102" spans="9:10" x14ac:dyDescent="0.25">
      <c r="I102" s="37"/>
      <c r="J102" s="35"/>
    </row>
    <row r="103" spans="9:10" x14ac:dyDescent="0.25">
      <c r="I103" s="37"/>
      <c r="J103" s="35"/>
    </row>
    <row r="104" spans="9:10" x14ac:dyDescent="0.25">
      <c r="I104" s="37"/>
      <c r="J104" s="35"/>
    </row>
    <row r="105" spans="9:10" x14ac:dyDescent="0.25">
      <c r="I105" s="37"/>
      <c r="J105" s="35"/>
    </row>
    <row r="106" spans="9:10" x14ac:dyDescent="0.25">
      <c r="I106" s="37"/>
      <c r="J106" s="35"/>
    </row>
    <row r="107" spans="9:10" x14ac:dyDescent="0.25">
      <c r="I107" s="37"/>
      <c r="J107" s="35"/>
    </row>
    <row r="108" spans="9:10" x14ac:dyDescent="0.25">
      <c r="I108" s="37"/>
      <c r="J108" s="35"/>
    </row>
    <row r="109" spans="9:10" x14ac:dyDescent="0.25">
      <c r="I109" s="37"/>
      <c r="J109" s="35"/>
    </row>
    <row r="110" spans="9:10" x14ac:dyDescent="0.25">
      <c r="I110" s="37"/>
      <c r="J110" s="35"/>
    </row>
    <row r="111" spans="9:10" x14ac:dyDescent="0.25">
      <c r="I111" s="37"/>
      <c r="J111" s="35"/>
    </row>
    <row r="112" spans="9:10" x14ac:dyDescent="0.25">
      <c r="I112" s="37"/>
      <c r="J112" s="35"/>
    </row>
    <row r="113" spans="9:10" x14ac:dyDescent="0.25">
      <c r="I113" s="37"/>
      <c r="J113" s="35"/>
    </row>
    <row r="114" spans="9:10" x14ac:dyDescent="0.25">
      <c r="I114" s="37"/>
      <c r="J114" s="35"/>
    </row>
    <row r="115" spans="9:10" x14ac:dyDescent="0.25">
      <c r="I115" s="37"/>
      <c r="J115" s="35"/>
    </row>
    <row r="116" spans="9:10" x14ac:dyDescent="0.25">
      <c r="I116" s="37"/>
      <c r="J116" s="35"/>
    </row>
    <row r="117" spans="9:10" x14ac:dyDescent="0.25">
      <c r="I117" s="37"/>
      <c r="J117" s="35"/>
    </row>
    <row r="118" spans="9:10" x14ac:dyDescent="0.25">
      <c r="I118" s="37"/>
      <c r="J118" s="35"/>
    </row>
    <row r="119" spans="9:10" x14ac:dyDescent="0.25">
      <c r="I119" s="37"/>
      <c r="J119" s="35"/>
    </row>
    <row r="120" spans="9:10" x14ac:dyDescent="0.25">
      <c r="I120" s="37"/>
      <c r="J120" s="35"/>
    </row>
    <row r="121" spans="9:10" x14ac:dyDescent="0.25">
      <c r="I121" s="37"/>
      <c r="J121" s="35"/>
    </row>
    <row r="122" spans="9:10" x14ac:dyDescent="0.25">
      <c r="I122" s="37"/>
      <c r="J122" s="35"/>
    </row>
    <row r="123" spans="9:10" x14ac:dyDescent="0.25">
      <c r="I123" s="37"/>
      <c r="J123" s="35"/>
    </row>
    <row r="124" spans="9:10" x14ac:dyDescent="0.25">
      <c r="I124" s="37"/>
      <c r="J124" s="35"/>
    </row>
    <row r="125" spans="9:10" x14ac:dyDescent="0.25">
      <c r="I125" s="37"/>
      <c r="J125" s="35"/>
    </row>
    <row r="126" spans="9:10" x14ac:dyDescent="0.25">
      <c r="I126" s="37"/>
      <c r="J126" s="35"/>
    </row>
    <row r="127" spans="9:10" x14ac:dyDescent="0.25">
      <c r="I127" s="37"/>
      <c r="J127" s="35"/>
    </row>
    <row r="128" spans="9:10" x14ac:dyDescent="0.25">
      <c r="I128" s="37"/>
      <c r="J128" s="35"/>
    </row>
    <row r="129" spans="9:10" x14ac:dyDescent="0.25">
      <c r="I129" s="37"/>
      <c r="J129" s="35"/>
    </row>
    <row r="130" spans="9:10" x14ac:dyDescent="0.25">
      <c r="I130" s="37"/>
      <c r="J130" s="35"/>
    </row>
    <row r="131" spans="9:10" x14ac:dyDescent="0.25">
      <c r="I131" s="37"/>
      <c r="J131" s="35"/>
    </row>
    <row r="132" spans="9:10" x14ac:dyDescent="0.25">
      <c r="I132" s="37"/>
      <c r="J132" s="35"/>
    </row>
    <row r="133" spans="9:10" x14ac:dyDescent="0.25">
      <c r="I133" s="37"/>
      <c r="J133" s="35"/>
    </row>
    <row r="134" spans="9:10" x14ac:dyDescent="0.25">
      <c r="I134" s="37"/>
      <c r="J134" s="35"/>
    </row>
    <row r="135" spans="9:10" x14ac:dyDescent="0.25">
      <c r="I135" s="37"/>
      <c r="J135" s="35"/>
    </row>
    <row r="136" spans="9:10" x14ac:dyDescent="0.25">
      <c r="I136" s="37"/>
      <c r="J136" s="35"/>
    </row>
    <row r="137" spans="9:10" x14ac:dyDescent="0.25">
      <c r="I137" s="37"/>
      <c r="J137" s="35"/>
    </row>
    <row r="138" spans="9:10" x14ac:dyDescent="0.25">
      <c r="I138" s="37"/>
      <c r="J138" s="35"/>
    </row>
    <row r="139" spans="9:10" x14ac:dyDescent="0.25">
      <c r="I139" s="37"/>
      <c r="J139" s="35"/>
    </row>
    <row r="140" spans="9:10" x14ac:dyDescent="0.25">
      <c r="I140" s="37"/>
      <c r="J140" s="35"/>
    </row>
    <row r="141" spans="9:10" x14ac:dyDescent="0.25">
      <c r="I141" s="37"/>
      <c r="J141" s="35"/>
    </row>
    <row r="142" spans="9:10" x14ac:dyDescent="0.25">
      <c r="I142" s="37"/>
      <c r="J142" s="35"/>
    </row>
    <row r="143" spans="9:10" x14ac:dyDescent="0.25">
      <c r="I143" s="37"/>
      <c r="J143" s="35"/>
    </row>
    <row r="144" spans="9:10" x14ac:dyDescent="0.25">
      <c r="I144" s="37"/>
      <c r="J144" s="35"/>
    </row>
    <row r="145" spans="9:10" x14ac:dyDescent="0.25">
      <c r="I145" s="37"/>
      <c r="J145" s="35"/>
    </row>
    <row r="146" spans="9:10" x14ac:dyDescent="0.25">
      <c r="I146" s="37"/>
      <c r="J146" s="35"/>
    </row>
    <row r="147" spans="9:10" x14ac:dyDescent="0.25">
      <c r="I147" s="37"/>
      <c r="J147" s="35"/>
    </row>
    <row r="148" spans="9:10" x14ac:dyDescent="0.25">
      <c r="I148" s="37"/>
      <c r="J148" s="35"/>
    </row>
    <row r="149" spans="9:10" x14ac:dyDescent="0.25">
      <c r="I149" s="37"/>
      <c r="J149" s="35"/>
    </row>
    <row r="150" spans="9:10" x14ac:dyDescent="0.25">
      <c r="I150" s="37"/>
      <c r="J150" s="35"/>
    </row>
    <row r="151" spans="9:10" x14ac:dyDescent="0.25">
      <c r="I151" s="37"/>
      <c r="J151" s="35"/>
    </row>
    <row r="152" spans="9:10" x14ac:dyDescent="0.25">
      <c r="I152" s="37"/>
      <c r="J152" s="35"/>
    </row>
    <row r="153" spans="9:10" x14ac:dyDescent="0.25">
      <c r="I153" s="37"/>
      <c r="J153" s="35"/>
    </row>
    <row r="154" spans="9:10" x14ac:dyDescent="0.25">
      <c r="I154" s="37"/>
      <c r="J154" s="35"/>
    </row>
    <row r="155" spans="9:10" x14ac:dyDescent="0.25">
      <c r="I155" s="37"/>
      <c r="J155" s="35"/>
    </row>
    <row r="156" spans="9:10" x14ac:dyDescent="0.25">
      <c r="I156" s="37"/>
      <c r="J156" s="35"/>
    </row>
    <row r="157" spans="9:10" x14ac:dyDescent="0.25">
      <c r="I157" s="37"/>
      <c r="J157" s="35"/>
    </row>
    <row r="158" spans="9:10" x14ac:dyDescent="0.25">
      <c r="I158" s="37"/>
      <c r="J158" s="35"/>
    </row>
    <row r="159" spans="9:10" x14ac:dyDescent="0.25">
      <c r="I159" s="37"/>
      <c r="J159" s="35"/>
    </row>
    <row r="160" spans="9:10" x14ac:dyDescent="0.25">
      <c r="I160" s="37"/>
      <c r="J160" s="35"/>
    </row>
    <row r="161" spans="9:10" x14ac:dyDescent="0.25">
      <c r="I161" s="37"/>
      <c r="J161" s="35"/>
    </row>
    <row r="162" spans="9:10" x14ac:dyDescent="0.25">
      <c r="I162" s="37"/>
      <c r="J162" s="35"/>
    </row>
    <row r="163" spans="9:10" x14ac:dyDescent="0.25">
      <c r="I163" s="37"/>
      <c r="J163" s="35"/>
    </row>
    <row r="164" spans="9:10" x14ac:dyDescent="0.25">
      <c r="I164" s="37"/>
      <c r="J164" s="35"/>
    </row>
    <row r="165" spans="9:10" x14ac:dyDescent="0.25">
      <c r="I165" s="37"/>
      <c r="J165" s="35"/>
    </row>
    <row r="166" spans="9:10" x14ac:dyDescent="0.25">
      <c r="I166" s="37"/>
      <c r="J166" s="35"/>
    </row>
    <row r="167" spans="9:10" x14ac:dyDescent="0.25">
      <c r="I167" s="37"/>
      <c r="J167" s="35"/>
    </row>
    <row r="168" spans="9:10" x14ac:dyDescent="0.25">
      <c r="I168" s="37"/>
      <c r="J168" s="35"/>
    </row>
    <row r="169" spans="9:10" x14ac:dyDescent="0.25">
      <c r="I169" s="37"/>
      <c r="J169" s="35"/>
    </row>
    <row r="170" spans="9:10" x14ac:dyDescent="0.25">
      <c r="I170" s="37"/>
      <c r="J170" s="35"/>
    </row>
    <row r="171" spans="9:10" x14ac:dyDescent="0.25">
      <c r="I171" s="37"/>
      <c r="J171" s="35"/>
    </row>
    <row r="172" spans="9:10" x14ac:dyDescent="0.25">
      <c r="I172" s="37"/>
      <c r="J172" s="35"/>
    </row>
    <row r="173" spans="9:10" x14ac:dyDescent="0.25">
      <c r="I173" s="37"/>
      <c r="J173" s="35"/>
    </row>
    <row r="174" spans="9:10" x14ac:dyDescent="0.25">
      <c r="I174" s="37"/>
      <c r="J174" s="35"/>
    </row>
    <row r="175" spans="9:10" x14ac:dyDescent="0.25">
      <c r="I175" s="37"/>
      <c r="J175" s="35"/>
    </row>
    <row r="176" spans="9:10" x14ac:dyDescent="0.25">
      <c r="I176" s="37"/>
      <c r="J176" s="35"/>
    </row>
    <row r="177" spans="9:10" x14ac:dyDescent="0.25">
      <c r="I177" s="37"/>
      <c r="J177" s="35"/>
    </row>
    <row r="178" spans="9:10" x14ac:dyDescent="0.25">
      <c r="I178" s="37"/>
      <c r="J178" s="35"/>
    </row>
    <row r="179" spans="9:10" x14ac:dyDescent="0.25">
      <c r="I179" s="37"/>
      <c r="J179" s="35"/>
    </row>
    <row r="180" spans="9:10" x14ac:dyDescent="0.25">
      <c r="I180" s="37"/>
      <c r="J180" s="35"/>
    </row>
    <row r="181" spans="9:10" x14ac:dyDescent="0.25">
      <c r="I181" s="37"/>
      <c r="J181" s="35"/>
    </row>
    <row r="182" spans="9:10" x14ac:dyDescent="0.25">
      <c r="I182" s="37"/>
      <c r="J182" s="35"/>
    </row>
    <row r="183" spans="9:10" x14ac:dyDescent="0.25">
      <c r="I183" s="37"/>
      <c r="J183" s="35"/>
    </row>
    <row r="184" spans="9:10" x14ac:dyDescent="0.25">
      <c r="I184" s="37"/>
      <c r="J184" s="35"/>
    </row>
    <row r="185" spans="9:10" x14ac:dyDescent="0.25">
      <c r="I185" s="37"/>
      <c r="J185" s="35"/>
    </row>
    <row r="186" spans="9:10" x14ac:dyDescent="0.25">
      <c r="I186" s="37"/>
      <c r="J186" s="35"/>
    </row>
    <row r="187" spans="9:10" x14ac:dyDescent="0.25">
      <c r="I187" s="37"/>
      <c r="J187" s="35"/>
    </row>
    <row r="188" spans="9:10" x14ac:dyDescent="0.25">
      <c r="I188" s="37"/>
      <c r="J188" s="35"/>
    </row>
    <row r="189" spans="9:10" x14ac:dyDescent="0.25">
      <c r="I189" s="37"/>
      <c r="J189" s="35"/>
    </row>
    <row r="190" spans="9:10" x14ac:dyDescent="0.25">
      <c r="I190" s="37"/>
      <c r="J190" s="35"/>
    </row>
    <row r="191" spans="9:10" x14ac:dyDescent="0.25">
      <c r="I191" s="37"/>
      <c r="J191" s="35"/>
    </row>
    <row r="192" spans="9:10" x14ac:dyDescent="0.25">
      <c r="I192" s="37"/>
      <c r="J192" s="35"/>
    </row>
    <row r="193" spans="9:10" x14ac:dyDescent="0.25">
      <c r="I193" s="37"/>
      <c r="J193" s="35"/>
    </row>
    <row r="194" spans="9:10" x14ac:dyDescent="0.25">
      <c r="I194" s="37"/>
      <c r="J194" s="35"/>
    </row>
    <row r="195" spans="9:10" x14ac:dyDescent="0.25">
      <c r="I195" s="37"/>
      <c r="J195" s="35"/>
    </row>
    <row r="196" spans="9:10" x14ac:dyDescent="0.25">
      <c r="I196" s="37"/>
      <c r="J196" s="35"/>
    </row>
    <row r="197" spans="9:10" x14ac:dyDescent="0.25">
      <c r="I197" s="37"/>
      <c r="J197" s="35"/>
    </row>
    <row r="198" spans="9:10" x14ac:dyDescent="0.25">
      <c r="I198" s="37"/>
      <c r="J198" s="35"/>
    </row>
    <row r="199" spans="9:10" x14ac:dyDescent="0.25">
      <c r="I199" s="37"/>
      <c r="J199" s="35"/>
    </row>
    <row r="200" spans="9:10" x14ac:dyDescent="0.25">
      <c r="I200" s="37"/>
      <c r="J200" s="35"/>
    </row>
    <row r="201" spans="9:10" x14ac:dyDescent="0.25">
      <c r="I201" s="37"/>
      <c r="J201" s="35"/>
    </row>
    <row r="202" spans="9:10" x14ac:dyDescent="0.25">
      <c r="I202" s="37"/>
      <c r="J202" s="35"/>
    </row>
    <row r="203" spans="9:10" x14ac:dyDescent="0.25">
      <c r="I203" s="37"/>
      <c r="J203" s="35"/>
    </row>
    <row r="204" spans="9:10" x14ac:dyDescent="0.25">
      <c r="I204" s="37"/>
      <c r="J204" s="35"/>
    </row>
    <row r="205" spans="9:10" x14ac:dyDescent="0.25">
      <c r="I205" s="37"/>
      <c r="J205" s="35"/>
    </row>
    <row r="206" spans="9:10" x14ac:dyDescent="0.25">
      <c r="I206" s="37"/>
      <c r="J206" s="35"/>
    </row>
    <row r="207" spans="9:10" x14ac:dyDescent="0.25">
      <c r="I207" s="37"/>
      <c r="J207" s="35"/>
    </row>
    <row r="208" spans="9:10" x14ac:dyDescent="0.25">
      <c r="I208" s="37"/>
      <c r="J208" s="35"/>
    </row>
    <row r="209" spans="9:10" x14ac:dyDescent="0.25">
      <c r="I209" s="37"/>
      <c r="J209" s="35"/>
    </row>
    <row r="210" spans="9:10" x14ac:dyDescent="0.25">
      <c r="I210" s="37"/>
      <c r="J210" s="35"/>
    </row>
    <row r="211" spans="9:10" x14ac:dyDescent="0.25">
      <c r="I211" s="37"/>
      <c r="J211" s="35"/>
    </row>
    <row r="212" spans="9:10" x14ac:dyDescent="0.25">
      <c r="I212" s="37"/>
      <c r="J212" s="35"/>
    </row>
    <row r="213" spans="9:10" x14ac:dyDescent="0.25">
      <c r="I213" s="37"/>
      <c r="J213" s="35"/>
    </row>
    <row r="214" spans="9:10" x14ac:dyDescent="0.25">
      <c r="I214" s="37"/>
      <c r="J214" s="35"/>
    </row>
    <row r="215" spans="9:10" x14ac:dyDescent="0.25">
      <c r="I215" s="37"/>
      <c r="J215" s="35"/>
    </row>
    <row r="216" spans="9:10" x14ac:dyDescent="0.25">
      <c r="I216" s="37"/>
      <c r="J216" s="35"/>
    </row>
    <row r="217" spans="9:10" x14ac:dyDescent="0.25">
      <c r="I217" s="37"/>
      <c r="J217" s="35"/>
    </row>
    <row r="218" spans="9:10" x14ac:dyDescent="0.25">
      <c r="I218" s="37"/>
      <c r="J218" s="35"/>
    </row>
    <row r="219" spans="9:10" x14ac:dyDescent="0.25">
      <c r="I219" s="37"/>
      <c r="J219" s="35"/>
    </row>
    <row r="220" spans="9:10" x14ac:dyDescent="0.25">
      <c r="I220" s="37"/>
      <c r="J220" s="35"/>
    </row>
    <row r="221" spans="9:10" x14ac:dyDescent="0.25">
      <c r="I221" s="37"/>
      <c r="J221" s="35"/>
    </row>
    <row r="222" spans="9:10" x14ac:dyDescent="0.25">
      <c r="I222" s="37"/>
      <c r="J222" s="35"/>
    </row>
    <row r="223" spans="9:10" x14ac:dyDescent="0.25">
      <c r="I223" s="37"/>
      <c r="J223" s="35"/>
    </row>
    <row r="224" spans="9:10" x14ac:dyDescent="0.25">
      <c r="I224" s="37"/>
      <c r="J224" s="35"/>
    </row>
    <row r="225" spans="9:10" x14ac:dyDescent="0.25">
      <c r="I225" s="37"/>
      <c r="J225" s="35"/>
    </row>
    <row r="226" spans="9:10" x14ac:dyDescent="0.25">
      <c r="I226" s="37"/>
      <c r="J226" s="35"/>
    </row>
    <row r="227" spans="9:10" x14ac:dyDescent="0.25">
      <c r="I227" s="37"/>
      <c r="J227" s="35"/>
    </row>
    <row r="228" spans="9:10" x14ac:dyDescent="0.25">
      <c r="I228" s="37"/>
      <c r="J228" s="35"/>
    </row>
    <row r="229" spans="9:10" x14ac:dyDescent="0.25">
      <c r="I229" s="37"/>
      <c r="J229" s="35"/>
    </row>
    <row r="230" spans="9:10" x14ac:dyDescent="0.25">
      <c r="I230" s="37"/>
      <c r="J230" s="35"/>
    </row>
    <row r="231" spans="9:10" x14ac:dyDescent="0.25">
      <c r="I231" s="37"/>
      <c r="J231" s="35"/>
    </row>
    <row r="232" spans="9:10" x14ac:dyDescent="0.25">
      <c r="I232" s="37"/>
      <c r="J232" s="35"/>
    </row>
    <row r="233" spans="9:10" x14ac:dyDescent="0.25">
      <c r="I233" s="37"/>
      <c r="J233" s="35"/>
    </row>
    <row r="234" spans="9:10" x14ac:dyDescent="0.25">
      <c r="I234" s="37"/>
      <c r="J234" s="35"/>
    </row>
    <row r="235" spans="9:10" x14ac:dyDescent="0.25">
      <c r="I235" s="37"/>
      <c r="J235" s="35"/>
    </row>
    <row r="236" spans="9:10" x14ac:dyDescent="0.25">
      <c r="I236" s="37"/>
      <c r="J236" s="35"/>
    </row>
    <row r="237" spans="9:10" x14ac:dyDescent="0.25">
      <c r="I237" s="37"/>
      <c r="J237" s="35"/>
    </row>
    <row r="238" spans="9:10" x14ac:dyDescent="0.25">
      <c r="I238" s="37"/>
      <c r="J238" s="35"/>
    </row>
    <row r="239" spans="9:10" x14ac:dyDescent="0.25">
      <c r="I239" s="37"/>
      <c r="J239" s="35"/>
    </row>
    <row r="240" spans="9:10" x14ac:dyDescent="0.25">
      <c r="I240" s="37"/>
      <c r="J240" s="35"/>
    </row>
    <row r="241" spans="9:10" x14ac:dyDescent="0.25">
      <c r="I241" s="37"/>
      <c r="J241" s="35"/>
    </row>
    <row r="242" spans="9:10" x14ac:dyDescent="0.25">
      <c r="I242" s="37"/>
      <c r="J242" s="35"/>
    </row>
    <row r="243" spans="9:10" x14ac:dyDescent="0.25">
      <c r="I243" s="37"/>
      <c r="J243" s="35"/>
    </row>
    <row r="244" spans="9:10" x14ac:dyDescent="0.25">
      <c r="I244" s="37"/>
      <c r="J244" s="35"/>
    </row>
    <row r="245" spans="9:10" x14ac:dyDescent="0.25">
      <c r="I245" s="37"/>
      <c r="J245" s="35"/>
    </row>
    <row r="246" spans="9:10" x14ac:dyDescent="0.25">
      <c r="I246" s="37"/>
      <c r="J246" s="35"/>
    </row>
    <row r="247" spans="9:10" x14ac:dyDescent="0.25">
      <c r="I247" s="37"/>
      <c r="J247" s="35"/>
    </row>
    <row r="248" spans="9:10" x14ac:dyDescent="0.25">
      <c r="I248" s="37"/>
      <c r="J248" s="35"/>
    </row>
    <row r="249" spans="9:10" x14ac:dyDescent="0.25">
      <c r="I249" s="37"/>
      <c r="J249" s="35"/>
    </row>
    <row r="250" spans="9:10" x14ac:dyDescent="0.25">
      <c r="I250" s="37"/>
      <c r="J250" s="35"/>
    </row>
    <row r="251" spans="9:10" x14ac:dyDescent="0.25">
      <c r="I251" s="37"/>
      <c r="J251" s="35"/>
    </row>
    <row r="252" spans="9:10" x14ac:dyDescent="0.25">
      <c r="I252" s="37"/>
      <c r="J252" s="35"/>
    </row>
    <row r="253" spans="9:10" x14ac:dyDescent="0.25">
      <c r="I253" s="37"/>
      <c r="J253" s="35"/>
    </row>
    <row r="254" spans="9:10" x14ac:dyDescent="0.25">
      <c r="I254" s="37"/>
      <c r="J254" s="35"/>
    </row>
    <row r="255" spans="9:10" x14ac:dyDescent="0.25">
      <c r="I255" s="37"/>
      <c r="J255" s="35"/>
    </row>
    <row r="256" spans="9:10" x14ac:dyDescent="0.25">
      <c r="I256" s="37"/>
      <c r="J256" s="35"/>
    </row>
    <row r="257" spans="9:10" x14ac:dyDescent="0.25">
      <c r="I257" s="37"/>
      <c r="J257" s="35"/>
    </row>
    <row r="258" spans="9:10" x14ac:dyDescent="0.25">
      <c r="I258" s="37"/>
      <c r="J258" s="35"/>
    </row>
    <row r="259" spans="9:10" x14ac:dyDescent="0.25">
      <c r="I259" s="37"/>
      <c r="J259" s="35"/>
    </row>
    <row r="260" spans="9:10" x14ac:dyDescent="0.25">
      <c r="I260" s="37"/>
      <c r="J260" s="35"/>
    </row>
    <row r="261" spans="9:10" x14ac:dyDescent="0.25">
      <c r="I261" s="37"/>
      <c r="J261" s="35"/>
    </row>
    <row r="262" spans="9:10" x14ac:dyDescent="0.25">
      <c r="I262" s="37"/>
      <c r="J262" s="35"/>
    </row>
    <row r="263" spans="9:10" x14ac:dyDescent="0.25">
      <c r="I263" s="37"/>
      <c r="J263" s="35"/>
    </row>
    <row r="264" spans="9:10" x14ac:dyDescent="0.25">
      <c r="I264" s="37"/>
      <c r="J264" s="35"/>
    </row>
    <row r="265" spans="9:10" x14ac:dyDescent="0.25">
      <c r="I265" s="37"/>
      <c r="J265" s="35"/>
    </row>
    <row r="266" spans="9:10" x14ac:dyDescent="0.25">
      <c r="I266" s="37"/>
      <c r="J266" s="35"/>
    </row>
    <row r="267" spans="9:10" x14ac:dyDescent="0.25">
      <c r="I267" s="37"/>
      <c r="J267" s="35"/>
    </row>
    <row r="268" spans="9:10" x14ac:dyDescent="0.25">
      <c r="I268" s="37"/>
      <c r="J268" s="35"/>
    </row>
    <row r="269" spans="9:10" x14ac:dyDescent="0.25">
      <c r="I269" s="37"/>
      <c r="J269" s="35"/>
    </row>
    <row r="270" spans="9:10" x14ac:dyDescent="0.25">
      <c r="I270" s="37"/>
      <c r="J270" s="35"/>
    </row>
    <row r="271" spans="9:10" x14ac:dyDescent="0.25">
      <c r="I271" s="37"/>
      <c r="J271" s="35"/>
    </row>
    <row r="272" spans="9:10" x14ac:dyDescent="0.25">
      <c r="I272" s="37"/>
      <c r="J272" s="35"/>
    </row>
    <row r="273" spans="9:10" x14ac:dyDescent="0.25">
      <c r="I273" s="37"/>
      <c r="J273" s="35"/>
    </row>
    <row r="274" spans="9:10" x14ac:dyDescent="0.25">
      <c r="I274" s="37"/>
      <c r="J274" s="35"/>
    </row>
    <row r="275" spans="9:10" x14ac:dyDescent="0.25">
      <c r="I275" s="37"/>
      <c r="J275" s="35"/>
    </row>
    <row r="276" spans="9:10" x14ac:dyDescent="0.25">
      <c r="I276" s="37"/>
      <c r="J276" s="35"/>
    </row>
    <row r="277" spans="9:10" x14ac:dyDescent="0.25">
      <c r="I277" s="37"/>
      <c r="J277" s="35"/>
    </row>
    <row r="278" spans="9:10" x14ac:dyDescent="0.25">
      <c r="I278" s="37"/>
      <c r="J278" s="35"/>
    </row>
    <row r="279" spans="9:10" x14ac:dyDescent="0.25">
      <c r="I279" s="37"/>
      <c r="J279" s="35"/>
    </row>
    <row r="280" spans="9:10" x14ac:dyDescent="0.25">
      <c r="I280" s="37"/>
      <c r="J280" s="35"/>
    </row>
    <row r="281" spans="9:10" x14ac:dyDescent="0.25">
      <c r="I281" s="37"/>
      <c r="J281" s="35"/>
    </row>
    <row r="282" spans="9:10" x14ac:dyDescent="0.25">
      <c r="I282" s="37"/>
      <c r="J282" s="35"/>
    </row>
    <row r="283" spans="9:10" x14ac:dyDescent="0.25">
      <c r="I283" s="37"/>
      <c r="J283" s="35"/>
    </row>
    <row r="284" spans="9:10" x14ac:dyDescent="0.25">
      <c r="I284" s="37"/>
      <c r="J284" s="35"/>
    </row>
    <row r="285" spans="9:10" x14ac:dyDescent="0.25">
      <c r="I285" s="37"/>
      <c r="J285" s="35"/>
    </row>
    <row r="286" spans="9:10" x14ac:dyDescent="0.25">
      <c r="I286" s="37"/>
      <c r="J286" s="35"/>
    </row>
    <row r="287" spans="9:10" x14ac:dyDescent="0.25">
      <c r="I287" s="37"/>
      <c r="J287" s="35"/>
    </row>
    <row r="288" spans="9:10" x14ac:dyDescent="0.25">
      <c r="I288" s="37"/>
      <c r="J288" s="35"/>
    </row>
    <row r="289" spans="9:10" x14ac:dyDescent="0.25">
      <c r="I289" s="37"/>
      <c r="J289" s="35"/>
    </row>
    <row r="290" spans="9:10" x14ac:dyDescent="0.25">
      <c r="I290" s="37"/>
      <c r="J290" s="35"/>
    </row>
    <row r="291" spans="9:10" x14ac:dyDescent="0.25">
      <c r="I291" s="37"/>
      <c r="J291" s="35"/>
    </row>
    <row r="292" spans="9:10" x14ac:dyDescent="0.25">
      <c r="I292" s="37"/>
      <c r="J292" s="35"/>
    </row>
    <row r="293" spans="9:10" x14ac:dyDescent="0.25">
      <c r="I293" s="37"/>
      <c r="J293" s="35"/>
    </row>
    <row r="294" spans="9:10" x14ac:dyDescent="0.25">
      <c r="I294" s="37"/>
      <c r="J294" s="35"/>
    </row>
    <row r="295" spans="9:10" x14ac:dyDescent="0.25">
      <c r="I295" s="37"/>
      <c r="J295" s="35"/>
    </row>
    <row r="296" spans="9:10" x14ac:dyDescent="0.25">
      <c r="I296" s="37"/>
      <c r="J296" s="35"/>
    </row>
    <row r="297" spans="9:10" x14ac:dyDescent="0.25">
      <c r="I297" s="37"/>
      <c r="J297" s="35"/>
    </row>
    <row r="298" spans="9:10" x14ac:dyDescent="0.25">
      <c r="I298" s="37"/>
      <c r="J298" s="35"/>
    </row>
    <row r="299" spans="9:10" x14ac:dyDescent="0.25">
      <c r="I299" s="37"/>
      <c r="J299" s="35"/>
    </row>
    <row r="300" spans="9:10" x14ac:dyDescent="0.25">
      <c r="I300" s="37"/>
      <c r="J300" s="35"/>
    </row>
    <row r="301" spans="9:10" x14ac:dyDescent="0.25">
      <c r="I301" s="37"/>
      <c r="J301" s="35"/>
    </row>
    <row r="302" spans="9:10" x14ac:dyDescent="0.25">
      <c r="I302" s="37"/>
      <c r="J302" s="35"/>
    </row>
    <row r="303" spans="9:10" x14ac:dyDescent="0.25">
      <c r="I303" s="37"/>
      <c r="J303" s="35"/>
    </row>
    <row r="304" spans="9:10" x14ac:dyDescent="0.25">
      <c r="I304" s="37"/>
      <c r="J304" s="35"/>
    </row>
    <row r="305" spans="9:12" x14ac:dyDescent="0.25">
      <c r="I305" s="37"/>
      <c r="J305" s="35"/>
    </row>
    <row r="306" spans="9:12" x14ac:dyDescent="0.25">
      <c r="I306" s="37"/>
      <c r="J306" s="35"/>
    </row>
    <row r="307" spans="9:12" x14ac:dyDescent="0.25">
      <c r="I307" s="37"/>
      <c r="J307" s="35"/>
    </row>
    <row r="308" spans="9:12" x14ac:dyDescent="0.25">
      <c r="I308" s="37"/>
      <c r="J308" s="35"/>
    </row>
    <row r="309" spans="9:12" x14ac:dyDescent="0.25">
      <c r="I309" s="37"/>
      <c r="J309" s="35"/>
    </row>
    <row r="310" spans="9:12" x14ac:dyDescent="0.25">
      <c r="I310" s="37"/>
      <c r="J310" s="35"/>
    </row>
    <row r="311" spans="9:12" x14ac:dyDescent="0.25">
      <c r="I311" s="37"/>
      <c r="J311" s="35"/>
    </row>
    <row r="312" spans="9:12" x14ac:dyDescent="0.25">
      <c r="I312" s="37"/>
      <c r="J312" s="35"/>
      <c r="L312" s="36"/>
    </row>
    <row r="313" spans="9:12" x14ac:dyDescent="0.25">
      <c r="I313" s="37"/>
      <c r="J313" s="35"/>
    </row>
    <row r="314" spans="9:12" x14ac:dyDescent="0.25">
      <c r="I314" s="37"/>
      <c r="J314" s="35"/>
    </row>
    <row r="315" spans="9:12" x14ac:dyDescent="0.25">
      <c r="I315" s="37"/>
      <c r="J315" s="35"/>
    </row>
    <row r="316" spans="9:12" x14ac:dyDescent="0.25">
      <c r="I316" s="37"/>
      <c r="J316" s="35"/>
    </row>
    <row r="317" spans="9:12" x14ac:dyDescent="0.25">
      <c r="I317" s="37"/>
      <c r="J317" s="35"/>
    </row>
    <row r="318" spans="9:12" x14ac:dyDescent="0.25">
      <c r="I318" s="37"/>
      <c r="J318" s="35"/>
    </row>
    <row r="319" spans="9:12" x14ac:dyDescent="0.25">
      <c r="I319" s="37"/>
      <c r="J319" s="35"/>
    </row>
    <row r="320" spans="9:12" x14ac:dyDescent="0.25">
      <c r="I320" s="37"/>
      <c r="J320" s="35"/>
    </row>
    <row r="321" spans="9:10" x14ac:dyDescent="0.25">
      <c r="I321" s="37"/>
      <c r="J321" s="35"/>
    </row>
    <row r="322" spans="9:10" x14ac:dyDescent="0.25">
      <c r="I322" s="37"/>
      <c r="J322" s="35"/>
    </row>
    <row r="323" spans="9:10" x14ac:dyDescent="0.25">
      <c r="I323" s="37"/>
      <c r="J323" s="35"/>
    </row>
    <row r="324" spans="9:10" x14ac:dyDescent="0.25">
      <c r="I324" s="37"/>
      <c r="J324" s="35"/>
    </row>
    <row r="325" spans="9:10" x14ac:dyDescent="0.25">
      <c r="I325" s="37"/>
      <c r="J325" s="35"/>
    </row>
    <row r="326" spans="9:10" x14ac:dyDescent="0.25">
      <c r="I326" s="37"/>
      <c r="J326" s="35"/>
    </row>
    <row r="327" spans="9:10" x14ac:dyDescent="0.25">
      <c r="I327" s="37"/>
      <c r="J327" s="35"/>
    </row>
    <row r="328" spans="9:10" x14ac:dyDescent="0.25">
      <c r="I328" s="37"/>
      <c r="J328" s="35"/>
    </row>
    <row r="329" spans="9:10" x14ac:dyDescent="0.25">
      <c r="I329" s="37"/>
      <c r="J329" s="35"/>
    </row>
    <row r="330" spans="9:10" x14ac:dyDescent="0.25">
      <c r="I330" s="37"/>
      <c r="J330" s="35"/>
    </row>
    <row r="331" spans="9:10" x14ac:dyDescent="0.25">
      <c r="I331" s="37"/>
      <c r="J331" s="35"/>
    </row>
    <row r="332" spans="9:10" x14ac:dyDescent="0.25">
      <c r="I332" s="37"/>
      <c r="J332" s="35"/>
    </row>
    <row r="333" spans="9:10" x14ac:dyDescent="0.25">
      <c r="I333" s="37"/>
      <c r="J333" s="35"/>
    </row>
    <row r="334" spans="9:10" x14ac:dyDescent="0.25">
      <c r="I334" s="37"/>
      <c r="J334" s="35"/>
    </row>
    <row r="335" spans="9:10" x14ac:dyDescent="0.25">
      <c r="I335" s="37"/>
      <c r="J335" s="35"/>
    </row>
    <row r="336" spans="9:10" x14ac:dyDescent="0.25">
      <c r="I336" s="37"/>
      <c r="J336" s="35"/>
    </row>
    <row r="337" spans="9:10" x14ac:dyDescent="0.25">
      <c r="I337" s="37"/>
      <c r="J337" s="35"/>
    </row>
    <row r="338" spans="9:10" x14ac:dyDescent="0.25">
      <c r="I338" s="37"/>
      <c r="J338" s="35"/>
    </row>
    <row r="339" spans="9:10" x14ac:dyDescent="0.25">
      <c r="I339" s="37"/>
      <c r="J339" s="35"/>
    </row>
    <row r="340" spans="9:10" x14ac:dyDescent="0.25">
      <c r="I340" s="37"/>
      <c r="J340" s="35"/>
    </row>
    <row r="341" spans="9:10" x14ac:dyDescent="0.25">
      <c r="I341" s="37"/>
      <c r="J341" s="35"/>
    </row>
    <row r="342" spans="9:10" x14ac:dyDescent="0.25">
      <c r="I342" s="37"/>
      <c r="J342" s="35"/>
    </row>
    <row r="343" spans="9:10" x14ac:dyDescent="0.25">
      <c r="I343" s="37"/>
      <c r="J343" s="35"/>
    </row>
    <row r="344" spans="9:10" x14ac:dyDescent="0.25">
      <c r="I344" s="37"/>
      <c r="J344" s="35"/>
    </row>
    <row r="345" spans="9:10" x14ac:dyDescent="0.25">
      <c r="I345" s="37"/>
      <c r="J345" s="35"/>
    </row>
    <row r="346" spans="9:10" x14ac:dyDescent="0.25">
      <c r="I346" s="37"/>
      <c r="J346" s="35"/>
    </row>
    <row r="347" spans="9:10" x14ac:dyDescent="0.25">
      <c r="I347" s="37"/>
      <c r="J347" s="35"/>
    </row>
    <row r="348" spans="9:10" x14ac:dyDescent="0.25">
      <c r="I348" s="37"/>
      <c r="J348" s="35"/>
    </row>
    <row r="349" spans="9:10" x14ac:dyDescent="0.25">
      <c r="I349" s="37"/>
      <c r="J349" s="35"/>
    </row>
    <row r="350" spans="9:10" x14ac:dyDescent="0.25">
      <c r="I350" s="37"/>
      <c r="J350" s="35"/>
    </row>
    <row r="351" spans="9:10" x14ac:dyDescent="0.25">
      <c r="I351" s="37"/>
      <c r="J351" s="35"/>
    </row>
    <row r="352" spans="9:10" x14ac:dyDescent="0.25">
      <c r="I352" s="37"/>
      <c r="J352" s="35"/>
    </row>
    <row r="353" spans="9:10" x14ac:dyDescent="0.25">
      <c r="I353" s="37"/>
      <c r="J353" s="35"/>
    </row>
    <row r="354" spans="9:10" x14ac:dyDescent="0.25">
      <c r="I354" s="37"/>
      <c r="J354" s="35"/>
    </row>
    <row r="355" spans="9:10" x14ac:dyDescent="0.25">
      <c r="I355" s="37"/>
      <c r="J355" s="35"/>
    </row>
    <row r="356" spans="9:10" x14ac:dyDescent="0.25">
      <c r="I356" s="37"/>
      <c r="J356" s="35"/>
    </row>
    <row r="357" spans="9:10" x14ac:dyDescent="0.25">
      <c r="I357" s="37"/>
      <c r="J357" s="35"/>
    </row>
    <row r="358" spans="9:10" x14ac:dyDescent="0.25">
      <c r="I358" s="37"/>
      <c r="J358" s="35"/>
    </row>
    <row r="359" spans="9:10" x14ac:dyDescent="0.25">
      <c r="I359" s="37"/>
      <c r="J359" s="35"/>
    </row>
    <row r="360" spans="9:10" x14ac:dyDescent="0.25">
      <c r="I360" s="37"/>
      <c r="J360" s="35"/>
    </row>
    <row r="361" spans="9:10" x14ac:dyDescent="0.25">
      <c r="I361" s="37"/>
      <c r="J361" s="35"/>
    </row>
    <row r="362" spans="9:10" x14ac:dyDescent="0.25">
      <c r="I362" s="37"/>
      <c r="J362" s="35"/>
    </row>
    <row r="363" spans="9:10" x14ac:dyDescent="0.25">
      <c r="I363" s="37"/>
      <c r="J363" s="35"/>
    </row>
    <row r="364" spans="9:10" x14ac:dyDescent="0.25">
      <c r="I364" s="37"/>
      <c r="J364" s="35"/>
    </row>
    <row r="365" spans="9:10" x14ac:dyDescent="0.25">
      <c r="I365" s="37"/>
      <c r="J365" s="35"/>
    </row>
    <row r="366" spans="9:10" x14ac:dyDescent="0.25">
      <c r="I366" s="37"/>
      <c r="J366" s="35"/>
    </row>
    <row r="367" spans="9:10" x14ac:dyDescent="0.25">
      <c r="I367" s="37"/>
      <c r="J367" s="35"/>
    </row>
    <row r="368" spans="9:10" x14ac:dyDescent="0.25">
      <c r="I368" s="37"/>
      <c r="J368" s="35"/>
    </row>
    <row r="369" spans="9:10" x14ac:dyDescent="0.25">
      <c r="I369" s="37"/>
      <c r="J369" s="35"/>
    </row>
    <row r="370" spans="9:10" x14ac:dyDescent="0.25">
      <c r="I370" s="37"/>
      <c r="J370" s="35"/>
    </row>
    <row r="371" spans="9:10" x14ac:dyDescent="0.25">
      <c r="I371" s="37"/>
      <c r="J371" s="35"/>
    </row>
    <row r="372" spans="9:10" x14ac:dyDescent="0.25">
      <c r="I372" s="37"/>
      <c r="J372" s="35"/>
    </row>
    <row r="373" spans="9:10" x14ac:dyDescent="0.25">
      <c r="I373" s="37"/>
      <c r="J373" s="35"/>
    </row>
    <row r="374" spans="9:10" x14ac:dyDescent="0.25">
      <c r="I374" s="37"/>
      <c r="J374" s="35"/>
    </row>
    <row r="375" spans="9:10" x14ac:dyDescent="0.25">
      <c r="I375" s="37"/>
      <c r="J375" s="35"/>
    </row>
    <row r="376" spans="9:10" x14ac:dyDescent="0.25">
      <c r="I376" s="37"/>
      <c r="J376" s="35"/>
    </row>
    <row r="377" spans="9:10" x14ac:dyDescent="0.25">
      <c r="I377" s="37"/>
      <c r="J377" s="35"/>
    </row>
    <row r="378" spans="9:10" x14ac:dyDescent="0.25">
      <c r="I378" s="37"/>
      <c r="J378" s="35"/>
    </row>
    <row r="379" spans="9:10" x14ac:dyDescent="0.25">
      <c r="I379" s="37"/>
      <c r="J379" s="35"/>
    </row>
    <row r="380" spans="9:10" x14ac:dyDescent="0.25">
      <c r="I380" s="37"/>
      <c r="J380" s="35"/>
    </row>
    <row r="381" spans="9:10" x14ac:dyDescent="0.25">
      <c r="I381" s="37"/>
      <c r="J381" s="35"/>
    </row>
    <row r="382" spans="9:10" x14ac:dyDescent="0.25">
      <c r="I382" s="37"/>
      <c r="J382" s="35"/>
    </row>
    <row r="383" spans="9:10" x14ac:dyDescent="0.25">
      <c r="I383" s="37"/>
      <c r="J383" s="35"/>
    </row>
    <row r="384" spans="9:10" x14ac:dyDescent="0.25">
      <c r="I384" s="37"/>
      <c r="J384" s="35"/>
    </row>
    <row r="385" spans="9:10" x14ac:dyDescent="0.25">
      <c r="I385" s="37"/>
      <c r="J385" s="35"/>
    </row>
    <row r="386" spans="9:10" x14ac:dyDescent="0.25">
      <c r="I386" s="37"/>
      <c r="J386" s="35"/>
    </row>
    <row r="387" spans="9:10" x14ac:dyDescent="0.25">
      <c r="I387" s="37"/>
      <c r="J387" s="35"/>
    </row>
    <row r="388" spans="9:10" x14ac:dyDescent="0.25">
      <c r="I388" s="37"/>
      <c r="J388" s="35"/>
    </row>
    <row r="389" spans="9:10" x14ac:dyDescent="0.25">
      <c r="I389" s="37"/>
      <c r="J389" s="35"/>
    </row>
    <row r="390" spans="9:10" x14ac:dyDescent="0.25">
      <c r="I390" s="37"/>
      <c r="J390" s="35"/>
    </row>
    <row r="391" spans="9:10" x14ac:dyDescent="0.25">
      <c r="I391" s="37"/>
      <c r="J391" s="35"/>
    </row>
    <row r="392" spans="9:10" x14ac:dyDescent="0.25">
      <c r="I392" s="37"/>
      <c r="J392" s="35"/>
    </row>
    <row r="393" spans="9:10" x14ac:dyDescent="0.25">
      <c r="I393" s="37"/>
      <c r="J393" s="35"/>
    </row>
    <row r="394" spans="9:10" x14ac:dyDescent="0.25">
      <c r="I394" s="37"/>
      <c r="J394" s="35"/>
    </row>
    <row r="395" spans="9:10" x14ac:dyDescent="0.25">
      <c r="I395" s="37"/>
      <c r="J395" s="35"/>
    </row>
    <row r="396" spans="9:10" x14ac:dyDescent="0.25">
      <c r="I396" s="37"/>
      <c r="J396" s="35"/>
    </row>
    <row r="397" spans="9:10" x14ac:dyDescent="0.25">
      <c r="I397" s="37"/>
      <c r="J397" s="35"/>
    </row>
    <row r="398" spans="9:10" x14ac:dyDescent="0.25">
      <c r="I398" s="37"/>
      <c r="J398" s="35"/>
    </row>
    <row r="399" spans="9:10" x14ac:dyDescent="0.25">
      <c r="I399" s="37"/>
      <c r="J399" s="35"/>
    </row>
    <row r="400" spans="9:10" x14ac:dyDescent="0.25">
      <c r="I400" s="37"/>
      <c r="J400" s="35"/>
    </row>
    <row r="401" spans="9:10" x14ac:dyDescent="0.25">
      <c r="I401" s="37"/>
      <c r="J401" s="35"/>
    </row>
    <row r="402" spans="9:10" x14ac:dyDescent="0.25">
      <c r="I402" s="37"/>
      <c r="J402" s="35"/>
    </row>
    <row r="403" spans="9:10" x14ac:dyDescent="0.25">
      <c r="I403" s="37"/>
      <c r="J403" s="35"/>
    </row>
    <row r="404" spans="9:10" x14ac:dyDescent="0.25">
      <c r="I404" s="37"/>
      <c r="J404" s="35"/>
    </row>
    <row r="405" spans="9:10" x14ac:dyDescent="0.25">
      <c r="I405" s="37"/>
      <c r="J405" s="35"/>
    </row>
    <row r="406" spans="9:10" x14ac:dyDescent="0.25">
      <c r="I406" s="37"/>
      <c r="J406" s="35"/>
    </row>
    <row r="407" spans="9:10" x14ac:dyDescent="0.25">
      <c r="I407" s="37"/>
      <c r="J407" s="35"/>
    </row>
    <row r="408" spans="9:10" x14ac:dyDescent="0.25">
      <c r="I408" s="37"/>
      <c r="J408" s="35"/>
    </row>
    <row r="409" spans="9:10" x14ac:dyDescent="0.25">
      <c r="I409" s="37"/>
      <c r="J409" s="35"/>
    </row>
    <row r="410" spans="9:10" x14ac:dyDescent="0.25">
      <c r="I410" s="37"/>
      <c r="J410" s="35"/>
    </row>
    <row r="411" spans="9:10" x14ac:dyDescent="0.25">
      <c r="I411" s="37"/>
      <c r="J411" s="35"/>
    </row>
    <row r="412" spans="9:10" x14ac:dyDescent="0.25">
      <c r="I412" s="37"/>
      <c r="J412" s="35"/>
    </row>
    <row r="413" spans="9:10" x14ac:dyDescent="0.25">
      <c r="I413" s="37"/>
      <c r="J413" s="35"/>
    </row>
    <row r="414" spans="9:10" x14ac:dyDescent="0.25">
      <c r="I414" s="37"/>
      <c r="J414" s="35"/>
    </row>
    <row r="415" spans="9:10" x14ac:dyDescent="0.25">
      <c r="I415" s="37"/>
      <c r="J415" s="35"/>
    </row>
    <row r="416" spans="9:10" x14ac:dyDescent="0.25">
      <c r="I416" s="37"/>
      <c r="J416" s="35"/>
    </row>
    <row r="417" spans="9:10" x14ac:dyDescent="0.25">
      <c r="I417" s="37"/>
      <c r="J417" s="35"/>
    </row>
    <row r="418" spans="9:10" x14ac:dyDescent="0.25">
      <c r="I418" s="37"/>
      <c r="J418" s="35"/>
    </row>
    <row r="419" spans="9:10" x14ac:dyDescent="0.25">
      <c r="I419" s="37"/>
      <c r="J419" s="35"/>
    </row>
    <row r="420" spans="9:10" x14ac:dyDescent="0.25">
      <c r="I420" s="37"/>
      <c r="J420" s="35"/>
    </row>
    <row r="421" spans="9:10" x14ac:dyDescent="0.25">
      <c r="I421" s="37"/>
      <c r="J421" s="35"/>
    </row>
    <row r="422" spans="9:10" x14ac:dyDescent="0.25">
      <c r="I422" s="37"/>
      <c r="J422" s="35"/>
    </row>
    <row r="423" spans="9:10" x14ac:dyDescent="0.25">
      <c r="I423" s="37"/>
      <c r="J423" s="35"/>
    </row>
    <row r="424" spans="9:10" x14ac:dyDescent="0.25">
      <c r="I424" s="37"/>
      <c r="J424" s="35"/>
    </row>
    <row r="425" spans="9:10" x14ac:dyDescent="0.25">
      <c r="I425" s="37"/>
      <c r="J425" s="35"/>
    </row>
    <row r="426" spans="9:10" x14ac:dyDescent="0.25">
      <c r="I426" s="37"/>
      <c r="J426" s="35"/>
    </row>
    <row r="427" spans="9:10" x14ac:dyDescent="0.25">
      <c r="I427" s="37"/>
      <c r="J427" s="35"/>
    </row>
    <row r="428" spans="9:10" x14ac:dyDescent="0.25">
      <c r="I428" s="37"/>
      <c r="J428" s="35"/>
    </row>
    <row r="429" spans="9:10" x14ac:dyDescent="0.25">
      <c r="I429" s="37"/>
      <c r="J429" s="35"/>
    </row>
    <row r="430" spans="9:10" x14ac:dyDescent="0.25">
      <c r="I430" s="37"/>
      <c r="J430" s="35"/>
    </row>
    <row r="431" spans="9:10" x14ac:dyDescent="0.25">
      <c r="I431" s="37"/>
      <c r="J431" s="35"/>
    </row>
    <row r="432" spans="9:10" x14ac:dyDescent="0.25">
      <c r="I432" s="37"/>
      <c r="J432" s="35"/>
    </row>
    <row r="433" spans="9:10" x14ac:dyDescent="0.25">
      <c r="I433" s="37"/>
      <c r="J433" s="35"/>
    </row>
    <row r="434" spans="9:10" x14ac:dyDescent="0.25">
      <c r="I434" s="37"/>
      <c r="J434" s="35"/>
    </row>
    <row r="435" spans="9:10" x14ac:dyDescent="0.25">
      <c r="I435" s="37"/>
      <c r="J435" s="35"/>
    </row>
    <row r="436" spans="9:10" x14ac:dyDescent="0.25">
      <c r="I436" s="37"/>
      <c r="J436" s="35"/>
    </row>
    <row r="437" spans="9:10" x14ac:dyDescent="0.25">
      <c r="I437" s="37"/>
      <c r="J437" s="35"/>
    </row>
    <row r="438" spans="9:10" x14ac:dyDescent="0.25">
      <c r="I438" s="37"/>
      <c r="J438" s="35"/>
    </row>
    <row r="439" spans="9:10" x14ac:dyDescent="0.25">
      <c r="I439" s="37"/>
      <c r="J439" s="35"/>
    </row>
    <row r="440" spans="9:10" x14ac:dyDescent="0.25">
      <c r="I440" s="37"/>
      <c r="J440" s="35"/>
    </row>
    <row r="441" spans="9:10" x14ac:dyDescent="0.25">
      <c r="I441" s="37"/>
      <c r="J441" s="35"/>
    </row>
    <row r="442" spans="9:10" x14ac:dyDescent="0.25">
      <c r="I442" s="37"/>
      <c r="J442" s="35"/>
    </row>
    <row r="443" spans="9:10" x14ac:dyDescent="0.25">
      <c r="I443" s="37"/>
      <c r="J443" s="35"/>
    </row>
    <row r="444" spans="9:10" x14ac:dyDescent="0.25">
      <c r="I444" s="37"/>
      <c r="J444" s="35"/>
    </row>
    <row r="445" spans="9:10" x14ac:dyDescent="0.25">
      <c r="I445" s="37"/>
      <c r="J445" s="35"/>
    </row>
    <row r="446" spans="9:10" x14ac:dyDescent="0.25">
      <c r="I446" s="37"/>
      <c r="J446" s="35"/>
    </row>
    <row r="447" spans="9:10" x14ac:dyDescent="0.25">
      <c r="I447" s="37"/>
      <c r="J447" s="35"/>
    </row>
    <row r="448" spans="9:10" x14ac:dyDescent="0.25">
      <c r="I448" s="37"/>
      <c r="J448" s="35"/>
    </row>
    <row r="449" spans="9:10" x14ac:dyDescent="0.25">
      <c r="I449" s="37"/>
      <c r="J449" s="35"/>
    </row>
    <row r="450" spans="9:10" x14ac:dyDescent="0.25">
      <c r="I450" s="37"/>
      <c r="J450" s="35"/>
    </row>
    <row r="451" spans="9:10" x14ac:dyDescent="0.25">
      <c r="I451" s="37"/>
      <c r="J451" s="35"/>
    </row>
    <row r="452" spans="9:10" x14ac:dyDescent="0.25">
      <c r="I452" s="37"/>
      <c r="J452" s="35"/>
    </row>
    <row r="453" spans="9:10" x14ac:dyDescent="0.25">
      <c r="I453" s="37"/>
      <c r="J453" s="35"/>
    </row>
    <row r="454" spans="9:10" x14ac:dyDescent="0.25">
      <c r="I454" s="37"/>
      <c r="J454" s="35"/>
    </row>
    <row r="455" spans="9:10" x14ac:dyDescent="0.25">
      <c r="I455" s="37"/>
      <c r="J455" s="35"/>
    </row>
    <row r="456" spans="9:10" x14ac:dyDescent="0.25">
      <c r="I456" s="37"/>
      <c r="J456" s="35"/>
    </row>
    <row r="457" spans="9:10" x14ac:dyDescent="0.25">
      <c r="I457" s="37"/>
      <c r="J457" s="35"/>
    </row>
    <row r="458" spans="9:10" x14ac:dyDescent="0.25">
      <c r="I458" s="37"/>
      <c r="J458" s="35"/>
    </row>
    <row r="459" spans="9:10" x14ac:dyDescent="0.25">
      <c r="I459" s="37"/>
      <c r="J459" s="35"/>
    </row>
    <row r="460" spans="9:10" x14ac:dyDescent="0.25">
      <c r="I460" s="37"/>
      <c r="J460" s="35"/>
    </row>
    <row r="461" spans="9:10" x14ac:dyDescent="0.25">
      <c r="I461" s="37"/>
      <c r="J461" s="35"/>
    </row>
    <row r="462" spans="9:10" x14ac:dyDescent="0.25">
      <c r="I462" s="37"/>
      <c r="J462" s="35"/>
    </row>
    <row r="463" spans="9:10" x14ac:dyDescent="0.25">
      <c r="I463" s="37"/>
      <c r="J463" s="35"/>
    </row>
    <row r="464" spans="9:10" x14ac:dyDescent="0.25">
      <c r="I464" s="37"/>
      <c r="J464" s="35"/>
    </row>
    <row r="465" spans="9:10" x14ac:dyDescent="0.25">
      <c r="I465" s="37"/>
      <c r="J465" s="35"/>
    </row>
    <row r="466" spans="9:10" x14ac:dyDescent="0.25">
      <c r="I466" s="37"/>
      <c r="J466" s="35"/>
    </row>
    <row r="467" spans="9:10" x14ac:dyDescent="0.25">
      <c r="I467" s="37"/>
      <c r="J467" s="35"/>
    </row>
    <row r="468" spans="9:10" x14ac:dyDescent="0.25">
      <c r="I468" s="37"/>
      <c r="J468" s="35"/>
    </row>
    <row r="469" spans="9:10" x14ac:dyDescent="0.25">
      <c r="I469" s="37"/>
      <c r="J469" s="35"/>
    </row>
    <row r="470" spans="9:10" x14ac:dyDescent="0.25">
      <c r="I470" s="37"/>
      <c r="J470" s="35"/>
    </row>
    <row r="471" spans="9:10" x14ac:dyDescent="0.25">
      <c r="I471" s="37"/>
      <c r="J471" s="35"/>
    </row>
    <row r="472" spans="9:10" x14ac:dyDescent="0.25">
      <c r="I472" s="37"/>
      <c r="J472" s="35"/>
    </row>
    <row r="473" spans="9:10" x14ac:dyDescent="0.25">
      <c r="I473" s="37"/>
      <c r="J473" s="35"/>
    </row>
    <row r="474" spans="9:10" x14ac:dyDescent="0.25">
      <c r="I474" s="37"/>
      <c r="J474" s="35"/>
    </row>
    <row r="475" spans="9:10" x14ac:dyDescent="0.25">
      <c r="I475" s="37"/>
      <c r="J475" s="35"/>
    </row>
    <row r="476" spans="9:10" x14ac:dyDescent="0.25">
      <c r="I476" s="37"/>
      <c r="J476" s="35"/>
    </row>
    <row r="477" spans="9:10" x14ac:dyDescent="0.25">
      <c r="I477" s="37"/>
      <c r="J477" s="35"/>
    </row>
    <row r="478" spans="9:10" x14ac:dyDescent="0.25">
      <c r="I478" s="37"/>
      <c r="J478" s="35"/>
    </row>
    <row r="479" spans="9:10" x14ac:dyDescent="0.25">
      <c r="I479" s="37"/>
      <c r="J479" s="35"/>
    </row>
    <row r="480" spans="9:10" x14ac:dyDescent="0.25">
      <c r="I480" s="37"/>
      <c r="J480" s="35"/>
    </row>
    <row r="481" spans="9:10" x14ac:dyDescent="0.25">
      <c r="I481" s="37"/>
      <c r="J481" s="35"/>
    </row>
    <row r="482" spans="9:10" x14ac:dyDescent="0.25">
      <c r="I482" s="37"/>
      <c r="J482" s="35"/>
    </row>
    <row r="483" spans="9:10" x14ac:dyDescent="0.25">
      <c r="I483" s="37"/>
      <c r="J483" s="35"/>
    </row>
    <row r="484" spans="9:10" x14ac:dyDescent="0.25">
      <c r="I484" s="37"/>
      <c r="J484" s="35"/>
    </row>
    <row r="485" spans="9:10" x14ac:dyDescent="0.25">
      <c r="I485" s="37"/>
      <c r="J485" s="35"/>
    </row>
    <row r="486" spans="9:10" x14ac:dyDescent="0.25">
      <c r="I486" s="37"/>
      <c r="J486" s="35"/>
    </row>
    <row r="487" spans="9:10" x14ac:dyDescent="0.25">
      <c r="I487" s="37"/>
      <c r="J487" s="35"/>
    </row>
    <row r="488" spans="9:10" x14ac:dyDescent="0.25">
      <c r="I488" s="37"/>
      <c r="J488" s="35"/>
    </row>
    <row r="489" spans="9:10" x14ac:dyDescent="0.25">
      <c r="I489" s="37"/>
      <c r="J489" s="35"/>
    </row>
    <row r="490" spans="9:10" x14ac:dyDescent="0.25">
      <c r="I490" s="37"/>
      <c r="J490" s="35"/>
    </row>
    <row r="491" spans="9:10" x14ac:dyDescent="0.25">
      <c r="I491" s="37"/>
      <c r="J491" s="35"/>
    </row>
    <row r="492" spans="9:10" x14ac:dyDescent="0.25">
      <c r="I492" s="37"/>
      <c r="J492" s="35"/>
    </row>
    <row r="493" spans="9:10" x14ac:dyDescent="0.25">
      <c r="I493" s="37"/>
      <c r="J493" s="35"/>
    </row>
    <row r="494" spans="9:10" x14ac:dyDescent="0.25">
      <c r="I494" s="37"/>
      <c r="J494" s="35"/>
    </row>
    <row r="495" spans="9:10" x14ac:dyDescent="0.25">
      <c r="I495" s="37"/>
      <c r="J495" s="35"/>
    </row>
    <row r="496" spans="9:10" x14ac:dyDescent="0.25">
      <c r="I496" s="37"/>
      <c r="J496" s="35"/>
    </row>
    <row r="497" spans="9:10" x14ac:dyDescent="0.25">
      <c r="I497" s="37"/>
      <c r="J497" s="35"/>
    </row>
    <row r="498" spans="9:10" x14ac:dyDescent="0.25">
      <c r="I498" s="37"/>
      <c r="J498" s="35"/>
    </row>
    <row r="499" spans="9:10" x14ac:dyDescent="0.25">
      <c r="I499" s="37"/>
      <c r="J499" s="35"/>
    </row>
    <row r="500" spans="9:10" x14ac:dyDescent="0.25">
      <c r="I500" s="37"/>
      <c r="J500" s="35"/>
    </row>
    <row r="501" spans="9:10" x14ac:dyDescent="0.25">
      <c r="I501" s="37"/>
      <c r="J501" s="35"/>
    </row>
    <row r="502" spans="9:10" x14ac:dyDescent="0.25">
      <c r="I502" s="37"/>
      <c r="J502" s="35"/>
    </row>
    <row r="503" spans="9:10" x14ac:dyDescent="0.25">
      <c r="I503" s="37"/>
      <c r="J503" s="35"/>
    </row>
    <row r="504" spans="9:10" x14ac:dyDescent="0.25">
      <c r="I504" s="37"/>
      <c r="J504" s="35"/>
    </row>
    <row r="505" spans="9:10" x14ac:dyDescent="0.25">
      <c r="I505" s="37"/>
      <c r="J505" s="35"/>
    </row>
    <row r="506" spans="9:10" x14ac:dyDescent="0.25">
      <c r="I506" s="37"/>
      <c r="J506" s="35"/>
    </row>
    <row r="507" spans="9:10" x14ac:dyDescent="0.25">
      <c r="I507" s="37"/>
      <c r="J507" s="35"/>
    </row>
    <row r="508" spans="9:10" x14ac:dyDescent="0.25">
      <c r="I508" s="37"/>
      <c r="J508" s="35"/>
    </row>
    <row r="509" spans="9:10" x14ac:dyDescent="0.25">
      <c r="I509" s="37"/>
      <c r="J509" s="35"/>
    </row>
    <row r="510" spans="9:10" x14ac:dyDescent="0.25">
      <c r="I510" s="37"/>
      <c r="J510" s="35"/>
    </row>
    <row r="511" spans="9:10" x14ac:dyDescent="0.25">
      <c r="I511" s="37"/>
      <c r="J511" s="35"/>
    </row>
    <row r="512" spans="9:10" x14ac:dyDescent="0.25">
      <c r="I512" s="37"/>
      <c r="J512" s="35"/>
    </row>
    <row r="513" spans="9:10" x14ac:dyDescent="0.25">
      <c r="I513" s="37"/>
      <c r="J513" s="35"/>
    </row>
    <row r="514" spans="9:10" x14ac:dyDescent="0.25">
      <c r="I514" s="37"/>
      <c r="J514" s="35"/>
    </row>
    <row r="515" spans="9:10" x14ac:dyDescent="0.25">
      <c r="I515" s="37"/>
      <c r="J515" s="35"/>
    </row>
    <row r="516" spans="9:10" x14ac:dyDescent="0.25">
      <c r="I516" s="37"/>
      <c r="J516" s="35"/>
    </row>
    <row r="517" spans="9:10" x14ac:dyDescent="0.25">
      <c r="I517" s="37"/>
      <c r="J517" s="35"/>
    </row>
    <row r="518" spans="9:10" x14ac:dyDescent="0.25">
      <c r="I518" s="37"/>
      <c r="J518" s="35"/>
    </row>
    <row r="519" spans="9:10" x14ac:dyDescent="0.25">
      <c r="I519" s="37"/>
      <c r="J519" s="35"/>
    </row>
    <row r="520" spans="9:10" x14ac:dyDescent="0.25">
      <c r="I520" s="37"/>
      <c r="J520" s="35"/>
    </row>
    <row r="521" spans="9:10" x14ac:dyDescent="0.25">
      <c r="I521" s="37"/>
      <c r="J521" s="35"/>
    </row>
    <row r="522" spans="9:10" x14ac:dyDescent="0.25">
      <c r="I522" s="37"/>
      <c r="J522" s="35"/>
    </row>
    <row r="523" spans="9:10" x14ac:dyDescent="0.25">
      <c r="I523" s="37"/>
      <c r="J523" s="35"/>
    </row>
    <row r="524" spans="9:10" x14ac:dyDescent="0.25">
      <c r="I524" s="37"/>
      <c r="J524" s="35"/>
    </row>
    <row r="525" spans="9:10" x14ac:dyDescent="0.25">
      <c r="I525" s="37"/>
      <c r="J525" s="35"/>
    </row>
    <row r="526" spans="9:10" x14ac:dyDescent="0.25">
      <c r="I526" s="37"/>
      <c r="J526" s="35"/>
    </row>
    <row r="527" spans="9:10" x14ac:dyDescent="0.25">
      <c r="I527" s="37"/>
      <c r="J527" s="35"/>
    </row>
    <row r="528" spans="9:10" x14ac:dyDescent="0.25">
      <c r="I528" s="37"/>
      <c r="J528" s="35"/>
    </row>
    <row r="529" spans="9:10" x14ac:dyDescent="0.25">
      <c r="I529" s="37"/>
      <c r="J529" s="35"/>
    </row>
    <row r="530" spans="9:10" x14ac:dyDescent="0.25">
      <c r="I530" s="37"/>
      <c r="J530" s="35"/>
    </row>
    <row r="531" spans="9:10" x14ac:dyDescent="0.25">
      <c r="I531" s="37"/>
      <c r="J531" s="35"/>
    </row>
    <row r="532" spans="9:10" x14ac:dyDescent="0.25">
      <c r="I532" s="37"/>
      <c r="J532" s="35"/>
    </row>
    <row r="533" spans="9:10" x14ac:dyDescent="0.25">
      <c r="I533" s="37"/>
      <c r="J533" s="35"/>
    </row>
    <row r="534" spans="9:10" x14ac:dyDescent="0.25">
      <c r="I534" s="37"/>
      <c r="J534" s="35"/>
    </row>
    <row r="535" spans="9:10" x14ac:dyDescent="0.25">
      <c r="I535" s="37"/>
      <c r="J535" s="35"/>
    </row>
    <row r="536" spans="9:10" x14ac:dyDescent="0.25">
      <c r="I536" s="37"/>
      <c r="J536" s="35"/>
    </row>
    <row r="537" spans="9:10" x14ac:dyDescent="0.25">
      <c r="I537" s="37"/>
      <c r="J537" s="35"/>
    </row>
    <row r="538" spans="9:10" x14ac:dyDescent="0.25">
      <c r="I538" s="37"/>
      <c r="J538" s="35"/>
    </row>
    <row r="539" spans="9:10" x14ac:dyDescent="0.25">
      <c r="I539" s="37"/>
      <c r="J539" s="35"/>
    </row>
    <row r="540" spans="9:10" x14ac:dyDescent="0.25">
      <c r="I540" s="37"/>
      <c r="J540" s="35"/>
    </row>
    <row r="541" spans="9:10" x14ac:dyDescent="0.25">
      <c r="I541" s="37"/>
      <c r="J541" s="35"/>
    </row>
    <row r="542" spans="9:10" x14ac:dyDescent="0.25">
      <c r="I542" s="37"/>
      <c r="J542" s="35"/>
    </row>
    <row r="543" spans="9:10" x14ac:dyDescent="0.25">
      <c r="I543" s="37"/>
      <c r="J543" s="35"/>
    </row>
    <row r="544" spans="9:10" x14ac:dyDescent="0.25">
      <c r="I544" s="37"/>
      <c r="J544" s="35"/>
    </row>
    <row r="545" spans="9:10" x14ac:dyDescent="0.25">
      <c r="I545" s="37"/>
      <c r="J545" s="35"/>
    </row>
    <row r="546" spans="9:10" x14ac:dyDescent="0.25">
      <c r="I546" s="37"/>
      <c r="J546" s="35"/>
    </row>
    <row r="547" spans="9:10" x14ac:dyDescent="0.25">
      <c r="I547" s="37"/>
      <c r="J547" s="35"/>
    </row>
    <row r="548" spans="9:10" x14ac:dyDescent="0.25">
      <c r="I548" s="37"/>
      <c r="J548" s="35"/>
    </row>
    <row r="549" spans="9:10" x14ac:dyDescent="0.25">
      <c r="I549" s="37"/>
      <c r="J549" s="35"/>
    </row>
    <row r="550" spans="9:10" x14ac:dyDescent="0.25">
      <c r="I550" s="37"/>
      <c r="J550" s="35"/>
    </row>
    <row r="551" spans="9:10" x14ac:dyDescent="0.25">
      <c r="I551" s="37"/>
      <c r="J551" s="35"/>
    </row>
    <row r="552" spans="9:10" x14ac:dyDescent="0.25">
      <c r="I552" s="37"/>
      <c r="J552" s="35"/>
    </row>
    <row r="553" spans="9:10" x14ac:dyDescent="0.25">
      <c r="I553" s="37"/>
      <c r="J553" s="35"/>
    </row>
    <row r="554" spans="9:10" x14ac:dyDescent="0.25">
      <c r="I554" s="37"/>
      <c r="J554" s="35"/>
    </row>
    <row r="555" spans="9:10" x14ac:dyDescent="0.25">
      <c r="I555" s="37"/>
      <c r="J555" s="35"/>
    </row>
    <row r="556" spans="9:10" x14ac:dyDescent="0.25">
      <c r="I556" s="37"/>
      <c r="J556" s="35"/>
    </row>
    <row r="557" spans="9:10" x14ac:dyDescent="0.25">
      <c r="I557" s="37"/>
      <c r="J557" s="35"/>
    </row>
    <row r="558" spans="9:10" x14ac:dyDescent="0.25">
      <c r="I558" s="37"/>
      <c r="J558" s="35"/>
    </row>
    <row r="559" spans="9:10" x14ac:dyDescent="0.25">
      <c r="I559" s="37"/>
      <c r="J559" s="35"/>
    </row>
    <row r="560" spans="9:10" x14ac:dyDescent="0.25">
      <c r="I560" s="37"/>
      <c r="J560" s="35"/>
    </row>
    <row r="561" spans="9:10" x14ac:dyDescent="0.25">
      <c r="I561" s="37"/>
      <c r="J561" s="35"/>
    </row>
    <row r="562" spans="9:10" x14ac:dyDescent="0.25">
      <c r="I562" s="37"/>
      <c r="J562" s="35"/>
    </row>
    <row r="563" spans="9:10" x14ac:dyDescent="0.25">
      <c r="I563" s="37"/>
      <c r="J563" s="35"/>
    </row>
    <row r="564" spans="9:10" x14ac:dyDescent="0.25">
      <c r="I564" s="37"/>
      <c r="J564" s="35"/>
    </row>
    <row r="565" spans="9:10" x14ac:dyDescent="0.25">
      <c r="I565" s="37"/>
      <c r="J565" s="35"/>
    </row>
    <row r="566" spans="9:10" x14ac:dyDescent="0.25">
      <c r="I566" s="37"/>
      <c r="J566" s="35"/>
    </row>
    <row r="567" spans="9:10" x14ac:dyDescent="0.25">
      <c r="I567" s="37"/>
      <c r="J567" s="35"/>
    </row>
    <row r="568" spans="9:10" x14ac:dyDescent="0.25">
      <c r="I568" s="37"/>
      <c r="J568" s="35"/>
    </row>
    <row r="569" spans="9:10" x14ac:dyDescent="0.25">
      <c r="I569" s="37"/>
      <c r="J569" s="35"/>
    </row>
    <row r="570" spans="9:10" x14ac:dyDescent="0.25">
      <c r="I570" s="37"/>
      <c r="J570" s="35"/>
    </row>
    <row r="571" spans="9:10" x14ac:dyDescent="0.25">
      <c r="I571" s="37"/>
      <c r="J571" s="35"/>
    </row>
    <row r="572" spans="9:10" x14ac:dyDescent="0.25">
      <c r="I572" s="37"/>
      <c r="J572" s="35"/>
    </row>
    <row r="573" spans="9:10" x14ac:dyDescent="0.25">
      <c r="I573" s="37"/>
      <c r="J573" s="35"/>
    </row>
    <row r="574" spans="9:10" x14ac:dyDescent="0.25">
      <c r="I574" s="37"/>
      <c r="J574" s="35"/>
    </row>
    <row r="575" spans="9:10" x14ac:dyDescent="0.25">
      <c r="I575" s="37"/>
      <c r="J575" s="35"/>
    </row>
    <row r="576" spans="9:10" x14ac:dyDescent="0.25">
      <c r="I576" s="37"/>
      <c r="J576" s="35"/>
    </row>
    <row r="577" spans="9:10" x14ac:dyDescent="0.25">
      <c r="I577" s="37"/>
      <c r="J577" s="35"/>
    </row>
    <row r="578" spans="9:10" x14ac:dyDescent="0.25">
      <c r="I578" s="37"/>
      <c r="J578" s="35"/>
    </row>
    <row r="579" spans="9:10" x14ac:dyDescent="0.25">
      <c r="I579" s="37"/>
      <c r="J579" s="35"/>
    </row>
    <row r="580" spans="9:10" x14ac:dyDescent="0.25">
      <c r="I580" s="37"/>
      <c r="J580" s="35"/>
    </row>
    <row r="581" spans="9:10" x14ac:dyDescent="0.25">
      <c r="I581" s="37"/>
      <c r="J581" s="35"/>
    </row>
    <row r="582" spans="9:10" x14ac:dyDescent="0.25">
      <c r="I582" s="37"/>
      <c r="J582" s="35"/>
    </row>
    <row r="583" spans="9:10" x14ac:dyDescent="0.25">
      <c r="I583" s="37"/>
      <c r="J583" s="35"/>
    </row>
    <row r="584" spans="9:10" x14ac:dyDescent="0.25">
      <c r="I584" s="37"/>
      <c r="J584" s="35"/>
    </row>
    <row r="585" spans="9:10" x14ac:dyDescent="0.25">
      <c r="I585" s="37"/>
      <c r="J585" s="35"/>
    </row>
    <row r="586" spans="9:10" x14ac:dyDescent="0.25">
      <c r="I586" s="37"/>
      <c r="J586" s="35"/>
    </row>
    <row r="587" spans="9:10" x14ac:dyDescent="0.25">
      <c r="I587" s="37"/>
      <c r="J587" s="35"/>
    </row>
    <row r="588" spans="9:10" x14ac:dyDescent="0.25">
      <c r="I588" s="37"/>
      <c r="J588" s="35"/>
    </row>
    <row r="589" spans="9:10" x14ac:dyDescent="0.25">
      <c r="I589" s="37"/>
      <c r="J589" s="35"/>
    </row>
    <row r="590" spans="9:10" x14ac:dyDescent="0.25">
      <c r="I590" s="37"/>
      <c r="J590" s="35"/>
    </row>
    <row r="591" spans="9:10" x14ac:dyDescent="0.25">
      <c r="I591" s="37"/>
      <c r="J591" s="35"/>
    </row>
    <row r="592" spans="9:10" x14ac:dyDescent="0.25">
      <c r="I592" s="37"/>
      <c r="J592" s="35"/>
    </row>
    <row r="593" spans="9:10" x14ac:dyDescent="0.25">
      <c r="I593" s="37"/>
      <c r="J593" s="35"/>
    </row>
    <row r="594" spans="9:10" x14ac:dyDescent="0.25">
      <c r="I594" s="37"/>
      <c r="J594" s="35"/>
    </row>
    <row r="595" spans="9:10" x14ac:dyDescent="0.25">
      <c r="I595" s="37"/>
      <c r="J595" s="35"/>
    </row>
    <row r="596" spans="9:10" x14ac:dyDescent="0.25">
      <c r="I596" s="37"/>
      <c r="J596" s="35"/>
    </row>
    <row r="597" spans="9:10" x14ac:dyDescent="0.25">
      <c r="I597" s="37"/>
      <c r="J597" s="35"/>
    </row>
    <row r="598" spans="9:10" x14ac:dyDescent="0.25">
      <c r="I598" s="37"/>
      <c r="J598" s="35"/>
    </row>
    <row r="599" spans="9:10" x14ac:dyDescent="0.25">
      <c r="I599" s="37"/>
      <c r="J599" s="35"/>
    </row>
    <row r="600" spans="9:10" x14ac:dyDescent="0.25">
      <c r="I600" s="37"/>
      <c r="J600" s="35"/>
    </row>
    <row r="601" spans="9:10" x14ac:dyDescent="0.25">
      <c r="I601" s="37"/>
      <c r="J601" s="35"/>
    </row>
    <row r="602" spans="9:10" x14ac:dyDescent="0.25">
      <c r="I602" s="37"/>
      <c r="J602" s="35"/>
    </row>
    <row r="603" spans="9:10" x14ac:dyDescent="0.25">
      <c r="I603" s="37"/>
      <c r="J603" s="35"/>
    </row>
    <row r="604" spans="9:10" x14ac:dyDescent="0.25">
      <c r="I604" s="37"/>
      <c r="J604" s="35"/>
    </row>
    <row r="605" spans="9:10" x14ac:dyDescent="0.25">
      <c r="I605" s="37"/>
      <c r="J605" s="35"/>
    </row>
    <row r="606" spans="9:10" x14ac:dyDescent="0.25">
      <c r="I606" s="37"/>
      <c r="J606" s="35"/>
    </row>
    <row r="607" spans="9:10" x14ac:dyDescent="0.25">
      <c r="I607" s="37"/>
      <c r="J607" s="35"/>
    </row>
    <row r="608" spans="9:10" x14ac:dyDescent="0.25">
      <c r="I608" s="37"/>
      <c r="J608" s="35"/>
    </row>
    <row r="609" spans="9:10" x14ac:dyDescent="0.25">
      <c r="I609" s="37"/>
      <c r="J609" s="35"/>
    </row>
    <row r="610" spans="9:10" x14ac:dyDescent="0.25">
      <c r="I610" s="37"/>
      <c r="J610" s="35"/>
    </row>
    <row r="611" spans="9:10" x14ac:dyDescent="0.25">
      <c r="I611" s="37"/>
      <c r="J611" s="35"/>
    </row>
    <row r="612" spans="9:10" x14ac:dyDescent="0.25">
      <c r="I612" s="37"/>
      <c r="J612" s="35"/>
    </row>
    <row r="613" spans="9:10" x14ac:dyDescent="0.25">
      <c r="I613" s="37"/>
      <c r="J613" s="35"/>
    </row>
    <row r="614" spans="9:10" x14ac:dyDescent="0.25">
      <c r="I614" s="37"/>
      <c r="J614" s="35"/>
    </row>
    <row r="615" spans="9:10" x14ac:dyDescent="0.25">
      <c r="I615" s="37"/>
      <c r="J615" s="35"/>
    </row>
    <row r="616" spans="9:10" x14ac:dyDescent="0.25">
      <c r="I616" s="37"/>
      <c r="J616" s="35"/>
    </row>
    <row r="617" spans="9:10" x14ac:dyDescent="0.25">
      <c r="I617" s="37"/>
      <c r="J617" s="35"/>
    </row>
    <row r="618" spans="9:10" x14ac:dyDescent="0.25">
      <c r="I618" s="37"/>
      <c r="J618" s="35"/>
    </row>
    <row r="619" spans="9:10" x14ac:dyDescent="0.25">
      <c r="I619" s="37"/>
      <c r="J619" s="35"/>
    </row>
    <row r="620" spans="9:10" x14ac:dyDescent="0.25">
      <c r="I620" s="37"/>
      <c r="J620" s="35"/>
    </row>
    <row r="621" spans="9:10" x14ac:dyDescent="0.25">
      <c r="I621" s="37"/>
      <c r="J621" s="35"/>
    </row>
    <row r="622" spans="9:10" x14ac:dyDescent="0.25">
      <c r="I622" s="37"/>
      <c r="J622" s="35"/>
    </row>
    <row r="623" spans="9:10" x14ac:dyDescent="0.25">
      <c r="I623" s="37"/>
      <c r="J623" s="35"/>
    </row>
    <row r="624" spans="9:10" x14ac:dyDescent="0.25">
      <c r="I624" s="37"/>
      <c r="J624" s="35"/>
    </row>
    <row r="625" spans="9:10" x14ac:dyDescent="0.25">
      <c r="I625" s="37"/>
      <c r="J625" s="35"/>
    </row>
    <row r="626" spans="9:10" x14ac:dyDescent="0.25">
      <c r="I626" s="37"/>
      <c r="J626" s="35"/>
    </row>
    <row r="627" spans="9:10" x14ac:dyDescent="0.25">
      <c r="I627" s="37"/>
      <c r="J627" s="35"/>
    </row>
    <row r="628" spans="9:10" x14ac:dyDescent="0.25">
      <c r="I628" s="37"/>
      <c r="J628" s="35"/>
    </row>
    <row r="629" spans="9:10" x14ac:dyDescent="0.25">
      <c r="I629" s="37"/>
      <c r="J629" s="35"/>
    </row>
    <row r="630" spans="9:10" x14ac:dyDescent="0.25">
      <c r="I630" s="37"/>
      <c r="J630" s="35"/>
    </row>
    <row r="631" spans="9:10" x14ac:dyDescent="0.25">
      <c r="I631" s="37"/>
      <c r="J631" s="35"/>
    </row>
    <row r="632" spans="9:10" x14ac:dyDescent="0.25">
      <c r="I632" s="37"/>
      <c r="J632" s="35"/>
    </row>
    <row r="633" spans="9:10" x14ac:dyDescent="0.25">
      <c r="I633" s="37"/>
      <c r="J633" s="35"/>
    </row>
    <row r="634" spans="9:10" x14ac:dyDescent="0.25">
      <c r="I634" s="37"/>
      <c r="J634" s="35"/>
    </row>
    <row r="635" spans="9:10" x14ac:dyDescent="0.25">
      <c r="I635" s="37"/>
      <c r="J635" s="35"/>
    </row>
    <row r="636" spans="9:10" x14ac:dyDescent="0.25">
      <c r="I636" s="37"/>
      <c r="J636" s="35"/>
    </row>
    <row r="637" spans="9:10" x14ac:dyDescent="0.25">
      <c r="I637" s="37"/>
      <c r="J637" s="35"/>
    </row>
    <row r="638" spans="9:10" x14ac:dyDescent="0.25">
      <c r="I638" s="37"/>
      <c r="J638" s="35"/>
    </row>
    <row r="639" spans="9:10" x14ac:dyDescent="0.25">
      <c r="I639" s="37"/>
      <c r="J639" s="35"/>
    </row>
    <row r="640" spans="9:10" x14ac:dyDescent="0.25">
      <c r="I640" s="37"/>
      <c r="J640" s="35"/>
    </row>
    <row r="641" spans="9:10" x14ac:dyDescent="0.25">
      <c r="I641" s="37"/>
      <c r="J641" s="35"/>
    </row>
    <row r="642" spans="9:10" x14ac:dyDescent="0.25">
      <c r="I642" s="37"/>
      <c r="J642" s="35"/>
    </row>
    <row r="643" spans="9:10" x14ac:dyDescent="0.25">
      <c r="I643" s="37"/>
      <c r="J643" s="35"/>
    </row>
    <row r="644" spans="9:10" x14ac:dyDescent="0.25">
      <c r="I644" s="37"/>
      <c r="J644" s="35"/>
    </row>
    <row r="645" spans="9:10" x14ac:dyDescent="0.25">
      <c r="I645" s="37"/>
      <c r="J645" s="35"/>
    </row>
    <row r="646" spans="9:10" x14ac:dyDescent="0.25">
      <c r="I646" s="37"/>
      <c r="J646" s="35"/>
    </row>
    <row r="647" spans="9:10" x14ac:dyDescent="0.25">
      <c r="I647" s="37"/>
      <c r="J647" s="35"/>
    </row>
    <row r="648" spans="9:10" x14ac:dyDescent="0.25">
      <c r="I648" s="37"/>
      <c r="J648" s="35"/>
    </row>
    <row r="649" spans="9:10" x14ac:dyDescent="0.25">
      <c r="I649" s="37"/>
      <c r="J649" s="35"/>
    </row>
    <row r="650" spans="9:10" x14ac:dyDescent="0.25">
      <c r="I650" s="37"/>
      <c r="J650" s="35"/>
    </row>
    <row r="651" spans="9:10" x14ac:dyDescent="0.25">
      <c r="I651" s="37"/>
      <c r="J651" s="35"/>
    </row>
    <row r="652" spans="9:10" x14ac:dyDescent="0.25">
      <c r="I652" s="37"/>
      <c r="J652" s="35"/>
    </row>
    <row r="653" spans="9:10" x14ac:dyDescent="0.25">
      <c r="I653" s="37"/>
      <c r="J653" s="35"/>
    </row>
    <row r="654" spans="9:10" x14ac:dyDescent="0.25">
      <c r="I654" s="37"/>
      <c r="J654" s="35"/>
    </row>
    <row r="655" spans="9:10" x14ac:dyDescent="0.25">
      <c r="I655" s="37"/>
      <c r="J655" s="35"/>
    </row>
    <row r="656" spans="9:10" x14ac:dyDescent="0.25">
      <c r="I656" s="37"/>
      <c r="J656" s="35"/>
    </row>
    <row r="657" spans="9:10" x14ac:dyDescent="0.25">
      <c r="I657" s="37"/>
      <c r="J657" s="35"/>
    </row>
    <row r="658" spans="9:10" x14ac:dyDescent="0.25">
      <c r="I658" s="37"/>
      <c r="J658" s="35"/>
    </row>
    <row r="659" spans="9:10" x14ac:dyDescent="0.25">
      <c r="I659" s="37"/>
      <c r="J659" s="35"/>
    </row>
    <row r="660" spans="9:10" x14ac:dyDescent="0.25">
      <c r="I660" s="37"/>
      <c r="J660" s="35"/>
    </row>
    <row r="661" spans="9:10" x14ac:dyDescent="0.25">
      <c r="I661" s="37"/>
      <c r="J661" s="35"/>
    </row>
    <row r="662" spans="9:10" x14ac:dyDescent="0.25">
      <c r="I662" s="37"/>
      <c r="J662" s="35"/>
    </row>
    <row r="663" spans="9:10" x14ac:dyDescent="0.25">
      <c r="I663" s="37"/>
      <c r="J663" s="35"/>
    </row>
    <row r="664" spans="9:10" x14ac:dyDescent="0.25">
      <c r="I664" s="37"/>
      <c r="J664" s="35"/>
    </row>
    <row r="665" spans="9:10" x14ac:dyDescent="0.25">
      <c r="I665" s="37"/>
      <c r="J665" s="35"/>
    </row>
    <row r="666" spans="9:10" x14ac:dyDescent="0.25">
      <c r="I666" s="37"/>
      <c r="J666" s="35"/>
    </row>
    <row r="667" spans="9:10" x14ac:dyDescent="0.25">
      <c r="I667" s="37"/>
      <c r="J667" s="35"/>
    </row>
    <row r="668" spans="9:10" x14ac:dyDescent="0.25">
      <c r="I668" s="37"/>
      <c r="J668" s="35"/>
    </row>
    <row r="669" spans="9:10" x14ac:dyDescent="0.25">
      <c r="I669" s="37"/>
      <c r="J669" s="35"/>
    </row>
    <row r="670" spans="9:10" x14ac:dyDescent="0.25">
      <c r="I670" s="37"/>
      <c r="J670" s="35"/>
    </row>
    <row r="671" spans="9:10" x14ac:dyDescent="0.25">
      <c r="I671" s="37"/>
      <c r="J671" s="35"/>
    </row>
    <row r="672" spans="9:10" x14ac:dyDescent="0.25">
      <c r="I672" s="37"/>
      <c r="J672" s="35"/>
    </row>
    <row r="673" spans="9:10" x14ac:dyDescent="0.25">
      <c r="I673" s="37"/>
      <c r="J673" s="35"/>
    </row>
    <row r="674" spans="9:10" x14ac:dyDescent="0.25">
      <c r="I674" s="37"/>
      <c r="J674" s="35"/>
    </row>
    <row r="675" spans="9:10" x14ac:dyDescent="0.25">
      <c r="I675" s="37"/>
      <c r="J675" s="35"/>
    </row>
    <row r="676" spans="9:10" x14ac:dyDescent="0.25">
      <c r="I676" s="37"/>
      <c r="J676" s="35"/>
    </row>
    <row r="677" spans="9:10" x14ac:dyDescent="0.25">
      <c r="I677" s="37"/>
      <c r="J677" s="35"/>
    </row>
    <row r="678" spans="9:10" x14ac:dyDescent="0.25">
      <c r="I678" s="37"/>
      <c r="J678" s="35"/>
    </row>
    <row r="679" spans="9:10" x14ac:dyDescent="0.25">
      <c r="I679" s="37"/>
      <c r="J679" s="35"/>
    </row>
    <row r="680" spans="9:10" x14ac:dyDescent="0.25">
      <c r="I680" s="37"/>
      <c r="J680" s="35"/>
    </row>
    <row r="681" spans="9:10" x14ac:dyDescent="0.25">
      <c r="I681" s="37"/>
      <c r="J681" s="35"/>
    </row>
    <row r="682" spans="9:10" x14ac:dyDescent="0.25">
      <c r="I682" s="37"/>
      <c r="J682" s="35"/>
    </row>
    <row r="683" spans="9:10" x14ac:dyDescent="0.25">
      <c r="I683" s="37"/>
      <c r="J683" s="35"/>
    </row>
    <row r="684" spans="9:10" x14ac:dyDescent="0.25">
      <c r="I684" s="37"/>
      <c r="J684" s="35"/>
    </row>
    <row r="685" spans="9:10" x14ac:dyDescent="0.25">
      <c r="I685" s="37"/>
      <c r="J685" s="35"/>
    </row>
    <row r="686" spans="9:10" x14ac:dyDescent="0.25">
      <c r="I686" s="37"/>
      <c r="J686" s="35"/>
    </row>
    <row r="687" spans="9:10" x14ac:dyDescent="0.25">
      <c r="I687" s="37"/>
      <c r="J687" s="35"/>
    </row>
    <row r="688" spans="9:10" x14ac:dyDescent="0.25">
      <c r="I688" s="37"/>
      <c r="J688" s="35"/>
    </row>
    <row r="689" spans="9:10" x14ac:dyDescent="0.25">
      <c r="I689" s="37"/>
      <c r="J689" s="35"/>
    </row>
    <row r="690" spans="9:10" x14ac:dyDescent="0.25">
      <c r="I690" s="37"/>
      <c r="J690" s="35"/>
    </row>
    <row r="691" spans="9:10" x14ac:dyDescent="0.25">
      <c r="I691" s="37"/>
      <c r="J691" s="35"/>
    </row>
    <row r="692" spans="9:10" x14ac:dyDescent="0.25">
      <c r="I692" s="37"/>
      <c r="J692" s="35"/>
    </row>
    <row r="693" spans="9:10" x14ac:dyDescent="0.25">
      <c r="I693" s="37"/>
      <c r="J693" s="35"/>
    </row>
    <row r="694" spans="9:10" x14ac:dyDescent="0.25">
      <c r="I694" s="37"/>
      <c r="J694" s="35"/>
    </row>
    <row r="695" spans="9:10" x14ac:dyDescent="0.25">
      <c r="I695" s="37"/>
      <c r="J695" s="35"/>
    </row>
    <row r="696" spans="9:10" x14ac:dyDescent="0.25">
      <c r="I696" s="37"/>
      <c r="J696" s="35"/>
    </row>
    <row r="697" spans="9:10" x14ac:dyDescent="0.25">
      <c r="I697" s="37"/>
      <c r="J697" s="35"/>
    </row>
    <row r="698" spans="9:10" x14ac:dyDescent="0.25">
      <c r="I698" s="37"/>
      <c r="J698" s="35"/>
    </row>
    <row r="699" spans="9:10" x14ac:dyDescent="0.25">
      <c r="I699" s="37"/>
      <c r="J699" s="35"/>
    </row>
    <row r="700" spans="9:10" x14ac:dyDescent="0.25">
      <c r="I700" s="37"/>
      <c r="J700" s="35"/>
    </row>
    <row r="701" spans="9:10" x14ac:dyDescent="0.25">
      <c r="I701" s="37"/>
      <c r="J701" s="35"/>
    </row>
    <row r="702" spans="9:10" x14ac:dyDescent="0.25">
      <c r="I702" s="37"/>
      <c r="J702" s="35"/>
    </row>
    <row r="703" spans="9:10" x14ac:dyDescent="0.25">
      <c r="I703" s="37"/>
      <c r="J703" s="35"/>
    </row>
    <row r="704" spans="9:10" x14ac:dyDescent="0.25">
      <c r="I704" s="37"/>
      <c r="J704" s="35"/>
    </row>
    <row r="705" spans="9:10" x14ac:dyDescent="0.25">
      <c r="I705" s="37"/>
      <c r="J705" s="35"/>
    </row>
    <row r="706" spans="9:10" x14ac:dyDescent="0.25">
      <c r="I706" s="37"/>
      <c r="J706" s="35"/>
    </row>
    <row r="707" spans="9:10" x14ac:dyDescent="0.25">
      <c r="I707" s="37"/>
      <c r="J707" s="35"/>
    </row>
    <row r="708" spans="9:10" x14ac:dyDescent="0.25">
      <c r="I708" s="37"/>
      <c r="J708" s="35"/>
    </row>
    <row r="709" spans="9:10" x14ac:dyDescent="0.25">
      <c r="I709" s="37"/>
      <c r="J709" s="35"/>
    </row>
    <row r="710" spans="9:10" x14ac:dyDescent="0.25">
      <c r="I710" s="37"/>
      <c r="J710" s="35"/>
    </row>
    <row r="711" spans="9:10" x14ac:dyDescent="0.25">
      <c r="I711" s="37"/>
      <c r="J711" s="35"/>
    </row>
    <row r="712" spans="9:10" x14ac:dyDescent="0.25">
      <c r="I712" s="37"/>
      <c r="J712" s="35"/>
    </row>
    <row r="713" spans="9:10" x14ac:dyDescent="0.25">
      <c r="I713" s="37"/>
      <c r="J713" s="35"/>
    </row>
    <row r="714" spans="9:10" x14ac:dyDescent="0.25">
      <c r="I714" s="37"/>
      <c r="J714" s="35"/>
    </row>
    <row r="715" spans="9:10" x14ac:dyDescent="0.25">
      <c r="I715" s="37"/>
      <c r="J715" s="35"/>
    </row>
    <row r="716" spans="9:10" x14ac:dyDescent="0.25">
      <c r="I716" s="37"/>
      <c r="J716" s="35"/>
    </row>
    <row r="717" spans="9:10" x14ac:dyDescent="0.25">
      <c r="I717" s="37"/>
      <c r="J717" s="35"/>
    </row>
    <row r="718" spans="9:10" x14ac:dyDescent="0.25">
      <c r="I718" s="37"/>
      <c r="J718" s="35"/>
    </row>
    <row r="719" spans="9:10" x14ac:dyDescent="0.25">
      <c r="I719" s="37"/>
      <c r="J719" s="35"/>
    </row>
    <row r="720" spans="9:10" x14ac:dyDescent="0.25">
      <c r="I720" s="37"/>
      <c r="J720" s="35"/>
    </row>
    <row r="721" spans="9:10" x14ac:dyDescent="0.25">
      <c r="I721" s="37"/>
      <c r="J721" s="35"/>
    </row>
    <row r="722" spans="9:10" x14ac:dyDescent="0.25">
      <c r="I722" s="37"/>
      <c r="J722" s="35"/>
    </row>
    <row r="723" spans="9:10" x14ac:dyDescent="0.25">
      <c r="I723" s="37"/>
      <c r="J723" s="35"/>
    </row>
    <row r="724" spans="9:10" x14ac:dyDescent="0.25">
      <c r="I724" s="37"/>
      <c r="J724" s="35"/>
    </row>
    <row r="725" spans="9:10" x14ac:dyDescent="0.25">
      <c r="I725" s="37"/>
      <c r="J725" s="35"/>
    </row>
    <row r="726" spans="9:10" x14ac:dyDescent="0.25">
      <c r="I726" s="37"/>
      <c r="J726" s="35"/>
    </row>
    <row r="727" spans="9:10" x14ac:dyDescent="0.25">
      <c r="I727" s="37"/>
      <c r="J727" s="35"/>
    </row>
    <row r="728" spans="9:10" x14ac:dyDescent="0.25">
      <c r="I728" s="37"/>
      <c r="J728" s="35"/>
    </row>
    <row r="729" spans="9:10" x14ac:dyDescent="0.25">
      <c r="I729" s="37"/>
      <c r="J729" s="35"/>
    </row>
    <row r="730" spans="9:10" x14ac:dyDescent="0.25">
      <c r="I730" s="37"/>
      <c r="J730" s="35"/>
    </row>
    <row r="731" spans="9:10" x14ac:dyDescent="0.25">
      <c r="I731" s="37"/>
      <c r="J731" s="35"/>
    </row>
    <row r="732" spans="9:10" x14ac:dyDescent="0.25">
      <c r="I732" s="37"/>
      <c r="J732" s="35"/>
    </row>
    <row r="733" spans="9:10" x14ac:dyDescent="0.25">
      <c r="I733" s="37"/>
      <c r="J733" s="35"/>
    </row>
    <row r="734" spans="9:10" x14ac:dyDescent="0.25">
      <c r="I734" s="37"/>
      <c r="J734" s="35"/>
    </row>
    <row r="735" spans="9:10" x14ac:dyDescent="0.25">
      <c r="I735" s="37"/>
      <c r="J735" s="35"/>
    </row>
    <row r="736" spans="9:10" x14ac:dyDescent="0.25">
      <c r="I736" s="37"/>
      <c r="J736" s="35"/>
    </row>
    <row r="737" spans="9:10" x14ac:dyDescent="0.25">
      <c r="I737" s="37"/>
      <c r="J737" s="35"/>
    </row>
    <row r="738" spans="9:10" x14ac:dyDescent="0.25">
      <c r="I738" s="37"/>
      <c r="J738" s="35"/>
    </row>
    <row r="739" spans="9:10" x14ac:dyDescent="0.25">
      <c r="I739" s="37"/>
      <c r="J739" s="35"/>
    </row>
    <row r="740" spans="9:10" x14ac:dyDescent="0.25">
      <c r="I740" s="37"/>
      <c r="J740" s="35"/>
    </row>
    <row r="741" spans="9:10" x14ac:dyDescent="0.25">
      <c r="I741" s="37"/>
      <c r="J741" s="35"/>
    </row>
    <row r="742" spans="9:10" x14ac:dyDescent="0.25">
      <c r="I742" s="37"/>
      <c r="J742" s="35"/>
    </row>
    <row r="743" spans="9:10" x14ac:dyDescent="0.25">
      <c r="I743" s="37"/>
      <c r="J743" s="35"/>
    </row>
    <row r="744" spans="9:10" x14ac:dyDescent="0.25">
      <c r="I744" s="37"/>
      <c r="J744" s="35"/>
    </row>
    <row r="745" spans="9:10" x14ac:dyDescent="0.25">
      <c r="I745" s="37"/>
      <c r="J745" s="35"/>
    </row>
    <row r="746" spans="9:10" x14ac:dyDescent="0.25">
      <c r="I746" s="37"/>
      <c r="J746" s="35"/>
    </row>
    <row r="747" spans="9:10" x14ac:dyDescent="0.25">
      <c r="I747" s="37"/>
      <c r="J747" s="35"/>
    </row>
    <row r="748" spans="9:10" x14ac:dyDescent="0.25">
      <c r="I748" s="37"/>
      <c r="J748" s="35"/>
    </row>
    <row r="749" spans="9:10" x14ac:dyDescent="0.25">
      <c r="I749" s="37"/>
      <c r="J749" s="35"/>
    </row>
    <row r="750" spans="9:10" x14ac:dyDescent="0.25">
      <c r="I750" s="37"/>
      <c r="J750" s="35"/>
    </row>
    <row r="751" spans="9:10" x14ac:dyDescent="0.25">
      <c r="I751" s="37"/>
      <c r="J751" s="35"/>
    </row>
    <row r="752" spans="9:10" x14ac:dyDescent="0.25">
      <c r="I752" s="37"/>
      <c r="J752" s="35"/>
    </row>
    <row r="753" spans="9:10" x14ac:dyDescent="0.25">
      <c r="I753" s="37"/>
      <c r="J753" s="35"/>
    </row>
    <row r="754" spans="9:10" x14ac:dyDescent="0.25">
      <c r="I754" s="37"/>
      <c r="J754" s="35"/>
    </row>
    <row r="755" spans="9:10" x14ac:dyDescent="0.25">
      <c r="I755" s="37"/>
      <c r="J755" s="35"/>
    </row>
    <row r="756" spans="9:10" x14ac:dyDescent="0.25">
      <c r="I756" s="37"/>
      <c r="J756" s="35"/>
    </row>
    <row r="757" spans="9:10" x14ac:dyDescent="0.25">
      <c r="I757" s="37"/>
      <c r="J757" s="35"/>
    </row>
    <row r="758" spans="9:10" x14ac:dyDescent="0.25">
      <c r="I758" s="37"/>
      <c r="J758" s="35"/>
    </row>
    <row r="759" spans="9:10" x14ac:dyDescent="0.25">
      <c r="I759" s="37"/>
      <c r="J759" s="35"/>
    </row>
    <row r="760" spans="9:10" x14ac:dyDescent="0.25">
      <c r="I760" s="37"/>
      <c r="J760" s="35"/>
    </row>
    <row r="761" spans="9:10" x14ac:dyDescent="0.25">
      <c r="I761" s="37"/>
      <c r="J761" s="35"/>
    </row>
    <row r="762" spans="9:10" x14ac:dyDescent="0.25">
      <c r="I762" s="37"/>
      <c r="J762" s="35"/>
    </row>
    <row r="763" spans="9:10" x14ac:dyDescent="0.25">
      <c r="I763" s="37"/>
      <c r="J763" s="35"/>
    </row>
    <row r="764" spans="9:10" x14ac:dyDescent="0.25">
      <c r="I764" s="37"/>
      <c r="J764" s="35"/>
    </row>
    <row r="765" spans="9:10" x14ac:dyDescent="0.25">
      <c r="I765" s="37"/>
      <c r="J765" s="35"/>
    </row>
    <row r="766" spans="9:10" x14ac:dyDescent="0.25">
      <c r="I766" s="37"/>
      <c r="J766" s="35"/>
    </row>
    <row r="767" spans="9:10" x14ac:dyDescent="0.25">
      <c r="I767" s="37"/>
      <c r="J767" s="35"/>
    </row>
    <row r="768" spans="9:10" x14ac:dyDescent="0.25">
      <c r="I768" s="37"/>
      <c r="J768" s="35"/>
    </row>
    <row r="769" spans="9:10" x14ac:dyDescent="0.25">
      <c r="I769" s="37"/>
      <c r="J769" s="35"/>
    </row>
    <row r="770" spans="9:10" x14ac:dyDescent="0.25">
      <c r="I770" s="37"/>
      <c r="J770" s="35"/>
    </row>
    <row r="771" spans="9:10" x14ac:dyDescent="0.25">
      <c r="I771" s="37"/>
      <c r="J771" s="35"/>
    </row>
    <row r="772" spans="9:10" x14ac:dyDescent="0.25">
      <c r="I772" s="37"/>
      <c r="J772" s="35"/>
    </row>
    <row r="773" spans="9:10" x14ac:dyDescent="0.25">
      <c r="I773" s="37"/>
      <c r="J773" s="35"/>
    </row>
    <row r="774" spans="9:10" x14ac:dyDescent="0.25">
      <c r="I774" s="37"/>
      <c r="J774" s="35"/>
    </row>
    <row r="775" spans="9:10" x14ac:dyDescent="0.25">
      <c r="I775" s="37"/>
      <c r="J775" s="35"/>
    </row>
    <row r="776" spans="9:10" x14ac:dyDescent="0.25">
      <c r="I776" s="37"/>
      <c r="J776" s="35"/>
    </row>
    <row r="777" spans="9:10" x14ac:dyDescent="0.25">
      <c r="I777" s="37"/>
      <c r="J777" s="35"/>
    </row>
    <row r="778" spans="9:10" x14ac:dyDescent="0.25">
      <c r="I778" s="37"/>
      <c r="J778" s="35"/>
    </row>
    <row r="779" spans="9:10" x14ac:dyDescent="0.25">
      <c r="I779" s="37"/>
      <c r="J779" s="35"/>
    </row>
    <row r="780" spans="9:10" x14ac:dyDescent="0.25">
      <c r="I780" s="37"/>
      <c r="J780" s="35"/>
    </row>
    <row r="781" spans="9:10" x14ac:dyDescent="0.25">
      <c r="I781" s="37"/>
      <c r="J781" s="35"/>
    </row>
    <row r="782" spans="9:10" x14ac:dyDescent="0.25">
      <c r="I782" s="37"/>
      <c r="J782" s="35"/>
    </row>
    <row r="783" spans="9:10" x14ac:dyDescent="0.25">
      <c r="I783" s="37"/>
      <c r="J783" s="35"/>
    </row>
    <row r="784" spans="9:10" x14ac:dyDescent="0.25">
      <c r="I784" s="37"/>
      <c r="J784" s="35"/>
    </row>
    <row r="785" spans="9:10" x14ac:dyDescent="0.25">
      <c r="I785" s="37"/>
      <c r="J785" s="35"/>
    </row>
    <row r="786" spans="9:10" x14ac:dyDescent="0.25">
      <c r="I786" s="37"/>
      <c r="J786" s="35"/>
    </row>
    <row r="787" spans="9:10" x14ac:dyDescent="0.25">
      <c r="I787" s="37"/>
      <c r="J787" s="35"/>
    </row>
    <row r="788" spans="9:10" x14ac:dyDescent="0.25">
      <c r="I788" s="37"/>
      <c r="J788" s="35"/>
    </row>
    <row r="789" spans="9:10" x14ac:dyDescent="0.25">
      <c r="I789" s="37"/>
      <c r="J789" s="35"/>
    </row>
    <row r="790" spans="9:10" x14ac:dyDescent="0.25">
      <c r="I790" s="37"/>
      <c r="J790" s="35"/>
    </row>
    <row r="791" spans="9:10" x14ac:dyDescent="0.25">
      <c r="I791" s="37"/>
      <c r="J791" s="35"/>
    </row>
    <row r="792" spans="9:10" x14ac:dyDescent="0.25">
      <c r="I792" s="37"/>
      <c r="J792" s="35"/>
    </row>
    <row r="793" spans="9:10" x14ac:dyDescent="0.25">
      <c r="I793" s="37"/>
      <c r="J793" s="35"/>
    </row>
    <row r="794" spans="9:10" x14ac:dyDescent="0.25">
      <c r="I794" s="37"/>
      <c r="J794" s="35"/>
    </row>
    <row r="795" spans="9:10" x14ac:dyDescent="0.25">
      <c r="I795" s="37"/>
      <c r="J795" s="35"/>
    </row>
    <row r="796" spans="9:10" x14ac:dyDescent="0.25">
      <c r="I796" s="37"/>
      <c r="J796" s="35"/>
    </row>
    <row r="797" spans="9:10" x14ac:dyDescent="0.25">
      <c r="I797" s="37"/>
      <c r="J797" s="35"/>
    </row>
    <row r="798" spans="9:10" x14ac:dyDescent="0.25">
      <c r="I798" s="37"/>
      <c r="J798" s="35"/>
    </row>
    <row r="799" spans="9:10" x14ac:dyDescent="0.25">
      <c r="I799" s="37"/>
      <c r="J799" s="35"/>
    </row>
    <row r="800" spans="9:10" x14ac:dyDescent="0.25">
      <c r="I800" s="37"/>
      <c r="J800" s="35"/>
    </row>
    <row r="801" spans="9:10" x14ac:dyDescent="0.25">
      <c r="I801" s="37"/>
      <c r="J801" s="35"/>
    </row>
    <row r="802" spans="9:10" x14ac:dyDescent="0.25">
      <c r="I802" s="37"/>
      <c r="J802" s="35"/>
    </row>
    <row r="803" spans="9:10" x14ac:dyDescent="0.25">
      <c r="I803" s="37"/>
      <c r="J803" s="35"/>
    </row>
    <row r="804" spans="9:10" x14ac:dyDescent="0.25">
      <c r="I804" s="37"/>
      <c r="J804" s="35"/>
    </row>
    <row r="805" spans="9:10" x14ac:dyDescent="0.25">
      <c r="I805" s="37"/>
      <c r="J805" s="35"/>
    </row>
    <row r="806" spans="9:10" x14ac:dyDescent="0.25">
      <c r="I806" s="37"/>
      <c r="J806" s="35"/>
    </row>
    <row r="807" spans="9:10" x14ac:dyDescent="0.25">
      <c r="I807" s="37"/>
      <c r="J807" s="35"/>
    </row>
    <row r="808" spans="9:10" x14ac:dyDescent="0.25">
      <c r="I808" s="37"/>
      <c r="J808" s="35"/>
    </row>
    <row r="809" spans="9:10" x14ac:dyDescent="0.25">
      <c r="I809" s="37"/>
      <c r="J809" s="35"/>
    </row>
    <row r="810" spans="9:10" x14ac:dyDescent="0.25">
      <c r="I810" s="37"/>
      <c r="J810" s="35"/>
    </row>
    <row r="811" spans="9:10" x14ac:dyDescent="0.25">
      <c r="I811" s="37"/>
      <c r="J811" s="35"/>
    </row>
    <row r="812" spans="9:10" x14ac:dyDescent="0.25">
      <c r="I812" s="37"/>
      <c r="J812" s="35"/>
    </row>
    <row r="813" spans="9:10" x14ac:dyDescent="0.25">
      <c r="I813" s="37"/>
      <c r="J813" s="35"/>
    </row>
    <row r="814" spans="9:10" x14ac:dyDescent="0.25">
      <c r="I814" s="37"/>
      <c r="J814" s="35"/>
    </row>
    <row r="815" spans="9:10" x14ac:dyDescent="0.25">
      <c r="I815" s="37"/>
      <c r="J815" s="35"/>
    </row>
    <row r="816" spans="9:10" x14ac:dyDescent="0.25">
      <c r="I816" s="37"/>
      <c r="J816" s="35"/>
    </row>
    <row r="817" spans="9:10" x14ac:dyDescent="0.25">
      <c r="I817" s="37"/>
      <c r="J817" s="35"/>
    </row>
    <row r="818" spans="9:10" x14ac:dyDescent="0.25">
      <c r="I818" s="37"/>
      <c r="J818" s="35"/>
    </row>
    <row r="819" spans="9:10" x14ac:dyDescent="0.25">
      <c r="I819" s="37"/>
      <c r="J819" s="35"/>
    </row>
    <row r="820" spans="9:10" x14ac:dyDescent="0.25">
      <c r="I820" s="37"/>
      <c r="J820" s="35"/>
    </row>
    <row r="821" spans="9:10" x14ac:dyDescent="0.25">
      <c r="I821" s="37"/>
      <c r="J821" s="35"/>
    </row>
    <row r="822" spans="9:10" x14ac:dyDescent="0.25">
      <c r="I822" s="37"/>
      <c r="J822" s="35"/>
    </row>
    <row r="823" spans="9:10" x14ac:dyDescent="0.25">
      <c r="I823" s="37"/>
      <c r="J823" s="35"/>
    </row>
    <row r="824" spans="9:10" x14ac:dyDescent="0.25">
      <c r="I824" s="37"/>
      <c r="J824" s="35"/>
    </row>
    <row r="825" spans="9:10" x14ac:dyDescent="0.25">
      <c r="I825" s="37"/>
      <c r="J825" s="35"/>
    </row>
    <row r="826" spans="9:10" x14ac:dyDescent="0.25">
      <c r="I826" s="37"/>
      <c r="J826" s="35"/>
    </row>
    <row r="827" spans="9:10" x14ac:dyDescent="0.25">
      <c r="I827" s="37"/>
      <c r="J827" s="35"/>
    </row>
    <row r="828" spans="9:10" x14ac:dyDescent="0.25">
      <c r="I828" s="37"/>
      <c r="J828" s="35"/>
    </row>
    <row r="829" spans="9:10" x14ac:dyDescent="0.25">
      <c r="I829" s="37"/>
      <c r="J829" s="35"/>
    </row>
    <row r="830" spans="9:10" x14ac:dyDescent="0.25">
      <c r="I830" s="37"/>
      <c r="J830" s="35"/>
    </row>
    <row r="831" spans="9:10" x14ac:dyDescent="0.25">
      <c r="I831" s="37"/>
      <c r="J831" s="35"/>
    </row>
    <row r="832" spans="9:10" x14ac:dyDescent="0.25">
      <c r="I832" s="37"/>
      <c r="J832" s="35"/>
    </row>
    <row r="833" spans="9:10" x14ac:dyDescent="0.25">
      <c r="I833" s="37"/>
      <c r="J833" s="35"/>
    </row>
    <row r="834" spans="9:10" x14ac:dyDescent="0.25">
      <c r="I834" s="37"/>
      <c r="J834" s="35"/>
    </row>
    <row r="835" spans="9:10" x14ac:dyDescent="0.25">
      <c r="I835" s="37"/>
      <c r="J835" s="35"/>
    </row>
    <row r="836" spans="9:10" x14ac:dyDescent="0.25">
      <c r="I836" s="37"/>
      <c r="J836" s="35"/>
    </row>
    <row r="837" spans="9:10" x14ac:dyDescent="0.25">
      <c r="I837" s="37"/>
      <c r="J837" s="35"/>
    </row>
    <row r="838" spans="9:10" x14ac:dyDescent="0.25">
      <c r="I838" s="37"/>
      <c r="J838" s="35"/>
    </row>
    <row r="839" spans="9:10" x14ac:dyDescent="0.25">
      <c r="I839" s="37"/>
      <c r="J839" s="35"/>
    </row>
    <row r="840" spans="9:10" x14ac:dyDescent="0.25">
      <c r="I840" s="37"/>
      <c r="J840" s="35"/>
    </row>
    <row r="841" spans="9:10" x14ac:dyDescent="0.25">
      <c r="I841" s="37"/>
      <c r="J841" s="35"/>
    </row>
    <row r="842" spans="9:10" x14ac:dyDescent="0.25">
      <c r="I842" s="37"/>
      <c r="J842" s="35"/>
    </row>
    <row r="843" spans="9:10" x14ac:dyDescent="0.25">
      <c r="I843" s="37"/>
      <c r="J843" s="35"/>
    </row>
    <row r="844" spans="9:10" x14ac:dyDescent="0.25">
      <c r="I844" s="37"/>
      <c r="J844" s="35"/>
    </row>
    <row r="845" spans="9:10" x14ac:dyDescent="0.25">
      <c r="I845" s="37"/>
      <c r="J845" s="35"/>
    </row>
    <row r="846" spans="9:10" x14ac:dyDescent="0.25">
      <c r="I846" s="37"/>
      <c r="J846" s="35"/>
    </row>
    <row r="847" spans="9:10" x14ac:dyDescent="0.25">
      <c r="I847" s="37"/>
      <c r="J847" s="35"/>
    </row>
    <row r="848" spans="9:10" x14ac:dyDescent="0.25">
      <c r="I848" s="37"/>
      <c r="J848" s="35"/>
    </row>
    <row r="849" spans="9:10" x14ac:dyDescent="0.25">
      <c r="I849" s="37"/>
      <c r="J849" s="35"/>
    </row>
    <row r="850" spans="9:10" x14ac:dyDescent="0.25">
      <c r="I850" s="37"/>
      <c r="J850" s="35"/>
    </row>
    <row r="851" spans="9:10" x14ac:dyDescent="0.25">
      <c r="I851" s="37"/>
      <c r="J851" s="35"/>
    </row>
    <row r="852" spans="9:10" x14ac:dyDescent="0.25">
      <c r="I852" s="37"/>
      <c r="J852" s="35"/>
    </row>
    <row r="853" spans="9:10" x14ac:dyDescent="0.25">
      <c r="I853" s="37"/>
      <c r="J853" s="35"/>
    </row>
    <row r="854" spans="9:10" x14ac:dyDescent="0.25">
      <c r="I854" s="37"/>
      <c r="J854" s="35"/>
    </row>
    <row r="855" spans="9:10" x14ac:dyDescent="0.25">
      <c r="I855" s="37"/>
      <c r="J855" s="35"/>
    </row>
    <row r="856" spans="9:10" x14ac:dyDescent="0.25">
      <c r="I856" s="37"/>
      <c r="J856" s="35"/>
    </row>
    <row r="857" spans="9:10" x14ac:dyDescent="0.25">
      <c r="I857" s="37"/>
      <c r="J857" s="35"/>
    </row>
    <row r="858" spans="9:10" x14ac:dyDescent="0.25">
      <c r="I858" s="37"/>
      <c r="J858" s="35"/>
    </row>
    <row r="859" spans="9:10" x14ac:dyDescent="0.25">
      <c r="I859" s="37"/>
      <c r="J859" s="35"/>
    </row>
    <row r="860" spans="9:10" x14ac:dyDescent="0.25">
      <c r="I860" s="37"/>
      <c r="J860" s="35"/>
    </row>
    <row r="861" spans="9:10" x14ac:dyDescent="0.25">
      <c r="I861" s="37"/>
      <c r="J861" s="35"/>
    </row>
    <row r="862" spans="9:10" x14ac:dyDescent="0.25">
      <c r="I862" s="37"/>
      <c r="J862" s="35"/>
    </row>
    <row r="863" spans="9:10" x14ac:dyDescent="0.25">
      <c r="I863" s="37"/>
      <c r="J863" s="35"/>
    </row>
    <row r="864" spans="9:10" x14ac:dyDescent="0.25">
      <c r="I864" s="37"/>
      <c r="J864" s="35"/>
    </row>
    <row r="865" spans="9:10" x14ac:dyDescent="0.25">
      <c r="I865" s="37"/>
      <c r="J865" s="35"/>
    </row>
    <row r="866" spans="9:10" x14ac:dyDescent="0.25">
      <c r="I866" s="37"/>
      <c r="J866" s="35"/>
    </row>
    <row r="867" spans="9:10" x14ac:dyDescent="0.25">
      <c r="I867" s="37"/>
      <c r="J867" s="35"/>
    </row>
    <row r="868" spans="9:10" x14ac:dyDescent="0.25">
      <c r="I868" s="37"/>
      <c r="J868" s="35"/>
    </row>
    <row r="869" spans="9:10" x14ac:dyDescent="0.25">
      <c r="I869" s="37"/>
      <c r="J869" s="35"/>
    </row>
    <row r="870" spans="9:10" x14ac:dyDescent="0.25">
      <c r="I870" s="37"/>
      <c r="J870" s="35"/>
    </row>
    <row r="871" spans="9:10" x14ac:dyDescent="0.25">
      <c r="I871" s="37"/>
      <c r="J871" s="35"/>
    </row>
    <row r="872" spans="9:10" x14ac:dyDescent="0.25">
      <c r="I872" s="37"/>
      <c r="J872" s="35"/>
    </row>
    <row r="873" spans="9:10" x14ac:dyDescent="0.25">
      <c r="I873" s="37"/>
      <c r="J873" s="35"/>
    </row>
    <row r="874" spans="9:10" x14ac:dyDescent="0.25">
      <c r="I874" s="37"/>
      <c r="J874" s="35"/>
    </row>
    <row r="875" spans="9:10" x14ac:dyDescent="0.25">
      <c r="I875" s="37"/>
      <c r="J875" s="35"/>
    </row>
    <row r="876" spans="9:10" x14ac:dyDescent="0.25">
      <c r="I876" s="37"/>
      <c r="J876" s="35"/>
    </row>
    <row r="877" spans="9:10" x14ac:dyDescent="0.25">
      <c r="I877" s="37"/>
      <c r="J877" s="35"/>
    </row>
    <row r="878" spans="9:10" x14ac:dyDescent="0.25">
      <c r="I878" s="37"/>
      <c r="J878" s="35"/>
    </row>
    <row r="879" spans="9:10" x14ac:dyDescent="0.25">
      <c r="I879" s="37"/>
      <c r="J879" s="35"/>
    </row>
    <row r="880" spans="9:10" x14ac:dyDescent="0.25">
      <c r="I880" s="37"/>
      <c r="J880" s="35"/>
    </row>
    <row r="881" spans="9:10" x14ac:dyDescent="0.25">
      <c r="I881" s="37"/>
      <c r="J881" s="35"/>
    </row>
    <row r="882" spans="9:10" x14ac:dyDescent="0.25">
      <c r="I882" s="37"/>
      <c r="J882" s="35"/>
    </row>
    <row r="883" spans="9:10" x14ac:dyDescent="0.25">
      <c r="I883" s="37"/>
      <c r="J883" s="35"/>
    </row>
    <row r="884" spans="9:10" x14ac:dyDescent="0.25">
      <c r="I884" s="37"/>
      <c r="J884" s="35"/>
    </row>
    <row r="885" spans="9:10" x14ac:dyDescent="0.25">
      <c r="I885" s="37"/>
      <c r="J885" s="35"/>
    </row>
    <row r="886" spans="9:10" x14ac:dyDescent="0.25">
      <c r="I886" s="37"/>
      <c r="J886" s="35"/>
    </row>
    <row r="887" spans="9:10" x14ac:dyDescent="0.25">
      <c r="I887" s="37"/>
      <c r="J887" s="35"/>
    </row>
    <row r="888" spans="9:10" x14ac:dyDescent="0.25">
      <c r="I888" s="37"/>
      <c r="J888" s="35"/>
    </row>
    <row r="889" spans="9:10" x14ac:dyDescent="0.25">
      <c r="I889" s="37"/>
      <c r="J889" s="35"/>
    </row>
    <row r="890" spans="9:10" x14ac:dyDescent="0.25">
      <c r="I890" s="37"/>
      <c r="J890" s="35"/>
    </row>
    <row r="891" spans="9:10" x14ac:dyDescent="0.25">
      <c r="I891" s="37"/>
      <c r="J891" s="35"/>
    </row>
    <row r="892" spans="9:10" x14ac:dyDescent="0.25">
      <c r="I892" s="37"/>
      <c r="J892" s="35"/>
    </row>
    <row r="893" spans="9:10" x14ac:dyDescent="0.25">
      <c r="I893" s="37"/>
      <c r="J893" s="35"/>
    </row>
    <row r="894" spans="9:10" x14ac:dyDescent="0.25">
      <c r="I894" s="37"/>
      <c r="J894" s="35"/>
    </row>
    <row r="895" spans="9:10" x14ac:dyDescent="0.25">
      <c r="I895" s="37"/>
      <c r="J895" s="35"/>
    </row>
    <row r="896" spans="9:10" x14ac:dyDescent="0.25">
      <c r="I896" s="37"/>
      <c r="J896" s="35"/>
    </row>
    <row r="897" spans="9:10" x14ac:dyDescent="0.25">
      <c r="I897" s="37"/>
      <c r="J897" s="35"/>
    </row>
    <row r="898" spans="9:10" x14ac:dyDescent="0.25">
      <c r="I898" s="37"/>
      <c r="J898" s="35"/>
    </row>
    <row r="899" spans="9:10" x14ac:dyDescent="0.25">
      <c r="I899" s="37"/>
      <c r="J899" s="35"/>
    </row>
    <row r="900" spans="9:10" x14ac:dyDescent="0.25">
      <c r="I900" s="37"/>
      <c r="J900" s="35"/>
    </row>
    <row r="901" spans="9:10" x14ac:dyDescent="0.25">
      <c r="I901" s="37"/>
      <c r="J901" s="35"/>
    </row>
    <row r="902" spans="9:10" x14ac:dyDescent="0.25">
      <c r="I902" s="37"/>
      <c r="J902" s="35"/>
    </row>
    <row r="903" spans="9:10" x14ac:dyDescent="0.25">
      <c r="I903" s="37"/>
      <c r="J903" s="35"/>
    </row>
    <row r="904" spans="9:10" x14ac:dyDescent="0.25">
      <c r="I904" s="37"/>
      <c r="J904" s="35"/>
    </row>
    <row r="905" spans="9:10" x14ac:dyDescent="0.25">
      <c r="I905" s="37"/>
      <c r="J905" s="35"/>
    </row>
    <row r="906" spans="9:10" x14ac:dyDescent="0.25">
      <c r="I906" s="37"/>
      <c r="J906" s="35"/>
    </row>
    <row r="907" spans="9:10" x14ac:dyDescent="0.25">
      <c r="I907" s="37"/>
      <c r="J907" s="35"/>
    </row>
    <row r="908" spans="9:10" x14ac:dyDescent="0.25">
      <c r="I908" s="37"/>
      <c r="J908" s="35"/>
    </row>
    <row r="909" spans="9:10" x14ac:dyDescent="0.25">
      <c r="I909" s="37"/>
      <c r="J909" s="35"/>
    </row>
    <row r="910" spans="9:10" x14ac:dyDescent="0.25">
      <c r="I910" s="37"/>
      <c r="J910" s="35"/>
    </row>
    <row r="911" spans="9:10" x14ac:dyDescent="0.25">
      <c r="I911" s="37"/>
      <c r="J911" s="35"/>
    </row>
    <row r="912" spans="9:10" x14ac:dyDescent="0.25">
      <c r="I912" s="37"/>
      <c r="J912" s="35"/>
    </row>
    <row r="913" spans="9:10" x14ac:dyDescent="0.25">
      <c r="I913" s="37"/>
      <c r="J913" s="35"/>
    </row>
    <row r="914" spans="9:10" x14ac:dyDescent="0.25">
      <c r="I914" s="37"/>
      <c r="J914" s="35"/>
    </row>
    <row r="915" spans="9:10" x14ac:dyDescent="0.25">
      <c r="I915" s="37"/>
      <c r="J915" s="35"/>
    </row>
    <row r="916" spans="9:10" x14ac:dyDescent="0.25">
      <c r="I916" s="37"/>
      <c r="J916" s="35"/>
    </row>
    <row r="917" spans="9:10" x14ac:dyDescent="0.25">
      <c r="I917" s="37"/>
      <c r="J917" s="35"/>
    </row>
    <row r="918" spans="9:10" x14ac:dyDescent="0.25">
      <c r="I918" s="37"/>
      <c r="J918" s="35"/>
    </row>
    <row r="919" spans="9:10" x14ac:dyDescent="0.25">
      <c r="I919" s="37"/>
      <c r="J919" s="35"/>
    </row>
    <row r="920" spans="9:10" x14ac:dyDescent="0.25">
      <c r="I920" s="37"/>
      <c r="J920" s="35"/>
    </row>
    <row r="921" spans="9:10" x14ac:dyDescent="0.25">
      <c r="I921" s="37"/>
      <c r="J921" s="35"/>
    </row>
    <row r="922" spans="9:10" x14ac:dyDescent="0.25">
      <c r="I922" s="37"/>
      <c r="J922" s="35"/>
    </row>
    <row r="923" spans="9:10" x14ac:dyDescent="0.25">
      <c r="I923" s="37"/>
      <c r="J923" s="35"/>
    </row>
    <row r="924" spans="9:10" x14ac:dyDescent="0.25">
      <c r="I924" s="37"/>
      <c r="J924" s="35"/>
    </row>
    <row r="925" spans="9:10" x14ac:dyDescent="0.25">
      <c r="I925" s="37"/>
      <c r="J925" s="35"/>
    </row>
    <row r="926" spans="9:10" x14ac:dyDescent="0.25">
      <c r="I926" s="37"/>
      <c r="J926" s="35"/>
    </row>
    <row r="927" spans="9:10" x14ac:dyDescent="0.25">
      <c r="I927" s="37"/>
      <c r="J927" s="35"/>
    </row>
    <row r="928" spans="9:10" x14ac:dyDescent="0.25">
      <c r="I928" s="37"/>
      <c r="J928" s="35"/>
    </row>
    <row r="929" spans="9:10" x14ac:dyDescent="0.25">
      <c r="I929" s="37"/>
      <c r="J929" s="35"/>
    </row>
    <row r="930" spans="9:10" x14ac:dyDescent="0.25">
      <c r="I930" s="37"/>
      <c r="J930" s="35"/>
    </row>
    <row r="931" spans="9:10" x14ac:dyDescent="0.25">
      <c r="I931" s="37"/>
      <c r="J931" s="35"/>
    </row>
    <row r="932" spans="9:10" x14ac:dyDescent="0.25">
      <c r="I932" s="37"/>
      <c r="J932" s="35"/>
    </row>
    <row r="933" spans="9:10" x14ac:dyDescent="0.25">
      <c r="I933" s="37"/>
      <c r="J933" s="35"/>
    </row>
    <row r="934" spans="9:10" x14ac:dyDescent="0.25">
      <c r="I934" s="37"/>
      <c r="J934" s="35"/>
    </row>
    <row r="935" spans="9:10" x14ac:dyDescent="0.25">
      <c r="I935" s="37"/>
      <c r="J935" s="35"/>
    </row>
    <row r="936" spans="9:10" x14ac:dyDescent="0.25">
      <c r="I936" s="37"/>
      <c r="J936" s="35"/>
    </row>
    <row r="937" spans="9:10" x14ac:dyDescent="0.25">
      <c r="I937" s="37"/>
      <c r="J937" s="35"/>
    </row>
    <row r="938" spans="9:10" x14ac:dyDescent="0.25">
      <c r="I938" s="37"/>
      <c r="J938" s="35"/>
    </row>
    <row r="939" spans="9:10" x14ac:dyDescent="0.25">
      <c r="I939" s="37"/>
      <c r="J939" s="35"/>
    </row>
    <row r="940" spans="9:10" x14ac:dyDescent="0.25">
      <c r="I940" s="37"/>
      <c r="J940" s="35"/>
    </row>
    <row r="941" spans="9:10" x14ac:dyDescent="0.25">
      <c r="I941" s="37"/>
      <c r="J941" s="35"/>
    </row>
    <row r="942" spans="9:10" x14ac:dyDescent="0.25">
      <c r="I942" s="37"/>
      <c r="J942" s="35"/>
    </row>
    <row r="943" spans="9:10" x14ac:dyDescent="0.25">
      <c r="I943" s="37"/>
      <c r="J943" s="35"/>
    </row>
    <row r="944" spans="9:10" x14ac:dyDescent="0.25">
      <c r="I944" s="37"/>
      <c r="J944" s="35"/>
    </row>
    <row r="945" spans="9:10" x14ac:dyDescent="0.25">
      <c r="I945" s="37"/>
      <c r="J945" s="35"/>
    </row>
    <row r="946" spans="9:10" x14ac:dyDescent="0.25">
      <c r="I946" s="37"/>
      <c r="J946" s="35"/>
    </row>
    <row r="947" spans="9:10" x14ac:dyDescent="0.25">
      <c r="I947" s="37"/>
      <c r="J947" s="35"/>
    </row>
    <row r="948" spans="9:10" x14ac:dyDescent="0.25">
      <c r="I948" s="37"/>
      <c r="J948" s="35"/>
    </row>
    <row r="949" spans="9:10" x14ac:dyDescent="0.25">
      <c r="I949" s="37"/>
      <c r="J949" s="35"/>
    </row>
    <row r="950" spans="9:10" x14ac:dyDescent="0.25">
      <c r="I950" s="37"/>
      <c r="J950" s="35"/>
    </row>
    <row r="951" spans="9:10" x14ac:dyDescent="0.25">
      <c r="I951" s="37"/>
      <c r="J951" s="35"/>
    </row>
    <row r="952" spans="9:10" x14ac:dyDescent="0.25">
      <c r="I952" s="37"/>
      <c r="J952" s="35"/>
    </row>
    <row r="953" spans="9:10" x14ac:dyDescent="0.25">
      <c r="I953" s="37"/>
      <c r="J953" s="35"/>
    </row>
    <row r="954" spans="9:10" x14ac:dyDescent="0.25">
      <c r="I954" s="37"/>
      <c r="J954" s="35"/>
    </row>
    <row r="955" spans="9:10" x14ac:dyDescent="0.25">
      <c r="I955" s="37"/>
      <c r="J955" s="35"/>
    </row>
    <row r="956" spans="9:10" x14ac:dyDescent="0.25">
      <c r="I956" s="37"/>
      <c r="J956" s="35"/>
    </row>
    <row r="957" spans="9:10" x14ac:dyDescent="0.25">
      <c r="I957" s="37"/>
      <c r="J957" s="35"/>
    </row>
    <row r="958" spans="9:10" x14ac:dyDescent="0.25">
      <c r="I958" s="37"/>
      <c r="J958" s="35"/>
    </row>
    <row r="959" spans="9:10" x14ac:dyDescent="0.25">
      <c r="I959" s="37"/>
      <c r="J959" s="35"/>
    </row>
    <row r="960" spans="9:10" x14ac:dyDescent="0.25">
      <c r="I960" s="37"/>
      <c r="J960" s="35"/>
    </row>
    <row r="961" spans="9:10" x14ac:dyDescent="0.25">
      <c r="I961" s="37"/>
      <c r="J961" s="35"/>
    </row>
    <row r="962" spans="9:10" x14ac:dyDescent="0.25">
      <c r="I962" s="37"/>
      <c r="J962" s="35"/>
    </row>
    <row r="963" spans="9:10" x14ac:dyDescent="0.25">
      <c r="I963" s="37"/>
      <c r="J963" s="35"/>
    </row>
    <row r="964" spans="9:10" x14ac:dyDescent="0.25">
      <c r="I964" s="37"/>
      <c r="J964" s="35"/>
    </row>
    <row r="965" spans="9:10" x14ac:dyDescent="0.25">
      <c r="I965" s="37"/>
      <c r="J965" s="35"/>
    </row>
    <row r="966" spans="9:10" x14ac:dyDescent="0.25">
      <c r="I966" s="37"/>
      <c r="J966" s="35"/>
    </row>
    <row r="967" spans="9:10" x14ac:dyDescent="0.25">
      <c r="I967" s="37"/>
      <c r="J967" s="35"/>
    </row>
    <row r="968" spans="9:10" x14ac:dyDescent="0.25">
      <c r="I968" s="37"/>
      <c r="J968" s="35"/>
    </row>
    <row r="969" spans="9:10" x14ac:dyDescent="0.25">
      <c r="I969" s="37"/>
      <c r="J969" s="35"/>
    </row>
    <row r="970" spans="9:10" x14ac:dyDescent="0.25">
      <c r="I970" s="37"/>
      <c r="J970" s="35"/>
    </row>
    <row r="971" spans="9:10" x14ac:dyDescent="0.25">
      <c r="I971" s="37"/>
      <c r="J971" s="35"/>
    </row>
    <row r="972" spans="9:10" x14ac:dyDescent="0.25">
      <c r="I972" s="37"/>
      <c r="J972" s="35"/>
    </row>
    <row r="973" spans="9:10" x14ac:dyDescent="0.25">
      <c r="I973" s="37"/>
      <c r="J973" s="35"/>
    </row>
    <row r="974" spans="9:10" x14ac:dyDescent="0.25">
      <c r="I974" s="37"/>
      <c r="J974" s="35"/>
    </row>
    <row r="975" spans="9:10" x14ac:dyDescent="0.25">
      <c r="I975" s="37"/>
      <c r="J975" s="35"/>
    </row>
    <row r="976" spans="9:10" x14ac:dyDescent="0.25">
      <c r="I976" s="37"/>
      <c r="J976" s="35"/>
    </row>
    <row r="977" spans="9:10" x14ac:dyDescent="0.25">
      <c r="I977" s="37"/>
      <c r="J977" s="35"/>
    </row>
    <row r="978" spans="9:10" x14ac:dyDescent="0.25">
      <c r="I978" s="37"/>
      <c r="J978" s="35"/>
    </row>
    <row r="979" spans="9:10" x14ac:dyDescent="0.25">
      <c r="I979" s="37"/>
      <c r="J979" s="35"/>
    </row>
    <row r="980" spans="9:10" x14ac:dyDescent="0.25">
      <c r="I980" s="37"/>
      <c r="J980" s="35"/>
    </row>
    <row r="981" spans="9:10" x14ac:dyDescent="0.25">
      <c r="I981" s="37"/>
      <c r="J981" s="35"/>
    </row>
    <row r="982" spans="9:10" x14ac:dyDescent="0.25">
      <c r="I982" s="37"/>
      <c r="J982" s="35"/>
    </row>
    <row r="983" spans="9:10" x14ac:dyDescent="0.25">
      <c r="I983" s="37"/>
      <c r="J983" s="35"/>
    </row>
    <row r="984" spans="9:10" x14ac:dyDescent="0.25">
      <c r="I984" s="37"/>
      <c r="J984" s="35"/>
    </row>
    <row r="985" spans="9:10" x14ac:dyDescent="0.25">
      <c r="I985" s="37"/>
      <c r="J985" s="35"/>
    </row>
    <row r="986" spans="9:10" x14ac:dyDescent="0.25">
      <c r="I986" s="37"/>
      <c r="J986" s="35"/>
    </row>
    <row r="987" spans="9:10" x14ac:dyDescent="0.25">
      <c r="I987" s="37"/>
      <c r="J987" s="35"/>
    </row>
    <row r="988" spans="9:10" x14ac:dyDescent="0.25">
      <c r="I988" s="37"/>
      <c r="J988" s="35"/>
    </row>
    <row r="989" spans="9:10" x14ac:dyDescent="0.25">
      <c r="I989" s="37"/>
      <c r="J989" s="35"/>
    </row>
    <row r="990" spans="9:10" x14ac:dyDescent="0.25">
      <c r="I990" s="37"/>
      <c r="J990" s="35"/>
    </row>
    <row r="991" spans="9:10" x14ac:dyDescent="0.25">
      <c r="I991" s="37"/>
      <c r="J991" s="35"/>
    </row>
    <row r="992" spans="9:10" x14ac:dyDescent="0.25">
      <c r="I992" s="37"/>
      <c r="J992" s="35"/>
    </row>
    <row r="993" spans="9:10" x14ac:dyDescent="0.25">
      <c r="I993" s="37"/>
      <c r="J993" s="35"/>
    </row>
    <row r="994" spans="9:10" x14ac:dyDescent="0.25">
      <c r="I994" s="37"/>
      <c r="J994" s="35"/>
    </row>
    <row r="995" spans="9:10" x14ac:dyDescent="0.25">
      <c r="I995" s="37"/>
      <c r="J995" s="35"/>
    </row>
    <row r="996" spans="9:10" x14ac:dyDescent="0.25">
      <c r="I996" s="37"/>
      <c r="J996" s="35"/>
    </row>
    <row r="997" spans="9:10" x14ac:dyDescent="0.25">
      <c r="I997" s="37"/>
      <c r="J997" s="35"/>
    </row>
    <row r="998" spans="9:10" x14ac:dyDescent="0.25">
      <c r="I998" s="37"/>
      <c r="J998" s="35"/>
    </row>
    <row r="999" spans="9:10" x14ac:dyDescent="0.25">
      <c r="I999" s="37"/>
      <c r="J999" s="35"/>
    </row>
    <row r="1000" spans="9:10" x14ac:dyDescent="0.25">
      <c r="I1000" s="37"/>
      <c r="J1000" s="35"/>
    </row>
    <row r="1001" spans="9:10" x14ac:dyDescent="0.25">
      <c r="I1001" s="37"/>
      <c r="J1001" s="35"/>
    </row>
    <row r="1002" spans="9:10" x14ac:dyDescent="0.25">
      <c r="I1002" s="37"/>
      <c r="J1002" s="35"/>
    </row>
    <row r="1003" spans="9:10" x14ac:dyDescent="0.25">
      <c r="I1003" s="37"/>
      <c r="J1003" s="35"/>
    </row>
    <row r="1004" spans="9:10" x14ac:dyDescent="0.25">
      <c r="I1004" s="37"/>
      <c r="J1004" s="35"/>
    </row>
    <row r="1005" spans="9:10" x14ac:dyDescent="0.25">
      <c r="I1005" s="37"/>
      <c r="J1005" s="35"/>
    </row>
    <row r="1006" spans="9:10" x14ac:dyDescent="0.25">
      <c r="I1006" s="37"/>
      <c r="J1006" s="35"/>
    </row>
    <row r="1007" spans="9:10" x14ac:dyDescent="0.25">
      <c r="I1007" s="37"/>
      <c r="J1007" s="35"/>
    </row>
    <row r="1008" spans="9:10" x14ac:dyDescent="0.25">
      <c r="I1008" s="37"/>
      <c r="J1008" s="35"/>
    </row>
    <row r="1009" spans="9:10" x14ac:dyDescent="0.25">
      <c r="I1009" s="37"/>
      <c r="J1009" s="35"/>
    </row>
    <row r="1010" spans="9:10" x14ac:dyDescent="0.25">
      <c r="I1010" s="37"/>
      <c r="J1010" s="35"/>
    </row>
    <row r="1011" spans="9:10" x14ac:dyDescent="0.25">
      <c r="I1011" s="37"/>
      <c r="J1011" s="35"/>
    </row>
    <row r="1012" spans="9:10" x14ac:dyDescent="0.25">
      <c r="I1012" s="37"/>
      <c r="J1012" s="35"/>
    </row>
    <row r="1013" spans="9:10" x14ac:dyDescent="0.25">
      <c r="I1013" s="37"/>
      <c r="J1013" s="35"/>
    </row>
    <row r="1014" spans="9:10" x14ac:dyDescent="0.25">
      <c r="I1014" s="37"/>
      <c r="J1014" s="35"/>
    </row>
    <row r="1015" spans="9:10" x14ac:dyDescent="0.25">
      <c r="I1015" s="37"/>
      <c r="J1015" s="35"/>
    </row>
    <row r="1016" spans="9:10" x14ac:dyDescent="0.25">
      <c r="I1016" s="37"/>
      <c r="J1016" s="35"/>
    </row>
    <row r="1017" spans="9:10" x14ac:dyDescent="0.25">
      <c r="I1017" s="37"/>
      <c r="J1017" s="35"/>
    </row>
    <row r="1018" spans="9:10" x14ac:dyDescent="0.25">
      <c r="I1018" s="37"/>
      <c r="J1018" s="35"/>
    </row>
    <row r="1019" spans="9:10" x14ac:dyDescent="0.25">
      <c r="I1019" s="37"/>
      <c r="J1019" s="35"/>
    </row>
    <row r="1020" spans="9:10" x14ac:dyDescent="0.25">
      <c r="I1020" s="37"/>
      <c r="J1020" s="35"/>
    </row>
    <row r="1021" spans="9:10" x14ac:dyDescent="0.25">
      <c r="I1021" s="37"/>
      <c r="J1021" s="35"/>
    </row>
    <row r="1022" spans="9:10" x14ac:dyDescent="0.25">
      <c r="I1022" s="37"/>
      <c r="J1022" s="35"/>
    </row>
    <row r="1023" spans="9:10" x14ac:dyDescent="0.25">
      <c r="I1023" s="37"/>
      <c r="J1023" s="35"/>
    </row>
    <row r="1024" spans="9:10" x14ac:dyDescent="0.25">
      <c r="I1024" s="37"/>
      <c r="J1024" s="35"/>
    </row>
    <row r="1025" spans="9:10" x14ac:dyDescent="0.25">
      <c r="I1025" s="37"/>
      <c r="J1025" s="35"/>
    </row>
    <row r="1026" spans="9:10" x14ac:dyDescent="0.25">
      <c r="I1026" s="37"/>
      <c r="J1026" s="35"/>
    </row>
    <row r="1027" spans="9:10" x14ac:dyDescent="0.25">
      <c r="I1027" s="37"/>
      <c r="J1027" s="35"/>
    </row>
    <row r="1028" spans="9:10" x14ac:dyDescent="0.25">
      <c r="I1028" s="37"/>
      <c r="J1028" s="35"/>
    </row>
    <row r="1029" spans="9:10" x14ac:dyDescent="0.25">
      <c r="I1029" s="37"/>
      <c r="J1029" s="35"/>
    </row>
    <row r="1030" spans="9:10" x14ac:dyDescent="0.25">
      <c r="I1030" s="37"/>
      <c r="J1030" s="35"/>
    </row>
    <row r="1031" spans="9:10" x14ac:dyDescent="0.25">
      <c r="I1031" s="37"/>
      <c r="J1031" s="35"/>
    </row>
    <row r="1032" spans="9:10" x14ac:dyDescent="0.25">
      <c r="I1032" s="37"/>
      <c r="J1032" s="35"/>
    </row>
    <row r="1033" spans="9:10" x14ac:dyDescent="0.25">
      <c r="I1033" s="37"/>
      <c r="J1033" s="35"/>
    </row>
    <row r="1034" spans="9:10" x14ac:dyDescent="0.25">
      <c r="I1034" s="37"/>
      <c r="J1034" s="35"/>
    </row>
    <row r="1035" spans="9:10" x14ac:dyDescent="0.25">
      <c r="I1035" s="37"/>
      <c r="J1035" s="35"/>
    </row>
    <row r="1036" spans="9:10" x14ac:dyDescent="0.25">
      <c r="I1036" s="37"/>
      <c r="J1036" s="35"/>
    </row>
    <row r="1037" spans="9:10" x14ac:dyDescent="0.25">
      <c r="I1037" s="37"/>
      <c r="J1037" s="35"/>
    </row>
    <row r="1038" spans="9:10" x14ac:dyDescent="0.25">
      <c r="I1038" s="37"/>
      <c r="J1038" s="35"/>
    </row>
    <row r="1039" spans="9:10" x14ac:dyDescent="0.25">
      <c r="I1039" s="37"/>
      <c r="J1039" s="35"/>
    </row>
    <row r="1040" spans="9:10" x14ac:dyDescent="0.25">
      <c r="I1040" s="37"/>
      <c r="J1040" s="35"/>
    </row>
    <row r="1041" spans="9:10" x14ac:dyDescent="0.25">
      <c r="I1041" s="37"/>
      <c r="J1041" s="35"/>
    </row>
    <row r="1042" spans="9:10" x14ac:dyDescent="0.25">
      <c r="I1042" s="37"/>
      <c r="J1042" s="35"/>
    </row>
    <row r="1043" spans="9:10" x14ac:dyDescent="0.25">
      <c r="I1043" s="37"/>
      <c r="J1043" s="35"/>
    </row>
    <row r="1044" spans="9:10" x14ac:dyDescent="0.25">
      <c r="I1044" s="37"/>
      <c r="J1044" s="35"/>
    </row>
    <row r="1045" spans="9:10" x14ac:dyDescent="0.25">
      <c r="I1045" s="37"/>
      <c r="J1045" s="35"/>
    </row>
    <row r="1046" spans="9:10" x14ac:dyDescent="0.25">
      <c r="I1046" s="37"/>
      <c r="J1046" s="35"/>
    </row>
    <row r="1047" spans="9:10" x14ac:dyDescent="0.25">
      <c r="I1047" s="37"/>
      <c r="J1047" s="35"/>
    </row>
    <row r="1048" spans="9:10" x14ac:dyDescent="0.25">
      <c r="I1048" s="37"/>
      <c r="J1048" s="35"/>
    </row>
    <row r="1049" spans="9:10" x14ac:dyDescent="0.25">
      <c r="I1049" s="37"/>
      <c r="J1049" s="35"/>
    </row>
    <row r="1050" spans="9:10" x14ac:dyDescent="0.25">
      <c r="I1050" s="37"/>
      <c r="J1050" s="35"/>
    </row>
    <row r="1051" spans="9:10" x14ac:dyDescent="0.25">
      <c r="I1051" s="37"/>
      <c r="J1051" s="35"/>
    </row>
    <row r="1052" spans="9:10" x14ac:dyDescent="0.25">
      <c r="I1052" s="37"/>
      <c r="J1052" s="35"/>
    </row>
    <row r="1053" spans="9:10" x14ac:dyDescent="0.25">
      <c r="I1053" s="37"/>
      <c r="J1053" s="35"/>
    </row>
    <row r="1054" spans="9:10" x14ac:dyDescent="0.25">
      <c r="I1054" s="37"/>
      <c r="J1054" s="35"/>
    </row>
    <row r="1055" spans="9:10" x14ac:dyDescent="0.25">
      <c r="I1055" s="37"/>
      <c r="J1055" s="35"/>
    </row>
    <row r="1056" spans="9:10" x14ac:dyDescent="0.25">
      <c r="I1056" s="37"/>
      <c r="J1056" s="35"/>
    </row>
    <row r="1057" spans="9:10" x14ac:dyDescent="0.25">
      <c r="I1057" s="37"/>
      <c r="J1057" s="35"/>
    </row>
    <row r="1058" spans="9:10" x14ac:dyDescent="0.25">
      <c r="I1058" s="37"/>
      <c r="J1058" s="35"/>
    </row>
    <row r="1059" spans="9:10" x14ac:dyDescent="0.25">
      <c r="I1059" s="37"/>
      <c r="J1059" s="35"/>
    </row>
    <row r="1060" spans="9:10" x14ac:dyDescent="0.25">
      <c r="I1060" s="37"/>
      <c r="J1060" s="35"/>
    </row>
    <row r="1061" spans="9:10" x14ac:dyDescent="0.25">
      <c r="I1061" s="37"/>
      <c r="J1061" s="35"/>
    </row>
    <row r="1062" spans="9:10" x14ac:dyDescent="0.25">
      <c r="I1062" s="37"/>
      <c r="J1062" s="35"/>
    </row>
    <row r="1063" spans="9:10" x14ac:dyDescent="0.25">
      <c r="I1063" s="37"/>
      <c r="J1063" s="35"/>
    </row>
    <row r="1064" spans="9:10" x14ac:dyDescent="0.25">
      <c r="I1064" s="37"/>
      <c r="J1064" s="35"/>
    </row>
    <row r="1065" spans="9:10" x14ac:dyDescent="0.25">
      <c r="I1065" s="37"/>
      <c r="J1065" s="35"/>
    </row>
    <row r="1066" spans="9:10" x14ac:dyDescent="0.25">
      <c r="I1066" s="37"/>
      <c r="J1066" s="35"/>
    </row>
    <row r="1067" spans="9:10" x14ac:dyDescent="0.25">
      <c r="I1067" s="37"/>
      <c r="J1067" s="35"/>
    </row>
    <row r="1068" spans="9:10" x14ac:dyDescent="0.25">
      <c r="I1068" s="37"/>
      <c r="J1068" s="35"/>
    </row>
    <row r="1069" spans="9:10" x14ac:dyDescent="0.25">
      <c r="I1069" s="37"/>
      <c r="J1069" s="35"/>
    </row>
    <row r="1070" spans="9:10" x14ac:dyDescent="0.25">
      <c r="I1070" s="37"/>
      <c r="J1070" s="35"/>
    </row>
    <row r="1071" spans="9:10" x14ac:dyDescent="0.25">
      <c r="I1071" s="37"/>
      <c r="J1071" s="35"/>
    </row>
    <row r="1072" spans="9:10" x14ac:dyDescent="0.25">
      <c r="I1072" s="37"/>
      <c r="J1072" s="35"/>
    </row>
    <row r="1073" spans="9:10" x14ac:dyDescent="0.25">
      <c r="I1073" s="37"/>
      <c r="J1073" s="35"/>
    </row>
    <row r="1074" spans="9:10" x14ac:dyDescent="0.25">
      <c r="I1074" s="37"/>
      <c r="J1074" s="35"/>
    </row>
    <row r="1075" spans="9:10" x14ac:dyDescent="0.25">
      <c r="I1075" s="37"/>
      <c r="J1075" s="35"/>
    </row>
    <row r="1076" spans="9:10" x14ac:dyDescent="0.25">
      <c r="I1076" s="37"/>
      <c r="J1076" s="35"/>
    </row>
    <row r="1077" spans="9:10" x14ac:dyDescent="0.25">
      <c r="I1077" s="37"/>
      <c r="J1077" s="35"/>
    </row>
    <row r="1078" spans="9:10" x14ac:dyDescent="0.25">
      <c r="I1078" s="37"/>
      <c r="J1078" s="35"/>
    </row>
    <row r="1079" spans="9:10" x14ac:dyDescent="0.25">
      <c r="I1079" s="37"/>
      <c r="J1079" s="35"/>
    </row>
    <row r="1080" spans="9:10" x14ac:dyDescent="0.25">
      <c r="I1080" s="37"/>
      <c r="J1080" s="35"/>
    </row>
    <row r="1081" spans="9:10" x14ac:dyDescent="0.25">
      <c r="I1081" s="37"/>
      <c r="J1081" s="35"/>
    </row>
    <row r="1082" spans="9:10" x14ac:dyDescent="0.25">
      <c r="I1082" s="37"/>
      <c r="J1082" s="35"/>
    </row>
    <row r="1083" spans="9:10" x14ac:dyDescent="0.25">
      <c r="I1083" s="37"/>
      <c r="J1083" s="35"/>
    </row>
    <row r="1084" spans="9:10" x14ac:dyDescent="0.25">
      <c r="I1084" s="37"/>
      <c r="J1084" s="35"/>
    </row>
    <row r="1085" spans="9:10" x14ac:dyDescent="0.25">
      <c r="I1085" s="37"/>
      <c r="J1085" s="35"/>
    </row>
    <row r="1086" spans="9:10" x14ac:dyDescent="0.25">
      <c r="I1086" s="37"/>
      <c r="J1086" s="35"/>
    </row>
    <row r="1087" spans="9:10" x14ac:dyDescent="0.25">
      <c r="I1087" s="37"/>
      <c r="J1087" s="35"/>
    </row>
    <row r="1088" spans="9:10" x14ac:dyDescent="0.25">
      <c r="I1088" s="37"/>
      <c r="J1088" s="35"/>
    </row>
    <row r="1089" spans="9:10" x14ac:dyDescent="0.25">
      <c r="I1089" s="37"/>
      <c r="J1089" s="35"/>
    </row>
    <row r="1090" spans="9:10" x14ac:dyDescent="0.25">
      <c r="I1090" s="37"/>
      <c r="J1090" s="35"/>
    </row>
    <row r="1091" spans="9:10" x14ac:dyDescent="0.25">
      <c r="I1091" s="37"/>
      <c r="J1091" s="35"/>
    </row>
    <row r="1092" spans="9:10" x14ac:dyDescent="0.25">
      <c r="I1092" s="37"/>
      <c r="J1092" s="35"/>
    </row>
    <row r="1093" spans="9:10" x14ac:dyDescent="0.25">
      <c r="I1093" s="37"/>
      <c r="J1093" s="35"/>
    </row>
    <row r="1094" spans="9:10" x14ac:dyDescent="0.25">
      <c r="I1094" s="37"/>
      <c r="J1094" s="35"/>
    </row>
    <row r="1095" spans="9:10" x14ac:dyDescent="0.25">
      <c r="I1095" s="37"/>
      <c r="J1095" s="35"/>
    </row>
    <row r="1096" spans="9:10" x14ac:dyDescent="0.25">
      <c r="I1096" s="37"/>
      <c r="J1096" s="35"/>
    </row>
    <row r="1097" spans="9:10" x14ac:dyDescent="0.25">
      <c r="I1097" s="37"/>
      <c r="J1097" s="35"/>
    </row>
    <row r="1098" spans="9:10" x14ac:dyDescent="0.25">
      <c r="I1098" s="37"/>
      <c r="J1098" s="35"/>
    </row>
    <row r="1099" spans="9:10" x14ac:dyDescent="0.25">
      <c r="I1099" s="37"/>
      <c r="J1099" s="35"/>
    </row>
    <row r="1100" spans="9:10" x14ac:dyDescent="0.25">
      <c r="I1100" s="37"/>
      <c r="J1100" s="35"/>
    </row>
    <row r="1101" spans="9:10" x14ac:dyDescent="0.25">
      <c r="I1101" s="37"/>
      <c r="J1101" s="35"/>
    </row>
    <row r="1102" spans="9:10" x14ac:dyDescent="0.25">
      <c r="I1102" s="37"/>
      <c r="J1102" s="35"/>
    </row>
    <row r="1103" spans="9:10" x14ac:dyDescent="0.25">
      <c r="I1103" s="37"/>
      <c r="J1103" s="35"/>
    </row>
    <row r="1104" spans="9:10" x14ac:dyDescent="0.25">
      <c r="I1104" s="37"/>
      <c r="J1104" s="35"/>
    </row>
    <row r="1105" spans="9:10" x14ac:dyDescent="0.25">
      <c r="I1105" s="37"/>
      <c r="J1105" s="35"/>
    </row>
    <row r="1106" spans="9:10" x14ac:dyDescent="0.25">
      <c r="I1106" s="37"/>
      <c r="J1106" s="35"/>
    </row>
    <row r="1107" spans="9:10" x14ac:dyDescent="0.25">
      <c r="I1107" s="37"/>
      <c r="J1107" s="35"/>
    </row>
    <row r="1108" spans="9:10" x14ac:dyDescent="0.25">
      <c r="I1108" s="37"/>
      <c r="J1108" s="35"/>
    </row>
    <row r="1109" spans="9:10" x14ac:dyDescent="0.25">
      <c r="I1109" s="37"/>
      <c r="J1109" s="35"/>
    </row>
    <row r="1110" spans="9:10" x14ac:dyDescent="0.25">
      <c r="I1110" s="37"/>
      <c r="J1110" s="35"/>
    </row>
    <row r="1111" spans="9:10" x14ac:dyDescent="0.25">
      <c r="I1111" s="37"/>
      <c r="J1111" s="35"/>
    </row>
    <row r="1112" spans="9:10" x14ac:dyDescent="0.25">
      <c r="I1112" s="37"/>
      <c r="J1112" s="35"/>
    </row>
    <row r="1113" spans="9:10" x14ac:dyDescent="0.25">
      <c r="I1113" s="37"/>
      <c r="J1113" s="35"/>
    </row>
    <row r="1114" spans="9:10" x14ac:dyDescent="0.25">
      <c r="I1114" s="37"/>
      <c r="J1114" s="35"/>
    </row>
    <row r="1115" spans="9:10" x14ac:dyDescent="0.25">
      <c r="I1115" s="37"/>
      <c r="J1115" s="35"/>
    </row>
    <row r="1116" spans="9:10" x14ac:dyDescent="0.25">
      <c r="I1116" s="37"/>
      <c r="J1116" s="35"/>
    </row>
    <row r="1117" spans="9:10" x14ac:dyDescent="0.25">
      <c r="I1117" s="37"/>
      <c r="J1117" s="35"/>
    </row>
    <row r="1118" spans="9:10" x14ac:dyDescent="0.25">
      <c r="I1118" s="37"/>
      <c r="J1118" s="35"/>
    </row>
    <row r="1119" spans="9:10" x14ac:dyDescent="0.25">
      <c r="I1119" s="37"/>
      <c r="J1119" s="35"/>
    </row>
    <row r="1120" spans="9:10" x14ac:dyDescent="0.25">
      <c r="I1120" s="37"/>
      <c r="J1120" s="35"/>
    </row>
    <row r="1121" spans="9:10" x14ac:dyDescent="0.25">
      <c r="I1121" s="37"/>
      <c r="J1121" s="35"/>
    </row>
    <row r="1122" spans="9:10" x14ac:dyDescent="0.25">
      <c r="I1122" s="37"/>
      <c r="J1122" s="35"/>
    </row>
    <row r="1123" spans="9:10" x14ac:dyDescent="0.25">
      <c r="I1123" s="37"/>
      <c r="J1123" s="35"/>
    </row>
    <row r="1124" spans="9:10" x14ac:dyDescent="0.25">
      <c r="I1124" s="37"/>
      <c r="J1124" s="35"/>
    </row>
    <row r="1125" spans="9:10" x14ac:dyDescent="0.25">
      <c r="I1125" s="37"/>
      <c r="J1125" s="35"/>
    </row>
    <row r="1126" spans="9:10" x14ac:dyDescent="0.25">
      <c r="I1126" s="37"/>
      <c r="J1126" s="35"/>
    </row>
    <row r="1127" spans="9:10" x14ac:dyDescent="0.25">
      <c r="I1127" s="37"/>
      <c r="J1127" s="35"/>
    </row>
    <row r="1128" spans="9:10" x14ac:dyDescent="0.25">
      <c r="I1128" s="37"/>
      <c r="J1128" s="35"/>
    </row>
    <row r="1129" spans="9:10" x14ac:dyDescent="0.25">
      <c r="I1129" s="37"/>
      <c r="J1129" s="35"/>
    </row>
    <row r="1130" spans="9:10" x14ac:dyDescent="0.25">
      <c r="I1130" s="37"/>
      <c r="J1130" s="35"/>
    </row>
    <row r="1131" spans="9:10" x14ac:dyDescent="0.25">
      <c r="I1131" s="37"/>
      <c r="J1131" s="35"/>
    </row>
    <row r="1132" spans="9:10" x14ac:dyDescent="0.25">
      <c r="I1132" s="37"/>
      <c r="J1132" s="35"/>
    </row>
    <row r="1133" spans="9:10" x14ac:dyDescent="0.25">
      <c r="I1133" s="37"/>
      <c r="J1133" s="35"/>
    </row>
    <row r="1134" spans="9:10" x14ac:dyDescent="0.25">
      <c r="I1134" s="37"/>
      <c r="J1134" s="35"/>
    </row>
    <row r="1135" spans="9:10" x14ac:dyDescent="0.25">
      <c r="I1135" s="37"/>
      <c r="J1135" s="35"/>
    </row>
    <row r="1136" spans="9:10" x14ac:dyDescent="0.25">
      <c r="I1136" s="37"/>
      <c r="J1136" s="35"/>
    </row>
    <row r="1137" spans="9:10" x14ac:dyDescent="0.25">
      <c r="I1137" s="37"/>
      <c r="J1137" s="35"/>
    </row>
    <row r="1138" spans="9:10" x14ac:dyDescent="0.25">
      <c r="I1138" s="37"/>
      <c r="J1138" s="35"/>
    </row>
    <row r="1139" spans="9:10" x14ac:dyDescent="0.25">
      <c r="I1139" s="37"/>
      <c r="J1139" s="35"/>
    </row>
    <row r="1140" spans="9:10" x14ac:dyDescent="0.25">
      <c r="I1140" s="37"/>
      <c r="J1140" s="35"/>
    </row>
    <row r="1141" spans="9:10" x14ac:dyDescent="0.25">
      <c r="I1141" s="37"/>
      <c r="J1141" s="35"/>
    </row>
    <row r="1142" spans="9:10" x14ac:dyDescent="0.25">
      <c r="I1142" s="37"/>
      <c r="J1142" s="35"/>
    </row>
    <row r="1143" spans="9:10" x14ac:dyDescent="0.25">
      <c r="I1143" s="37"/>
      <c r="J1143" s="35"/>
    </row>
    <row r="1144" spans="9:10" x14ac:dyDescent="0.25">
      <c r="I1144" s="37"/>
      <c r="J1144" s="35"/>
    </row>
    <row r="1145" spans="9:10" x14ac:dyDescent="0.25">
      <c r="I1145" s="37"/>
      <c r="J1145" s="35"/>
    </row>
    <row r="1146" spans="9:10" x14ac:dyDescent="0.25">
      <c r="I1146" s="37"/>
      <c r="J1146" s="35"/>
    </row>
    <row r="1147" spans="9:10" x14ac:dyDescent="0.25">
      <c r="I1147" s="37"/>
      <c r="J1147" s="35"/>
    </row>
    <row r="1148" spans="9:10" x14ac:dyDescent="0.25">
      <c r="I1148" s="37"/>
      <c r="J1148" s="35"/>
    </row>
    <row r="1149" spans="9:10" x14ac:dyDescent="0.25">
      <c r="I1149" s="37"/>
      <c r="J1149" s="35"/>
    </row>
    <row r="1150" spans="9:10" x14ac:dyDescent="0.25">
      <c r="I1150" s="37"/>
      <c r="J1150" s="35"/>
    </row>
    <row r="1151" spans="9:10" x14ac:dyDescent="0.25">
      <c r="I1151" s="37"/>
      <c r="J1151" s="35"/>
    </row>
    <row r="1152" spans="9:10" x14ac:dyDescent="0.25">
      <c r="I1152" s="37"/>
      <c r="J1152" s="35"/>
    </row>
    <row r="1153" spans="9:10" x14ac:dyDescent="0.25">
      <c r="I1153" s="37"/>
      <c r="J1153" s="35"/>
    </row>
    <row r="1154" spans="9:10" x14ac:dyDescent="0.25">
      <c r="I1154" s="37"/>
      <c r="J1154" s="35"/>
    </row>
    <row r="1155" spans="9:10" x14ac:dyDescent="0.25">
      <c r="I1155" s="37"/>
      <c r="J1155" s="35"/>
    </row>
    <row r="1156" spans="9:10" x14ac:dyDescent="0.25">
      <c r="I1156" s="37"/>
      <c r="J1156" s="35"/>
    </row>
    <row r="1157" spans="9:10" x14ac:dyDescent="0.25">
      <c r="I1157" s="37"/>
      <c r="J1157" s="35"/>
    </row>
    <row r="1158" spans="9:10" x14ac:dyDescent="0.25">
      <c r="I1158" s="37"/>
      <c r="J1158" s="35"/>
    </row>
    <row r="1159" spans="9:10" x14ac:dyDescent="0.25">
      <c r="I1159" s="37"/>
      <c r="J1159" s="35"/>
    </row>
    <row r="1160" spans="9:10" x14ac:dyDescent="0.25">
      <c r="I1160" s="37"/>
      <c r="J1160" s="35"/>
    </row>
    <row r="1161" spans="9:10" x14ac:dyDescent="0.25">
      <c r="I1161" s="37"/>
      <c r="J1161" s="35"/>
    </row>
    <row r="1162" spans="9:10" x14ac:dyDescent="0.25">
      <c r="I1162" s="37"/>
      <c r="J1162" s="35"/>
    </row>
    <row r="1163" spans="9:10" x14ac:dyDescent="0.25">
      <c r="I1163" s="37"/>
      <c r="J1163" s="35"/>
    </row>
    <row r="1164" spans="9:10" x14ac:dyDescent="0.25">
      <c r="I1164" s="37"/>
      <c r="J1164" s="35"/>
    </row>
    <row r="1165" spans="9:10" x14ac:dyDescent="0.25">
      <c r="I1165" s="37"/>
      <c r="J1165" s="35"/>
    </row>
    <row r="1166" spans="9:10" x14ac:dyDescent="0.25">
      <c r="I1166" s="37"/>
      <c r="J1166" s="35"/>
    </row>
    <row r="1167" spans="9:10" x14ac:dyDescent="0.25">
      <c r="I1167" s="37"/>
      <c r="J1167" s="35"/>
    </row>
    <row r="1168" spans="9:10" x14ac:dyDescent="0.25">
      <c r="I1168" s="37"/>
      <c r="J1168" s="35"/>
    </row>
    <row r="1169" spans="9:10" x14ac:dyDescent="0.25">
      <c r="I1169" s="37"/>
      <c r="J1169" s="35"/>
    </row>
    <row r="1170" spans="9:10" x14ac:dyDescent="0.25">
      <c r="I1170" s="37"/>
      <c r="J1170" s="35"/>
    </row>
    <row r="1171" spans="9:10" x14ac:dyDescent="0.25">
      <c r="I1171" s="37"/>
      <c r="J1171" s="35"/>
    </row>
    <row r="1172" spans="9:10" x14ac:dyDescent="0.25">
      <c r="I1172" s="37"/>
      <c r="J1172" s="35"/>
    </row>
    <row r="1173" spans="9:10" x14ac:dyDescent="0.25">
      <c r="I1173" s="37"/>
      <c r="J1173" s="35"/>
    </row>
    <row r="1174" spans="9:10" x14ac:dyDescent="0.25">
      <c r="I1174" s="37"/>
      <c r="J1174" s="35"/>
    </row>
    <row r="1175" spans="9:10" x14ac:dyDescent="0.25">
      <c r="I1175" s="37"/>
      <c r="J1175" s="35"/>
    </row>
    <row r="1176" spans="9:10" x14ac:dyDescent="0.25">
      <c r="I1176" s="37"/>
      <c r="J1176" s="35"/>
    </row>
    <row r="1177" spans="9:10" x14ac:dyDescent="0.25">
      <c r="I1177" s="37"/>
      <c r="J1177" s="35"/>
    </row>
    <row r="1178" spans="9:10" x14ac:dyDescent="0.25">
      <c r="I1178" s="37"/>
      <c r="J1178" s="35"/>
    </row>
    <row r="1179" spans="9:10" x14ac:dyDescent="0.25">
      <c r="I1179" s="37"/>
      <c r="J1179" s="35"/>
    </row>
    <row r="1180" spans="9:10" x14ac:dyDescent="0.25">
      <c r="I1180" s="37"/>
      <c r="J1180" s="35"/>
    </row>
    <row r="1181" spans="9:10" x14ac:dyDescent="0.25">
      <c r="I1181" s="37"/>
      <c r="J1181" s="35"/>
    </row>
    <row r="1182" spans="9:10" x14ac:dyDescent="0.25">
      <c r="I1182" s="37"/>
      <c r="J1182" s="35"/>
    </row>
    <row r="1183" spans="9:10" x14ac:dyDescent="0.25">
      <c r="I1183" s="37"/>
      <c r="J1183" s="35"/>
    </row>
    <row r="1184" spans="9:10" x14ac:dyDescent="0.25">
      <c r="I1184" s="37"/>
      <c r="J1184" s="35"/>
    </row>
    <row r="1185" spans="9:10" x14ac:dyDescent="0.25">
      <c r="I1185" s="37"/>
      <c r="J1185" s="35"/>
    </row>
    <row r="1186" spans="9:10" x14ac:dyDescent="0.25">
      <c r="I1186" s="37"/>
      <c r="J1186" s="35"/>
    </row>
    <row r="1187" spans="9:10" x14ac:dyDescent="0.25">
      <c r="I1187" s="37"/>
      <c r="J1187" s="35"/>
    </row>
    <row r="1188" spans="9:10" x14ac:dyDescent="0.25">
      <c r="I1188" s="37"/>
      <c r="J1188" s="35"/>
    </row>
    <row r="1189" spans="9:10" x14ac:dyDescent="0.25">
      <c r="I1189" s="37"/>
      <c r="J1189" s="35"/>
    </row>
    <row r="1190" spans="9:10" x14ac:dyDescent="0.25">
      <c r="I1190" s="37"/>
      <c r="J1190" s="35"/>
    </row>
    <row r="1191" spans="9:10" x14ac:dyDescent="0.25">
      <c r="I1191" s="37"/>
      <c r="J1191" s="35"/>
    </row>
    <row r="1192" spans="9:10" x14ac:dyDescent="0.25">
      <c r="I1192" s="37"/>
      <c r="J1192" s="35"/>
    </row>
    <row r="1193" spans="9:10" x14ac:dyDescent="0.25">
      <c r="I1193" s="37"/>
      <c r="J1193" s="35"/>
    </row>
    <row r="1194" spans="9:10" x14ac:dyDescent="0.25">
      <c r="I1194" s="37"/>
      <c r="J1194" s="35"/>
    </row>
    <row r="1195" spans="9:10" x14ac:dyDescent="0.25">
      <c r="I1195" s="37"/>
      <c r="J1195" s="35"/>
    </row>
    <row r="1196" spans="9:10" x14ac:dyDescent="0.25">
      <c r="I1196" s="37"/>
      <c r="J1196" s="35"/>
    </row>
    <row r="1197" spans="9:10" x14ac:dyDescent="0.25">
      <c r="I1197" s="37"/>
      <c r="J1197" s="35"/>
    </row>
    <row r="1198" spans="9:10" x14ac:dyDescent="0.25">
      <c r="I1198" s="37"/>
      <c r="J1198" s="35"/>
    </row>
    <row r="1199" spans="9:10" x14ac:dyDescent="0.25">
      <c r="I1199" s="37"/>
      <c r="J1199" s="35"/>
    </row>
    <row r="1200" spans="9:10" x14ac:dyDescent="0.25">
      <c r="I1200" s="37"/>
      <c r="J1200" s="35"/>
    </row>
    <row r="1201" spans="9:10" x14ac:dyDescent="0.25">
      <c r="I1201" s="37"/>
      <c r="J1201" s="35"/>
    </row>
    <row r="1202" spans="9:10" x14ac:dyDescent="0.25">
      <c r="I1202" s="37"/>
      <c r="J1202" s="35"/>
    </row>
    <row r="1203" spans="9:10" x14ac:dyDescent="0.25">
      <c r="I1203" s="37"/>
      <c r="J1203" s="35"/>
    </row>
    <row r="1204" spans="9:10" x14ac:dyDescent="0.25">
      <c r="I1204" s="37"/>
      <c r="J1204" s="35"/>
    </row>
    <row r="1205" spans="9:10" x14ac:dyDescent="0.25">
      <c r="I1205" s="37"/>
      <c r="J1205" s="35"/>
    </row>
    <row r="1206" spans="9:10" x14ac:dyDescent="0.25">
      <c r="I1206" s="37"/>
      <c r="J1206" s="35"/>
    </row>
    <row r="1207" spans="9:10" x14ac:dyDescent="0.25">
      <c r="I1207" s="37"/>
      <c r="J1207" s="35"/>
    </row>
    <row r="1208" spans="9:10" x14ac:dyDescent="0.25">
      <c r="I1208" s="37"/>
      <c r="J1208" s="35"/>
    </row>
    <row r="1209" spans="9:10" x14ac:dyDescent="0.25">
      <c r="I1209" s="37"/>
      <c r="J1209" s="35"/>
    </row>
    <row r="1210" spans="9:10" x14ac:dyDescent="0.25">
      <c r="I1210" s="37"/>
      <c r="J1210" s="35"/>
    </row>
    <row r="1211" spans="9:10" x14ac:dyDescent="0.25">
      <c r="I1211" s="37"/>
      <c r="J1211" s="35"/>
    </row>
    <row r="1212" spans="9:10" x14ac:dyDescent="0.25">
      <c r="I1212" s="37"/>
      <c r="J1212" s="35"/>
    </row>
    <row r="1213" spans="9:10" x14ac:dyDescent="0.25">
      <c r="I1213" s="37"/>
      <c r="J1213" s="35"/>
    </row>
    <row r="1214" spans="9:10" x14ac:dyDescent="0.25">
      <c r="I1214" s="37"/>
      <c r="J1214" s="35"/>
    </row>
    <row r="1215" spans="9:10" x14ac:dyDescent="0.25">
      <c r="I1215" s="37"/>
      <c r="J1215" s="35"/>
    </row>
    <row r="1216" spans="9:10" x14ac:dyDescent="0.25">
      <c r="I1216" s="37"/>
      <c r="J1216" s="35"/>
    </row>
    <row r="1217" spans="9:10" x14ac:dyDescent="0.25">
      <c r="I1217" s="37"/>
      <c r="J1217" s="35"/>
    </row>
    <row r="1218" spans="9:10" x14ac:dyDescent="0.25">
      <c r="I1218" s="37"/>
      <c r="J1218" s="35"/>
    </row>
    <row r="1219" spans="9:10" x14ac:dyDescent="0.25">
      <c r="I1219" s="37"/>
      <c r="J1219" s="35"/>
    </row>
    <row r="1220" spans="9:10" x14ac:dyDescent="0.25">
      <c r="I1220" s="37"/>
      <c r="J1220" s="35"/>
    </row>
    <row r="1221" spans="9:10" x14ac:dyDescent="0.25">
      <c r="I1221" s="37"/>
      <c r="J1221" s="35"/>
    </row>
    <row r="1222" spans="9:10" x14ac:dyDescent="0.25">
      <c r="I1222" s="37"/>
      <c r="J1222" s="35"/>
    </row>
    <row r="1223" spans="9:10" x14ac:dyDescent="0.25">
      <c r="I1223" s="37"/>
      <c r="J1223" s="35"/>
    </row>
    <row r="1224" spans="9:10" x14ac:dyDescent="0.25">
      <c r="I1224" s="37"/>
      <c r="J1224" s="35"/>
    </row>
    <row r="1225" spans="9:10" x14ac:dyDescent="0.25">
      <c r="I1225" s="37"/>
      <c r="J1225" s="35"/>
    </row>
    <row r="1226" spans="9:10" x14ac:dyDescent="0.25">
      <c r="I1226" s="37"/>
      <c r="J1226" s="35"/>
    </row>
    <row r="1227" spans="9:10" x14ac:dyDescent="0.25">
      <c r="I1227" s="37"/>
      <c r="J1227" s="35"/>
    </row>
    <row r="1228" spans="9:10" x14ac:dyDescent="0.25">
      <c r="I1228" s="37"/>
      <c r="J1228" s="35"/>
    </row>
    <row r="1229" spans="9:10" x14ac:dyDescent="0.25">
      <c r="I1229" s="37"/>
      <c r="J1229" s="35"/>
    </row>
    <row r="1230" spans="9:10" x14ac:dyDescent="0.25">
      <c r="I1230" s="37"/>
      <c r="J1230" s="35"/>
    </row>
    <row r="1231" spans="9:10" x14ac:dyDescent="0.25">
      <c r="I1231" s="37"/>
      <c r="J1231" s="35"/>
    </row>
    <row r="1232" spans="9:10" x14ac:dyDescent="0.25">
      <c r="I1232" s="37"/>
      <c r="J1232" s="35"/>
    </row>
    <row r="1233" spans="9:10" x14ac:dyDescent="0.25">
      <c r="I1233" s="37"/>
      <c r="J1233" s="35"/>
    </row>
    <row r="1234" spans="9:10" x14ac:dyDescent="0.25">
      <c r="I1234" s="37"/>
      <c r="J1234" s="35"/>
    </row>
    <row r="1235" spans="9:10" x14ac:dyDescent="0.25">
      <c r="I1235" s="37"/>
      <c r="J1235" s="35"/>
    </row>
    <row r="1236" spans="9:10" x14ac:dyDescent="0.25">
      <c r="I1236" s="37"/>
      <c r="J1236" s="35"/>
    </row>
    <row r="1237" spans="9:10" x14ac:dyDescent="0.25">
      <c r="I1237" s="37"/>
      <c r="J1237" s="35"/>
    </row>
    <row r="1238" spans="9:10" x14ac:dyDescent="0.25">
      <c r="I1238" s="37"/>
      <c r="J1238" s="35"/>
    </row>
    <row r="1239" spans="9:10" x14ac:dyDescent="0.25">
      <c r="I1239" s="37"/>
      <c r="J1239" s="35"/>
    </row>
    <row r="1240" spans="9:10" x14ac:dyDescent="0.25">
      <c r="I1240" s="37"/>
      <c r="J1240" s="35"/>
    </row>
    <row r="1241" spans="9:10" x14ac:dyDescent="0.25">
      <c r="I1241" s="37"/>
      <c r="J1241" s="35"/>
    </row>
    <row r="1242" spans="9:10" x14ac:dyDescent="0.25">
      <c r="I1242" s="37"/>
      <c r="J1242" s="35"/>
    </row>
    <row r="1243" spans="9:10" x14ac:dyDescent="0.25">
      <c r="I1243" s="37"/>
      <c r="J1243" s="35"/>
    </row>
    <row r="1244" spans="9:10" x14ac:dyDescent="0.25">
      <c r="I1244" s="37"/>
      <c r="J1244" s="35"/>
    </row>
    <row r="1245" spans="9:10" x14ac:dyDescent="0.25">
      <c r="I1245" s="37"/>
      <c r="J1245" s="35"/>
    </row>
    <row r="1246" spans="9:10" x14ac:dyDescent="0.25">
      <c r="I1246" s="37"/>
      <c r="J1246" s="35"/>
    </row>
    <row r="1247" spans="9:10" x14ac:dyDescent="0.25">
      <c r="I1247" s="37"/>
      <c r="J1247" s="35"/>
    </row>
    <row r="1248" spans="9:10" x14ac:dyDescent="0.25">
      <c r="I1248" s="37"/>
      <c r="J1248" s="35"/>
    </row>
    <row r="1249" spans="9:10" x14ac:dyDescent="0.25">
      <c r="I1249" s="37"/>
      <c r="J1249" s="35"/>
    </row>
    <row r="1250" spans="9:10" x14ac:dyDescent="0.25">
      <c r="I1250" s="37"/>
      <c r="J1250" s="35"/>
    </row>
    <row r="1251" spans="9:10" x14ac:dyDescent="0.25">
      <c r="I1251" s="37"/>
      <c r="J1251" s="35"/>
    </row>
    <row r="1252" spans="9:10" x14ac:dyDescent="0.25">
      <c r="I1252" s="37"/>
      <c r="J1252" s="35"/>
    </row>
    <row r="1253" spans="9:10" x14ac:dyDescent="0.25">
      <c r="I1253" s="37"/>
      <c r="J1253" s="35"/>
    </row>
    <row r="1254" spans="9:10" x14ac:dyDescent="0.25">
      <c r="I1254" s="37"/>
      <c r="J1254" s="35"/>
    </row>
    <row r="1255" spans="9:10" x14ac:dyDescent="0.25">
      <c r="I1255" s="37"/>
      <c r="J1255" s="35"/>
    </row>
    <row r="1256" spans="9:10" x14ac:dyDescent="0.25">
      <c r="I1256" s="37"/>
      <c r="J1256" s="35"/>
    </row>
    <row r="1257" spans="9:10" x14ac:dyDescent="0.25">
      <c r="I1257" s="37"/>
      <c r="J1257" s="35"/>
    </row>
    <row r="1258" spans="9:10" x14ac:dyDescent="0.25">
      <c r="I1258" s="37"/>
      <c r="J1258" s="35"/>
    </row>
    <row r="1259" spans="9:10" x14ac:dyDescent="0.25">
      <c r="I1259" s="37"/>
      <c r="J1259" s="35"/>
    </row>
    <row r="1260" spans="9:10" x14ac:dyDescent="0.25">
      <c r="I1260" s="37"/>
      <c r="J1260" s="35"/>
    </row>
    <row r="1261" spans="9:10" x14ac:dyDescent="0.25">
      <c r="I1261" s="37"/>
      <c r="J1261" s="35"/>
    </row>
    <row r="1262" spans="9:10" x14ac:dyDescent="0.25">
      <c r="I1262" s="37"/>
      <c r="J1262" s="35"/>
    </row>
    <row r="1263" spans="9:10" x14ac:dyDescent="0.25">
      <c r="I1263" s="37"/>
      <c r="J1263" s="35"/>
    </row>
    <row r="1264" spans="9:10" x14ac:dyDescent="0.25">
      <c r="I1264" s="37"/>
      <c r="J1264" s="35"/>
    </row>
    <row r="1265" spans="9:10" x14ac:dyDescent="0.25">
      <c r="I1265" s="37"/>
      <c r="J1265" s="35"/>
    </row>
    <row r="1266" spans="9:10" x14ac:dyDescent="0.25">
      <c r="I1266" s="37"/>
      <c r="J1266" s="35"/>
    </row>
    <row r="1267" spans="9:10" x14ac:dyDescent="0.25">
      <c r="I1267" s="37"/>
      <c r="J1267" s="35"/>
    </row>
    <row r="1268" spans="9:10" x14ac:dyDescent="0.25">
      <c r="I1268" s="37"/>
      <c r="J1268" s="35"/>
    </row>
    <row r="1269" spans="9:10" x14ac:dyDescent="0.25">
      <c r="I1269" s="37"/>
      <c r="J1269" s="35"/>
    </row>
    <row r="1270" spans="9:10" x14ac:dyDescent="0.25">
      <c r="I1270" s="37"/>
      <c r="J1270" s="35"/>
    </row>
    <row r="1271" spans="9:10" x14ac:dyDescent="0.25">
      <c r="I1271" s="37"/>
      <c r="J1271" s="35"/>
    </row>
    <row r="1272" spans="9:10" x14ac:dyDescent="0.25">
      <c r="I1272" s="37"/>
      <c r="J1272" s="35"/>
    </row>
    <row r="1273" spans="9:10" x14ac:dyDescent="0.25">
      <c r="I1273" s="37"/>
      <c r="J1273" s="35"/>
    </row>
    <row r="1274" spans="9:10" x14ac:dyDescent="0.25">
      <c r="I1274" s="37"/>
      <c r="J1274" s="35"/>
    </row>
    <row r="1275" spans="9:10" x14ac:dyDescent="0.25">
      <c r="I1275" s="37"/>
      <c r="J1275" s="35"/>
    </row>
    <row r="1276" spans="9:10" x14ac:dyDescent="0.25">
      <c r="I1276" s="37"/>
      <c r="J1276" s="35"/>
    </row>
    <row r="1277" spans="9:10" x14ac:dyDescent="0.25">
      <c r="I1277" s="37"/>
      <c r="J1277" s="35"/>
    </row>
    <row r="1278" spans="9:10" x14ac:dyDescent="0.25">
      <c r="I1278" s="37"/>
      <c r="J1278" s="35"/>
    </row>
    <row r="1279" spans="9:10" x14ac:dyDescent="0.25">
      <c r="I1279" s="37"/>
      <c r="J1279" s="35"/>
    </row>
    <row r="1280" spans="9:10" x14ac:dyDescent="0.25">
      <c r="I1280" s="37"/>
      <c r="J1280" s="35"/>
    </row>
    <row r="1281" spans="9:10" x14ac:dyDescent="0.25">
      <c r="I1281" s="37"/>
      <c r="J1281" s="35"/>
    </row>
    <row r="1282" spans="9:10" x14ac:dyDescent="0.25">
      <c r="I1282" s="37"/>
      <c r="J1282" s="35"/>
    </row>
    <row r="1283" spans="9:10" x14ac:dyDescent="0.25">
      <c r="I1283" s="37"/>
      <c r="J1283" s="35"/>
    </row>
    <row r="1284" spans="9:10" x14ac:dyDescent="0.25">
      <c r="I1284" s="37"/>
      <c r="J1284" s="35"/>
    </row>
    <row r="1285" spans="9:10" x14ac:dyDescent="0.25">
      <c r="I1285" s="37"/>
      <c r="J1285" s="35"/>
    </row>
    <row r="1286" spans="9:10" x14ac:dyDescent="0.25">
      <c r="I1286" s="37"/>
      <c r="J1286" s="35"/>
    </row>
    <row r="1287" spans="9:10" x14ac:dyDescent="0.25">
      <c r="I1287" s="37"/>
      <c r="J1287" s="35"/>
    </row>
    <row r="1288" spans="9:10" x14ac:dyDescent="0.25">
      <c r="I1288" s="37"/>
      <c r="J1288" s="35"/>
    </row>
    <row r="1289" spans="9:10" x14ac:dyDescent="0.25">
      <c r="I1289" s="37"/>
      <c r="J1289" s="35"/>
    </row>
    <row r="1290" spans="9:10" x14ac:dyDescent="0.25">
      <c r="I1290" s="37"/>
      <c r="J1290" s="35"/>
    </row>
    <row r="1291" spans="9:10" x14ac:dyDescent="0.25">
      <c r="I1291" s="37"/>
      <c r="J1291" s="35"/>
    </row>
    <row r="1292" spans="9:10" x14ac:dyDescent="0.25">
      <c r="I1292" s="37"/>
      <c r="J1292" s="35"/>
    </row>
    <row r="1293" spans="9:10" x14ac:dyDescent="0.25">
      <c r="I1293" s="37"/>
      <c r="J1293" s="35"/>
    </row>
    <row r="1294" spans="9:10" x14ac:dyDescent="0.25">
      <c r="I1294" s="37"/>
      <c r="J1294" s="35"/>
    </row>
    <row r="1295" spans="9:10" x14ac:dyDescent="0.25">
      <c r="I1295" s="37"/>
      <c r="J1295" s="35"/>
    </row>
    <row r="1296" spans="9:10" x14ac:dyDescent="0.25">
      <c r="I1296" s="37"/>
      <c r="J1296" s="35"/>
    </row>
    <row r="1297" spans="9:10" x14ac:dyDescent="0.25">
      <c r="I1297" s="37"/>
      <c r="J1297" s="35"/>
    </row>
    <row r="1298" spans="9:10" x14ac:dyDescent="0.25">
      <c r="I1298" s="37"/>
      <c r="J1298" s="35"/>
    </row>
    <row r="1299" spans="9:10" x14ac:dyDescent="0.25">
      <c r="I1299" s="37"/>
      <c r="J1299" s="35"/>
    </row>
    <row r="1300" spans="9:10" x14ac:dyDescent="0.25">
      <c r="I1300" s="37"/>
      <c r="J1300" s="35"/>
    </row>
    <row r="1301" spans="9:10" x14ac:dyDescent="0.25">
      <c r="I1301" s="37"/>
      <c r="J1301" s="35"/>
    </row>
    <row r="1302" spans="9:10" x14ac:dyDescent="0.25">
      <c r="I1302" s="37"/>
      <c r="J1302" s="35"/>
    </row>
    <row r="1303" spans="9:10" x14ac:dyDescent="0.25">
      <c r="I1303" s="37"/>
      <c r="J1303" s="35"/>
    </row>
    <row r="1304" spans="9:10" x14ac:dyDescent="0.25">
      <c r="I1304" s="37"/>
      <c r="J1304" s="35"/>
    </row>
    <row r="1305" spans="9:10" x14ac:dyDescent="0.25">
      <c r="I1305" s="37"/>
      <c r="J1305" s="35"/>
    </row>
    <row r="1306" spans="9:10" x14ac:dyDescent="0.25">
      <c r="I1306" s="37"/>
      <c r="J1306" s="35"/>
    </row>
    <row r="1307" spans="9:10" x14ac:dyDescent="0.25">
      <c r="I1307" s="37"/>
      <c r="J1307" s="35"/>
    </row>
    <row r="1308" spans="9:10" x14ac:dyDescent="0.25">
      <c r="I1308" s="37"/>
      <c r="J1308" s="35"/>
    </row>
    <row r="1309" spans="9:10" x14ac:dyDescent="0.25">
      <c r="I1309" s="37"/>
      <c r="J1309" s="35"/>
    </row>
    <row r="1310" spans="9:10" x14ac:dyDescent="0.25">
      <c r="I1310" s="37"/>
      <c r="J1310" s="35"/>
    </row>
    <row r="1311" spans="9:10" x14ac:dyDescent="0.25">
      <c r="I1311" s="37"/>
      <c r="J1311" s="35"/>
    </row>
    <row r="1312" spans="9:10" x14ac:dyDescent="0.25">
      <c r="I1312" s="37"/>
      <c r="J1312" s="35"/>
    </row>
    <row r="1313" spans="9:10" x14ac:dyDescent="0.25">
      <c r="I1313" s="37"/>
      <c r="J1313" s="35"/>
    </row>
    <row r="1314" spans="9:10" x14ac:dyDescent="0.25">
      <c r="I1314" s="37"/>
      <c r="J1314" s="35"/>
    </row>
    <row r="1315" spans="9:10" x14ac:dyDescent="0.25">
      <c r="I1315" s="37"/>
      <c r="J1315" s="35"/>
    </row>
    <row r="1316" spans="9:10" x14ac:dyDescent="0.25">
      <c r="I1316" s="37"/>
      <c r="J1316" s="35"/>
    </row>
    <row r="1317" spans="9:10" x14ac:dyDescent="0.25">
      <c r="I1317" s="37"/>
      <c r="J1317" s="35"/>
    </row>
    <row r="1318" spans="9:10" x14ac:dyDescent="0.25">
      <c r="I1318" s="37"/>
      <c r="J1318" s="35"/>
    </row>
    <row r="1319" spans="9:10" x14ac:dyDescent="0.25">
      <c r="I1319" s="37"/>
      <c r="J1319" s="35"/>
    </row>
    <row r="1320" spans="9:10" x14ac:dyDescent="0.25">
      <c r="I1320" s="37"/>
      <c r="J1320" s="35"/>
    </row>
    <row r="1321" spans="9:10" x14ac:dyDescent="0.25">
      <c r="I1321" s="37"/>
      <c r="J1321" s="35"/>
    </row>
    <row r="1322" spans="9:10" x14ac:dyDescent="0.25">
      <c r="I1322" s="37"/>
      <c r="J1322" s="35"/>
    </row>
    <row r="1323" spans="9:10" x14ac:dyDescent="0.25">
      <c r="I1323" s="37"/>
      <c r="J1323" s="35"/>
    </row>
    <row r="1324" spans="9:10" x14ac:dyDescent="0.25">
      <c r="I1324" s="37"/>
      <c r="J1324" s="35"/>
    </row>
    <row r="1325" spans="9:10" x14ac:dyDescent="0.25">
      <c r="I1325" s="37"/>
      <c r="J1325" s="35"/>
    </row>
    <row r="1326" spans="9:10" x14ac:dyDescent="0.25">
      <c r="I1326" s="37"/>
      <c r="J1326" s="35"/>
    </row>
    <row r="1327" spans="9:10" x14ac:dyDescent="0.25">
      <c r="I1327" s="37"/>
      <c r="J1327" s="35"/>
    </row>
    <row r="1328" spans="9:10" x14ac:dyDescent="0.25">
      <c r="I1328" s="37"/>
      <c r="J1328" s="35"/>
    </row>
    <row r="1329" spans="9:10" x14ac:dyDescent="0.25">
      <c r="I1329" s="37"/>
      <c r="J1329" s="35"/>
    </row>
    <row r="1330" spans="9:10" x14ac:dyDescent="0.25">
      <c r="I1330" s="37"/>
      <c r="J1330" s="35"/>
    </row>
    <row r="1331" spans="9:10" x14ac:dyDescent="0.25">
      <c r="I1331" s="37"/>
      <c r="J1331" s="35"/>
    </row>
    <row r="1332" spans="9:10" x14ac:dyDescent="0.25">
      <c r="I1332" s="37"/>
      <c r="J1332" s="35"/>
    </row>
    <row r="1333" spans="9:10" x14ac:dyDescent="0.25">
      <c r="I1333" s="37"/>
      <c r="J1333" s="35"/>
    </row>
    <row r="1334" spans="9:10" x14ac:dyDescent="0.25">
      <c r="I1334" s="37"/>
      <c r="J1334" s="35"/>
    </row>
  </sheetData>
  <mergeCells count="18">
    <mergeCell ref="T29:U29"/>
    <mergeCell ref="J16:K16"/>
    <mergeCell ref="L16:M16"/>
    <mergeCell ref="N16:O16"/>
    <mergeCell ref="P16:Q16"/>
    <mergeCell ref="R16:S16"/>
    <mergeCell ref="T16:U16"/>
    <mergeCell ref="J29:K29"/>
    <mergeCell ref="L29:M29"/>
    <mergeCell ref="N29:O29"/>
    <mergeCell ref="P29:Q29"/>
    <mergeCell ref="R29:S29"/>
    <mergeCell ref="T2:U2"/>
    <mergeCell ref="J2:K2"/>
    <mergeCell ref="L2:M2"/>
    <mergeCell ref="N2:O2"/>
    <mergeCell ref="P2:Q2"/>
    <mergeCell ref="R2:S2"/>
  </mergeCells>
  <conditionalFormatting sqref="AE3:AI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:AI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0:AI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4EF69-8567-483D-8ACE-8EC5A32D27C4}">
  <dimension ref="A1:AQ1334"/>
  <sheetViews>
    <sheetView showGridLines="0" topLeftCell="A5" zoomScaleNormal="100" workbookViewId="0">
      <selection activeCell="AF20" sqref="AF20"/>
    </sheetView>
  </sheetViews>
  <sheetFormatPr defaultRowHeight="15" outlineLevelRow="1" outlineLevelCol="1" x14ac:dyDescent="0.25"/>
  <cols>
    <col min="1" max="1" width="2.5703125" customWidth="1"/>
    <col min="2" max="2" width="9.140625" customWidth="1"/>
    <col min="3" max="3" width="16.28515625" bestFit="1" customWidth="1"/>
    <col min="4" max="4" width="15.28515625" bestFit="1" customWidth="1"/>
    <col min="5" max="5" width="2.5703125" customWidth="1"/>
    <col min="6" max="6" width="18.140625" bestFit="1" customWidth="1"/>
    <col min="7" max="7" width="2.5703125" customWidth="1"/>
    <col min="8" max="8" width="25.140625" bestFit="1" customWidth="1"/>
    <col min="9" max="9" width="24.28515625" style="11" customWidth="1" outlineLevel="1"/>
    <col min="10" max="10" width="9.42578125" style="6" customWidth="1"/>
    <col min="11" max="11" width="19" style="11" hidden="1" customWidth="1" outlineLevel="1"/>
    <col min="12" max="12" width="9.28515625" style="6" customWidth="1" collapsed="1"/>
    <col min="13" max="13" width="19.5703125" style="11" hidden="1" customWidth="1" outlineLevel="1"/>
    <col min="14" max="14" width="10.42578125" style="6" customWidth="1" collapsed="1"/>
    <col min="15" max="15" width="17.85546875" style="11" hidden="1" customWidth="1" outlineLevel="1"/>
    <col min="16" max="16" width="8.5703125" style="6" bestFit="1" customWidth="1" collapsed="1"/>
    <col min="17" max="17" width="18" style="11" hidden="1" customWidth="1" outlineLevel="1"/>
    <col min="18" max="18" width="11.42578125" style="5" customWidth="1" collapsed="1"/>
    <col min="19" max="19" width="19.5703125" style="10" hidden="1" customWidth="1" outlineLevel="1"/>
    <col min="20" max="20" width="9.85546875" style="10" bestFit="1" customWidth="1" collapsed="1"/>
    <col min="21" max="21" width="19.5703125" style="10" hidden="1" customWidth="1" outlineLevel="1"/>
    <col min="22" max="22" width="2.5703125" customWidth="1" collapsed="1"/>
    <col min="23" max="24" width="7.140625" hidden="1" customWidth="1" outlineLevel="1"/>
    <col min="25" max="25" width="17.85546875" bestFit="1" customWidth="1" collapsed="1"/>
    <col min="26" max="27" width="17.85546875" bestFit="1" customWidth="1"/>
    <col min="28" max="28" width="16.140625" bestFit="1" customWidth="1"/>
    <col min="29" max="29" width="15.140625" bestFit="1" customWidth="1"/>
    <col min="30" max="30" width="2.5703125" customWidth="1"/>
    <col min="31" max="31" width="7.85546875" bestFit="1" customWidth="1"/>
    <col min="32" max="32" width="11.140625" bestFit="1" customWidth="1"/>
    <col min="33" max="33" width="13.28515625" bestFit="1" customWidth="1"/>
    <col min="34" max="34" width="7.85546875" bestFit="1" customWidth="1"/>
    <col min="35" max="35" width="8.140625" bestFit="1" customWidth="1"/>
    <col min="36" max="36" width="2.5703125" customWidth="1"/>
    <col min="37" max="37" width="17.85546875" bestFit="1" customWidth="1"/>
    <col min="38" max="38" width="8.140625" bestFit="1" customWidth="1"/>
    <col min="39" max="39" width="2.5703125" customWidth="1"/>
    <col min="41" max="41" width="16.28515625" bestFit="1" customWidth="1"/>
  </cols>
  <sheetData>
    <row r="1" spans="1:43" ht="9" customHeight="1" x14ac:dyDescent="0.25">
      <c r="A1" t="s">
        <v>75</v>
      </c>
    </row>
    <row r="2" spans="1:43" x14ac:dyDescent="0.25">
      <c r="B2" s="1"/>
      <c r="C2" s="1" t="s">
        <v>20</v>
      </c>
      <c r="D2" s="1"/>
      <c r="H2" s="4" t="s">
        <v>1</v>
      </c>
      <c r="I2" s="9" t="s">
        <v>4</v>
      </c>
      <c r="J2" s="112" t="s">
        <v>7</v>
      </c>
      <c r="K2" s="112"/>
      <c r="L2" s="112" t="s">
        <v>8</v>
      </c>
      <c r="M2" s="112"/>
      <c r="N2" s="112" t="s">
        <v>10</v>
      </c>
      <c r="O2" s="112"/>
      <c r="P2" s="112" t="s">
        <v>9</v>
      </c>
      <c r="Q2" s="112"/>
      <c r="R2" s="112" t="s">
        <v>21</v>
      </c>
      <c r="S2" s="112"/>
      <c r="T2" s="112" t="s">
        <v>55</v>
      </c>
      <c r="U2" s="112"/>
      <c r="W2" s="1" t="s">
        <v>46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27" t="s">
        <v>49</v>
      </c>
      <c r="AF2" s="27" t="s">
        <v>50</v>
      </c>
      <c r="AG2" s="27" t="s">
        <v>51</v>
      </c>
      <c r="AH2" s="27" t="s">
        <v>52</v>
      </c>
      <c r="AI2" s="27" t="s">
        <v>53</v>
      </c>
      <c r="AK2" s="75" t="s">
        <v>60</v>
      </c>
      <c r="AL2" s="75" t="s">
        <v>61</v>
      </c>
      <c r="AN2" s="1"/>
      <c r="AO2" s="1" t="s">
        <v>20</v>
      </c>
      <c r="AP2" s="1"/>
    </row>
    <row r="3" spans="1:43" x14ac:dyDescent="0.25">
      <c r="A3" s="98"/>
      <c r="B3" t="s">
        <v>11</v>
      </c>
      <c r="C3" s="2" t="s">
        <v>10</v>
      </c>
      <c r="D3" t="s">
        <v>7</v>
      </c>
      <c r="E3" s="98"/>
      <c r="F3" s="7">
        <f>J3+L3+N3+P3+R3+T3</f>
        <v>1</v>
      </c>
      <c r="G3" s="99"/>
      <c r="H3" s="97" t="s">
        <v>5</v>
      </c>
      <c r="I3" s="80">
        <v>499720779.54000002</v>
      </c>
      <c r="J3" s="81">
        <v>0.48349999999999999</v>
      </c>
      <c r="K3" s="80">
        <f t="shared" ref="K3:O13" si="0">+J3*$I3</f>
        <v>241614996.90759</v>
      </c>
      <c r="L3" s="81">
        <v>0.23930000000000001</v>
      </c>
      <c r="M3" s="80">
        <f t="shared" si="0"/>
        <v>119583182.54392201</v>
      </c>
      <c r="N3" s="81">
        <v>0.23089999999999999</v>
      </c>
      <c r="O3" s="80">
        <f t="shared" si="0"/>
        <v>115385527.995786</v>
      </c>
      <c r="P3" s="81">
        <v>4.7500000000000001E-2</v>
      </c>
      <c r="Q3" s="80">
        <f t="shared" ref="Q3:Q13" si="1">+P3*$I3</f>
        <v>23736737.02815</v>
      </c>
      <c r="R3" s="82"/>
      <c r="S3" s="80">
        <f t="shared" ref="S3:S13" si="2">+R3*$I3</f>
        <v>0</v>
      </c>
      <c r="T3" s="81">
        <v>-1.1999999999999999E-3</v>
      </c>
      <c r="U3" s="65">
        <f t="shared" ref="U3:U13" si="3">+T3*$I3</f>
        <v>-599664.93544799997</v>
      </c>
      <c r="V3" s="98"/>
      <c r="Y3" s="12">
        <f>K3-'Mar25'!K3</f>
        <v>176809091.90837601</v>
      </c>
      <c r="Z3" s="12">
        <f>M3-'Mar25'!M3</f>
        <v>45946400.272282004</v>
      </c>
      <c r="AA3" s="12">
        <f>O3-'Mar25'!O3</f>
        <v>14813185.893203989</v>
      </c>
      <c r="AB3" s="12">
        <f>Q3-'Mar25'!Q3</f>
        <v>4081806.4218100011</v>
      </c>
      <c r="AC3" s="12">
        <f>+S3-'Mar25'!S3</f>
        <v>0</v>
      </c>
      <c r="AD3" s="98"/>
      <c r="AE3" s="28">
        <f>J3-'Mar25'!J3</f>
        <v>0.24940000000000001</v>
      </c>
      <c r="AF3" s="28">
        <f>L3-'Mar25'!L3</f>
        <v>-2.6700000000000002E-2</v>
      </c>
      <c r="AG3" s="28">
        <f>N3-'Mar25'!N3</f>
        <v>-0.13240000000000002</v>
      </c>
      <c r="AH3" s="28">
        <f>P3-'Mar25'!P3</f>
        <v>-2.3499999999999993E-2</v>
      </c>
      <c r="AI3" s="28">
        <f>R3-'Mar25'!R3</f>
        <v>0</v>
      </c>
      <c r="AJ3" s="98"/>
      <c r="AK3" s="10">
        <f>I3-'Mar25'!I3</f>
        <v>222890771</v>
      </c>
      <c r="AL3" s="76">
        <f>I3/'Mar25'!I3-1</f>
        <v>0.80515393607623942</v>
      </c>
      <c r="AM3" s="98"/>
      <c r="AN3" t="s">
        <v>11</v>
      </c>
      <c r="AO3" s="2" t="s">
        <v>10</v>
      </c>
      <c r="AP3" t="s">
        <v>7</v>
      </c>
      <c r="AQ3" s="98"/>
    </row>
    <row r="4" spans="1:43" x14ac:dyDescent="0.25">
      <c r="B4" t="s">
        <v>12</v>
      </c>
      <c r="C4" s="2" t="s">
        <v>16</v>
      </c>
      <c r="D4" t="s">
        <v>58</v>
      </c>
      <c r="F4" s="7">
        <f t="shared" ref="F4:F36" si="4">J4+L4+N4+P4+R4+T4</f>
        <v>0.99999999999999989</v>
      </c>
      <c r="H4" s="3" t="s">
        <v>0</v>
      </c>
      <c r="I4" s="78">
        <v>1588751928.1500001</v>
      </c>
      <c r="J4" s="77">
        <v>0.35</v>
      </c>
      <c r="K4" s="78">
        <f t="shared" si="0"/>
        <v>556063174.85249996</v>
      </c>
      <c r="L4" s="77">
        <v>0.1</v>
      </c>
      <c r="M4" s="78">
        <f t="shared" si="0"/>
        <v>158875192.81500003</v>
      </c>
      <c r="N4" s="77">
        <v>0.35</v>
      </c>
      <c r="O4" s="78">
        <f t="shared" si="0"/>
        <v>556063174.85249996</v>
      </c>
      <c r="P4" s="77">
        <v>0.11</v>
      </c>
      <c r="Q4" s="78">
        <f t="shared" si="1"/>
        <v>174762712.09650001</v>
      </c>
      <c r="R4" s="77"/>
      <c r="S4" s="78">
        <f t="shared" si="2"/>
        <v>0</v>
      </c>
      <c r="T4" s="77">
        <v>0.09</v>
      </c>
      <c r="U4" s="57">
        <f t="shared" si="3"/>
        <v>142987673.53350002</v>
      </c>
      <c r="Y4" s="12">
        <f>K4-'Mar25'!K4</f>
        <v>-80521474.88349998</v>
      </c>
      <c r="Z4" s="12">
        <f>M4-'Mar25'!M4</f>
        <v>-270969.61899995804</v>
      </c>
      <c r="AA4" s="12">
        <f>O4-'Mar25'!O4</f>
        <v>540148558.60909998</v>
      </c>
      <c r="AB4" s="12">
        <f>Q4-'Mar25'!Q4</f>
        <v>-298066.58089998364</v>
      </c>
      <c r="AC4" s="12">
        <f>+S4-'Mar25'!S4</f>
        <v>0</v>
      </c>
      <c r="AE4" s="28">
        <f>J4-'Mar25'!J4</f>
        <v>-5.0000000000000044E-2</v>
      </c>
      <c r="AF4" s="28">
        <f>L4-'Mar25'!L4</f>
        <v>0</v>
      </c>
      <c r="AG4" s="28">
        <f>N4-'Mar25'!N4</f>
        <v>0.33999999999999997</v>
      </c>
      <c r="AH4" s="28">
        <f>P4-'Mar25'!P4</f>
        <v>0</v>
      </c>
      <c r="AI4" s="28">
        <f>R4-'Mar25'!R4</f>
        <v>0</v>
      </c>
      <c r="AJ4" s="93"/>
      <c r="AK4" s="10">
        <f>I4-'Mar25'!I4</f>
        <v>-2709696.1899998188</v>
      </c>
      <c r="AL4" s="76">
        <f>I4/'Mar25'!I4-1</f>
        <v>-1.7026462646396734E-3</v>
      </c>
      <c r="AN4" t="s">
        <v>12</v>
      </c>
      <c r="AO4" s="2" t="s">
        <v>16</v>
      </c>
      <c r="AP4" t="s">
        <v>58</v>
      </c>
    </row>
    <row r="5" spans="1:43" x14ac:dyDescent="0.25">
      <c r="B5" t="s">
        <v>13</v>
      </c>
      <c r="C5" s="2" t="s">
        <v>17</v>
      </c>
      <c r="D5" t="s">
        <v>59</v>
      </c>
      <c r="F5" s="7">
        <f>J5+L5+N5+P5+R5+T5</f>
        <v>1</v>
      </c>
      <c r="H5" s="3" t="s">
        <v>3</v>
      </c>
      <c r="I5" s="78">
        <v>317953870.88999999</v>
      </c>
      <c r="J5" s="77">
        <v>0.5</v>
      </c>
      <c r="K5" s="78">
        <f t="shared" si="0"/>
        <v>158976935.44499999</v>
      </c>
      <c r="L5" s="77">
        <v>0.02</v>
      </c>
      <c r="M5" s="78">
        <f t="shared" si="0"/>
        <v>6359077.4177999999</v>
      </c>
      <c r="N5" s="77">
        <v>0.35</v>
      </c>
      <c r="O5" s="78">
        <f t="shared" si="0"/>
        <v>111283854.81149998</v>
      </c>
      <c r="P5" s="77">
        <v>0.05</v>
      </c>
      <c r="Q5" s="78">
        <f t="shared" si="1"/>
        <v>15897693.544500001</v>
      </c>
      <c r="R5" s="77">
        <v>0.08</v>
      </c>
      <c r="S5" s="78">
        <f t="shared" si="2"/>
        <v>25436309.6712</v>
      </c>
      <c r="T5" s="77"/>
      <c r="U5" s="57">
        <f t="shared" si="3"/>
        <v>0</v>
      </c>
      <c r="Y5" s="12">
        <f>K5-'Mar25'!K5</f>
        <v>59545827.503099993</v>
      </c>
      <c r="Z5" s="12">
        <f>M5-'Mar25'!M5</f>
        <v>6359077.4177999999</v>
      </c>
      <c r="AA5" s="12">
        <f>O5-'Mar25'!O5</f>
        <v>-4184528.6049000174</v>
      </c>
      <c r="AB5" s="12">
        <f>Q5-'Mar25'!Q5</f>
        <v>-19384312.499399997</v>
      </c>
      <c r="AC5" s="12">
        <f>+S5-'Mar25'!S5</f>
        <v>-35505337.131900005</v>
      </c>
      <c r="AE5" s="28">
        <f>J5-'Mar25'!J5</f>
        <v>0.19</v>
      </c>
      <c r="AF5" s="28">
        <f>L5-'Mar25'!L5</f>
        <v>0.02</v>
      </c>
      <c r="AG5" s="28">
        <f>N5-'Mar25'!N5</f>
        <v>-1.0000000000000009E-2</v>
      </c>
      <c r="AH5" s="28">
        <f>P5-'Mar25'!P5</f>
        <v>-0.06</v>
      </c>
      <c r="AI5" s="28">
        <f>R5-'Mar25'!R5</f>
        <v>-0.11</v>
      </c>
      <c r="AK5" s="10">
        <f>I5-'Mar25'!I5</f>
        <v>-2791638.6000000238</v>
      </c>
      <c r="AL5" s="76">
        <f>I5/'Mar25'!I5-1</f>
        <v>-8.7035937134049002E-3</v>
      </c>
      <c r="AN5" t="s">
        <v>13</v>
      </c>
      <c r="AO5" s="2" t="s">
        <v>17</v>
      </c>
      <c r="AP5" t="s">
        <v>59</v>
      </c>
    </row>
    <row r="6" spans="1:43" x14ac:dyDescent="0.25">
      <c r="B6" t="s">
        <v>14</v>
      </c>
      <c r="C6" s="2" t="s">
        <v>18</v>
      </c>
      <c r="F6" s="7">
        <f t="shared" si="4"/>
        <v>1</v>
      </c>
      <c r="H6" s="3" t="s">
        <v>62</v>
      </c>
      <c r="I6" s="78">
        <v>4988298290.96</v>
      </c>
      <c r="J6" s="77">
        <v>0.245</v>
      </c>
      <c r="K6" s="78">
        <f t="shared" si="0"/>
        <v>1222133081.2851999</v>
      </c>
      <c r="L6" s="77">
        <v>0.41499999999999998</v>
      </c>
      <c r="M6" s="78">
        <f t="shared" si="0"/>
        <v>2070143790.7484</v>
      </c>
      <c r="N6" s="77">
        <v>0.28000000000000003</v>
      </c>
      <c r="O6" s="78">
        <f t="shared" si="0"/>
        <v>1396723521.4688001</v>
      </c>
      <c r="P6" s="77">
        <v>2.5000000000000001E-2</v>
      </c>
      <c r="Q6" s="78">
        <f t="shared" si="1"/>
        <v>124707457.274</v>
      </c>
      <c r="R6" s="77"/>
      <c r="S6" s="78">
        <f t="shared" si="2"/>
        <v>0</v>
      </c>
      <c r="T6" s="77">
        <v>3.5000000000000003E-2</v>
      </c>
      <c r="U6" s="57">
        <f t="shared" si="3"/>
        <v>174590440.18360001</v>
      </c>
      <c r="Y6" s="12">
        <f>K6-'Mar25'!K6</f>
        <v>148053102.28938985</v>
      </c>
      <c r="Z6" s="12">
        <f>M6-'Mar25'!M6</f>
        <v>-183911376.43998981</v>
      </c>
      <c r="AA6" s="12">
        <f>O6-'Mar25'!O6</f>
        <v>-60596262.239129782</v>
      </c>
      <c r="AB6" s="12">
        <f>Q6-'Mar25'!Q6</f>
        <v>3684361.0491200089</v>
      </c>
      <c r="AC6" s="12">
        <f>+S6-'Mar25'!S6</f>
        <v>0</v>
      </c>
      <c r="AE6" s="28">
        <f>J6-'Mar25'!J6</f>
        <v>3.2000000000000001E-2</v>
      </c>
      <c r="AF6" s="28">
        <f>L6-'Mar25'!L6</f>
        <v>-3.2000000000000028E-2</v>
      </c>
      <c r="AG6" s="28">
        <f>N6-'Mar25'!N6</f>
        <v>-8.9999999999999525E-3</v>
      </c>
      <c r="AH6" s="28">
        <f>P6-'Mar25'!P6</f>
        <v>1.0000000000000009E-3</v>
      </c>
      <c r="AI6" s="28">
        <f>R6-'Mar25'!R6</f>
        <v>0</v>
      </c>
      <c r="AK6" s="10">
        <f>I6-'Mar25'!I6</f>
        <v>-54330718.409999847</v>
      </c>
      <c r="AL6" s="76">
        <f>I6/'Mar25'!I6-1</f>
        <v>-1.077428426898841E-2</v>
      </c>
      <c r="AN6" t="s">
        <v>14</v>
      </c>
      <c r="AO6" s="2" t="s">
        <v>18</v>
      </c>
    </row>
    <row r="7" spans="1:43" x14ac:dyDescent="0.25">
      <c r="B7" t="s">
        <v>15</v>
      </c>
      <c r="C7" s="2" t="s">
        <v>19</v>
      </c>
      <c r="F7" s="7">
        <f t="shared" si="4"/>
        <v>1</v>
      </c>
      <c r="H7" s="3" t="s">
        <v>22</v>
      </c>
      <c r="I7" s="78">
        <v>2790341778.0300002</v>
      </c>
      <c r="J7" s="77">
        <v>0.25700000000000001</v>
      </c>
      <c r="K7" s="78">
        <f t="shared" si="0"/>
        <v>717117836.95371008</v>
      </c>
      <c r="L7" s="77">
        <v>0.30299999999999999</v>
      </c>
      <c r="M7" s="78">
        <f t="shared" si="0"/>
        <v>845473558.74309003</v>
      </c>
      <c r="N7" s="77">
        <v>0.39700000000000002</v>
      </c>
      <c r="O7" s="78">
        <f t="shared" si="0"/>
        <v>1107765685.8779101</v>
      </c>
      <c r="P7" s="77">
        <v>3.9E-2</v>
      </c>
      <c r="Q7" s="78">
        <f t="shared" si="1"/>
        <v>108823329.34317</v>
      </c>
      <c r="R7" s="77"/>
      <c r="S7" s="78">
        <f t="shared" si="2"/>
        <v>0</v>
      </c>
      <c r="T7" s="77">
        <v>4.0000000000000001E-3</v>
      </c>
      <c r="U7" s="57">
        <f t="shared" si="3"/>
        <v>11161367.112120001</v>
      </c>
      <c r="Y7" s="12">
        <f>K7-'Mar25'!K7</f>
        <v>-14814284.314769983</v>
      </c>
      <c r="Z7" s="12">
        <f>M7-'Mar25'!M7</f>
        <v>66409444.817169905</v>
      </c>
      <c r="AA7" s="12">
        <f>O7-'Mar25'!O7</f>
        <v>-53899309.620169878</v>
      </c>
      <c r="AB7" s="12">
        <f>Q7-'Mar25'!Q7</f>
        <v>22876754.497249991</v>
      </c>
      <c r="AC7" s="12">
        <f>+S7-'Mar25'!S7</f>
        <v>0</v>
      </c>
      <c r="AE7" s="28">
        <f>J7-'Mar25'!J7</f>
        <v>-7.0000000000000062E-3</v>
      </c>
      <c r="AF7" s="28">
        <f>L7-'Mar25'!L7</f>
        <v>2.1999999999999964E-2</v>
      </c>
      <c r="AG7" s="28">
        <f>N7-'Mar25'!N7</f>
        <v>-2.1999999999999964E-2</v>
      </c>
      <c r="AH7" s="28">
        <f>P7-'Mar25'!P7</f>
        <v>8.0000000000000002E-3</v>
      </c>
      <c r="AI7" s="28">
        <f>R7-'Mar25'!R7</f>
        <v>0</v>
      </c>
      <c r="AK7" s="10">
        <f>I7-'Mar25'!I7</f>
        <v>17871621.710000038</v>
      </c>
      <c r="AL7" s="76">
        <f>I7/'Mar25'!I7-1</f>
        <v>6.4461006619893624E-3</v>
      </c>
      <c r="AN7" t="s">
        <v>15</v>
      </c>
      <c r="AO7" s="2" t="s">
        <v>19</v>
      </c>
    </row>
    <row r="8" spans="1:43" x14ac:dyDescent="0.25">
      <c r="B8" t="s">
        <v>57</v>
      </c>
      <c r="F8" s="7">
        <f t="shared" si="4"/>
        <v>1</v>
      </c>
      <c r="H8" s="3" t="s">
        <v>23</v>
      </c>
      <c r="I8" s="78">
        <v>104655906.34</v>
      </c>
      <c r="J8" s="77">
        <v>0.2</v>
      </c>
      <c r="K8" s="78">
        <f t="shared" si="0"/>
        <v>20931181.268000003</v>
      </c>
      <c r="L8" s="77">
        <v>0.33</v>
      </c>
      <c r="M8" s="78">
        <f t="shared" si="0"/>
        <v>34536449.092200004</v>
      </c>
      <c r="N8" s="77">
        <v>0.27</v>
      </c>
      <c r="O8" s="78">
        <f t="shared" si="0"/>
        <v>28257094.711800002</v>
      </c>
      <c r="P8" s="77">
        <v>0.08</v>
      </c>
      <c r="Q8" s="78">
        <f t="shared" si="1"/>
        <v>8372472.5072000008</v>
      </c>
      <c r="R8" s="77">
        <v>0.12</v>
      </c>
      <c r="S8" s="78">
        <f t="shared" si="2"/>
        <v>12558708.7608</v>
      </c>
      <c r="T8" s="77"/>
      <c r="U8" s="57">
        <f t="shared" si="3"/>
        <v>0</v>
      </c>
      <c r="Y8" s="12">
        <f>K8-'Mar25'!K8</f>
        <v>-5271515.5639999993</v>
      </c>
      <c r="Z8" s="12">
        <f>M8-'Mar25'!M8</f>
        <v>2790874.0842000023</v>
      </c>
      <c r="AA8" s="12">
        <f>O8-'Mar25'!O8</f>
        <v>1046601.8477999978</v>
      </c>
      <c r="AB8" s="12">
        <f>Q8-'Mar25'!Q8</f>
        <v>-697691.78079999983</v>
      </c>
      <c r="AC8" s="12">
        <f>+S8-'Mar25'!S8</f>
        <v>12558708.7608</v>
      </c>
      <c r="AE8" s="28">
        <f>J8-'Mar25'!J8</f>
        <v>-0.06</v>
      </c>
      <c r="AF8" s="28">
        <f>L8-'Mar25'!L8</f>
        <v>1.5000000000000013E-2</v>
      </c>
      <c r="AG8" s="28">
        <f>N8-'Mar25'!N8</f>
        <v>0</v>
      </c>
      <c r="AH8" s="28">
        <f>P8-'Mar25'!P8</f>
        <v>-9.999999999999995E-3</v>
      </c>
      <c r="AI8" s="28">
        <f>R8-'Mar25'!R8</f>
        <v>0.12</v>
      </c>
      <c r="AK8" s="10">
        <f>I8-'Mar25'!I8</f>
        <v>3876303.1400000006</v>
      </c>
      <c r="AL8" s="76">
        <f>I8/'Mar25'!I8-1</f>
        <v>3.8463171285834097E-2</v>
      </c>
      <c r="AN8" t="s">
        <v>57</v>
      </c>
    </row>
    <row r="9" spans="1:43" x14ac:dyDescent="0.25">
      <c r="F9" s="7">
        <f t="shared" si="4"/>
        <v>0.99999999999999989</v>
      </c>
      <c r="H9" s="3" t="s">
        <v>24</v>
      </c>
      <c r="I9" s="78">
        <v>1556065007.6099999</v>
      </c>
      <c r="J9" s="77">
        <v>0.55989999999999995</v>
      </c>
      <c r="K9" s="78">
        <f t="shared" si="0"/>
        <v>871240797.76083887</v>
      </c>
      <c r="L9" s="77">
        <v>0.1492</v>
      </c>
      <c r="M9" s="78">
        <f t="shared" si="0"/>
        <v>232164899.13541198</v>
      </c>
      <c r="N9" s="77">
        <v>0.24759999999999999</v>
      </c>
      <c r="O9" s="78">
        <f t="shared" si="0"/>
        <v>385281695.88423598</v>
      </c>
      <c r="P9" s="77">
        <v>3.8899999999999997E-2</v>
      </c>
      <c r="Q9" s="78">
        <f t="shared" si="1"/>
        <v>60530928.796028994</v>
      </c>
      <c r="R9" s="77"/>
      <c r="S9" s="78">
        <f t="shared" si="2"/>
        <v>0</v>
      </c>
      <c r="T9" s="77">
        <v>4.4000000000000003E-3</v>
      </c>
      <c r="U9" s="57">
        <f t="shared" si="3"/>
        <v>6846686.0334839998</v>
      </c>
      <c r="Y9" s="12">
        <f>K9-'Mar25'!K9</f>
        <v>10215681.222300887</v>
      </c>
      <c r="Z9" s="12">
        <f>M9-'Mar25'!M9</f>
        <v>1483341.0854759812</v>
      </c>
      <c r="AA9" s="12">
        <f>O9-'Mar25'!O9</f>
        <v>6703493.7619619966</v>
      </c>
      <c r="AB9" s="12">
        <f>Q9-'Mar25'!Q9</f>
        <v>-12797281.524952017</v>
      </c>
      <c r="AC9" s="12">
        <f>+S9-'Mar25'!S9</f>
        <v>0</v>
      </c>
      <c r="AE9" s="28">
        <f>J9-'Mar25'!J9</f>
        <v>4.4999999999999485E-3</v>
      </c>
      <c r="AF9" s="28">
        <f>L9-'Mar25'!L9</f>
        <v>4.0000000000001146E-4</v>
      </c>
      <c r="AG9" s="28">
        <f>N9-'Mar25'!N9</f>
        <v>3.3999999999999864E-3</v>
      </c>
      <c r="AH9" s="28">
        <f>P9-'Mar25'!P9</f>
        <v>-8.4000000000000047E-3</v>
      </c>
      <c r="AI9" s="28">
        <f>R9-'Mar25'!R9</f>
        <v>0</v>
      </c>
      <c r="AK9" s="10">
        <f>I9-'Mar25'!I9</f>
        <v>5785719.6399998665</v>
      </c>
      <c r="AL9" s="76">
        <f>I9/'Mar25'!I9-1</f>
        <v>3.7320498860407003E-3</v>
      </c>
    </row>
    <row r="10" spans="1:43" x14ac:dyDescent="0.25">
      <c r="F10" s="7">
        <f t="shared" si="4"/>
        <v>1</v>
      </c>
      <c r="H10" s="3" t="s">
        <v>73</v>
      </c>
      <c r="I10" s="78">
        <v>7857865524.3599997</v>
      </c>
      <c r="J10" s="77">
        <v>0.36399999999999999</v>
      </c>
      <c r="K10" s="78">
        <f t="shared" si="0"/>
        <v>2860263050.8670397</v>
      </c>
      <c r="L10" s="77">
        <v>0.39700000000000002</v>
      </c>
      <c r="M10" s="78">
        <f t="shared" si="0"/>
        <v>3119572613.1709199</v>
      </c>
      <c r="N10" s="77">
        <v>0.20499999999999999</v>
      </c>
      <c r="O10" s="78">
        <f t="shared" si="0"/>
        <v>1610862432.4937999</v>
      </c>
      <c r="P10" s="77">
        <v>3.4000000000000002E-2</v>
      </c>
      <c r="Q10" s="78">
        <f t="shared" si="1"/>
        <v>267167427.82824001</v>
      </c>
      <c r="R10" s="77"/>
      <c r="S10" s="78">
        <f t="shared" si="2"/>
        <v>0</v>
      </c>
      <c r="T10" s="77"/>
      <c r="U10" s="57">
        <f t="shared" si="3"/>
        <v>0</v>
      </c>
      <c r="Y10" s="12">
        <f>K10-'Mar25'!K10</f>
        <v>65394859.810939789</v>
      </c>
      <c r="Z10" s="12">
        <f>M10-'Mar25'!M10</f>
        <v>-29574644.357079983</v>
      </c>
      <c r="AA10" s="12">
        <f>O10-'Mar25'!O10</f>
        <v>-58185613.996039867</v>
      </c>
      <c r="AB10" s="12">
        <f>Q10-'Mar25'!Q10</f>
        <v>7362779.0821799934</v>
      </c>
      <c r="AC10" s="12">
        <f>+S10-'Mar25'!S10</f>
        <v>0</v>
      </c>
      <c r="AE10" s="28">
        <f>J10-'Mar25'!J10</f>
        <v>9.000000000000008E-3</v>
      </c>
      <c r="AF10" s="28">
        <f>L10-'Mar25'!L10</f>
        <v>-3.0000000000000027E-3</v>
      </c>
      <c r="AG10" s="28">
        <f>N10-'Mar25'!N10</f>
        <v>-7.0000000000000062E-3</v>
      </c>
      <c r="AH10" s="28">
        <f>P10-'Mar25'!P10</f>
        <v>1.0000000000000009E-3</v>
      </c>
      <c r="AI10" s="28">
        <f>R10-'Mar25'!R10</f>
        <v>0</v>
      </c>
      <c r="AJ10" s="93"/>
      <c r="AK10" s="10">
        <f>I10-'Mar25'!I10</f>
        <v>-15002619.460000038</v>
      </c>
      <c r="AL10" s="76">
        <f>I10/'Mar25'!I10-1</f>
        <v>-1.9056104060090062E-3</v>
      </c>
    </row>
    <row r="11" spans="1:43" x14ac:dyDescent="0.25">
      <c r="F11" s="7">
        <f t="shared" si="4"/>
        <v>1</v>
      </c>
      <c r="H11" s="3" t="s">
        <v>47</v>
      </c>
      <c r="I11" s="78">
        <v>3152702907.77</v>
      </c>
      <c r="J11" s="77">
        <v>0.67</v>
      </c>
      <c r="K11" s="78">
        <f t="shared" si="0"/>
        <v>2112310948.2059002</v>
      </c>
      <c r="L11" s="77">
        <v>0.18</v>
      </c>
      <c r="M11" s="78">
        <f t="shared" si="0"/>
        <v>567486523.39859998</v>
      </c>
      <c r="N11" s="77">
        <v>0.15</v>
      </c>
      <c r="O11" s="78">
        <f t="shared" si="0"/>
        <v>472905436.16549999</v>
      </c>
      <c r="P11" s="77"/>
      <c r="Q11" s="78">
        <f t="shared" si="1"/>
        <v>0</v>
      </c>
      <c r="R11" s="77"/>
      <c r="S11" s="78">
        <f t="shared" si="2"/>
        <v>0</v>
      </c>
      <c r="T11" s="77"/>
      <c r="U11" s="57">
        <f t="shared" si="3"/>
        <v>0</v>
      </c>
      <c r="Y11" s="12">
        <f>K11-'Mar25'!K11</f>
        <v>-34519363.964099884</v>
      </c>
      <c r="Z11" s="12">
        <f>M11-'Mar25'!M11</f>
        <v>62349979.358599961</v>
      </c>
      <c r="AA11" s="12">
        <f>O11-'Mar25'!O11</f>
        <v>-32231107.874500036</v>
      </c>
      <c r="AB11" s="12">
        <f>Q11-'Mar25'!Q11</f>
        <v>0</v>
      </c>
      <c r="AC11" s="12">
        <f>+S11-'Mar25'!S12</f>
        <v>0</v>
      </c>
      <c r="AE11" s="28">
        <f>J11-'Mar25'!J11</f>
        <v>-1.0000000000000009E-2</v>
      </c>
      <c r="AF11" s="28">
        <f>L11-'Mar25'!L11</f>
        <v>1.999999999999999E-2</v>
      </c>
      <c r="AG11" s="28">
        <f>N11-'Mar25'!N11</f>
        <v>-1.0000000000000009E-2</v>
      </c>
      <c r="AH11" s="28">
        <f>P11-'Mar25'!P11</f>
        <v>0</v>
      </c>
      <c r="AI11" s="28">
        <f>R11-'Mar25'!R11</f>
        <v>0</v>
      </c>
      <c r="AK11" s="10">
        <f>I11-'Mar25'!I11</f>
        <v>-4400492.4800000191</v>
      </c>
      <c r="AL11" s="76">
        <f>I11/'Mar25'!I11-1</f>
        <v>-1.3938385672295217E-3</v>
      </c>
    </row>
    <row r="12" spans="1:43" x14ac:dyDescent="0.25">
      <c r="B12" t="s">
        <v>70</v>
      </c>
      <c r="F12" s="7">
        <f t="shared" si="4"/>
        <v>1</v>
      </c>
      <c r="H12" s="3" t="s">
        <v>30</v>
      </c>
      <c r="I12" s="101">
        <v>1404754497.1199999</v>
      </c>
      <c r="J12" s="77">
        <v>0.48399999999999999</v>
      </c>
      <c r="K12" s="78">
        <f t="shared" si="0"/>
        <v>679901176.60607994</v>
      </c>
      <c r="L12" s="77">
        <v>0.221</v>
      </c>
      <c r="M12" s="78">
        <f t="shared" si="0"/>
        <v>310450743.86351997</v>
      </c>
      <c r="N12" s="77">
        <v>0.28699999999999998</v>
      </c>
      <c r="O12" s="78">
        <f t="shared" si="0"/>
        <v>403164540.67343992</v>
      </c>
      <c r="P12" s="77">
        <v>8.0000000000000002E-3</v>
      </c>
      <c r="Q12" s="78">
        <f t="shared" si="1"/>
        <v>11238035.97696</v>
      </c>
      <c r="R12" s="77"/>
      <c r="S12" s="78">
        <f t="shared" si="2"/>
        <v>0</v>
      </c>
      <c r="T12" s="77"/>
      <c r="U12" s="57">
        <f t="shared" si="3"/>
        <v>0</v>
      </c>
      <c r="Y12" s="12">
        <f>K12-'Mar25'!K12</f>
        <v>-45981.519760012627</v>
      </c>
      <c r="Z12" s="12">
        <f>M12-'Mar25'!M12</f>
        <v>-20995.693940043449</v>
      </c>
      <c r="AA12" s="12">
        <f>O12-'Mar25'!O12</f>
        <v>-27265.901180028915</v>
      </c>
      <c r="AB12" s="12">
        <f>Q12-'Mar25'!Q12</f>
        <v>-760.02512000128627</v>
      </c>
      <c r="AC12" s="12">
        <f>+S12-'Mar25'!S12</f>
        <v>0</v>
      </c>
      <c r="AE12" s="28">
        <f>J12-'Mar25'!J12</f>
        <v>0</v>
      </c>
      <c r="AF12" s="28">
        <f>L12-'Mar25'!L12</f>
        <v>0</v>
      </c>
      <c r="AG12" s="28">
        <f>N12-'Mar25'!N12</f>
        <v>0</v>
      </c>
      <c r="AH12" s="28">
        <f>P12-'Mar25'!P12</f>
        <v>0</v>
      </c>
      <c r="AI12" s="28">
        <f>R12-'Mar25'!R12</f>
        <v>0</v>
      </c>
      <c r="AJ12" s="93"/>
      <c r="AK12" s="10">
        <f>I12-'Mar25'!I12</f>
        <v>-95003.140000104904</v>
      </c>
      <c r="AL12" s="76">
        <f>I12/'Mar25'!I12-1</f>
        <v>-6.7625137057381046E-5</v>
      </c>
    </row>
    <row r="13" spans="1:43" x14ac:dyDescent="0.25">
      <c r="B13" t="s">
        <v>74</v>
      </c>
      <c r="F13" s="7">
        <f t="shared" si="4"/>
        <v>1</v>
      </c>
      <c r="H13" s="3" t="s">
        <v>64</v>
      </c>
      <c r="I13" s="102">
        <v>854169212.42999995</v>
      </c>
      <c r="J13" s="77">
        <v>0.54</v>
      </c>
      <c r="K13" s="78">
        <f t="shared" si="0"/>
        <v>461251374.71219999</v>
      </c>
      <c r="L13" s="77">
        <v>0.24</v>
      </c>
      <c r="M13" s="78">
        <f t="shared" si="0"/>
        <v>205000610.98319998</v>
      </c>
      <c r="N13" s="77">
        <v>0.19</v>
      </c>
      <c r="O13" s="78">
        <f t="shared" si="0"/>
        <v>162292150.3617</v>
      </c>
      <c r="P13" s="77">
        <v>0.03</v>
      </c>
      <c r="Q13" s="78">
        <f t="shared" si="1"/>
        <v>25625076.372899998</v>
      </c>
      <c r="R13" s="77"/>
      <c r="S13" s="78">
        <f t="shared" si="2"/>
        <v>0</v>
      </c>
      <c r="T13" s="77"/>
      <c r="U13" s="57">
        <f t="shared" si="3"/>
        <v>0</v>
      </c>
      <c r="Y13" s="12">
        <f>K13-'Mar25'!K13</f>
        <v>22119794.772299945</v>
      </c>
      <c r="Z13" s="12">
        <f>M13-'Mar25'!M13</f>
        <v>14434076.292299956</v>
      </c>
      <c r="AA13" s="12">
        <f>O13-'Mar25'!O13</f>
        <v>-3417879.8043000102</v>
      </c>
      <c r="AB13" s="12">
        <f>Q13-'Mar25'!Q13</f>
        <v>-7516929.6603000052</v>
      </c>
      <c r="AC13" s="12">
        <f>+S13-'Mar25'!S13</f>
        <v>0</v>
      </c>
      <c r="AE13" s="28">
        <f>J13-'Mar25'!J13</f>
        <v>1.0000000000000009E-2</v>
      </c>
      <c r="AF13" s="28">
        <f>L13-'Mar25'!L13</f>
        <v>9.9999999999999811E-3</v>
      </c>
      <c r="AG13" s="28">
        <f>N13-'Mar25'!N13</f>
        <v>-1.0000000000000009E-2</v>
      </c>
      <c r="AH13" s="28">
        <f>P13-'Mar25'!P13</f>
        <v>-1.0000000000000002E-2</v>
      </c>
      <c r="AI13" s="28">
        <f>R13-'Mar25'!R13</f>
        <v>0</v>
      </c>
      <c r="AK13" s="10">
        <f>I13-'Mar25'!I13</f>
        <v>25619061.599999905</v>
      </c>
      <c r="AL13" s="76">
        <f>I13/'Mar25'!I13-1</f>
        <v>3.0920351139078317E-2</v>
      </c>
    </row>
    <row r="14" spans="1:43" s="8" customFormat="1" x14ac:dyDescent="0.25">
      <c r="B14" t="s">
        <v>42</v>
      </c>
      <c r="F14" s="7">
        <f>J14+L14+N14+P14+R14+T14</f>
        <v>1</v>
      </c>
      <c r="H14" s="21" t="s">
        <v>45</v>
      </c>
      <c r="I14" s="20">
        <f>SUM(I3:I13)</f>
        <v>25115279703.200001</v>
      </c>
      <c r="J14" s="15">
        <f>K14/$I$14</f>
        <v>0.3942542018993499</v>
      </c>
      <c r="K14" s="17">
        <f>SUM(K3:K13)</f>
        <v>9901804554.8640575</v>
      </c>
      <c r="L14" s="15">
        <f>M14/$I$14</f>
        <v>0.30537771159820509</v>
      </c>
      <c r="M14" s="20">
        <f>SUM(M3:M13)</f>
        <v>7669646641.9120636</v>
      </c>
      <c r="N14" s="15">
        <f>O14/$I$14</f>
        <v>0.25283354158655474</v>
      </c>
      <c r="O14" s="17">
        <f>SUM(O3:O13)</f>
        <v>6349985115.2969713</v>
      </c>
      <c r="P14" s="15">
        <f>Q14/$I$14</f>
        <v>3.2683763846876879E-2</v>
      </c>
      <c r="Q14" s="17">
        <f>SUM(Q3:Q13)</f>
        <v>820861870.76764894</v>
      </c>
      <c r="R14" s="15">
        <f>S14/$I$14</f>
        <v>1.5128248174420672E-3</v>
      </c>
      <c r="S14" s="17">
        <f>SUM(S3:S13)</f>
        <v>37995018.431999996</v>
      </c>
      <c r="T14" s="15">
        <f>U14/$I$14</f>
        <v>1.333795625157121E-2</v>
      </c>
      <c r="U14" s="63">
        <f>SUM(U3:U13)</f>
        <v>334986501.92725599</v>
      </c>
      <c r="Y14" s="12">
        <f>K14-'Mar25'!K14</f>
        <v>346965737.26027679</v>
      </c>
      <c r="Z14" s="12">
        <f>M14-'Mar25'!M14</f>
        <v>-14004792.78218174</v>
      </c>
      <c r="AA14" s="12">
        <f>O14-'Mar25'!O14</f>
        <v>350169872.07184505</v>
      </c>
      <c r="AB14" s="12">
        <f>Q14-'Mar25'!Q14</f>
        <v>-2689341.0211120844</v>
      </c>
      <c r="AC14" s="12">
        <f>+S14-'Mar25'!S14</f>
        <v>-22946628.371100008</v>
      </c>
      <c r="AE14" s="28">
        <f>J14-'Mar25'!J14</f>
        <v>1.081164479643032E-2</v>
      </c>
      <c r="AF14" s="28">
        <f>L14-'Mar25'!L14</f>
        <v>-2.972749382732065E-3</v>
      </c>
      <c r="AG14" s="28">
        <f>N14-'Mar25'!N14</f>
        <v>1.2056638603248099E-2</v>
      </c>
      <c r="AH14" s="28">
        <f>P14-'Mar25'!P14</f>
        <v>-3.659388829787974E-4</v>
      </c>
      <c r="AI14" s="28">
        <f>R14-'Mar25'!R14</f>
        <v>-9.3280732040114367E-4</v>
      </c>
      <c r="AK14" s="92">
        <f>I14-'Mar25'!I14</f>
        <v>196713308.81000137</v>
      </c>
      <c r="AL14" s="76">
        <f>I14/'Mar25'!I14-1</f>
        <v>7.8942466310698567E-3</v>
      </c>
    </row>
    <row r="15" spans="1:43" x14ac:dyDescent="0.25">
      <c r="B15" t="s">
        <v>66</v>
      </c>
      <c r="F15" s="7"/>
      <c r="I15" s="10"/>
      <c r="J15" s="10"/>
      <c r="K15" s="10"/>
      <c r="L15" s="5"/>
      <c r="M15" s="10"/>
      <c r="N15" s="10"/>
      <c r="O15" s="10"/>
      <c r="P15" s="5"/>
      <c r="Q15" s="10"/>
    </row>
    <row r="16" spans="1:43" x14ac:dyDescent="0.25">
      <c r="F16" s="7"/>
      <c r="H16" s="4" t="s">
        <v>2</v>
      </c>
      <c r="I16" s="9" t="s">
        <v>4</v>
      </c>
      <c r="J16" s="112" t="s">
        <v>7</v>
      </c>
      <c r="K16" s="112"/>
      <c r="L16" s="112" t="s">
        <v>8</v>
      </c>
      <c r="M16" s="112"/>
      <c r="N16" s="112" t="s">
        <v>10</v>
      </c>
      <c r="O16" s="112"/>
      <c r="P16" s="112" t="s">
        <v>9</v>
      </c>
      <c r="Q16" s="112"/>
      <c r="R16" s="112" t="s">
        <v>21</v>
      </c>
      <c r="S16" s="112"/>
      <c r="T16" s="112" t="s">
        <v>55</v>
      </c>
      <c r="U16" s="112"/>
      <c r="Y16" s="27" t="s">
        <v>49</v>
      </c>
      <c r="Z16" s="27" t="s">
        <v>50</v>
      </c>
      <c r="AA16" s="27" t="s">
        <v>51</v>
      </c>
      <c r="AB16" s="27" t="s">
        <v>52</v>
      </c>
      <c r="AC16" s="27" t="s">
        <v>53</v>
      </c>
      <c r="AE16" s="27" t="s">
        <v>49</v>
      </c>
      <c r="AF16" s="27" t="s">
        <v>50</v>
      </c>
      <c r="AG16" s="27" t="s">
        <v>51</v>
      </c>
      <c r="AH16" s="27" t="s">
        <v>52</v>
      </c>
      <c r="AI16" s="27" t="s">
        <v>53</v>
      </c>
    </row>
    <row r="17" spans="2:39" x14ac:dyDescent="0.25">
      <c r="E17" s="98"/>
      <c r="F17" s="7">
        <f t="shared" si="4"/>
        <v>1</v>
      </c>
      <c r="G17" s="99"/>
      <c r="H17" s="21" t="s">
        <v>6</v>
      </c>
      <c r="I17" s="80">
        <v>278063848.31999999</v>
      </c>
      <c r="J17" s="81">
        <v>0.23300000000000001</v>
      </c>
      <c r="K17" s="80">
        <f t="shared" ref="K17:K26" si="5">+J17*$I17</f>
        <v>64788876.65856</v>
      </c>
      <c r="L17" s="81">
        <v>0.2681</v>
      </c>
      <c r="M17" s="80">
        <f t="shared" ref="M17:M26" si="6">+L17*$I17</f>
        <v>74548917.734592006</v>
      </c>
      <c r="N17" s="81">
        <v>0.35630000000000001</v>
      </c>
      <c r="O17" s="80">
        <f t="shared" ref="O17:O26" si="7">+N17*$I17</f>
        <v>99074149.156415999</v>
      </c>
      <c r="P17" s="81">
        <v>7.5800000000000006E-2</v>
      </c>
      <c r="Q17" s="80">
        <f t="shared" ref="Q17:Q26" si="8">+P17*$I17</f>
        <v>21077239.702656001</v>
      </c>
      <c r="R17" s="81">
        <v>6.4100000000000004E-2</v>
      </c>
      <c r="S17" s="80">
        <f t="shared" ref="S17:S26" si="9">+R17*$I17</f>
        <v>17823892.677312002</v>
      </c>
      <c r="T17" s="81">
        <v>2.7000000000000001E-3</v>
      </c>
      <c r="U17" s="79">
        <f t="shared" ref="U17:U26" si="10">+T17*$I17</f>
        <v>750772.39046400005</v>
      </c>
      <c r="V17" s="98"/>
      <c r="Y17" s="12">
        <f>K17-'Mar25'!K17</f>
        <v>-17028.34065400809</v>
      </c>
      <c r="Z17" s="12">
        <f>M17-'Mar25'!M17</f>
        <v>912135.46295200288</v>
      </c>
      <c r="AA17" s="12">
        <f>O17-'Mar25'!O17</f>
        <v>-1498192.9461660087</v>
      </c>
      <c r="AB17" s="12">
        <f>Q17-'Mar25'!Q17</f>
        <v>1394626.0954620019</v>
      </c>
      <c r="AC17" s="12">
        <f>+S17-'Mar25'!S17</f>
        <v>17823892.677312002</v>
      </c>
      <c r="AD17" s="98"/>
      <c r="AE17" s="28">
        <f>J17-'Mar25'!J17</f>
        <v>-1.0999999999999899E-3</v>
      </c>
      <c r="AF17" s="28">
        <f>L17-'Mar25'!L17</f>
        <v>2.0999999999999908E-3</v>
      </c>
      <c r="AG17" s="28">
        <f>N17-'Mar25'!N17</f>
        <v>-7.0000000000000062E-3</v>
      </c>
      <c r="AH17" s="28">
        <f>P17-'Mar25'!P17</f>
        <v>4.7000000000000097E-3</v>
      </c>
      <c r="AI17" s="28">
        <f>R17-'Mar25'!R17</f>
        <v>6.4100000000000004E-2</v>
      </c>
      <c r="AJ17" s="98"/>
      <c r="AK17" s="10">
        <f>I17-'Mar25'!I17</f>
        <v>1233839.7799999714</v>
      </c>
      <c r="AL17" s="76">
        <f>I17/'Mar25'!I17-1</f>
        <v>4.4570304588986698E-3</v>
      </c>
      <c r="AM17" s="98"/>
    </row>
    <row r="18" spans="2:39" x14ac:dyDescent="0.25">
      <c r="F18" s="7">
        <f t="shared" si="4"/>
        <v>1</v>
      </c>
      <c r="H18" s="3" t="s">
        <v>26</v>
      </c>
      <c r="I18" s="78">
        <v>784959826.11000001</v>
      </c>
      <c r="J18" s="77">
        <v>0.15</v>
      </c>
      <c r="K18" s="78">
        <f t="shared" si="5"/>
        <v>117743973.9165</v>
      </c>
      <c r="L18" s="77">
        <v>0.21</v>
      </c>
      <c r="M18" s="78">
        <f t="shared" si="6"/>
        <v>164841563.4831</v>
      </c>
      <c r="N18" s="77">
        <v>0.41</v>
      </c>
      <c r="O18" s="78">
        <f t="shared" si="7"/>
        <v>321833528.7051</v>
      </c>
      <c r="P18" s="77">
        <v>0.14000000000000001</v>
      </c>
      <c r="Q18" s="78">
        <f t="shared" si="8"/>
        <v>109894375.65540001</v>
      </c>
      <c r="R18" s="77">
        <v>0.09</v>
      </c>
      <c r="S18" s="78">
        <f t="shared" si="9"/>
        <v>70646384.349899992</v>
      </c>
      <c r="T18" s="77"/>
      <c r="U18" s="57">
        <f t="shared" si="10"/>
        <v>0</v>
      </c>
      <c r="Y18" s="12">
        <f>K18-'Mar25'!K18</f>
        <v>3170558.2270440012</v>
      </c>
      <c r="Z18" s="12">
        <f>M18-'Mar25'!M18</f>
        <v>41448804.487848014</v>
      </c>
      <c r="AA18" s="12">
        <f>O18-'Mar25'!O18</f>
        <v>-26179319.087328017</v>
      </c>
      <c r="AB18" s="12">
        <f>Q18-'Mar25'!Q18</f>
        <v>-13498383.339851975</v>
      </c>
      <c r="AC18" s="12">
        <f>+S18-'Mar25'!S18</f>
        <v>70646384.349899992</v>
      </c>
      <c r="AE18" s="28">
        <f>J18-'Mar25'!J18</f>
        <v>3.1999999999999806E-3</v>
      </c>
      <c r="AF18" s="28">
        <f>L18-'Mar25'!L18</f>
        <v>5.1900000000000002E-2</v>
      </c>
      <c r="AG18" s="28">
        <f>N18-'Mar25'!N18</f>
        <v>-3.5900000000000043E-2</v>
      </c>
      <c r="AH18" s="28">
        <f>P18-'Mar25'!P18</f>
        <v>-1.8099999999999977E-2</v>
      </c>
      <c r="AI18" s="28">
        <f>R18-'Mar25'!R18</f>
        <v>0.09</v>
      </c>
      <c r="AK18" s="10">
        <f>I18-'Mar25'!I18</f>
        <v>4486967.1900000572</v>
      </c>
      <c r="AL18" s="76">
        <f>I18/'Mar25'!I18-1</f>
        <v>5.749036803418095E-3</v>
      </c>
    </row>
    <row r="19" spans="2:39" x14ac:dyDescent="0.25">
      <c r="F19" s="7">
        <f t="shared" si="4"/>
        <v>1</v>
      </c>
      <c r="H19" s="3" t="s">
        <v>27</v>
      </c>
      <c r="I19" s="78">
        <v>589979221.95000005</v>
      </c>
      <c r="J19" s="77">
        <v>0.14299999999999999</v>
      </c>
      <c r="K19" s="78">
        <f t="shared" si="5"/>
        <v>84367028.738849998</v>
      </c>
      <c r="L19" s="77">
        <v>0.36199999999999999</v>
      </c>
      <c r="M19" s="78">
        <f t="shared" si="6"/>
        <v>213572478.3459</v>
      </c>
      <c r="N19" s="77">
        <v>0.41799999999999998</v>
      </c>
      <c r="O19" s="78">
        <f t="shared" si="7"/>
        <v>246611314.77510002</v>
      </c>
      <c r="P19" s="77">
        <v>3.5000000000000003E-2</v>
      </c>
      <c r="Q19" s="78">
        <f t="shared" si="8"/>
        <v>20649272.768250003</v>
      </c>
      <c r="R19" s="77"/>
      <c r="S19" s="78">
        <f t="shared" si="9"/>
        <v>0</v>
      </c>
      <c r="T19" s="77">
        <v>4.2000000000000003E-2</v>
      </c>
      <c r="U19" s="57">
        <f t="shared" si="10"/>
        <v>24779127.321900003</v>
      </c>
      <c r="Y19" s="12">
        <f>K19-'Mar25'!K19</f>
        <v>15597655.08397001</v>
      </c>
      <c r="Z19" s="12">
        <f>M19-'Mar25'!M19</f>
        <v>-9053799.0792199969</v>
      </c>
      <c r="AA19" s="12">
        <f>O19-'Mar25'!O19</f>
        <v>-492197.34073996544</v>
      </c>
      <c r="AB19" s="12">
        <f>Q19-'Mar25'!Q19</f>
        <v>-1496796.7138299942</v>
      </c>
      <c r="AC19" s="12">
        <f>+S19-'Mar25'!S19</f>
        <v>0</v>
      </c>
      <c r="AE19" s="28">
        <f>J19-'Mar25'!J19</f>
        <v>2.4999999999999994E-2</v>
      </c>
      <c r="AF19" s="28">
        <f>L19-'Mar25'!L19</f>
        <v>-2.0000000000000018E-2</v>
      </c>
      <c r="AG19" s="28">
        <f>N19-'Mar25'!N19</f>
        <v>-6.0000000000000053E-3</v>
      </c>
      <c r="AH19" s="28">
        <f>P19-'Mar25'!P19</f>
        <v>-2.9999999999999957E-3</v>
      </c>
      <c r="AI19" s="28">
        <f>R19-'Mar25'!R19</f>
        <v>0</v>
      </c>
      <c r="AJ19" s="93"/>
      <c r="AK19" s="10">
        <f>I19-'Mar25'!I19</f>
        <v>7187919.7900000811</v>
      </c>
      <c r="AL19" s="76">
        <f>I19/'Mar25'!I19-1</f>
        <v>1.2333608554828235E-2</v>
      </c>
    </row>
    <row r="20" spans="2:39" x14ac:dyDescent="0.25">
      <c r="B20" s="1"/>
      <c r="C20" s="1" t="s">
        <v>20</v>
      </c>
      <c r="D20" s="1"/>
      <c r="F20" s="7">
        <f t="shared" si="4"/>
        <v>1</v>
      </c>
      <c r="H20" s="3" t="s">
        <v>67</v>
      </c>
      <c r="I20" s="78">
        <v>1218073752.71</v>
      </c>
      <c r="J20" s="77">
        <v>0.2</v>
      </c>
      <c r="K20" s="78">
        <f t="shared" si="5"/>
        <v>243614750.54200003</v>
      </c>
      <c r="L20" s="77">
        <v>0.23</v>
      </c>
      <c r="M20" s="78">
        <f t="shared" si="6"/>
        <v>280156963.12330002</v>
      </c>
      <c r="N20" s="77">
        <v>0.41</v>
      </c>
      <c r="O20" s="78">
        <f t="shared" si="7"/>
        <v>499410238.61109996</v>
      </c>
      <c r="P20" s="77">
        <v>0.15</v>
      </c>
      <c r="Q20" s="78">
        <f t="shared" si="8"/>
        <v>182711062.90650001</v>
      </c>
      <c r="R20" s="77"/>
      <c r="S20" s="78">
        <f t="shared" si="9"/>
        <v>0</v>
      </c>
      <c r="T20" s="77">
        <v>0.01</v>
      </c>
      <c r="U20" s="57">
        <f t="shared" si="10"/>
        <v>12180737.527100001</v>
      </c>
      <c r="Y20" s="12">
        <f>K20-'Mar25'!K20</f>
        <v>-24036192.509799987</v>
      </c>
      <c r="Z20" s="12">
        <f>M20-'Mar25'!M20</f>
        <v>49003875.942200005</v>
      </c>
      <c r="AA20" s="12">
        <f>O20-'Mar25'!O20</f>
        <v>-23725695.535600066</v>
      </c>
      <c r="AB20" s="12">
        <f>Q20-'Mar25'!Q20</f>
        <v>-11944168.403899997</v>
      </c>
      <c r="AC20" s="12">
        <f>+S20-'Mar25'!S20</f>
        <v>0</v>
      </c>
      <c r="AE20" s="28">
        <f>J20-'Mar25'!J20</f>
        <v>-1.999999999999999E-2</v>
      </c>
      <c r="AF20" s="28">
        <f>L20-'Mar25'!L20</f>
        <v>4.0000000000000008E-2</v>
      </c>
      <c r="AG20" s="28">
        <f>N20-'Mar25'!N20</f>
        <v>-2.0000000000000018E-2</v>
      </c>
      <c r="AH20" s="28">
        <f>P20-'Mar25'!P20</f>
        <v>-1.0000000000000009E-2</v>
      </c>
      <c r="AI20" s="28">
        <f>R20-'Mar25'!R20</f>
        <v>0</v>
      </c>
      <c r="AJ20" s="93"/>
      <c r="AK20" s="10">
        <f>I20-'Mar25'!I20</f>
        <v>1478557.0199999809</v>
      </c>
      <c r="AL20" s="76">
        <f>I20/'Mar25'!I20-1</f>
        <v>1.2153237372940495E-3</v>
      </c>
    </row>
    <row r="21" spans="2:39" x14ac:dyDescent="0.25">
      <c r="B21" t="s">
        <v>11</v>
      </c>
      <c r="C21" s="2" t="s">
        <v>10</v>
      </c>
      <c r="D21" t="s">
        <v>7</v>
      </c>
      <c r="F21" s="7">
        <f t="shared" si="4"/>
        <v>1</v>
      </c>
      <c r="H21" s="3" t="s">
        <v>32</v>
      </c>
      <c r="I21" s="78">
        <v>203361388.93000001</v>
      </c>
      <c r="J21" s="77">
        <v>0.19</v>
      </c>
      <c r="K21" s="78">
        <f t="shared" si="5"/>
        <v>38638663.896700002</v>
      </c>
      <c r="L21" s="77">
        <v>0.12</v>
      </c>
      <c r="M21" s="78">
        <f t="shared" si="6"/>
        <v>24403366.671599999</v>
      </c>
      <c r="N21" s="77">
        <v>0.56000000000000005</v>
      </c>
      <c r="O21" s="78">
        <f t="shared" si="7"/>
        <v>113882377.80080001</v>
      </c>
      <c r="P21" s="77">
        <v>0.13</v>
      </c>
      <c r="Q21" s="78">
        <f t="shared" si="8"/>
        <v>26436980.560900003</v>
      </c>
      <c r="R21" s="77"/>
      <c r="S21" s="78">
        <f t="shared" si="9"/>
        <v>0</v>
      </c>
      <c r="T21" s="77"/>
      <c r="U21" s="57">
        <f t="shared" si="10"/>
        <v>0</v>
      </c>
      <c r="Y21" s="12">
        <f>K21-'Mar25'!K21</f>
        <v>-22466812.771908</v>
      </c>
      <c r="Z21" s="12">
        <f>M21-'Mar25'!M21</f>
        <v>8964482.93884</v>
      </c>
      <c r="AA21" s="12">
        <f>O21-'Mar25'!O21</f>
        <v>36891102.34401001</v>
      </c>
      <c r="AB21" s="12">
        <f>Q21-'Mar25'!Q21</f>
        <v>-13379088.013059996</v>
      </c>
      <c r="AC21" s="12">
        <f>+S21-'Mar25'!S21</f>
        <v>0</v>
      </c>
      <c r="AE21" s="28">
        <f>J21-'Mar25'!J21</f>
        <v>-0.11080000000000001</v>
      </c>
      <c r="AF21" s="28">
        <f>L21-'Mar25'!L21</f>
        <v>4.3999999999999997E-2</v>
      </c>
      <c r="AG21" s="28">
        <f>N21-'Mar25'!N21</f>
        <v>0.18100000000000005</v>
      </c>
      <c r="AH21" s="28">
        <f>P21-'Mar25'!P21</f>
        <v>-6.6000000000000003E-2</v>
      </c>
      <c r="AI21" s="28">
        <f>R21-'Mar25'!R21</f>
        <v>0</v>
      </c>
      <c r="AK21" s="10">
        <f>I21-'Mar25'!I21</f>
        <v>218181.92000001669</v>
      </c>
      <c r="AL21" s="76">
        <f>I21/'Mar25'!I21-1</f>
        <v>1.0740301052216683E-3</v>
      </c>
    </row>
    <row r="22" spans="2:39" x14ac:dyDescent="0.25">
      <c r="B22" t="s">
        <v>12</v>
      </c>
      <c r="C22" s="2" t="s">
        <v>16</v>
      </c>
      <c r="D22" t="s">
        <v>58</v>
      </c>
      <c r="F22" s="7">
        <f t="shared" si="4"/>
        <v>1</v>
      </c>
      <c r="H22" s="3" t="s">
        <v>33</v>
      </c>
      <c r="I22" s="78">
        <v>1194476551.4200001</v>
      </c>
      <c r="J22" s="77">
        <v>0.25</v>
      </c>
      <c r="K22" s="78">
        <f t="shared" si="5"/>
        <v>298619137.85500002</v>
      </c>
      <c r="L22" s="77">
        <v>0.13</v>
      </c>
      <c r="M22" s="78">
        <f t="shared" si="6"/>
        <v>155281951.68460003</v>
      </c>
      <c r="N22" s="77">
        <v>0.6</v>
      </c>
      <c r="O22" s="78">
        <f t="shared" si="7"/>
        <v>716685930.852</v>
      </c>
      <c r="P22" s="77">
        <v>0.02</v>
      </c>
      <c r="Q22" s="78">
        <f t="shared" si="8"/>
        <v>23889531.0284</v>
      </c>
      <c r="R22" s="77"/>
      <c r="S22" s="78">
        <f t="shared" si="9"/>
        <v>0</v>
      </c>
      <c r="T22" s="77"/>
      <c r="U22" s="57">
        <f t="shared" si="10"/>
        <v>0</v>
      </c>
      <c r="Y22" s="12">
        <f>K22-'Mar25'!K22</f>
        <v>24856251.38379997</v>
      </c>
      <c r="Z22" s="12">
        <f>M22-'Mar25'!M22</f>
        <v>-11356327.037</v>
      </c>
      <c r="AA22" s="12">
        <f>O22-'Mar25'!O22</f>
        <v>-9380855.0063999891</v>
      </c>
      <c r="AB22" s="12">
        <f>Q22-'Mar25'!Q22</f>
        <v>84062.63959999755</v>
      </c>
      <c r="AC22" s="12">
        <f>+S22-'Mar25'!S22</f>
        <v>0</v>
      </c>
      <c r="AE22" s="28">
        <f>J22-'Mar25'!J22</f>
        <v>1.999999999999999E-2</v>
      </c>
      <c r="AF22" s="28">
        <f>L22-'Mar25'!L22</f>
        <v>-1.0000000000000009E-2</v>
      </c>
      <c r="AG22" s="28">
        <f>N22-'Mar25'!N22</f>
        <v>-1.0000000000000009E-2</v>
      </c>
      <c r="AH22" s="28">
        <f>P22-'Mar25'!P22</f>
        <v>0</v>
      </c>
      <c r="AI22" s="28">
        <f>R22-'Mar25'!R22</f>
        <v>0</v>
      </c>
      <c r="AK22" s="10">
        <f>I22-'Mar25'!I22</f>
        <v>4203131.9800000191</v>
      </c>
      <c r="AL22" s="76">
        <f>I22/'Mar25'!I22-1</f>
        <v>3.5312323297764792E-3</v>
      </c>
    </row>
    <row r="23" spans="2:39" x14ac:dyDescent="0.25">
      <c r="B23" t="s">
        <v>13</v>
      </c>
      <c r="C23" s="2" t="s">
        <v>17</v>
      </c>
      <c r="D23" t="s">
        <v>59</v>
      </c>
      <c r="F23" s="7">
        <f t="shared" si="4"/>
        <v>1</v>
      </c>
      <c r="H23" s="3" t="s">
        <v>68</v>
      </c>
      <c r="I23" s="78">
        <v>220889301.06999999</v>
      </c>
      <c r="J23" s="77">
        <v>0.45419999999999999</v>
      </c>
      <c r="K23" s="78">
        <f t="shared" si="5"/>
        <v>100327920.545994</v>
      </c>
      <c r="L23" s="77">
        <v>0.1216</v>
      </c>
      <c r="M23" s="78">
        <f t="shared" si="6"/>
        <v>26860139.010111999</v>
      </c>
      <c r="N23" s="77">
        <v>0.3327</v>
      </c>
      <c r="O23" s="78">
        <f t="shared" si="7"/>
        <v>73489870.465988994</v>
      </c>
      <c r="P23" s="77">
        <v>8.9499999999999996E-2</v>
      </c>
      <c r="Q23" s="78">
        <f t="shared" si="8"/>
        <v>19769592.445765</v>
      </c>
      <c r="R23" s="77"/>
      <c r="S23" s="78">
        <f t="shared" si="9"/>
        <v>0</v>
      </c>
      <c r="T23" s="77">
        <v>2E-3</v>
      </c>
      <c r="U23" s="57">
        <f t="shared" si="10"/>
        <v>441778.60213999997</v>
      </c>
      <c r="Y23" s="12">
        <f>K23-'Mar25'!K23</f>
        <v>-452198.51319599152</v>
      </c>
      <c r="Z23" s="12">
        <f>M23-'Mar25'!M23</f>
        <v>-121064.15500799939</v>
      </c>
      <c r="AA23" s="12">
        <f>O23-'Mar25'!O23</f>
        <v>-331233.9175260067</v>
      </c>
      <c r="AB23" s="12">
        <f>Q23-'Mar25'!Q23</f>
        <v>-89105.607509996742</v>
      </c>
      <c r="AC23" s="12">
        <f>+S23-'Mar25'!S23</f>
        <v>0</v>
      </c>
      <c r="AE23" s="28">
        <f>J23-'Mar25'!J23</f>
        <v>0</v>
      </c>
      <c r="AF23" s="28">
        <f>L23-'Mar25'!L23</f>
        <v>0</v>
      </c>
      <c r="AG23" s="28">
        <f>N23-'Mar25'!N23</f>
        <v>0</v>
      </c>
      <c r="AH23" s="28">
        <f>P23-'Mar25'!P23</f>
        <v>0</v>
      </c>
      <c r="AI23" s="28">
        <f>R23-'Mar25'!R23</f>
        <v>0</v>
      </c>
      <c r="AJ23" s="93"/>
      <c r="AK23" s="10">
        <f>I23-'Mar25'!I23</f>
        <v>-995593.37999999523</v>
      </c>
      <c r="AL23" s="76">
        <f>I23/'Mar25'!I23-1</f>
        <v>-4.4869813353803911E-3</v>
      </c>
    </row>
    <row r="24" spans="2:39" x14ac:dyDescent="0.25">
      <c r="B24" t="s">
        <v>14</v>
      </c>
      <c r="C24" s="2" t="s">
        <v>18</v>
      </c>
      <c r="F24" s="7">
        <f t="shared" si="4"/>
        <v>0.99999999999999989</v>
      </c>
      <c r="H24" s="3" t="s">
        <v>35</v>
      </c>
      <c r="I24" s="78">
        <v>450792637.17000002</v>
      </c>
      <c r="J24" s="77">
        <v>0.13500000000000001</v>
      </c>
      <c r="K24" s="78">
        <f t="shared" si="5"/>
        <v>60857006.017950006</v>
      </c>
      <c r="L24" s="77">
        <v>0.42</v>
      </c>
      <c r="M24" s="78">
        <f t="shared" si="6"/>
        <v>189332907.61140001</v>
      </c>
      <c r="N24" s="77">
        <v>0.36499999999999999</v>
      </c>
      <c r="O24" s="78">
        <f t="shared" si="7"/>
        <v>164539312.56705001</v>
      </c>
      <c r="P24" s="77">
        <v>0.08</v>
      </c>
      <c r="Q24" s="78">
        <f t="shared" si="8"/>
        <v>36063410.9736</v>
      </c>
      <c r="R24" s="77"/>
      <c r="S24" s="78">
        <f t="shared" si="9"/>
        <v>0</v>
      </c>
      <c r="T24" s="77"/>
      <c r="U24" s="57">
        <f t="shared" si="10"/>
        <v>0</v>
      </c>
      <c r="Y24" s="12">
        <f>K24-'Mar25'!K24</f>
        <v>264231.55259999633</v>
      </c>
      <c r="Z24" s="12">
        <f>M24-'Mar25'!M24</f>
        <v>822053.71920001507</v>
      </c>
      <c r="AA24" s="12">
        <f>O24-'Mar25'!O24</f>
        <v>714403.8273999989</v>
      </c>
      <c r="AB24" s="12">
        <f>Q24-'Mar25'!Q24</f>
        <v>156581.66079999506</v>
      </c>
      <c r="AC24" s="12">
        <f>+S24-'Mar25'!S24</f>
        <v>0</v>
      </c>
      <c r="AE24" s="28">
        <f>J24-'Mar25'!J24</f>
        <v>0</v>
      </c>
      <c r="AF24" s="28">
        <f>L24-'Mar25'!L24</f>
        <v>0</v>
      </c>
      <c r="AG24" s="28">
        <f>N24-'Mar25'!N24</f>
        <v>0</v>
      </c>
      <c r="AH24" s="28">
        <f>P24-'Mar25'!P24</f>
        <v>0</v>
      </c>
      <c r="AI24" s="28">
        <f>R24-'Mar25'!R24</f>
        <v>0</v>
      </c>
      <c r="AJ24" s="93"/>
      <c r="AK24" s="10">
        <f>I24-'Mar25'!I24</f>
        <v>1957270.7599999905</v>
      </c>
      <c r="AL24" s="76">
        <f>I24/'Mar25'!I24-1</f>
        <v>4.3607765931084064E-3</v>
      </c>
    </row>
    <row r="25" spans="2:39" x14ac:dyDescent="0.25">
      <c r="B25" t="s">
        <v>15</v>
      </c>
      <c r="C25" s="2" t="s">
        <v>19</v>
      </c>
      <c r="F25" s="7">
        <f t="shared" si="4"/>
        <v>1</v>
      </c>
      <c r="H25" s="3" t="s">
        <v>36</v>
      </c>
      <c r="I25" s="78">
        <v>820110687.87</v>
      </c>
      <c r="J25" s="77">
        <v>0.17</v>
      </c>
      <c r="K25" s="78">
        <f t="shared" si="5"/>
        <v>139418816.93790001</v>
      </c>
      <c r="L25" s="77">
        <v>0.19</v>
      </c>
      <c r="M25" s="78">
        <f t="shared" si="6"/>
        <v>155821030.69530001</v>
      </c>
      <c r="N25" s="77">
        <v>0.55000000000000004</v>
      </c>
      <c r="O25" s="78">
        <f t="shared" si="7"/>
        <v>451060878.32850003</v>
      </c>
      <c r="P25" s="77">
        <v>0.09</v>
      </c>
      <c r="Q25" s="78">
        <f t="shared" si="8"/>
        <v>73809961.908299997</v>
      </c>
      <c r="R25" s="77"/>
      <c r="S25" s="78">
        <f t="shared" si="9"/>
        <v>0</v>
      </c>
      <c r="T25" s="77"/>
      <c r="U25" s="57">
        <f t="shared" si="10"/>
        <v>0</v>
      </c>
      <c r="Y25" s="12">
        <f>K25-'Mar25'!K25</f>
        <v>-137708.66830000281</v>
      </c>
      <c r="Z25" s="12">
        <f>M25-'Mar25'!M25</f>
        <v>8055297.7005000114</v>
      </c>
      <c r="AA25" s="12">
        <f>O25-'Mar25'!O25</f>
        <v>-8654735.4331000447</v>
      </c>
      <c r="AB25" s="12">
        <f>Q25-'Mar25'!Q25</f>
        <v>-72904.589100003242</v>
      </c>
      <c r="AC25" s="12">
        <f>+S25-'Mar25'!S25</f>
        <v>0</v>
      </c>
      <c r="AE25" s="28">
        <f>J25-'Mar25'!J25</f>
        <v>0</v>
      </c>
      <c r="AF25" s="28">
        <f>L25-'Mar25'!L25</f>
        <v>1.0000000000000009E-2</v>
      </c>
      <c r="AG25" s="28">
        <f>N25-'Mar25'!N25</f>
        <v>-1.0000000000000009E-2</v>
      </c>
      <c r="AH25" s="28">
        <f>P25-'Mar25'!P25</f>
        <v>0</v>
      </c>
      <c r="AI25" s="28">
        <f>R25-'Mar25'!R25</f>
        <v>0</v>
      </c>
      <c r="AJ25" s="93"/>
      <c r="AK25" s="10">
        <f>I25-'Mar25'!I25</f>
        <v>-810050.99000000954</v>
      </c>
      <c r="AL25" s="76">
        <f>I25/'Mar25'!I25-1</f>
        <v>-9.8675907630851878E-4</v>
      </c>
    </row>
    <row r="26" spans="2:39" x14ac:dyDescent="0.25">
      <c r="B26" t="s">
        <v>57</v>
      </c>
      <c r="F26" s="7">
        <f>J26+L26+N26+P26+R26+T26</f>
        <v>1</v>
      </c>
      <c r="H26" s="3" t="s">
        <v>65</v>
      </c>
      <c r="I26" s="78">
        <v>1306290751.3</v>
      </c>
      <c r="J26" s="77">
        <v>0.35</v>
      </c>
      <c r="K26" s="78">
        <f t="shared" si="5"/>
        <v>457201762.95499998</v>
      </c>
      <c r="L26" s="77">
        <v>0.17</v>
      </c>
      <c r="M26" s="78">
        <f t="shared" si="6"/>
        <v>222069427.72100002</v>
      </c>
      <c r="N26" s="77">
        <v>0.4</v>
      </c>
      <c r="O26" s="78">
        <f t="shared" si="7"/>
        <v>522516300.51999998</v>
      </c>
      <c r="P26" s="77">
        <v>0.08</v>
      </c>
      <c r="Q26" s="78">
        <f t="shared" si="8"/>
        <v>104503260.104</v>
      </c>
      <c r="R26" s="77"/>
      <c r="S26" s="78">
        <f t="shared" si="9"/>
        <v>0</v>
      </c>
      <c r="T26" s="77"/>
      <c r="U26" s="57">
        <f t="shared" si="10"/>
        <v>0</v>
      </c>
      <c r="Y26" s="12">
        <f>K26-'Mar25'!K26</f>
        <v>44988936.60619998</v>
      </c>
      <c r="Z26" s="12">
        <f>M26-'Mar25'!M26</f>
        <v>15963014.546600014</v>
      </c>
      <c r="AA26" s="12">
        <f>O26-'Mar25'!O26</f>
        <v>-31394684.886199951</v>
      </c>
      <c r="AB26" s="12">
        <f>Q26-'Mar25'!Q26</f>
        <v>-11431597.30659999</v>
      </c>
      <c r="AC26" s="12">
        <f>+S26-'Mar25'!S26</f>
        <v>0</v>
      </c>
      <c r="AE26" s="28">
        <f>J26-'Mar25'!J26</f>
        <v>2.9999999999999971E-2</v>
      </c>
      <c r="AF26" s="28">
        <f>L26-'Mar25'!L26</f>
        <v>1.0000000000000009E-2</v>
      </c>
      <c r="AG26" s="28">
        <f>N26-'Mar25'!N26</f>
        <v>-2.9999999999999971E-2</v>
      </c>
      <c r="AH26" s="28">
        <f>P26-'Mar25'!P26</f>
        <v>-9.999999999999995E-3</v>
      </c>
      <c r="AI26" s="28">
        <f>R26-'Mar25'!R26</f>
        <v>0</v>
      </c>
      <c r="AK26" s="10">
        <f>I26-'Mar25'!I26</f>
        <v>18125668.960000038</v>
      </c>
      <c r="AL26" s="76">
        <f>I26/'Mar25'!I26-1</f>
        <v>1.4070920884669658E-2</v>
      </c>
    </row>
    <row r="27" spans="2:39" s="8" customFormat="1" x14ac:dyDescent="0.25">
      <c r="B27"/>
      <c r="C27"/>
      <c r="F27" s="7">
        <f t="shared" si="4"/>
        <v>1</v>
      </c>
      <c r="H27" s="21" t="s">
        <v>45</v>
      </c>
      <c r="I27" s="20">
        <f>SUM(I17:I26)</f>
        <v>7066997966.8500004</v>
      </c>
      <c r="J27" s="15">
        <f>K27/$I$27</f>
        <v>0.22719377387625234</v>
      </c>
      <c r="K27" s="63">
        <f>SUM(K17:K26)</f>
        <v>1605577938.0644541</v>
      </c>
      <c r="L27" s="15">
        <f>M27/$I$27</f>
        <v>0.21322897687949605</v>
      </c>
      <c r="M27" s="62">
        <f>SUM(M17:M26)</f>
        <v>1506888746.0809042</v>
      </c>
      <c r="N27" s="15">
        <f>O27/$I$27</f>
        <v>0.45409718763686885</v>
      </c>
      <c r="O27" s="63">
        <f>SUM(O17:O26)</f>
        <v>3209103901.7820554</v>
      </c>
      <c r="P27" s="15">
        <f>Q27/$I$27</f>
        <v>8.7562596021177747E-2</v>
      </c>
      <c r="Q27" s="63">
        <f>SUM(Q17:Q26)</f>
        <v>618804688.05377102</v>
      </c>
      <c r="R27" s="15">
        <f>S27/$I$27</f>
        <v>1.2518791917333207E-2</v>
      </c>
      <c r="S27" s="63">
        <f>SUM(S17:S26)</f>
        <v>88470277.027211994</v>
      </c>
      <c r="T27" s="15">
        <f>U27/$I$27</f>
        <v>5.3986736688718508E-3</v>
      </c>
      <c r="U27" s="17">
        <f>SUM(U17:U26)</f>
        <v>38152415.841604002</v>
      </c>
      <c r="Y27" s="12">
        <f>K27-'Mar25'!K27</f>
        <v>41767692.04975605</v>
      </c>
      <c r="Z27" s="12">
        <f>M27-'Mar25'!M27</f>
        <v>104638474.52691221</v>
      </c>
      <c r="AA27" s="12">
        <f>O27-'Mar25'!O27</f>
        <v>-64051407.981648922</v>
      </c>
      <c r="AB27" s="12">
        <f>Q27-'Mar25'!Q27</f>
        <v>-50276773.577989936</v>
      </c>
      <c r="AC27" s="12">
        <f>+S27-'Mar25'!S27</f>
        <v>88470277.027211994</v>
      </c>
      <c r="AE27" s="28">
        <f>J27-'Mar25'!J27</f>
        <v>4.742876966963433E-3</v>
      </c>
      <c r="AF27" s="28">
        <f>L27-'Mar25'!L27</f>
        <v>1.3759871600627305E-2</v>
      </c>
      <c r="AG27" s="28">
        <f>N27-'Mar25'!N27</f>
        <v>-1.1506830648540078E-2</v>
      </c>
      <c r="AH27" s="28">
        <f>P27-'Mar25'!P27</f>
        <v>-7.6137667278640409E-3</v>
      </c>
      <c r="AI27" s="28">
        <f>R27-'Mar25'!R27</f>
        <v>1.2518791917333207E-2</v>
      </c>
      <c r="AK27" s="92">
        <f>I27-'Mar25'!I27</f>
        <v>37085893.030000687</v>
      </c>
      <c r="AL27" s="76">
        <f>I27/'Mar25'!I27-1</f>
        <v>5.2754419458689306E-3</v>
      </c>
    </row>
    <row r="28" spans="2:39" x14ac:dyDescent="0.25">
      <c r="F28" s="7"/>
      <c r="I28" s="10"/>
      <c r="J28" s="10"/>
      <c r="K28" s="10"/>
      <c r="L28" s="5"/>
      <c r="M28" s="10"/>
      <c r="N28" s="10"/>
      <c r="O28" s="10"/>
      <c r="P28" s="5"/>
      <c r="Q28" s="10"/>
    </row>
    <row r="29" spans="2:39" x14ac:dyDescent="0.25">
      <c r="F29" s="7"/>
      <c r="H29" s="4" t="s">
        <v>38</v>
      </c>
      <c r="I29" s="9" t="s">
        <v>4</v>
      </c>
      <c r="J29" s="113" t="s">
        <v>7</v>
      </c>
      <c r="K29" s="113"/>
      <c r="L29" s="112" t="s">
        <v>8</v>
      </c>
      <c r="M29" s="112"/>
      <c r="N29" s="112" t="s">
        <v>10</v>
      </c>
      <c r="O29" s="112"/>
      <c r="P29" s="112" t="s">
        <v>9</v>
      </c>
      <c r="Q29" s="112"/>
      <c r="R29" s="112" t="s">
        <v>40</v>
      </c>
      <c r="S29" s="112"/>
      <c r="T29" s="112" t="s">
        <v>55</v>
      </c>
      <c r="U29" s="112"/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  <c r="AE29" s="27" t="s">
        <v>49</v>
      </c>
      <c r="AF29" s="27" t="s">
        <v>50</v>
      </c>
      <c r="AG29" s="27" t="s">
        <v>51</v>
      </c>
      <c r="AH29" s="27" t="s">
        <v>52</v>
      </c>
      <c r="AI29" s="27" t="s">
        <v>54</v>
      </c>
    </row>
    <row r="30" spans="2:39" x14ac:dyDescent="0.25">
      <c r="E30" s="98"/>
      <c r="F30" s="7">
        <f>J30+L30+N30+P30+R30+T30</f>
        <v>1</v>
      </c>
      <c r="G30" s="98"/>
      <c r="H30" s="21" t="s">
        <v>39</v>
      </c>
      <c r="I30" s="87">
        <v>251147513.22</v>
      </c>
      <c r="J30" s="81">
        <v>7.5399999999999995E-2</v>
      </c>
      <c r="K30" s="80">
        <f t="shared" ref="K30:K35" si="11">+J30*$I30</f>
        <v>18936522.496787999</v>
      </c>
      <c r="L30" s="81">
        <v>0.2228</v>
      </c>
      <c r="M30" s="80">
        <f t="shared" ref="M30:M35" si="12">+L30*$I30</f>
        <v>55955665.945415996</v>
      </c>
      <c r="N30" s="81">
        <v>0.51700000000000002</v>
      </c>
      <c r="O30" s="80">
        <f t="shared" ref="O30:O35" si="13">+N30*$I30</f>
        <v>129843264.33474</v>
      </c>
      <c r="P30" s="81">
        <v>0.1079</v>
      </c>
      <c r="Q30" s="80">
        <f t="shared" ref="Q30:Q35" si="14">+P30*$I30</f>
        <v>27098816.676438</v>
      </c>
      <c r="R30" s="88">
        <v>3.9800000000000002E-2</v>
      </c>
      <c r="S30" s="80">
        <f t="shared" ref="S30:S35" si="15">+R30*$I30</f>
        <v>9995671.0261560008</v>
      </c>
      <c r="T30" s="81">
        <v>3.7100000000000001E-2</v>
      </c>
      <c r="U30" s="65">
        <f t="shared" ref="U30:U35" si="16">+T30*$I30</f>
        <v>9317572.7404619996</v>
      </c>
      <c r="V30" s="98"/>
      <c r="Y30" s="12">
        <f>K30-'Mar25'!K30</f>
        <v>-5786925.5638590008</v>
      </c>
      <c r="Z30" s="12">
        <f>M30-'Mar25'!M30</f>
        <v>71154.675604999065</v>
      </c>
      <c r="AA30" s="12">
        <f>O30-'Mar25'!O30</f>
        <v>4497637.0850160122</v>
      </c>
      <c r="AB30" s="12">
        <f>Q30-'Mar25'!Q30</f>
        <v>2275172.2710670009</v>
      </c>
      <c r="AC30" s="12">
        <f>+S30-'Mar25'!S30</f>
        <v>-324552.48041599989</v>
      </c>
      <c r="AD30" s="98"/>
      <c r="AE30" s="28">
        <f>J30-'Mar25'!J30</f>
        <v>-2.3300000000000001E-2</v>
      </c>
      <c r="AF30" s="28">
        <f>L30-'Mar25'!L30</f>
        <v>-2.9999999999999472E-4</v>
      </c>
      <c r="AG30" s="28">
        <f>N30-'Mar25'!N30</f>
        <v>1.6600000000000059E-2</v>
      </c>
      <c r="AH30" s="28">
        <f>P30-'Mar25'!P30</f>
        <v>8.8000000000000023E-3</v>
      </c>
      <c r="AI30" s="28">
        <f>R30-'Mar25'!R30</f>
        <v>-1.3999999999999985E-3</v>
      </c>
      <c r="AJ30" s="98"/>
      <c r="AK30" s="10">
        <f>I30-'Mar25'!I30</f>
        <v>656651.40999999642</v>
      </c>
      <c r="AL30" s="76">
        <f>I30/'Mar25'!I30-1</f>
        <v>2.6214585444561678E-3</v>
      </c>
      <c r="AM30" s="98"/>
    </row>
    <row r="31" spans="2:39" hidden="1" outlineLevel="1" x14ac:dyDescent="0.25">
      <c r="F31" s="7">
        <f t="shared" si="4"/>
        <v>0</v>
      </c>
      <c r="H31" s="3" t="s">
        <v>56</v>
      </c>
      <c r="I31" s="78"/>
      <c r="J31" s="77"/>
      <c r="K31" s="78">
        <f t="shared" si="11"/>
        <v>0</v>
      </c>
      <c r="L31" s="77"/>
      <c r="M31" s="78">
        <f t="shared" si="12"/>
        <v>0</v>
      </c>
      <c r="N31" s="77"/>
      <c r="O31" s="78">
        <f t="shared" si="13"/>
        <v>0</v>
      </c>
      <c r="P31" s="77"/>
      <c r="Q31" s="78">
        <f t="shared" si="14"/>
        <v>0</v>
      </c>
      <c r="R31" s="77"/>
      <c r="S31" s="78">
        <f t="shared" si="15"/>
        <v>0</v>
      </c>
      <c r="T31" s="77"/>
      <c r="U31" s="72">
        <f t="shared" si="16"/>
        <v>0</v>
      </c>
      <c r="Y31" s="12">
        <f>K31-'Mar25'!K31</f>
        <v>0</v>
      </c>
      <c r="Z31" s="12">
        <f>M31-'Mar25'!M31</f>
        <v>0</v>
      </c>
      <c r="AA31" s="12">
        <f>O31-'Mar25'!O31</f>
        <v>0</v>
      </c>
      <c r="AB31" s="12">
        <f>Q31-'Mar25'!Q31</f>
        <v>0</v>
      </c>
      <c r="AC31" s="12">
        <f>+S31-'Mar25'!S31</f>
        <v>0</v>
      </c>
      <c r="AE31" s="28">
        <f>J31-'Mar25'!J31</f>
        <v>0</v>
      </c>
      <c r="AF31" s="28">
        <f>L31-'Mar25'!L31</f>
        <v>0</v>
      </c>
      <c r="AG31" s="28">
        <f>N31-'Mar25'!N31</f>
        <v>0</v>
      </c>
      <c r="AH31" s="28">
        <f>P31-'Mar25'!P31</f>
        <v>0</v>
      </c>
      <c r="AI31" s="28">
        <f>R31-'Mar25'!R31</f>
        <v>0</v>
      </c>
      <c r="AK31" s="10">
        <f>I31-'Mar25'!I31</f>
        <v>0</v>
      </c>
      <c r="AL31" s="76" t="e">
        <f>I31/'Mar25'!I31-1</f>
        <v>#DIV/0!</v>
      </c>
    </row>
    <row r="32" spans="2:39" collapsed="1" x14ac:dyDescent="0.25">
      <c r="F32" s="7">
        <f t="shared" si="4"/>
        <v>0.99999999999999989</v>
      </c>
      <c r="H32" s="3" t="s">
        <v>42</v>
      </c>
      <c r="I32" s="84">
        <v>207735839</v>
      </c>
      <c r="J32" s="77">
        <v>0.06</v>
      </c>
      <c r="K32" s="78">
        <f t="shared" si="11"/>
        <v>12464150.34</v>
      </c>
      <c r="L32" s="77">
        <v>0.13</v>
      </c>
      <c r="M32" s="78">
        <f t="shared" si="12"/>
        <v>27005659.07</v>
      </c>
      <c r="N32" s="77">
        <v>0.41</v>
      </c>
      <c r="O32" s="78">
        <f t="shared" si="13"/>
        <v>85171693.989999995</v>
      </c>
      <c r="P32" s="77">
        <v>0.06</v>
      </c>
      <c r="Q32" s="78">
        <f t="shared" si="14"/>
        <v>12464150.34</v>
      </c>
      <c r="R32" s="77">
        <v>0.23</v>
      </c>
      <c r="S32" s="78">
        <f t="shared" si="15"/>
        <v>47779242.969999999</v>
      </c>
      <c r="T32" s="77">
        <v>0.11</v>
      </c>
      <c r="U32" s="72">
        <f t="shared" si="16"/>
        <v>22850942.289999999</v>
      </c>
      <c r="Y32" s="12">
        <f>K32-'Mar25'!K32</f>
        <v>-6713237.7400000021</v>
      </c>
      <c r="Z32" s="12">
        <f>M32-'Mar25'!M32</f>
        <v>3033923.9699999988</v>
      </c>
      <c r="AA32" s="12">
        <f>O32-'Mar25'!O32</f>
        <v>-29892634.489999995</v>
      </c>
      <c r="AB32" s="12">
        <f>Q32-'Mar25'!Q32</f>
        <v>2875456.2999999989</v>
      </c>
      <c r="AC32" s="12">
        <f>+S32-'Mar25'!S32</f>
        <v>-12150094.780000001</v>
      </c>
      <c r="AE32" s="28">
        <f>J32-'Mar25'!J32</f>
        <v>-2.0000000000000004E-2</v>
      </c>
      <c r="AF32" s="28">
        <f>L32-'Mar25'!L32</f>
        <v>0.03</v>
      </c>
      <c r="AG32" s="28">
        <f>N32-'Mar25'!N32</f>
        <v>-7.0000000000000007E-2</v>
      </c>
      <c r="AH32" s="28">
        <f>P32-'Mar25'!P32</f>
        <v>1.9999999999999997E-2</v>
      </c>
      <c r="AI32" s="28">
        <f>R32-'Mar25'!R32</f>
        <v>-1.999999999999999E-2</v>
      </c>
      <c r="AK32" s="10">
        <f>I32-'Mar25'!I32</f>
        <v>-31981512</v>
      </c>
      <c r="AL32" s="76">
        <f>I32/'Mar25'!I32-1</f>
        <v>-0.13341342154243974</v>
      </c>
    </row>
    <row r="33" spans="6:38" x14ac:dyDescent="0.25">
      <c r="F33" s="7">
        <f t="shared" si="4"/>
        <v>1</v>
      </c>
      <c r="H33" s="3" t="s">
        <v>69</v>
      </c>
      <c r="I33" s="84">
        <v>511810638.99000001</v>
      </c>
      <c r="J33" s="77">
        <v>0.17</v>
      </c>
      <c r="K33" s="78">
        <f t="shared" si="11"/>
        <v>87007808.628300011</v>
      </c>
      <c r="L33" s="77">
        <v>0.04</v>
      </c>
      <c r="M33" s="78">
        <f t="shared" si="12"/>
        <v>20472425.559599999</v>
      </c>
      <c r="N33" s="77">
        <v>0.63</v>
      </c>
      <c r="O33" s="78">
        <f t="shared" si="13"/>
        <v>322440702.56370002</v>
      </c>
      <c r="P33" s="77">
        <v>0.16</v>
      </c>
      <c r="Q33" s="78">
        <f t="shared" si="14"/>
        <v>81889702.238399997</v>
      </c>
      <c r="R33" s="77"/>
      <c r="S33" s="78">
        <f t="shared" si="15"/>
        <v>0</v>
      </c>
      <c r="T33" s="77"/>
      <c r="U33" s="72">
        <f t="shared" si="16"/>
        <v>0</v>
      </c>
      <c r="Y33" s="12">
        <f>K33-'Mar25'!K33</f>
        <v>-5873095.5296999961</v>
      </c>
      <c r="Z33" s="12">
        <f>M33-'Mar25'!M33</f>
        <v>-167775.36440000311</v>
      </c>
      <c r="AA33" s="12">
        <f>O33-'Mar25'!O33</f>
        <v>28317839.396700025</v>
      </c>
      <c r="AB33" s="12">
        <f>Q33-'Mar25'!Q33</f>
        <v>-21311302.381600007</v>
      </c>
      <c r="AC33" s="12">
        <f>+S33-'Mar25'!S33</f>
        <v>0</v>
      </c>
      <c r="AE33" s="28">
        <f>J33-'Mar25'!J33</f>
        <v>-9.9999999999999811E-3</v>
      </c>
      <c r="AF33" s="28">
        <f>L33-'Mar25'!L33</f>
        <v>0</v>
      </c>
      <c r="AG33" s="28">
        <f>N33-'Mar25'!N33</f>
        <v>6.0000000000000053E-2</v>
      </c>
      <c r="AH33" s="28">
        <f>P33-'Mar25'!P33</f>
        <v>-4.0000000000000008E-2</v>
      </c>
      <c r="AI33" s="28">
        <f>R33-'Mar25'!R33</f>
        <v>0</v>
      </c>
      <c r="AK33" s="10">
        <f>I33-'Mar25'!I33</f>
        <v>-4194384.1100000143</v>
      </c>
      <c r="AL33" s="76">
        <f>I33/'Mar25'!I33-1</f>
        <v>-8.1285722468387167E-3</v>
      </c>
    </row>
    <row r="34" spans="6:38" x14ac:dyDescent="0.25">
      <c r="F34" s="7">
        <f t="shared" si="4"/>
        <v>1</v>
      </c>
      <c r="H34" s="3" t="s">
        <v>44</v>
      </c>
      <c r="I34" s="84">
        <v>80929367.040000007</v>
      </c>
      <c r="J34" s="77">
        <v>0.05</v>
      </c>
      <c r="K34" s="78">
        <f t="shared" si="11"/>
        <v>4046468.3520000004</v>
      </c>
      <c r="L34" s="77">
        <v>0.03</v>
      </c>
      <c r="M34" s="78">
        <f t="shared" si="12"/>
        <v>2427881.0112000001</v>
      </c>
      <c r="N34" s="77">
        <v>1.1299999999999999</v>
      </c>
      <c r="O34" s="78">
        <f t="shared" si="13"/>
        <v>91450184.755199999</v>
      </c>
      <c r="P34" s="77">
        <v>0.01</v>
      </c>
      <c r="Q34" s="78">
        <f t="shared" si="14"/>
        <v>809293.67040000006</v>
      </c>
      <c r="R34" s="77">
        <v>0.05</v>
      </c>
      <c r="S34" s="78">
        <f t="shared" si="15"/>
        <v>4046468.3520000004</v>
      </c>
      <c r="T34" s="77">
        <v>-0.27</v>
      </c>
      <c r="U34" s="72">
        <f t="shared" si="16"/>
        <v>-21850929.100800004</v>
      </c>
      <c r="Y34" s="12">
        <f>K34-'Mar25'!K34</f>
        <v>-19078.353999999817</v>
      </c>
      <c r="Z34" s="12">
        <f>M34-'Mar25'!M34</f>
        <v>-824556.35360000003</v>
      </c>
      <c r="AA34" s="12">
        <f>O34-'Mar25'!O34</f>
        <v>39411186.918399997</v>
      </c>
      <c r="AB34" s="12">
        <f>Q34-'Mar25'!Q34</f>
        <v>-3815.6707999999635</v>
      </c>
      <c r="AC34" s="12">
        <f>+S34-'Mar25'!S34</f>
        <v>-12215718.472000001</v>
      </c>
      <c r="AE34" s="28">
        <f>J34-'Mar25'!J34</f>
        <v>0</v>
      </c>
      <c r="AF34" s="28">
        <f>L34-'Mar25'!L34</f>
        <v>-1.0000000000000002E-2</v>
      </c>
      <c r="AG34" s="28">
        <f>N34-'Mar25'!N34</f>
        <v>0.48999999999999988</v>
      </c>
      <c r="AH34" s="28">
        <f>P34-'Mar25'!P34</f>
        <v>0</v>
      </c>
      <c r="AI34" s="28">
        <f>R34-'Mar25'!R34</f>
        <v>-0.15000000000000002</v>
      </c>
      <c r="AK34" s="10">
        <f>I34-'Mar25'!I34</f>
        <v>-381567.07999999821</v>
      </c>
      <c r="AL34" s="76">
        <f>I34/'Mar25'!I34-1</f>
        <v>-4.6926908924311839E-3</v>
      </c>
    </row>
    <row r="35" spans="6:38" x14ac:dyDescent="0.25">
      <c r="F35" s="7">
        <f t="shared" si="4"/>
        <v>1</v>
      </c>
      <c r="H35" s="3" t="s">
        <v>66</v>
      </c>
      <c r="I35" s="84">
        <v>309600000</v>
      </c>
      <c r="J35" s="77">
        <v>0.04</v>
      </c>
      <c r="K35" s="78">
        <f t="shared" si="11"/>
        <v>12384000</v>
      </c>
      <c r="L35" s="77">
        <v>0.02</v>
      </c>
      <c r="M35" s="78">
        <f t="shared" si="12"/>
        <v>6192000</v>
      </c>
      <c r="N35" s="77">
        <v>0.48</v>
      </c>
      <c r="O35" s="78">
        <f t="shared" si="13"/>
        <v>148608000</v>
      </c>
      <c r="P35" s="77">
        <v>0.28999999999999998</v>
      </c>
      <c r="Q35" s="78">
        <f t="shared" si="14"/>
        <v>89784000</v>
      </c>
      <c r="R35" s="77">
        <v>0.17</v>
      </c>
      <c r="S35" s="78">
        <f t="shared" si="15"/>
        <v>52632000.000000007</v>
      </c>
      <c r="T35" s="77"/>
      <c r="U35" s="72">
        <f t="shared" si="16"/>
        <v>0</v>
      </c>
      <c r="Y35" s="12">
        <f>K35-'Mar25'!K35</f>
        <v>-3031000</v>
      </c>
      <c r="Z35" s="12">
        <f>M35-'Mar25'!M35</f>
        <v>3109000</v>
      </c>
      <c r="AA35" s="12">
        <f>O35-'Mar25'!O35</f>
        <v>624000</v>
      </c>
      <c r="AB35" s="12">
        <f>Q35-'Mar25'!Q35</f>
        <v>377000</v>
      </c>
      <c r="AC35" s="12">
        <f>+S35-'Mar25'!S35</f>
        <v>3304000.0000000075</v>
      </c>
      <c r="AE35" s="28">
        <f>J35-'Mar25'!J35</f>
        <v>-1.0000000000000002E-2</v>
      </c>
      <c r="AF35" s="28">
        <f>L35-'Mar25'!L35</f>
        <v>0.01</v>
      </c>
      <c r="AG35" s="28">
        <f>N35-'Mar25'!N35</f>
        <v>0</v>
      </c>
      <c r="AH35" s="28">
        <f>P35-'Mar25'!P35</f>
        <v>0</v>
      </c>
      <c r="AI35" s="28">
        <f>R35-'Mar25'!R35</f>
        <v>1.0000000000000009E-2</v>
      </c>
      <c r="AK35" s="10">
        <f>I35-'Mar25'!I35</f>
        <v>1300000</v>
      </c>
      <c r="AL35" s="76">
        <f>I35/'Mar25'!I35-1</f>
        <v>4.2166720726564133E-3</v>
      </c>
    </row>
    <row r="36" spans="6:38" s="8" customFormat="1" x14ac:dyDescent="0.25">
      <c r="F36" s="7">
        <f t="shared" si="4"/>
        <v>1</v>
      </c>
      <c r="H36" s="3" t="s">
        <v>45</v>
      </c>
      <c r="I36" s="17">
        <f>SUM(I30:I35)</f>
        <v>1361223358.25</v>
      </c>
      <c r="J36" s="15">
        <f>+K36/$I$36</f>
        <v>9.9057181909101288E-2</v>
      </c>
      <c r="K36" s="17">
        <f>SUM(K30:K35)</f>
        <v>134838949.81708801</v>
      </c>
      <c r="L36" s="15">
        <f>+M36/$I$36</f>
        <v>8.2318328514633388E-2</v>
      </c>
      <c r="M36" s="17">
        <f>SUM(M30:M35)</f>
        <v>112053631.58621599</v>
      </c>
      <c r="N36" s="15">
        <f>+O36/$I$36</f>
        <v>0.57118755781800445</v>
      </c>
      <c r="O36" s="17">
        <f>SUM(O30:O35)</f>
        <v>777513845.64364004</v>
      </c>
      <c r="P36" s="15">
        <f>+Q36/$I$36</f>
        <v>0.15577602429468007</v>
      </c>
      <c r="Q36" s="17">
        <f>SUM(Q30:Q35)</f>
        <v>212045962.92523798</v>
      </c>
      <c r="R36" s="15">
        <f>+S36/$I$36</f>
        <v>8.4081265322465681E-2</v>
      </c>
      <c r="S36" s="17">
        <f>SUM(S30:S35)</f>
        <v>114453382.34815601</v>
      </c>
      <c r="T36" s="15">
        <f>+U36/$I$36</f>
        <v>7.5796421411151562E-3</v>
      </c>
      <c r="U36" s="63">
        <f>SUM(U30:U35)</f>
        <v>10317585.929661993</v>
      </c>
      <c r="Y36" s="12">
        <f>K36-'Mar25'!K36</f>
        <v>-21423337.187559009</v>
      </c>
      <c r="Z36" s="12">
        <f>M36-'Mar25'!M36</f>
        <v>5221746.9276049882</v>
      </c>
      <c r="AA36" s="12">
        <f>O36-'Mar25'!O36</f>
        <v>42958028.910116076</v>
      </c>
      <c r="AB36" s="12">
        <f>Q36-'Mar25'!Q36</f>
        <v>-15787489.481333017</v>
      </c>
      <c r="AC36" s="12">
        <f>+S36-'Mar25'!S36</f>
        <v>-21386365.732416004</v>
      </c>
      <c r="AE36" s="28">
        <f>J36-'Mar25'!J36</f>
        <v>-1.289265415176051E-2</v>
      </c>
      <c r="AF36" s="28">
        <f>L36-'Mar25'!L36</f>
        <v>5.781550493147436E-3</v>
      </c>
      <c r="AG36" s="28">
        <f>N36-'Mar25'!N36</f>
        <v>4.4935159768659694E-2</v>
      </c>
      <c r="AH36" s="28">
        <f>P36-'Mar25'!P36</f>
        <v>-7.4490131408546656E-3</v>
      </c>
      <c r="AI36" s="28">
        <f>R36-'Mar25'!R36</f>
        <v>-1.3237402026339745E-2</v>
      </c>
      <c r="AK36" s="92">
        <f>I36-'Mar25'!I36</f>
        <v>-34600811.78000021</v>
      </c>
      <c r="AL36" s="76">
        <f>I36/'Mar25'!I36-1</f>
        <v>-2.4788804007639831E-2</v>
      </c>
    </row>
    <row r="37" spans="6:38" x14ac:dyDescent="0.25">
      <c r="F37" s="7"/>
    </row>
    <row r="38" spans="6:38" x14ac:dyDescent="0.25">
      <c r="F38" s="7"/>
      <c r="K38"/>
    </row>
    <row r="39" spans="6:38" x14ac:dyDescent="0.25">
      <c r="F39" s="7"/>
      <c r="J39" s="38"/>
    </row>
    <row r="40" spans="6:38" x14ac:dyDescent="0.25">
      <c r="F40" s="7"/>
      <c r="I40" s="30"/>
      <c r="J40" s="35"/>
    </row>
    <row r="41" spans="6:38" x14ac:dyDescent="0.25">
      <c r="F41" s="7"/>
      <c r="I41" s="37"/>
      <c r="J41" s="35"/>
    </row>
    <row r="42" spans="6:38" x14ac:dyDescent="0.25">
      <c r="F42" s="7"/>
      <c r="I42" s="37"/>
      <c r="J42" s="35"/>
    </row>
    <row r="43" spans="6:38" x14ac:dyDescent="0.25">
      <c r="F43" s="7"/>
      <c r="I43" s="37"/>
      <c r="J43" s="35"/>
    </row>
    <row r="44" spans="6:38" x14ac:dyDescent="0.25">
      <c r="F44" s="7"/>
      <c r="I44" s="37"/>
      <c r="J44" s="35"/>
    </row>
    <row r="45" spans="6:38" x14ac:dyDescent="0.25">
      <c r="F45" s="7"/>
      <c r="I45" s="37"/>
      <c r="J45" s="35"/>
      <c r="K45" s="37"/>
    </row>
    <row r="46" spans="6:38" x14ac:dyDescent="0.25">
      <c r="F46" s="7"/>
      <c r="I46" s="37"/>
      <c r="J46" s="35"/>
    </row>
    <row r="47" spans="6:38" x14ac:dyDescent="0.25">
      <c r="F47" s="7"/>
      <c r="I47" s="37"/>
      <c r="J47" s="35"/>
    </row>
    <row r="48" spans="6:38" x14ac:dyDescent="0.25">
      <c r="F48" s="7"/>
      <c r="I48" s="37"/>
      <c r="J48" s="35"/>
    </row>
    <row r="49" spans="9:10" x14ac:dyDescent="0.25">
      <c r="I49" s="37"/>
      <c r="J49" s="35"/>
    </row>
    <row r="50" spans="9:10" x14ac:dyDescent="0.25">
      <c r="I50" s="37"/>
      <c r="J50" s="35"/>
    </row>
    <row r="51" spans="9:10" x14ac:dyDescent="0.25">
      <c r="I51" s="37"/>
      <c r="J51" s="35"/>
    </row>
    <row r="52" spans="9:10" x14ac:dyDescent="0.25">
      <c r="I52" s="37"/>
      <c r="J52" s="35"/>
    </row>
    <row r="53" spans="9:10" x14ac:dyDescent="0.25">
      <c r="I53" s="37"/>
      <c r="J53" s="35"/>
    </row>
    <row r="54" spans="9:10" x14ac:dyDescent="0.25">
      <c r="I54" s="37"/>
      <c r="J54" s="35"/>
    </row>
    <row r="55" spans="9:10" x14ac:dyDescent="0.25">
      <c r="I55" s="37"/>
      <c r="J55" s="35"/>
    </row>
    <row r="56" spans="9:10" x14ac:dyDescent="0.25">
      <c r="I56" s="37"/>
      <c r="J56" s="35"/>
    </row>
    <row r="57" spans="9:10" x14ac:dyDescent="0.25">
      <c r="I57" s="37"/>
      <c r="J57" s="35"/>
    </row>
    <row r="58" spans="9:10" x14ac:dyDescent="0.25">
      <c r="I58" s="37"/>
      <c r="J58" s="35"/>
    </row>
    <row r="59" spans="9:10" x14ac:dyDescent="0.25">
      <c r="I59" s="37"/>
      <c r="J59" s="35"/>
    </row>
    <row r="60" spans="9:10" x14ac:dyDescent="0.25">
      <c r="I60" s="37"/>
      <c r="J60" s="35"/>
    </row>
    <row r="61" spans="9:10" x14ac:dyDescent="0.25">
      <c r="I61" s="37"/>
      <c r="J61" s="35"/>
    </row>
    <row r="62" spans="9:10" x14ac:dyDescent="0.25">
      <c r="I62" s="37"/>
      <c r="J62" s="35"/>
    </row>
    <row r="63" spans="9:10" x14ac:dyDescent="0.25">
      <c r="I63" s="37"/>
      <c r="J63" s="35"/>
    </row>
    <row r="64" spans="9:10" x14ac:dyDescent="0.25">
      <c r="I64" s="37"/>
      <c r="J64" s="35"/>
    </row>
    <row r="65" spans="9:10" x14ac:dyDescent="0.25">
      <c r="I65" s="37"/>
      <c r="J65" s="35"/>
    </row>
    <row r="66" spans="9:10" x14ac:dyDescent="0.25">
      <c r="I66" s="37"/>
      <c r="J66" s="35"/>
    </row>
    <row r="67" spans="9:10" x14ac:dyDescent="0.25">
      <c r="I67" s="37"/>
      <c r="J67" s="35"/>
    </row>
    <row r="68" spans="9:10" x14ac:dyDescent="0.25">
      <c r="I68" s="37"/>
      <c r="J68" s="35"/>
    </row>
    <row r="69" spans="9:10" x14ac:dyDescent="0.25">
      <c r="I69" s="37"/>
      <c r="J69" s="35"/>
    </row>
    <row r="70" spans="9:10" x14ac:dyDescent="0.25">
      <c r="I70" s="37"/>
      <c r="J70" s="35"/>
    </row>
    <row r="71" spans="9:10" x14ac:dyDescent="0.25">
      <c r="I71" s="37"/>
      <c r="J71" s="35"/>
    </row>
    <row r="72" spans="9:10" x14ac:dyDescent="0.25">
      <c r="I72" s="37"/>
      <c r="J72" s="35"/>
    </row>
    <row r="73" spans="9:10" x14ac:dyDescent="0.25">
      <c r="I73" s="37"/>
      <c r="J73" s="35"/>
    </row>
    <row r="74" spans="9:10" x14ac:dyDescent="0.25">
      <c r="I74" s="37"/>
      <c r="J74" s="35"/>
    </row>
    <row r="75" spans="9:10" x14ac:dyDescent="0.25">
      <c r="I75" s="37"/>
      <c r="J75" s="35"/>
    </row>
    <row r="76" spans="9:10" x14ac:dyDescent="0.25">
      <c r="I76" s="37"/>
      <c r="J76" s="35"/>
    </row>
    <row r="77" spans="9:10" x14ac:dyDescent="0.25">
      <c r="I77" s="37"/>
      <c r="J77" s="35"/>
    </row>
    <row r="78" spans="9:10" x14ac:dyDescent="0.25">
      <c r="I78" s="37"/>
      <c r="J78" s="35"/>
    </row>
    <row r="79" spans="9:10" x14ac:dyDescent="0.25">
      <c r="I79" s="37"/>
      <c r="J79" s="35"/>
    </row>
    <row r="80" spans="9:10" x14ac:dyDescent="0.25">
      <c r="I80" s="37"/>
      <c r="J80" s="35"/>
    </row>
    <row r="81" spans="9:10" x14ac:dyDescent="0.25">
      <c r="I81" s="37"/>
      <c r="J81" s="35"/>
    </row>
    <row r="82" spans="9:10" x14ac:dyDescent="0.25">
      <c r="I82" s="37"/>
      <c r="J82" s="35"/>
    </row>
    <row r="83" spans="9:10" x14ac:dyDescent="0.25">
      <c r="I83" s="37"/>
      <c r="J83" s="35"/>
    </row>
    <row r="84" spans="9:10" x14ac:dyDescent="0.25">
      <c r="I84" s="37"/>
      <c r="J84" s="35"/>
    </row>
    <row r="85" spans="9:10" x14ac:dyDescent="0.25">
      <c r="I85" s="37"/>
      <c r="J85" s="35"/>
    </row>
    <row r="86" spans="9:10" x14ac:dyDescent="0.25">
      <c r="I86" s="37"/>
      <c r="J86" s="35"/>
    </row>
    <row r="87" spans="9:10" x14ac:dyDescent="0.25">
      <c r="I87" s="37"/>
      <c r="J87" s="35"/>
    </row>
    <row r="88" spans="9:10" x14ac:dyDescent="0.25">
      <c r="I88" s="37"/>
      <c r="J88" s="35"/>
    </row>
    <row r="89" spans="9:10" x14ac:dyDescent="0.25">
      <c r="I89" s="37"/>
      <c r="J89" s="35"/>
    </row>
    <row r="90" spans="9:10" x14ac:dyDescent="0.25">
      <c r="I90" s="37"/>
      <c r="J90" s="35"/>
    </row>
    <row r="91" spans="9:10" x14ac:dyDescent="0.25">
      <c r="I91" s="37"/>
      <c r="J91" s="35"/>
    </row>
    <row r="92" spans="9:10" x14ac:dyDescent="0.25">
      <c r="I92" s="37"/>
      <c r="J92" s="35"/>
    </row>
    <row r="93" spans="9:10" x14ac:dyDescent="0.25">
      <c r="I93" s="37"/>
      <c r="J93" s="35"/>
    </row>
    <row r="94" spans="9:10" x14ac:dyDescent="0.25">
      <c r="I94" s="37"/>
      <c r="J94" s="35"/>
    </row>
    <row r="95" spans="9:10" x14ac:dyDescent="0.25">
      <c r="I95" s="37"/>
      <c r="J95" s="35"/>
    </row>
    <row r="96" spans="9:10" x14ac:dyDescent="0.25">
      <c r="I96" s="37"/>
      <c r="J96" s="35"/>
    </row>
    <row r="97" spans="9:10" x14ac:dyDescent="0.25">
      <c r="I97" s="37"/>
      <c r="J97" s="35"/>
    </row>
    <row r="98" spans="9:10" x14ac:dyDescent="0.25">
      <c r="I98" s="37"/>
      <c r="J98" s="35"/>
    </row>
    <row r="99" spans="9:10" x14ac:dyDescent="0.25">
      <c r="I99" s="37"/>
      <c r="J99" s="35"/>
    </row>
    <row r="100" spans="9:10" x14ac:dyDescent="0.25">
      <c r="I100" s="37"/>
      <c r="J100" s="35"/>
    </row>
    <row r="101" spans="9:10" x14ac:dyDescent="0.25">
      <c r="I101" s="37"/>
      <c r="J101" s="35"/>
    </row>
    <row r="102" spans="9:10" x14ac:dyDescent="0.25">
      <c r="I102" s="37"/>
      <c r="J102" s="35"/>
    </row>
    <row r="103" spans="9:10" x14ac:dyDescent="0.25">
      <c r="I103" s="37"/>
      <c r="J103" s="35"/>
    </row>
    <row r="104" spans="9:10" x14ac:dyDescent="0.25">
      <c r="I104" s="37"/>
      <c r="J104" s="35"/>
    </row>
    <row r="105" spans="9:10" x14ac:dyDescent="0.25">
      <c r="I105" s="37"/>
      <c r="J105" s="35"/>
    </row>
    <row r="106" spans="9:10" x14ac:dyDescent="0.25">
      <c r="I106" s="37"/>
      <c r="J106" s="35"/>
    </row>
    <row r="107" spans="9:10" x14ac:dyDescent="0.25">
      <c r="I107" s="37"/>
      <c r="J107" s="35"/>
    </row>
    <row r="108" spans="9:10" x14ac:dyDescent="0.25">
      <c r="I108" s="37"/>
      <c r="J108" s="35"/>
    </row>
    <row r="109" spans="9:10" x14ac:dyDescent="0.25">
      <c r="I109" s="37"/>
      <c r="J109" s="35"/>
    </row>
    <row r="110" spans="9:10" x14ac:dyDescent="0.25">
      <c r="I110" s="37"/>
      <c r="J110" s="35"/>
    </row>
    <row r="111" spans="9:10" x14ac:dyDescent="0.25">
      <c r="I111" s="37"/>
      <c r="J111" s="35"/>
    </row>
    <row r="112" spans="9:10" x14ac:dyDescent="0.25">
      <c r="I112" s="37"/>
      <c r="J112" s="35"/>
    </row>
    <row r="113" spans="9:10" x14ac:dyDescent="0.25">
      <c r="I113" s="37"/>
      <c r="J113" s="35"/>
    </row>
    <row r="114" spans="9:10" x14ac:dyDescent="0.25">
      <c r="I114" s="37"/>
      <c r="J114" s="35"/>
    </row>
    <row r="115" spans="9:10" x14ac:dyDescent="0.25">
      <c r="I115" s="37"/>
      <c r="J115" s="35"/>
    </row>
    <row r="116" spans="9:10" x14ac:dyDescent="0.25">
      <c r="I116" s="37"/>
      <c r="J116" s="35"/>
    </row>
    <row r="117" spans="9:10" x14ac:dyDescent="0.25">
      <c r="I117" s="37"/>
      <c r="J117" s="35"/>
    </row>
    <row r="118" spans="9:10" x14ac:dyDescent="0.25">
      <c r="I118" s="37"/>
      <c r="J118" s="35"/>
    </row>
    <row r="119" spans="9:10" x14ac:dyDescent="0.25">
      <c r="I119" s="37"/>
      <c r="J119" s="35"/>
    </row>
    <row r="120" spans="9:10" x14ac:dyDescent="0.25">
      <c r="I120" s="37"/>
      <c r="J120" s="35"/>
    </row>
    <row r="121" spans="9:10" x14ac:dyDescent="0.25">
      <c r="I121" s="37"/>
      <c r="J121" s="35"/>
    </row>
    <row r="122" spans="9:10" x14ac:dyDescent="0.25">
      <c r="I122" s="37"/>
      <c r="J122" s="35"/>
    </row>
    <row r="123" spans="9:10" x14ac:dyDescent="0.25">
      <c r="I123" s="37"/>
      <c r="J123" s="35"/>
    </row>
    <row r="124" spans="9:10" x14ac:dyDescent="0.25">
      <c r="I124" s="37"/>
      <c r="J124" s="35"/>
    </row>
    <row r="125" spans="9:10" x14ac:dyDescent="0.25">
      <c r="I125" s="37"/>
      <c r="J125" s="35"/>
    </row>
    <row r="126" spans="9:10" x14ac:dyDescent="0.25">
      <c r="I126" s="37"/>
      <c r="J126" s="35"/>
    </row>
    <row r="127" spans="9:10" x14ac:dyDescent="0.25">
      <c r="I127" s="37"/>
      <c r="J127" s="35"/>
    </row>
    <row r="128" spans="9:10" x14ac:dyDescent="0.25">
      <c r="I128" s="37"/>
      <c r="J128" s="35"/>
    </row>
    <row r="129" spans="9:10" x14ac:dyDescent="0.25">
      <c r="I129" s="37"/>
      <c r="J129" s="35"/>
    </row>
    <row r="130" spans="9:10" x14ac:dyDescent="0.25">
      <c r="I130" s="37"/>
      <c r="J130" s="35"/>
    </row>
    <row r="131" spans="9:10" x14ac:dyDescent="0.25">
      <c r="I131" s="37"/>
      <c r="J131" s="35"/>
    </row>
    <row r="132" spans="9:10" x14ac:dyDescent="0.25">
      <c r="I132" s="37"/>
      <c r="J132" s="35"/>
    </row>
    <row r="133" spans="9:10" x14ac:dyDescent="0.25">
      <c r="I133" s="37"/>
      <c r="J133" s="35"/>
    </row>
    <row r="134" spans="9:10" x14ac:dyDescent="0.25">
      <c r="I134" s="37"/>
      <c r="J134" s="35"/>
    </row>
    <row r="135" spans="9:10" x14ac:dyDescent="0.25">
      <c r="I135" s="37"/>
      <c r="J135" s="35"/>
    </row>
    <row r="136" spans="9:10" x14ac:dyDescent="0.25">
      <c r="I136" s="37"/>
      <c r="J136" s="35"/>
    </row>
    <row r="137" spans="9:10" x14ac:dyDescent="0.25">
      <c r="I137" s="37"/>
      <c r="J137" s="35"/>
    </row>
    <row r="138" spans="9:10" x14ac:dyDescent="0.25">
      <c r="I138" s="37"/>
      <c r="J138" s="35"/>
    </row>
    <row r="139" spans="9:10" x14ac:dyDescent="0.25">
      <c r="I139" s="37"/>
      <c r="J139" s="35"/>
    </row>
    <row r="140" spans="9:10" x14ac:dyDescent="0.25">
      <c r="I140" s="37"/>
      <c r="J140" s="35"/>
    </row>
    <row r="141" spans="9:10" x14ac:dyDescent="0.25">
      <c r="I141" s="37"/>
      <c r="J141" s="35"/>
    </row>
    <row r="142" spans="9:10" x14ac:dyDescent="0.25">
      <c r="I142" s="37"/>
      <c r="J142" s="35"/>
    </row>
    <row r="143" spans="9:10" x14ac:dyDescent="0.25">
      <c r="I143" s="37"/>
      <c r="J143" s="35"/>
    </row>
    <row r="144" spans="9:10" x14ac:dyDescent="0.25">
      <c r="I144" s="37"/>
      <c r="J144" s="35"/>
    </row>
    <row r="145" spans="9:10" x14ac:dyDescent="0.25">
      <c r="I145" s="37"/>
      <c r="J145" s="35"/>
    </row>
    <row r="146" spans="9:10" x14ac:dyDescent="0.25">
      <c r="I146" s="37"/>
      <c r="J146" s="35"/>
    </row>
    <row r="147" spans="9:10" x14ac:dyDescent="0.25">
      <c r="I147" s="37"/>
      <c r="J147" s="35"/>
    </row>
    <row r="148" spans="9:10" x14ac:dyDescent="0.25">
      <c r="I148" s="37"/>
      <c r="J148" s="35"/>
    </row>
    <row r="149" spans="9:10" x14ac:dyDescent="0.25">
      <c r="I149" s="37"/>
      <c r="J149" s="35"/>
    </row>
    <row r="150" spans="9:10" x14ac:dyDescent="0.25">
      <c r="I150" s="37"/>
      <c r="J150" s="35"/>
    </row>
    <row r="151" spans="9:10" x14ac:dyDescent="0.25">
      <c r="I151" s="37"/>
      <c r="J151" s="35"/>
    </row>
    <row r="152" spans="9:10" x14ac:dyDescent="0.25">
      <c r="I152" s="37"/>
      <c r="J152" s="35"/>
    </row>
    <row r="153" spans="9:10" x14ac:dyDescent="0.25">
      <c r="I153" s="37"/>
      <c r="J153" s="35"/>
    </row>
    <row r="154" spans="9:10" x14ac:dyDescent="0.25">
      <c r="I154" s="37"/>
      <c r="J154" s="35"/>
    </row>
    <row r="155" spans="9:10" x14ac:dyDescent="0.25">
      <c r="I155" s="37"/>
      <c r="J155" s="35"/>
    </row>
    <row r="156" spans="9:10" x14ac:dyDescent="0.25">
      <c r="I156" s="37"/>
      <c r="J156" s="35"/>
    </row>
    <row r="157" spans="9:10" x14ac:dyDescent="0.25">
      <c r="I157" s="37"/>
      <c r="J157" s="35"/>
    </row>
    <row r="158" spans="9:10" x14ac:dyDescent="0.25">
      <c r="I158" s="37"/>
      <c r="J158" s="35"/>
    </row>
    <row r="159" spans="9:10" x14ac:dyDescent="0.25">
      <c r="I159" s="37"/>
      <c r="J159" s="35"/>
    </row>
    <row r="160" spans="9:10" x14ac:dyDescent="0.25">
      <c r="I160" s="37"/>
      <c r="J160" s="35"/>
    </row>
    <row r="161" spans="9:10" x14ac:dyDescent="0.25">
      <c r="I161" s="37"/>
      <c r="J161" s="35"/>
    </row>
    <row r="162" spans="9:10" x14ac:dyDescent="0.25">
      <c r="I162" s="37"/>
      <c r="J162" s="35"/>
    </row>
    <row r="163" spans="9:10" x14ac:dyDescent="0.25">
      <c r="I163" s="37"/>
      <c r="J163" s="35"/>
    </row>
    <row r="164" spans="9:10" x14ac:dyDescent="0.25">
      <c r="I164" s="37"/>
      <c r="J164" s="35"/>
    </row>
    <row r="165" spans="9:10" x14ac:dyDescent="0.25">
      <c r="I165" s="37"/>
      <c r="J165" s="35"/>
    </row>
    <row r="166" spans="9:10" x14ac:dyDescent="0.25">
      <c r="I166" s="37"/>
      <c r="J166" s="35"/>
    </row>
    <row r="167" spans="9:10" x14ac:dyDescent="0.25">
      <c r="I167" s="37"/>
      <c r="J167" s="35"/>
    </row>
    <row r="168" spans="9:10" x14ac:dyDescent="0.25">
      <c r="I168" s="37"/>
      <c r="J168" s="35"/>
    </row>
    <row r="169" spans="9:10" x14ac:dyDescent="0.25">
      <c r="I169" s="37"/>
      <c r="J169" s="35"/>
    </row>
    <row r="170" spans="9:10" x14ac:dyDescent="0.25">
      <c r="I170" s="37"/>
      <c r="J170" s="35"/>
    </row>
    <row r="171" spans="9:10" x14ac:dyDescent="0.25">
      <c r="I171" s="37"/>
      <c r="J171" s="35"/>
    </row>
    <row r="172" spans="9:10" x14ac:dyDescent="0.25">
      <c r="I172" s="37"/>
      <c r="J172" s="35"/>
    </row>
    <row r="173" spans="9:10" x14ac:dyDescent="0.25">
      <c r="I173" s="37"/>
      <c r="J173" s="35"/>
    </row>
    <row r="174" spans="9:10" x14ac:dyDescent="0.25">
      <c r="I174" s="37"/>
      <c r="J174" s="35"/>
    </row>
    <row r="175" spans="9:10" x14ac:dyDescent="0.25">
      <c r="I175" s="37"/>
      <c r="J175" s="35"/>
    </row>
    <row r="176" spans="9:10" x14ac:dyDescent="0.25">
      <c r="I176" s="37"/>
      <c r="J176" s="35"/>
    </row>
    <row r="177" spans="9:10" x14ac:dyDescent="0.25">
      <c r="I177" s="37"/>
      <c r="J177" s="35"/>
    </row>
    <row r="178" spans="9:10" x14ac:dyDescent="0.25">
      <c r="I178" s="37"/>
      <c r="J178" s="35"/>
    </row>
    <row r="179" spans="9:10" x14ac:dyDescent="0.25">
      <c r="I179" s="37"/>
      <c r="J179" s="35"/>
    </row>
    <row r="180" spans="9:10" x14ac:dyDescent="0.25">
      <c r="I180" s="37"/>
      <c r="J180" s="35"/>
    </row>
    <row r="181" spans="9:10" x14ac:dyDescent="0.25">
      <c r="I181" s="37"/>
      <c r="J181" s="35"/>
    </row>
    <row r="182" spans="9:10" x14ac:dyDescent="0.25">
      <c r="I182" s="37"/>
      <c r="J182" s="35"/>
    </row>
    <row r="183" spans="9:10" x14ac:dyDescent="0.25">
      <c r="I183" s="37"/>
      <c r="J183" s="35"/>
    </row>
    <row r="184" spans="9:10" x14ac:dyDescent="0.25">
      <c r="I184" s="37"/>
      <c r="J184" s="35"/>
    </row>
    <row r="185" spans="9:10" x14ac:dyDescent="0.25">
      <c r="I185" s="37"/>
      <c r="J185" s="35"/>
    </row>
    <row r="186" spans="9:10" x14ac:dyDescent="0.25">
      <c r="I186" s="37"/>
      <c r="J186" s="35"/>
    </row>
    <row r="187" spans="9:10" x14ac:dyDescent="0.25">
      <c r="I187" s="37"/>
      <c r="J187" s="35"/>
    </row>
    <row r="188" spans="9:10" x14ac:dyDescent="0.25">
      <c r="I188" s="37"/>
      <c r="J188" s="35"/>
    </row>
    <row r="189" spans="9:10" x14ac:dyDescent="0.25">
      <c r="I189" s="37"/>
      <c r="J189" s="35"/>
    </row>
    <row r="190" spans="9:10" x14ac:dyDescent="0.25">
      <c r="I190" s="37"/>
      <c r="J190" s="35"/>
    </row>
    <row r="191" spans="9:10" x14ac:dyDescent="0.25">
      <c r="I191" s="37"/>
      <c r="J191" s="35"/>
    </row>
    <row r="192" spans="9:10" x14ac:dyDescent="0.25">
      <c r="I192" s="37"/>
      <c r="J192" s="35"/>
    </row>
    <row r="193" spans="9:10" x14ac:dyDescent="0.25">
      <c r="I193" s="37"/>
      <c r="J193" s="35"/>
    </row>
    <row r="194" spans="9:10" x14ac:dyDescent="0.25">
      <c r="I194" s="37"/>
      <c r="J194" s="35"/>
    </row>
    <row r="195" spans="9:10" x14ac:dyDescent="0.25">
      <c r="I195" s="37"/>
      <c r="J195" s="35"/>
    </row>
    <row r="196" spans="9:10" x14ac:dyDescent="0.25">
      <c r="I196" s="37"/>
      <c r="J196" s="35"/>
    </row>
    <row r="197" spans="9:10" x14ac:dyDescent="0.25">
      <c r="I197" s="37"/>
      <c r="J197" s="35"/>
    </row>
    <row r="198" spans="9:10" x14ac:dyDescent="0.25">
      <c r="I198" s="37"/>
      <c r="J198" s="35"/>
    </row>
    <row r="199" spans="9:10" x14ac:dyDescent="0.25">
      <c r="I199" s="37"/>
      <c r="J199" s="35"/>
    </row>
    <row r="200" spans="9:10" x14ac:dyDescent="0.25">
      <c r="I200" s="37"/>
      <c r="J200" s="35"/>
    </row>
    <row r="201" spans="9:10" x14ac:dyDescent="0.25">
      <c r="I201" s="37"/>
      <c r="J201" s="35"/>
    </row>
    <row r="202" spans="9:10" x14ac:dyDescent="0.25">
      <c r="I202" s="37"/>
      <c r="J202" s="35"/>
    </row>
    <row r="203" spans="9:10" x14ac:dyDescent="0.25">
      <c r="I203" s="37"/>
      <c r="J203" s="35"/>
    </row>
    <row r="204" spans="9:10" x14ac:dyDescent="0.25">
      <c r="I204" s="37"/>
      <c r="J204" s="35"/>
    </row>
    <row r="205" spans="9:10" x14ac:dyDescent="0.25">
      <c r="I205" s="37"/>
      <c r="J205" s="35"/>
    </row>
    <row r="206" spans="9:10" x14ac:dyDescent="0.25">
      <c r="I206" s="37"/>
      <c r="J206" s="35"/>
    </row>
    <row r="207" spans="9:10" x14ac:dyDescent="0.25">
      <c r="I207" s="37"/>
      <c r="J207" s="35"/>
    </row>
    <row r="208" spans="9:10" x14ac:dyDescent="0.25">
      <c r="I208" s="37"/>
      <c r="J208" s="35"/>
    </row>
    <row r="209" spans="9:10" x14ac:dyDescent="0.25">
      <c r="I209" s="37"/>
      <c r="J209" s="35"/>
    </row>
    <row r="210" spans="9:10" x14ac:dyDescent="0.25">
      <c r="I210" s="37"/>
      <c r="J210" s="35"/>
    </row>
    <row r="211" spans="9:10" x14ac:dyDescent="0.25">
      <c r="I211" s="37"/>
      <c r="J211" s="35"/>
    </row>
    <row r="212" spans="9:10" x14ac:dyDescent="0.25">
      <c r="I212" s="37"/>
      <c r="J212" s="35"/>
    </row>
    <row r="213" spans="9:10" x14ac:dyDescent="0.25">
      <c r="I213" s="37"/>
      <c r="J213" s="35"/>
    </row>
    <row r="214" spans="9:10" x14ac:dyDescent="0.25">
      <c r="I214" s="37"/>
      <c r="J214" s="35"/>
    </row>
    <row r="215" spans="9:10" x14ac:dyDescent="0.25">
      <c r="I215" s="37"/>
      <c r="J215" s="35"/>
    </row>
    <row r="216" spans="9:10" x14ac:dyDescent="0.25">
      <c r="I216" s="37"/>
      <c r="J216" s="35"/>
    </row>
    <row r="217" spans="9:10" x14ac:dyDescent="0.25">
      <c r="I217" s="37"/>
      <c r="J217" s="35"/>
    </row>
    <row r="218" spans="9:10" x14ac:dyDescent="0.25">
      <c r="I218" s="37"/>
      <c r="J218" s="35"/>
    </row>
    <row r="219" spans="9:10" x14ac:dyDescent="0.25">
      <c r="I219" s="37"/>
      <c r="J219" s="35"/>
    </row>
    <row r="220" spans="9:10" x14ac:dyDescent="0.25">
      <c r="I220" s="37"/>
      <c r="J220" s="35"/>
    </row>
    <row r="221" spans="9:10" x14ac:dyDescent="0.25">
      <c r="I221" s="37"/>
      <c r="J221" s="35"/>
    </row>
    <row r="222" spans="9:10" x14ac:dyDescent="0.25">
      <c r="I222" s="37"/>
      <c r="J222" s="35"/>
    </row>
    <row r="223" spans="9:10" x14ac:dyDescent="0.25">
      <c r="I223" s="37"/>
      <c r="J223" s="35"/>
    </row>
    <row r="224" spans="9:10" x14ac:dyDescent="0.25">
      <c r="I224" s="37"/>
      <c r="J224" s="35"/>
    </row>
    <row r="225" spans="9:10" x14ac:dyDescent="0.25">
      <c r="I225" s="37"/>
      <c r="J225" s="35"/>
    </row>
    <row r="226" spans="9:10" x14ac:dyDescent="0.25">
      <c r="I226" s="37"/>
      <c r="J226" s="35"/>
    </row>
    <row r="227" spans="9:10" x14ac:dyDescent="0.25">
      <c r="I227" s="37"/>
      <c r="J227" s="35"/>
    </row>
    <row r="228" spans="9:10" x14ac:dyDescent="0.25">
      <c r="I228" s="37"/>
      <c r="J228" s="35"/>
    </row>
    <row r="229" spans="9:10" x14ac:dyDescent="0.25">
      <c r="I229" s="37"/>
      <c r="J229" s="35"/>
    </row>
    <row r="230" spans="9:10" x14ac:dyDescent="0.25">
      <c r="I230" s="37"/>
      <c r="J230" s="35"/>
    </row>
    <row r="231" spans="9:10" x14ac:dyDescent="0.25">
      <c r="I231" s="37"/>
      <c r="J231" s="35"/>
    </row>
    <row r="232" spans="9:10" x14ac:dyDescent="0.25">
      <c r="I232" s="37"/>
      <c r="J232" s="35"/>
    </row>
    <row r="233" spans="9:10" x14ac:dyDescent="0.25">
      <c r="I233" s="37"/>
      <c r="J233" s="35"/>
    </row>
    <row r="234" spans="9:10" x14ac:dyDescent="0.25">
      <c r="I234" s="37"/>
      <c r="J234" s="35"/>
    </row>
    <row r="235" spans="9:10" x14ac:dyDescent="0.25">
      <c r="I235" s="37"/>
      <c r="J235" s="35"/>
    </row>
    <row r="236" spans="9:10" x14ac:dyDescent="0.25">
      <c r="I236" s="37"/>
      <c r="J236" s="35"/>
    </row>
    <row r="237" spans="9:10" x14ac:dyDescent="0.25">
      <c r="I237" s="37"/>
      <c r="J237" s="35"/>
    </row>
    <row r="238" spans="9:10" x14ac:dyDescent="0.25">
      <c r="I238" s="37"/>
      <c r="J238" s="35"/>
    </row>
    <row r="239" spans="9:10" x14ac:dyDescent="0.25">
      <c r="I239" s="37"/>
      <c r="J239" s="35"/>
    </row>
    <row r="240" spans="9:10" x14ac:dyDescent="0.25">
      <c r="I240" s="37"/>
      <c r="J240" s="35"/>
    </row>
    <row r="241" spans="9:10" x14ac:dyDescent="0.25">
      <c r="I241" s="37"/>
      <c r="J241" s="35"/>
    </row>
    <row r="242" spans="9:10" x14ac:dyDescent="0.25">
      <c r="I242" s="37"/>
      <c r="J242" s="35"/>
    </row>
    <row r="243" spans="9:10" x14ac:dyDescent="0.25">
      <c r="I243" s="37"/>
      <c r="J243" s="35"/>
    </row>
    <row r="244" spans="9:10" x14ac:dyDescent="0.25">
      <c r="I244" s="37"/>
      <c r="J244" s="35"/>
    </row>
    <row r="245" spans="9:10" x14ac:dyDescent="0.25">
      <c r="I245" s="37"/>
      <c r="J245" s="35"/>
    </row>
    <row r="246" spans="9:10" x14ac:dyDescent="0.25">
      <c r="I246" s="37"/>
      <c r="J246" s="35"/>
    </row>
    <row r="247" spans="9:10" x14ac:dyDescent="0.25">
      <c r="I247" s="37"/>
      <c r="J247" s="35"/>
    </row>
    <row r="248" spans="9:10" x14ac:dyDescent="0.25">
      <c r="I248" s="37"/>
      <c r="J248" s="35"/>
    </row>
    <row r="249" spans="9:10" x14ac:dyDescent="0.25">
      <c r="I249" s="37"/>
      <c r="J249" s="35"/>
    </row>
    <row r="250" spans="9:10" x14ac:dyDescent="0.25">
      <c r="I250" s="37"/>
      <c r="J250" s="35"/>
    </row>
    <row r="251" spans="9:10" x14ac:dyDescent="0.25">
      <c r="I251" s="37"/>
      <c r="J251" s="35"/>
    </row>
    <row r="252" spans="9:10" x14ac:dyDescent="0.25">
      <c r="I252" s="37"/>
      <c r="J252" s="35"/>
    </row>
    <row r="253" spans="9:10" x14ac:dyDescent="0.25">
      <c r="I253" s="37"/>
      <c r="J253" s="35"/>
    </row>
    <row r="254" spans="9:10" x14ac:dyDescent="0.25">
      <c r="I254" s="37"/>
      <c r="J254" s="35"/>
    </row>
    <row r="255" spans="9:10" x14ac:dyDescent="0.25">
      <c r="I255" s="37"/>
      <c r="J255" s="35"/>
    </row>
    <row r="256" spans="9:10" x14ac:dyDescent="0.25">
      <c r="I256" s="37"/>
      <c r="J256" s="35"/>
    </row>
    <row r="257" spans="9:10" x14ac:dyDescent="0.25">
      <c r="I257" s="37"/>
      <c r="J257" s="35"/>
    </row>
    <row r="258" spans="9:10" x14ac:dyDescent="0.25">
      <c r="I258" s="37"/>
      <c r="J258" s="35"/>
    </row>
    <row r="259" spans="9:10" x14ac:dyDescent="0.25">
      <c r="I259" s="37"/>
      <c r="J259" s="35"/>
    </row>
    <row r="260" spans="9:10" x14ac:dyDescent="0.25">
      <c r="I260" s="37"/>
      <c r="J260" s="35"/>
    </row>
    <row r="261" spans="9:10" x14ac:dyDescent="0.25">
      <c r="I261" s="37"/>
      <c r="J261" s="35"/>
    </row>
    <row r="262" spans="9:10" x14ac:dyDescent="0.25">
      <c r="I262" s="37"/>
      <c r="J262" s="35"/>
    </row>
    <row r="263" spans="9:10" x14ac:dyDescent="0.25">
      <c r="I263" s="37"/>
      <c r="J263" s="35"/>
    </row>
    <row r="264" spans="9:10" x14ac:dyDescent="0.25">
      <c r="I264" s="37"/>
      <c r="J264" s="35"/>
    </row>
    <row r="265" spans="9:10" x14ac:dyDescent="0.25">
      <c r="I265" s="37"/>
      <c r="J265" s="35"/>
    </row>
    <row r="266" spans="9:10" x14ac:dyDescent="0.25">
      <c r="I266" s="37"/>
      <c r="J266" s="35"/>
    </row>
    <row r="267" spans="9:10" x14ac:dyDescent="0.25">
      <c r="I267" s="37"/>
      <c r="J267" s="35"/>
    </row>
    <row r="268" spans="9:10" x14ac:dyDescent="0.25">
      <c r="I268" s="37"/>
      <c r="J268" s="35"/>
    </row>
    <row r="269" spans="9:10" x14ac:dyDescent="0.25">
      <c r="I269" s="37"/>
      <c r="J269" s="35"/>
    </row>
    <row r="270" spans="9:10" x14ac:dyDescent="0.25">
      <c r="I270" s="37"/>
      <c r="J270" s="35"/>
    </row>
    <row r="271" spans="9:10" x14ac:dyDescent="0.25">
      <c r="I271" s="37"/>
      <c r="J271" s="35"/>
    </row>
    <row r="272" spans="9:10" x14ac:dyDescent="0.25">
      <c r="I272" s="37"/>
      <c r="J272" s="35"/>
    </row>
    <row r="273" spans="9:10" x14ac:dyDescent="0.25">
      <c r="I273" s="37"/>
      <c r="J273" s="35"/>
    </row>
    <row r="274" spans="9:10" x14ac:dyDescent="0.25">
      <c r="I274" s="37"/>
      <c r="J274" s="35"/>
    </row>
    <row r="275" spans="9:10" x14ac:dyDescent="0.25">
      <c r="I275" s="37"/>
      <c r="J275" s="35"/>
    </row>
    <row r="276" spans="9:10" x14ac:dyDescent="0.25">
      <c r="I276" s="37"/>
      <c r="J276" s="35"/>
    </row>
    <row r="277" spans="9:10" x14ac:dyDescent="0.25">
      <c r="I277" s="37"/>
      <c r="J277" s="35"/>
    </row>
    <row r="278" spans="9:10" x14ac:dyDescent="0.25">
      <c r="I278" s="37"/>
      <c r="J278" s="35"/>
    </row>
    <row r="279" spans="9:10" x14ac:dyDescent="0.25">
      <c r="I279" s="37"/>
      <c r="J279" s="35"/>
    </row>
    <row r="280" spans="9:10" x14ac:dyDescent="0.25">
      <c r="I280" s="37"/>
      <c r="J280" s="35"/>
    </row>
    <row r="281" spans="9:10" x14ac:dyDescent="0.25">
      <c r="I281" s="37"/>
      <c r="J281" s="35"/>
    </row>
    <row r="282" spans="9:10" x14ac:dyDescent="0.25">
      <c r="I282" s="37"/>
      <c r="J282" s="35"/>
    </row>
    <row r="283" spans="9:10" x14ac:dyDescent="0.25">
      <c r="I283" s="37"/>
      <c r="J283" s="35"/>
    </row>
    <row r="284" spans="9:10" x14ac:dyDescent="0.25">
      <c r="I284" s="37"/>
      <c r="J284" s="35"/>
    </row>
    <row r="285" spans="9:10" x14ac:dyDescent="0.25">
      <c r="I285" s="37"/>
      <c r="J285" s="35"/>
    </row>
    <row r="286" spans="9:10" x14ac:dyDescent="0.25">
      <c r="I286" s="37"/>
      <c r="J286" s="35"/>
    </row>
    <row r="287" spans="9:10" x14ac:dyDescent="0.25">
      <c r="I287" s="37"/>
      <c r="J287" s="35"/>
    </row>
    <row r="288" spans="9:10" x14ac:dyDescent="0.25">
      <c r="I288" s="37"/>
      <c r="J288" s="35"/>
    </row>
    <row r="289" spans="9:10" x14ac:dyDescent="0.25">
      <c r="I289" s="37"/>
      <c r="J289" s="35"/>
    </row>
    <row r="290" spans="9:10" x14ac:dyDescent="0.25">
      <c r="I290" s="37"/>
      <c r="J290" s="35"/>
    </row>
    <row r="291" spans="9:10" x14ac:dyDescent="0.25">
      <c r="I291" s="37"/>
      <c r="J291" s="35"/>
    </row>
    <row r="292" spans="9:10" x14ac:dyDescent="0.25">
      <c r="I292" s="37"/>
      <c r="J292" s="35"/>
    </row>
    <row r="293" spans="9:10" x14ac:dyDescent="0.25">
      <c r="I293" s="37"/>
      <c r="J293" s="35"/>
    </row>
    <row r="294" spans="9:10" x14ac:dyDescent="0.25">
      <c r="I294" s="37"/>
      <c r="J294" s="35"/>
    </row>
    <row r="295" spans="9:10" x14ac:dyDescent="0.25">
      <c r="I295" s="37"/>
      <c r="J295" s="35"/>
    </row>
    <row r="296" spans="9:10" x14ac:dyDescent="0.25">
      <c r="I296" s="37"/>
      <c r="J296" s="35"/>
    </row>
    <row r="297" spans="9:10" x14ac:dyDescent="0.25">
      <c r="I297" s="37"/>
      <c r="J297" s="35"/>
    </row>
    <row r="298" spans="9:10" x14ac:dyDescent="0.25">
      <c r="I298" s="37"/>
      <c r="J298" s="35"/>
    </row>
    <row r="299" spans="9:10" x14ac:dyDescent="0.25">
      <c r="I299" s="37"/>
      <c r="J299" s="35"/>
    </row>
    <row r="300" spans="9:10" x14ac:dyDescent="0.25">
      <c r="I300" s="37"/>
      <c r="J300" s="35"/>
    </row>
    <row r="301" spans="9:10" x14ac:dyDescent="0.25">
      <c r="I301" s="37"/>
      <c r="J301" s="35"/>
    </row>
    <row r="302" spans="9:10" x14ac:dyDescent="0.25">
      <c r="I302" s="37"/>
      <c r="J302" s="35"/>
    </row>
    <row r="303" spans="9:10" x14ac:dyDescent="0.25">
      <c r="I303" s="37"/>
      <c r="J303" s="35"/>
    </row>
    <row r="304" spans="9:10" x14ac:dyDescent="0.25">
      <c r="I304" s="37"/>
      <c r="J304" s="35"/>
    </row>
    <row r="305" spans="9:12" x14ac:dyDescent="0.25">
      <c r="I305" s="37"/>
      <c r="J305" s="35"/>
    </row>
    <row r="306" spans="9:12" x14ac:dyDescent="0.25">
      <c r="I306" s="37"/>
      <c r="J306" s="35"/>
    </row>
    <row r="307" spans="9:12" x14ac:dyDescent="0.25">
      <c r="I307" s="37"/>
      <c r="J307" s="35"/>
    </row>
    <row r="308" spans="9:12" x14ac:dyDescent="0.25">
      <c r="I308" s="37"/>
      <c r="J308" s="35"/>
    </row>
    <row r="309" spans="9:12" x14ac:dyDescent="0.25">
      <c r="I309" s="37"/>
      <c r="J309" s="35"/>
    </row>
    <row r="310" spans="9:12" x14ac:dyDescent="0.25">
      <c r="I310" s="37"/>
      <c r="J310" s="35"/>
    </row>
    <row r="311" spans="9:12" x14ac:dyDescent="0.25">
      <c r="I311" s="37"/>
      <c r="J311" s="35"/>
    </row>
    <row r="312" spans="9:12" x14ac:dyDescent="0.25">
      <c r="I312" s="37"/>
      <c r="J312" s="35"/>
      <c r="L312" s="36"/>
    </row>
    <row r="313" spans="9:12" x14ac:dyDescent="0.25">
      <c r="I313" s="37"/>
      <c r="J313" s="35"/>
    </row>
    <row r="314" spans="9:12" x14ac:dyDescent="0.25">
      <c r="I314" s="37"/>
      <c r="J314" s="35"/>
    </row>
    <row r="315" spans="9:12" x14ac:dyDescent="0.25">
      <c r="I315" s="37"/>
      <c r="J315" s="35"/>
    </row>
    <row r="316" spans="9:12" x14ac:dyDescent="0.25">
      <c r="I316" s="37"/>
      <c r="J316" s="35"/>
    </row>
    <row r="317" spans="9:12" x14ac:dyDescent="0.25">
      <c r="I317" s="37"/>
      <c r="J317" s="35"/>
    </row>
    <row r="318" spans="9:12" x14ac:dyDescent="0.25">
      <c r="I318" s="37"/>
      <c r="J318" s="35"/>
    </row>
    <row r="319" spans="9:12" x14ac:dyDescent="0.25">
      <c r="I319" s="37"/>
      <c r="J319" s="35"/>
    </row>
    <row r="320" spans="9:12" x14ac:dyDescent="0.25">
      <c r="I320" s="37"/>
      <c r="J320" s="35"/>
    </row>
    <row r="321" spans="9:10" x14ac:dyDescent="0.25">
      <c r="I321" s="37"/>
      <c r="J321" s="35"/>
    </row>
    <row r="322" spans="9:10" x14ac:dyDescent="0.25">
      <c r="I322" s="37"/>
      <c r="J322" s="35"/>
    </row>
    <row r="323" spans="9:10" x14ac:dyDescent="0.25">
      <c r="I323" s="37"/>
      <c r="J323" s="35"/>
    </row>
    <row r="324" spans="9:10" x14ac:dyDescent="0.25">
      <c r="I324" s="37"/>
      <c r="J324" s="35"/>
    </row>
    <row r="325" spans="9:10" x14ac:dyDescent="0.25">
      <c r="I325" s="37"/>
      <c r="J325" s="35"/>
    </row>
    <row r="326" spans="9:10" x14ac:dyDescent="0.25">
      <c r="I326" s="37"/>
      <c r="J326" s="35"/>
    </row>
    <row r="327" spans="9:10" x14ac:dyDescent="0.25">
      <c r="I327" s="37"/>
      <c r="J327" s="35"/>
    </row>
    <row r="328" spans="9:10" x14ac:dyDescent="0.25">
      <c r="I328" s="37"/>
      <c r="J328" s="35"/>
    </row>
    <row r="329" spans="9:10" x14ac:dyDescent="0.25">
      <c r="I329" s="37"/>
      <c r="J329" s="35"/>
    </row>
    <row r="330" spans="9:10" x14ac:dyDescent="0.25">
      <c r="I330" s="37"/>
      <c r="J330" s="35"/>
    </row>
    <row r="331" spans="9:10" x14ac:dyDescent="0.25">
      <c r="I331" s="37"/>
      <c r="J331" s="35"/>
    </row>
    <row r="332" spans="9:10" x14ac:dyDescent="0.25">
      <c r="I332" s="37"/>
      <c r="J332" s="35"/>
    </row>
    <row r="333" spans="9:10" x14ac:dyDescent="0.25">
      <c r="I333" s="37"/>
      <c r="J333" s="35"/>
    </row>
    <row r="334" spans="9:10" x14ac:dyDescent="0.25">
      <c r="I334" s="37"/>
      <c r="J334" s="35"/>
    </row>
    <row r="335" spans="9:10" x14ac:dyDescent="0.25">
      <c r="I335" s="37"/>
      <c r="J335" s="35"/>
    </row>
    <row r="336" spans="9:10" x14ac:dyDescent="0.25">
      <c r="I336" s="37"/>
      <c r="J336" s="35"/>
    </row>
    <row r="337" spans="9:10" x14ac:dyDescent="0.25">
      <c r="I337" s="37"/>
      <c r="J337" s="35"/>
    </row>
    <row r="338" spans="9:10" x14ac:dyDescent="0.25">
      <c r="I338" s="37"/>
      <c r="J338" s="35"/>
    </row>
    <row r="339" spans="9:10" x14ac:dyDescent="0.25">
      <c r="I339" s="37"/>
      <c r="J339" s="35"/>
    </row>
    <row r="340" spans="9:10" x14ac:dyDescent="0.25">
      <c r="I340" s="37"/>
      <c r="J340" s="35"/>
    </row>
    <row r="341" spans="9:10" x14ac:dyDescent="0.25">
      <c r="I341" s="37"/>
      <c r="J341" s="35"/>
    </row>
    <row r="342" spans="9:10" x14ac:dyDescent="0.25">
      <c r="I342" s="37"/>
      <c r="J342" s="35"/>
    </row>
    <row r="343" spans="9:10" x14ac:dyDescent="0.25">
      <c r="I343" s="37"/>
      <c r="J343" s="35"/>
    </row>
    <row r="344" spans="9:10" x14ac:dyDescent="0.25">
      <c r="I344" s="37"/>
      <c r="J344" s="35"/>
    </row>
    <row r="345" spans="9:10" x14ac:dyDescent="0.25">
      <c r="I345" s="37"/>
      <c r="J345" s="35"/>
    </row>
    <row r="346" spans="9:10" x14ac:dyDescent="0.25">
      <c r="I346" s="37"/>
      <c r="J346" s="35"/>
    </row>
    <row r="347" spans="9:10" x14ac:dyDescent="0.25">
      <c r="I347" s="37"/>
      <c r="J347" s="35"/>
    </row>
    <row r="348" spans="9:10" x14ac:dyDescent="0.25">
      <c r="I348" s="37"/>
      <c r="J348" s="35"/>
    </row>
    <row r="349" spans="9:10" x14ac:dyDescent="0.25">
      <c r="I349" s="37"/>
      <c r="J349" s="35"/>
    </row>
    <row r="350" spans="9:10" x14ac:dyDescent="0.25">
      <c r="I350" s="37"/>
      <c r="J350" s="35"/>
    </row>
    <row r="351" spans="9:10" x14ac:dyDescent="0.25">
      <c r="I351" s="37"/>
      <c r="J351" s="35"/>
    </row>
    <row r="352" spans="9:10" x14ac:dyDescent="0.25">
      <c r="I352" s="37"/>
      <c r="J352" s="35"/>
    </row>
    <row r="353" spans="9:10" x14ac:dyDescent="0.25">
      <c r="I353" s="37"/>
      <c r="J353" s="35"/>
    </row>
    <row r="354" spans="9:10" x14ac:dyDescent="0.25">
      <c r="I354" s="37"/>
      <c r="J354" s="35"/>
    </row>
    <row r="355" spans="9:10" x14ac:dyDescent="0.25">
      <c r="I355" s="37"/>
      <c r="J355" s="35"/>
    </row>
    <row r="356" spans="9:10" x14ac:dyDescent="0.25">
      <c r="I356" s="37"/>
      <c r="J356" s="35"/>
    </row>
    <row r="357" spans="9:10" x14ac:dyDescent="0.25">
      <c r="I357" s="37"/>
      <c r="J357" s="35"/>
    </row>
    <row r="358" spans="9:10" x14ac:dyDescent="0.25">
      <c r="I358" s="37"/>
      <c r="J358" s="35"/>
    </row>
    <row r="359" spans="9:10" x14ac:dyDescent="0.25">
      <c r="I359" s="37"/>
      <c r="J359" s="35"/>
    </row>
    <row r="360" spans="9:10" x14ac:dyDescent="0.25">
      <c r="I360" s="37"/>
      <c r="J360" s="35"/>
    </row>
    <row r="361" spans="9:10" x14ac:dyDescent="0.25">
      <c r="I361" s="37"/>
      <c r="J361" s="35"/>
    </row>
    <row r="362" spans="9:10" x14ac:dyDescent="0.25">
      <c r="I362" s="37"/>
      <c r="J362" s="35"/>
    </row>
    <row r="363" spans="9:10" x14ac:dyDescent="0.25">
      <c r="I363" s="37"/>
      <c r="J363" s="35"/>
    </row>
    <row r="364" spans="9:10" x14ac:dyDescent="0.25">
      <c r="I364" s="37"/>
      <c r="J364" s="35"/>
    </row>
    <row r="365" spans="9:10" x14ac:dyDescent="0.25">
      <c r="I365" s="37"/>
      <c r="J365" s="35"/>
    </row>
    <row r="366" spans="9:10" x14ac:dyDescent="0.25">
      <c r="I366" s="37"/>
      <c r="J366" s="35"/>
    </row>
    <row r="367" spans="9:10" x14ac:dyDescent="0.25">
      <c r="I367" s="37"/>
      <c r="J367" s="35"/>
    </row>
    <row r="368" spans="9:10" x14ac:dyDescent="0.25">
      <c r="I368" s="37"/>
      <c r="J368" s="35"/>
    </row>
    <row r="369" spans="9:10" x14ac:dyDescent="0.25">
      <c r="I369" s="37"/>
      <c r="J369" s="35"/>
    </row>
    <row r="370" spans="9:10" x14ac:dyDescent="0.25">
      <c r="I370" s="37"/>
      <c r="J370" s="35"/>
    </row>
    <row r="371" spans="9:10" x14ac:dyDescent="0.25">
      <c r="I371" s="37"/>
      <c r="J371" s="35"/>
    </row>
    <row r="372" spans="9:10" x14ac:dyDescent="0.25">
      <c r="I372" s="37"/>
      <c r="J372" s="35"/>
    </row>
    <row r="373" spans="9:10" x14ac:dyDescent="0.25">
      <c r="I373" s="37"/>
      <c r="J373" s="35"/>
    </row>
    <row r="374" spans="9:10" x14ac:dyDescent="0.25">
      <c r="I374" s="37"/>
      <c r="J374" s="35"/>
    </row>
    <row r="375" spans="9:10" x14ac:dyDescent="0.25">
      <c r="I375" s="37"/>
      <c r="J375" s="35"/>
    </row>
    <row r="376" spans="9:10" x14ac:dyDescent="0.25">
      <c r="I376" s="37"/>
      <c r="J376" s="35"/>
    </row>
    <row r="377" spans="9:10" x14ac:dyDescent="0.25">
      <c r="I377" s="37"/>
      <c r="J377" s="35"/>
    </row>
    <row r="378" spans="9:10" x14ac:dyDescent="0.25">
      <c r="I378" s="37"/>
      <c r="J378" s="35"/>
    </row>
    <row r="379" spans="9:10" x14ac:dyDescent="0.25">
      <c r="I379" s="37"/>
      <c r="J379" s="35"/>
    </row>
    <row r="380" spans="9:10" x14ac:dyDescent="0.25">
      <c r="I380" s="37"/>
      <c r="J380" s="35"/>
    </row>
    <row r="381" spans="9:10" x14ac:dyDescent="0.25">
      <c r="I381" s="37"/>
      <c r="J381" s="35"/>
    </row>
    <row r="382" spans="9:10" x14ac:dyDescent="0.25">
      <c r="I382" s="37"/>
      <c r="J382" s="35"/>
    </row>
    <row r="383" spans="9:10" x14ac:dyDescent="0.25">
      <c r="I383" s="37"/>
      <c r="J383" s="35"/>
    </row>
    <row r="384" spans="9:10" x14ac:dyDescent="0.25">
      <c r="I384" s="37"/>
      <c r="J384" s="35"/>
    </row>
    <row r="385" spans="9:10" x14ac:dyDescent="0.25">
      <c r="I385" s="37"/>
      <c r="J385" s="35"/>
    </row>
    <row r="386" spans="9:10" x14ac:dyDescent="0.25">
      <c r="I386" s="37"/>
      <c r="J386" s="35"/>
    </row>
    <row r="387" spans="9:10" x14ac:dyDescent="0.25">
      <c r="I387" s="37"/>
      <c r="J387" s="35"/>
    </row>
    <row r="388" spans="9:10" x14ac:dyDescent="0.25">
      <c r="I388" s="37"/>
      <c r="J388" s="35"/>
    </row>
    <row r="389" spans="9:10" x14ac:dyDescent="0.25">
      <c r="I389" s="37"/>
      <c r="J389" s="35"/>
    </row>
    <row r="390" spans="9:10" x14ac:dyDescent="0.25">
      <c r="I390" s="37"/>
      <c r="J390" s="35"/>
    </row>
    <row r="391" spans="9:10" x14ac:dyDescent="0.25">
      <c r="I391" s="37"/>
      <c r="J391" s="35"/>
    </row>
    <row r="392" spans="9:10" x14ac:dyDescent="0.25">
      <c r="I392" s="37"/>
      <c r="J392" s="35"/>
    </row>
    <row r="393" spans="9:10" x14ac:dyDescent="0.25">
      <c r="I393" s="37"/>
      <c r="J393" s="35"/>
    </row>
    <row r="394" spans="9:10" x14ac:dyDescent="0.25">
      <c r="I394" s="37"/>
      <c r="J394" s="35"/>
    </row>
    <row r="395" spans="9:10" x14ac:dyDescent="0.25">
      <c r="I395" s="37"/>
      <c r="J395" s="35"/>
    </row>
    <row r="396" spans="9:10" x14ac:dyDescent="0.25">
      <c r="I396" s="37"/>
      <c r="J396" s="35"/>
    </row>
    <row r="397" spans="9:10" x14ac:dyDescent="0.25">
      <c r="I397" s="37"/>
      <c r="J397" s="35"/>
    </row>
    <row r="398" spans="9:10" x14ac:dyDescent="0.25">
      <c r="I398" s="37"/>
      <c r="J398" s="35"/>
    </row>
    <row r="399" spans="9:10" x14ac:dyDescent="0.25">
      <c r="I399" s="37"/>
      <c r="J399" s="35"/>
    </row>
    <row r="400" spans="9:10" x14ac:dyDescent="0.25">
      <c r="I400" s="37"/>
      <c r="J400" s="35"/>
    </row>
    <row r="401" spans="9:10" x14ac:dyDescent="0.25">
      <c r="I401" s="37"/>
      <c r="J401" s="35"/>
    </row>
    <row r="402" spans="9:10" x14ac:dyDescent="0.25">
      <c r="I402" s="37"/>
      <c r="J402" s="35"/>
    </row>
    <row r="403" spans="9:10" x14ac:dyDescent="0.25">
      <c r="I403" s="37"/>
      <c r="J403" s="35"/>
    </row>
    <row r="404" spans="9:10" x14ac:dyDescent="0.25">
      <c r="I404" s="37"/>
      <c r="J404" s="35"/>
    </row>
    <row r="405" spans="9:10" x14ac:dyDescent="0.25">
      <c r="I405" s="37"/>
      <c r="J405" s="35"/>
    </row>
    <row r="406" spans="9:10" x14ac:dyDescent="0.25">
      <c r="I406" s="37"/>
      <c r="J406" s="35"/>
    </row>
    <row r="407" spans="9:10" x14ac:dyDescent="0.25">
      <c r="I407" s="37"/>
      <c r="J407" s="35"/>
    </row>
    <row r="408" spans="9:10" x14ac:dyDescent="0.25">
      <c r="I408" s="37"/>
      <c r="J408" s="35"/>
    </row>
    <row r="409" spans="9:10" x14ac:dyDescent="0.25">
      <c r="I409" s="37"/>
      <c r="J409" s="35"/>
    </row>
    <row r="410" spans="9:10" x14ac:dyDescent="0.25">
      <c r="I410" s="37"/>
      <c r="J410" s="35"/>
    </row>
    <row r="411" spans="9:10" x14ac:dyDescent="0.25">
      <c r="I411" s="37"/>
      <c r="J411" s="35"/>
    </row>
    <row r="412" spans="9:10" x14ac:dyDescent="0.25">
      <c r="I412" s="37"/>
      <c r="J412" s="35"/>
    </row>
    <row r="413" spans="9:10" x14ac:dyDescent="0.25">
      <c r="I413" s="37"/>
      <c r="J413" s="35"/>
    </row>
    <row r="414" spans="9:10" x14ac:dyDescent="0.25">
      <c r="I414" s="37"/>
      <c r="J414" s="35"/>
    </row>
    <row r="415" spans="9:10" x14ac:dyDescent="0.25">
      <c r="I415" s="37"/>
      <c r="J415" s="35"/>
    </row>
    <row r="416" spans="9:10" x14ac:dyDescent="0.25">
      <c r="I416" s="37"/>
      <c r="J416" s="35"/>
    </row>
    <row r="417" spans="9:10" x14ac:dyDescent="0.25">
      <c r="I417" s="37"/>
      <c r="J417" s="35"/>
    </row>
    <row r="418" spans="9:10" x14ac:dyDescent="0.25">
      <c r="I418" s="37"/>
      <c r="J418" s="35"/>
    </row>
    <row r="419" spans="9:10" x14ac:dyDescent="0.25">
      <c r="I419" s="37"/>
      <c r="J419" s="35"/>
    </row>
    <row r="420" spans="9:10" x14ac:dyDescent="0.25">
      <c r="I420" s="37"/>
      <c r="J420" s="35"/>
    </row>
    <row r="421" spans="9:10" x14ac:dyDescent="0.25">
      <c r="I421" s="37"/>
      <c r="J421" s="35"/>
    </row>
    <row r="422" spans="9:10" x14ac:dyDescent="0.25">
      <c r="I422" s="37"/>
      <c r="J422" s="35"/>
    </row>
    <row r="423" spans="9:10" x14ac:dyDescent="0.25">
      <c r="I423" s="37"/>
      <c r="J423" s="35"/>
    </row>
    <row r="424" spans="9:10" x14ac:dyDescent="0.25">
      <c r="I424" s="37"/>
      <c r="J424" s="35"/>
    </row>
    <row r="425" spans="9:10" x14ac:dyDescent="0.25">
      <c r="I425" s="37"/>
      <c r="J425" s="35"/>
    </row>
    <row r="426" spans="9:10" x14ac:dyDescent="0.25">
      <c r="I426" s="37"/>
      <c r="J426" s="35"/>
    </row>
    <row r="427" spans="9:10" x14ac:dyDescent="0.25">
      <c r="I427" s="37"/>
      <c r="J427" s="35"/>
    </row>
    <row r="428" spans="9:10" x14ac:dyDescent="0.25">
      <c r="I428" s="37"/>
      <c r="J428" s="35"/>
    </row>
    <row r="429" spans="9:10" x14ac:dyDescent="0.25">
      <c r="I429" s="37"/>
      <c r="J429" s="35"/>
    </row>
    <row r="430" spans="9:10" x14ac:dyDescent="0.25">
      <c r="I430" s="37"/>
      <c r="J430" s="35"/>
    </row>
    <row r="431" spans="9:10" x14ac:dyDescent="0.25">
      <c r="I431" s="37"/>
      <c r="J431" s="35"/>
    </row>
    <row r="432" spans="9:10" x14ac:dyDescent="0.25">
      <c r="I432" s="37"/>
      <c r="J432" s="35"/>
    </row>
    <row r="433" spans="9:10" x14ac:dyDescent="0.25">
      <c r="I433" s="37"/>
      <c r="J433" s="35"/>
    </row>
    <row r="434" spans="9:10" x14ac:dyDescent="0.25">
      <c r="I434" s="37"/>
      <c r="J434" s="35"/>
    </row>
    <row r="435" spans="9:10" x14ac:dyDescent="0.25">
      <c r="I435" s="37"/>
      <c r="J435" s="35"/>
    </row>
    <row r="436" spans="9:10" x14ac:dyDescent="0.25">
      <c r="I436" s="37"/>
      <c r="J436" s="35"/>
    </row>
    <row r="437" spans="9:10" x14ac:dyDescent="0.25">
      <c r="I437" s="37"/>
      <c r="J437" s="35"/>
    </row>
    <row r="438" spans="9:10" x14ac:dyDescent="0.25">
      <c r="I438" s="37"/>
      <c r="J438" s="35"/>
    </row>
    <row r="439" spans="9:10" x14ac:dyDescent="0.25">
      <c r="I439" s="37"/>
      <c r="J439" s="35"/>
    </row>
    <row r="440" spans="9:10" x14ac:dyDescent="0.25">
      <c r="I440" s="37"/>
      <c r="J440" s="35"/>
    </row>
    <row r="441" spans="9:10" x14ac:dyDescent="0.25">
      <c r="I441" s="37"/>
      <c r="J441" s="35"/>
    </row>
    <row r="442" spans="9:10" x14ac:dyDescent="0.25">
      <c r="I442" s="37"/>
      <c r="J442" s="35"/>
    </row>
    <row r="443" spans="9:10" x14ac:dyDescent="0.25">
      <c r="I443" s="37"/>
      <c r="J443" s="35"/>
    </row>
    <row r="444" spans="9:10" x14ac:dyDescent="0.25">
      <c r="I444" s="37"/>
      <c r="J444" s="35"/>
    </row>
    <row r="445" spans="9:10" x14ac:dyDescent="0.25">
      <c r="I445" s="37"/>
      <c r="J445" s="35"/>
    </row>
    <row r="446" spans="9:10" x14ac:dyDescent="0.25">
      <c r="I446" s="37"/>
      <c r="J446" s="35"/>
    </row>
    <row r="447" spans="9:10" x14ac:dyDescent="0.25">
      <c r="I447" s="37"/>
      <c r="J447" s="35"/>
    </row>
    <row r="448" spans="9:10" x14ac:dyDescent="0.25">
      <c r="I448" s="37"/>
      <c r="J448" s="35"/>
    </row>
    <row r="449" spans="9:10" x14ac:dyDescent="0.25">
      <c r="I449" s="37"/>
      <c r="J449" s="35"/>
    </row>
    <row r="450" spans="9:10" x14ac:dyDescent="0.25">
      <c r="I450" s="37"/>
      <c r="J450" s="35"/>
    </row>
    <row r="451" spans="9:10" x14ac:dyDescent="0.25">
      <c r="I451" s="37"/>
      <c r="J451" s="35"/>
    </row>
    <row r="452" spans="9:10" x14ac:dyDescent="0.25">
      <c r="I452" s="37"/>
      <c r="J452" s="35"/>
    </row>
    <row r="453" spans="9:10" x14ac:dyDescent="0.25">
      <c r="I453" s="37"/>
      <c r="J453" s="35"/>
    </row>
    <row r="454" spans="9:10" x14ac:dyDescent="0.25">
      <c r="I454" s="37"/>
      <c r="J454" s="35"/>
    </row>
    <row r="455" spans="9:10" x14ac:dyDescent="0.25">
      <c r="I455" s="37"/>
      <c r="J455" s="35"/>
    </row>
    <row r="456" spans="9:10" x14ac:dyDescent="0.25">
      <c r="I456" s="37"/>
      <c r="J456" s="35"/>
    </row>
    <row r="457" spans="9:10" x14ac:dyDescent="0.25">
      <c r="I457" s="37"/>
      <c r="J457" s="35"/>
    </row>
    <row r="458" spans="9:10" x14ac:dyDescent="0.25">
      <c r="I458" s="37"/>
      <c r="J458" s="35"/>
    </row>
    <row r="459" spans="9:10" x14ac:dyDescent="0.25">
      <c r="I459" s="37"/>
      <c r="J459" s="35"/>
    </row>
    <row r="460" spans="9:10" x14ac:dyDescent="0.25">
      <c r="I460" s="37"/>
      <c r="J460" s="35"/>
    </row>
    <row r="461" spans="9:10" x14ac:dyDescent="0.25">
      <c r="I461" s="37"/>
      <c r="J461" s="35"/>
    </row>
    <row r="462" spans="9:10" x14ac:dyDescent="0.25">
      <c r="I462" s="37"/>
      <c r="J462" s="35"/>
    </row>
    <row r="463" spans="9:10" x14ac:dyDescent="0.25">
      <c r="I463" s="37"/>
      <c r="J463" s="35"/>
    </row>
    <row r="464" spans="9:10" x14ac:dyDescent="0.25">
      <c r="I464" s="37"/>
      <c r="J464" s="35"/>
    </row>
    <row r="465" spans="9:10" x14ac:dyDescent="0.25">
      <c r="I465" s="37"/>
      <c r="J465" s="35"/>
    </row>
    <row r="466" spans="9:10" x14ac:dyDescent="0.25">
      <c r="I466" s="37"/>
      <c r="J466" s="35"/>
    </row>
    <row r="467" spans="9:10" x14ac:dyDescent="0.25">
      <c r="I467" s="37"/>
      <c r="J467" s="35"/>
    </row>
    <row r="468" spans="9:10" x14ac:dyDescent="0.25">
      <c r="I468" s="37"/>
      <c r="J468" s="35"/>
    </row>
    <row r="469" spans="9:10" x14ac:dyDescent="0.25">
      <c r="I469" s="37"/>
      <c r="J469" s="35"/>
    </row>
    <row r="470" spans="9:10" x14ac:dyDescent="0.25">
      <c r="I470" s="37"/>
      <c r="J470" s="35"/>
    </row>
    <row r="471" spans="9:10" x14ac:dyDescent="0.25">
      <c r="I471" s="37"/>
      <c r="J471" s="35"/>
    </row>
    <row r="472" spans="9:10" x14ac:dyDescent="0.25">
      <c r="I472" s="37"/>
      <c r="J472" s="35"/>
    </row>
    <row r="473" spans="9:10" x14ac:dyDescent="0.25">
      <c r="I473" s="37"/>
      <c r="J473" s="35"/>
    </row>
    <row r="474" spans="9:10" x14ac:dyDescent="0.25">
      <c r="I474" s="37"/>
      <c r="J474" s="35"/>
    </row>
    <row r="475" spans="9:10" x14ac:dyDescent="0.25">
      <c r="I475" s="37"/>
      <c r="J475" s="35"/>
    </row>
    <row r="476" spans="9:10" x14ac:dyDescent="0.25">
      <c r="I476" s="37"/>
      <c r="J476" s="35"/>
    </row>
    <row r="477" spans="9:10" x14ac:dyDescent="0.25">
      <c r="I477" s="37"/>
      <c r="J477" s="35"/>
    </row>
    <row r="478" spans="9:10" x14ac:dyDescent="0.25">
      <c r="I478" s="37"/>
      <c r="J478" s="35"/>
    </row>
    <row r="479" spans="9:10" x14ac:dyDescent="0.25">
      <c r="I479" s="37"/>
      <c r="J479" s="35"/>
    </row>
    <row r="480" spans="9:10" x14ac:dyDescent="0.25">
      <c r="I480" s="37"/>
      <c r="J480" s="35"/>
    </row>
    <row r="481" spans="9:10" x14ac:dyDescent="0.25">
      <c r="I481" s="37"/>
      <c r="J481" s="35"/>
    </row>
    <row r="482" spans="9:10" x14ac:dyDescent="0.25">
      <c r="I482" s="37"/>
      <c r="J482" s="35"/>
    </row>
    <row r="483" spans="9:10" x14ac:dyDescent="0.25">
      <c r="I483" s="37"/>
      <c r="J483" s="35"/>
    </row>
    <row r="484" spans="9:10" x14ac:dyDescent="0.25">
      <c r="I484" s="37"/>
      <c r="J484" s="35"/>
    </row>
    <row r="485" spans="9:10" x14ac:dyDescent="0.25">
      <c r="I485" s="37"/>
      <c r="J485" s="35"/>
    </row>
    <row r="486" spans="9:10" x14ac:dyDescent="0.25">
      <c r="I486" s="37"/>
      <c r="J486" s="35"/>
    </row>
    <row r="487" spans="9:10" x14ac:dyDescent="0.25">
      <c r="I487" s="37"/>
      <c r="J487" s="35"/>
    </row>
    <row r="488" spans="9:10" x14ac:dyDescent="0.25">
      <c r="I488" s="37"/>
      <c r="J488" s="35"/>
    </row>
    <row r="489" spans="9:10" x14ac:dyDescent="0.25">
      <c r="I489" s="37"/>
      <c r="J489" s="35"/>
    </row>
    <row r="490" spans="9:10" x14ac:dyDescent="0.25">
      <c r="I490" s="37"/>
      <c r="J490" s="35"/>
    </row>
    <row r="491" spans="9:10" x14ac:dyDescent="0.25">
      <c r="I491" s="37"/>
      <c r="J491" s="35"/>
    </row>
    <row r="492" spans="9:10" x14ac:dyDescent="0.25">
      <c r="I492" s="37"/>
      <c r="J492" s="35"/>
    </row>
    <row r="493" spans="9:10" x14ac:dyDescent="0.25">
      <c r="I493" s="37"/>
      <c r="J493" s="35"/>
    </row>
    <row r="494" spans="9:10" x14ac:dyDescent="0.25">
      <c r="I494" s="37"/>
      <c r="J494" s="35"/>
    </row>
    <row r="495" spans="9:10" x14ac:dyDescent="0.25">
      <c r="I495" s="37"/>
      <c r="J495" s="35"/>
    </row>
    <row r="496" spans="9:10" x14ac:dyDescent="0.25">
      <c r="I496" s="37"/>
      <c r="J496" s="35"/>
    </row>
    <row r="497" spans="9:10" x14ac:dyDescent="0.25">
      <c r="I497" s="37"/>
      <c r="J497" s="35"/>
    </row>
    <row r="498" spans="9:10" x14ac:dyDescent="0.25">
      <c r="I498" s="37"/>
      <c r="J498" s="35"/>
    </row>
    <row r="499" spans="9:10" x14ac:dyDescent="0.25">
      <c r="I499" s="37"/>
      <c r="J499" s="35"/>
    </row>
    <row r="500" spans="9:10" x14ac:dyDescent="0.25">
      <c r="I500" s="37"/>
      <c r="J500" s="35"/>
    </row>
    <row r="501" spans="9:10" x14ac:dyDescent="0.25">
      <c r="I501" s="37"/>
      <c r="J501" s="35"/>
    </row>
    <row r="502" spans="9:10" x14ac:dyDescent="0.25">
      <c r="I502" s="37"/>
      <c r="J502" s="35"/>
    </row>
    <row r="503" spans="9:10" x14ac:dyDescent="0.25">
      <c r="I503" s="37"/>
      <c r="J503" s="35"/>
    </row>
    <row r="504" spans="9:10" x14ac:dyDescent="0.25">
      <c r="I504" s="37"/>
      <c r="J504" s="35"/>
    </row>
    <row r="505" spans="9:10" x14ac:dyDescent="0.25">
      <c r="I505" s="37"/>
      <c r="J505" s="35"/>
    </row>
    <row r="506" spans="9:10" x14ac:dyDescent="0.25">
      <c r="I506" s="37"/>
      <c r="J506" s="35"/>
    </row>
    <row r="507" spans="9:10" x14ac:dyDescent="0.25">
      <c r="I507" s="37"/>
      <c r="J507" s="35"/>
    </row>
    <row r="508" spans="9:10" x14ac:dyDescent="0.25">
      <c r="I508" s="37"/>
      <c r="J508" s="35"/>
    </row>
    <row r="509" spans="9:10" x14ac:dyDescent="0.25">
      <c r="I509" s="37"/>
      <c r="J509" s="35"/>
    </row>
    <row r="510" spans="9:10" x14ac:dyDescent="0.25">
      <c r="I510" s="37"/>
      <c r="J510" s="35"/>
    </row>
    <row r="511" spans="9:10" x14ac:dyDescent="0.25">
      <c r="I511" s="37"/>
      <c r="J511" s="35"/>
    </row>
    <row r="512" spans="9:10" x14ac:dyDescent="0.25">
      <c r="I512" s="37"/>
      <c r="J512" s="35"/>
    </row>
    <row r="513" spans="9:10" x14ac:dyDescent="0.25">
      <c r="I513" s="37"/>
      <c r="J513" s="35"/>
    </row>
    <row r="514" spans="9:10" x14ac:dyDescent="0.25">
      <c r="I514" s="37"/>
      <c r="J514" s="35"/>
    </row>
    <row r="515" spans="9:10" x14ac:dyDescent="0.25">
      <c r="I515" s="37"/>
      <c r="J515" s="35"/>
    </row>
    <row r="516" spans="9:10" x14ac:dyDescent="0.25">
      <c r="I516" s="37"/>
      <c r="J516" s="35"/>
    </row>
    <row r="517" spans="9:10" x14ac:dyDescent="0.25">
      <c r="I517" s="37"/>
      <c r="J517" s="35"/>
    </row>
    <row r="518" spans="9:10" x14ac:dyDescent="0.25">
      <c r="I518" s="37"/>
      <c r="J518" s="35"/>
    </row>
    <row r="519" spans="9:10" x14ac:dyDescent="0.25">
      <c r="I519" s="37"/>
      <c r="J519" s="35"/>
    </row>
    <row r="520" spans="9:10" x14ac:dyDescent="0.25">
      <c r="I520" s="37"/>
      <c r="J520" s="35"/>
    </row>
    <row r="521" spans="9:10" x14ac:dyDescent="0.25">
      <c r="I521" s="37"/>
      <c r="J521" s="35"/>
    </row>
    <row r="522" spans="9:10" x14ac:dyDescent="0.25">
      <c r="I522" s="37"/>
      <c r="J522" s="35"/>
    </row>
    <row r="523" spans="9:10" x14ac:dyDescent="0.25">
      <c r="I523" s="37"/>
      <c r="J523" s="35"/>
    </row>
    <row r="524" spans="9:10" x14ac:dyDescent="0.25">
      <c r="I524" s="37"/>
      <c r="J524" s="35"/>
    </row>
    <row r="525" spans="9:10" x14ac:dyDescent="0.25">
      <c r="I525" s="37"/>
      <c r="J525" s="35"/>
    </row>
    <row r="526" spans="9:10" x14ac:dyDescent="0.25">
      <c r="I526" s="37"/>
      <c r="J526" s="35"/>
    </row>
    <row r="527" spans="9:10" x14ac:dyDescent="0.25">
      <c r="I527" s="37"/>
      <c r="J527" s="35"/>
    </row>
    <row r="528" spans="9:10" x14ac:dyDescent="0.25">
      <c r="I528" s="37"/>
      <c r="J528" s="35"/>
    </row>
    <row r="529" spans="9:10" x14ac:dyDescent="0.25">
      <c r="I529" s="37"/>
      <c r="J529" s="35"/>
    </row>
    <row r="530" spans="9:10" x14ac:dyDescent="0.25">
      <c r="I530" s="37"/>
      <c r="J530" s="35"/>
    </row>
    <row r="531" spans="9:10" x14ac:dyDescent="0.25">
      <c r="I531" s="37"/>
      <c r="J531" s="35"/>
    </row>
    <row r="532" spans="9:10" x14ac:dyDescent="0.25">
      <c r="I532" s="37"/>
      <c r="J532" s="35"/>
    </row>
    <row r="533" spans="9:10" x14ac:dyDescent="0.25">
      <c r="I533" s="37"/>
      <c r="J533" s="35"/>
    </row>
    <row r="534" spans="9:10" x14ac:dyDescent="0.25">
      <c r="I534" s="37"/>
      <c r="J534" s="35"/>
    </row>
    <row r="535" spans="9:10" x14ac:dyDescent="0.25">
      <c r="I535" s="37"/>
      <c r="J535" s="35"/>
    </row>
    <row r="536" spans="9:10" x14ac:dyDescent="0.25">
      <c r="I536" s="37"/>
      <c r="J536" s="35"/>
    </row>
    <row r="537" spans="9:10" x14ac:dyDescent="0.25">
      <c r="I537" s="37"/>
      <c r="J537" s="35"/>
    </row>
    <row r="538" spans="9:10" x14ac:dyDescent="0.25">
      <c r="I538" s="37"/>
      <c r="J538" s="35"/>
    </row>
    <row r="539" spans="9:10" x14ac:dyDescent="0.25">
      <c r="I539" s="37"/>
      <c r="J539" s="35"/>
    </row>
    <row r="540" spans="9:10" x14ac:dyDescent="0.25">
      <c r="I540" s="37"/>
      <c r="J540" s="35"/>
    </row>
    <row r="541" spans="9:10" x14ac:dyDescent="0.25">
      <c r="I541" s="37"/>
      <c r="J541" s="35"/>
    </row>
    <row r="542" spans="9:10" x14ac:dyDescent="0.25">
      <c r="I542" s="37"/>
      <c r="J542" s="35"/>
    </row>
    <row r="543" spans="9:10" x14ac:dyDescent="0.25">
      <c r="I543" s="37"/>
      <c r="J543" s="35"/>
    </row>
    <row r="544" spans="9:10" x14ac:dyDescent="0.25">
      <c r="I544" s="37"/>
      <c r="J544" s="35"/>
    </row>
    <row r="545" spans="9:10" x14ac:dyDescent="0.25">
      <c r="I545" s="37"/>
      <c r="J545" s="35"/>
    </row>
    <row r="546" spans="9:10" x14ac:dyDescent="0.25">
      <c r="I546" s="37"/>
      <c r="J546" s="35"/>
    </row>
    <row r="547" spans="9:10" x14ac:dyDescent="0.25">
      <c r="I547" s="37"/>
      <c r="J547" s="35"/>
    </row>
    <row r="548" spans="9:10" x14ac:dyDescent="0.25">
      <c r="I548" s="37"/>
      <c r="J548" s="35"/>
    </row>
    <row r="549" spans="9:10" x14ac:dyDescent="0.25">
      <c r="I549" s="37"/>
      <c r="J549" s="35"/>
    </row>
    <row r="550" spans="9:10" x14ac:dyDescent="0.25">
      <c r="I550" s="37"/>
      <c r="J550" s="35"/>
    </row>
    <row r="551" spans="9:10" x14ac:dyDescent="0.25">
      <c r="I551" s="37"/>
      <c r="J551" s="35"/>
    </row>
    <row r="552" spans="9:10" x14ac:dyDescent="0.25">
      <c r="I552" s="37"/>
      <c r="J552" s="35"/>
    </row>
    <row r="553" spans="9:10" x14ac:dyDescent="0.25">
      <c r="I553" s="37"/>
      <c r="J553" s="35"/>
    </row>
    <row r="554" spans="9:10" x14ac:dyDescent="0.25">
      <c r="I554" s="37"/>
      <c r="J554" s="35"/>
    </row>
    <row r="555" spans="9:10" x14ac:dyDescent="0.25">
      <c r="I555" s="37"/>
      <c r="J555" s="35"/>
    </row>
    <row r="556" spans="9:10" x14ac:dyDescent="0.25">
      <c r="I556" s="37"/>
      <c r="J556" s="35"/>
    </row>
    <row r="557" spans="9:10" x14ac:dyDescent="0.25">
      <c r="I557" s="37"/>
      <c r="J557" s="35"/>
    </row>
    <row r="558" spans="9:10" x14ac:dyDescent="0.25">
      <c r="I558" s="37"/>
      <c r="J558" s="35"/>
    </row>
    <row r="559" spans="9:10" x14ac:dyDescent="0.25">
      <c r="I559" s="37"/>
      <c r="J559" s="35"/>
    </row>
    <row r="560" spans="9:10" x14ac:dyDescent="0.25">
      <c r="I560" s="37"/>
      <c r="J560" s="35"/>
    </row>
    <row r="561" spans="9:10" x14ac:dyDescent="0.25">
      <c r="I561" s="37"/>
      <c r="J561" s="35"/>
    </row>
    <row r="562" spans="9:10" x14ac:dyDescent="0.25">
      <c r="I562" s="37"/>
      <c r="J562" s="35"/>
    </row>
    <row r="563" spans="9:10" x14ac:dyDescent="0.25">
      <c r="I563" s="37"/>
      <c r="J563" s="35"/>
    </row>
    <row r="564" spans="9:10" x14ac:dyDescent="0.25">
      <c r="I564" s="37"/>
      <c r="J564" s="35"/>
    </row>
    <row r="565" spans="9:10" x14ac:dyDescent="0.25">
      <c r="I565" s="37"/>
      <c r="J565" s="35"/>
    </row>
    <row r="566" spans="9:10" x14ac:dyDescent="0.25">
      <c r="I566" s="37"/>
      <c r="J566" s="35"/>
    </row>
    <row r="567" spans="9:10" x14ac:dyDescent="0.25">
      <c r="I567" s="37"/>
      <c r="J567" s="35"/>
    </row>
    <row r="568" spans="9:10" x14ac:dyDescent="0.25">
      <c r="I568" s="37"/>
      <c r="J568" s="35"/>
    </row>
    <row r="569" spans="9:10" x14ac:dyDescent="0.25">
      <c r="I569" s="37"/>
      <c r="J569" s="35"/>
    </row>
    <row r="570" spans="9:10" x14ac:dyDescent="0.25">
      <c r="I570" s="37"/>
      <c r="J570" s="35"/>
    </row>
    <row r="571" spans="9:10" x14ac:dyDescent="0.25">
      <c r="I571" s="37"/>
      <c r="J571" s="35"/>
    </row>
    <row r="572" spans="9:10" x14ac:dyDescent="0.25">
      <c r="I572" s="37"/>
      <c r="J572" s="35"/>
    </row>
    <row r="573" spans="9:10" x14ac:dyDescent="0.25">
      <c r="I573" s="37"/>
      <c r="J573" s="35"/>
    </row>
    <row r="574" spans="9:10" x14ac:dyDescent="0.25">
      <c r="I574" s="37"/>
      <c r="J574" s="35"/>
    </row>
    <row r="575" spans="9:10" x14ac:dyDescent="0.25">
      <c r="I575" s="37"/>
      <c r="J575" s="35"/>
    </row>
    <row r="576" spans="9:10" x14ac:dyDescent="0.25">
      <c r="I576" s="37"/>
      <c r="J576" s="35"/>
    </row>
    <row r="577" spans="9:10" x14ac:dyDescent="0.25">
      <c r="I577" s="37"/>
      <c r="J577" s="35"/>
    </row>
    <row r="578" spans="9:10" x14ac:dyDescent="0.25">
      <c r="I578" s="37"/>
      <c r="J578" s="35"/>
    </row>
    <row r="579" spans="9:10" x14ac:dyDescent="0.25">
      <c r="I579" s="37"/>
      <c r="J579" s="35"/>
    </row>
    <row r="580" spans="9:10" x14ac:dyDescent="0.25">
      <c r="I580" s="37"/>
      <c r="J580" s="35"/>
    </row>
    <row r="581" spans="9:10" x14ac:dyDescent="0.25">
      <c r="I581" s="37"/>
      <c r="J581" s="35"/>
    </row>
    <row r="582" spans="9:10" x14ac:dyDescent="0.25">
      <c r="I582" s="37"/>
      <c r="J582" s="35"/>
    </row>
    <row r="583" spans="9:10" x14ac:dyDescent="0.25">
      <c r="I583" s="37"/>
      <c r="J583" s="35"/>
    </row>
    <row r="584" spans="9:10" x14ac:dyDescent="0.25">
      <c r="I584" s="37"/>
      <c r="J584" s="35"/>
    </row>
    <row r="585" spans="9:10" x14ac:dyDescent="0.25">
      <c r="I585" s="37"/>
      <c r="J585" s="35"/>
    </row>
    <row r="586" spans="9:10" x14ac:dyDescent="0.25">
      <c r="I586" s="37"/>
      <c r="J586" s="35"/>
    </row>
    <row r="587" spans="9:10" x14ac:dyDescent="0.25">
      <c r="I587" s="37"/>
      <c r="J587" s="35"/>
    </row>
    <row r="588" spans="9:10" x14ac:dyDescent="0.25">
      <c r="I588" s="37"/>
      <c r="J588" s="35"/>
    </row>
    <row r="589" spans="9:10" x14ac:dyDescent="0.25">
      <c r="I589" s="37"/>
      <c r="J589" s="35"/>
    </row>
    <row r="590" spans="9:10" x14ac:dyDescent="0.25">
      <c r="I590" s="37"/>
      <c r="J590" s="35"/>
    </row>
    <row r="591" spans="9:10" x14ac:dyDescent="0.25">
      <c r="I591" s="37"/>
      <c r="J591" s="35"/>
    </row>
    <row r="592" spans="9:10" x14ac:dyDescent="0.25">
      <c r="I592" s="37"/>
      <c r="J592" s="35"/>
    </row>
    <row r="593" spans="9:10" x14ac:dyDescent="0.25">
      <c r="I593" s="37"/>
      <c r="J593" s="35"/>
    </row>
    <row r="594" spans="9:10" x14ac:dyDescent="0.25">
      <c r="I594" s="37"/>
      <c r="J594" s="35"/>
    </row>
    <row r="595" spans="9:10" x14ac:dyDescent="0.25">
      <c r="I595" s="37"/>
      <c r="J595" s="35"/>
    </row>
    <row r="596" spans="9:10" x14ac:dyDescent="0.25">
      <c r="I596" s="37"/>
      <c r="J596" s="35"/>
    </row>
    <row r="597" spans="9:10" x14ac:dyDescent="0.25">
      <c r="I597" s="37"/>
      <c r="J597" s="35"/>
    </row>
    <row r="598" spans="9:10" x14ac:dyDescent="0.25">
      <c r="I598" s="37"/>
      <c r="J598" s="35"/>
    </row>
    <row r="599" spans="9:10" x14ac:dyDescent="0.25">
      <c r="I599" s="37"/>
      <c r="J599" s="35"/>
    </row>
    <row r="600" spans="9:10" x14ac:dyDescent="0.25">
      <c r="I600" s="37"/>
      <c r="J600" s="35"/>
    </row>
    <row r="601" spans="9:10" x14ac:dyDescent="0.25">
      <c r="I601" s="37"/>
      <c r="J601" s="35"/>
    </row>
    <row r="602" spans="9:10" x14ac:dyDescent="0.25">
      <c r="I602" s="37"/>
      <c r="J602" s="35"/>
    </row>
    <row r="603" spans="9:10" x14ac:dyDescent="0.25">
      <c r="I603" s="37"/>
      <c r="J603" s="35"/>
    </row>
    <row r="604" spans="9:10" x14ac:dyDescent="0.25">
      <c r="I604" s="37"/>
      <c r="J604" s="35"/>
    </row>
    <row r="605" spans="9:10" x14ac:dyDescent="0.25">
      <c r="I605" s="37"/>
      <c r="J605" s="35"/>
    </row>
    <row r="606" spans="9:10" x14ac:dyDescent="0.25">
      <c r="I606" s="37"/>
      <c r="J606" s="35"/>
    </row>
    <row r="607" spans="9:10" x14ac:dyDescent="0.25">
      <c r="I607" s="37"/>
      <c r="J607" s="35"/>
    </row>
    <row r="608" spans="9:10" x14ac:dyDescent="0.25">
      <c r="I608" s="37"/>
      <c r="J608" s="35"/>
    </row>
    <row r="609" spans="9:10" x14ac:dyDescent="0.25">
      <c r="I609" s="37"/>
      <c r="J609" s="35"/>
    </row>
    <row r="610" spans="9:10" x14ac:dyDescent="0.25">
      <c r="I610" s="37"/>
      <c r="J610" s="35"/>
    </row>
    <row r="611" spans="9:10" x14ac:dyDescent="0.25">
      <c r="I611" s="37"/>
      <c r="J611" s="35"/>
    </row>
    <row r="612" spans="9:10" x14ac:dyDescent="0.25">
      <c r="I612" s="37"/>
      <c r="J612" s="35"/>
    </row>
    <row r="613" spans="9:10" x14ac:dyDescent="0.25">
      <c r="I613" s="37"/>
      <c r="J613" s="35"/>
    </row>
    <row r="614" spans="9:10" x14ac:dyDescent="0.25">
      <c r="I614" s="37"/>
      <c r="J614" s="35"/>
    </row>
    <row r="615" spans="9:10" x14ac:dyDescent="0.25">
      <c r="I615" s="37"/>
      <c r="J615" s="35"/>
    </row>
    <row r="616" spans="9:10" x14ac:dyDescent="0.25">
      <c r="I616" s="37"/>
      <c r="J616" s="35"/>
    </row>
    <row r="617" spans="9:10" x14ac:dyDescent="0.25">
      <c r="I617" s="37"/>
      <c r="J617" s="35"/>
    </row>
    <row r="618" spans="9:10" x14ac:dyDescent="0.25">
      <c r="I618" s="37"/>
      <c r="J618" s="35"/>
    </row>
    <row r="619" spans="9:10" x14ac:dyDescent="0.25">
      <c r="I619" s="37"/>
      <c r="J619" s="35"/>
    </row>
    <row r="620" spans="9:10" x14ac:dyDescent="0.25">
      <c r="I620" s="37"/>
      <c r="J620" s="35"/>
    </row>
    <row r="621" spans="9:10" x14ac:dyDescent="0.25">
      <c r="I621" s="37"/>
      <c r="J621" s="35"/>
    </row>
    <row r="622" spans="9:10" x14ac:dyDescent="0.25">
      <c r="I622" s="37"/>
      <c r="J622" s="35"/>
    </row>
    <row r="623" spans="9:10" x14ac:dyDescent="0.25">
      <c r="I623" s="37"/>
      <c r="J623" s="35"/>
    </row>
    <row r="624" spans="9:10" x14ac:dyDescent="0.25">
      <c r="I624" s="37"/>
      <c r="J624" s="35"/>
    </row>
    <row r="625" spans="9:10" x14ac:dyDescent="0.25">
      <c r="I625" s="37"/>
      <c r="J625" s="35"/>
    </row>
    <row r="626" spans="9:10" x14ac:dyDescent="0.25">
      <c r="I626" s="37"/>
      <c r="J626" s="35"/>
    </row>
    <row r="627" spans="9:10" x14ac:dyDescent="0.25">
      <c r="I627" s="37"/>
      <c r="J627" s="35"/>
    </row>
    <row r="628" spans="9:10" x14ac:dyDescent="0.25">
      <c r="I628" s="37"/>
      <c r="J628" s="35"/>
    </row>
    <row r="629" spans="9:10" x14ac:dyDescent="0.25">
      <c r="I629" s="37"/>
      <c r="J629" s="35"/>
    </row>
    <row r="630" spans="9:10" x14ac:dyDescent="0.25">
      <c r="I630" s="37"/>
      <c r="J630" s="35"/>
    </row>
    <row r="631" spans="9:10" x14ac:dyDescent="0.25">
      <c r="I631" s="37"/>
      <c r="J631" s="35"/>
    </row>
    <row r="632" spans="9:10" x14ac:dyDescent="0.25">
      <c r="I632" s="37"/>
      <c r="J632" s="35"/>
    </row>
    <row r="633" spans="9:10" x14ac:dyDescent="0.25">
      <c r="I633" s="37"/>
      <c r="J633" s="35"/>
    </row>
    <row r="634" spans="9:10" x14ac:dyDescent="0.25">
      <c r="I634" s="37"/>
      <c r="J634" s="35"/>
    </row>
    <row r="635" spans="9:10" x14ac:dyDescent="0.25">
      <c r="I635" s="37"/>
      <c r="J635" s="35"/>
    </row>
    <row r="636" spans="9:10" x14ac:dyDescent="0.25">
      <c r="I636" s="37"/>
      <c r="J636" s="35"/>
    </row>
    <row r="637" spans="9:10" x14ac:dyDescent="0.25">
      <c r="I637" s="37"/>
      <c r="J637" s="35"/>
    </row>
    <row r="638" spans="9:10" x14ac:dyDescent="0.25">
      <c r="I638" s="37"/>
      <c r="J638" s="35"/>
    </row>
    <row r="639" spans="9:10" x14ac:dyDescent="0.25">
      <c r="I639" s="37"/>
      <c r="J639" s="35"/>
    </row>
    <row r="640" spans="9:10" x14ac:dyDescent="0.25">
      <c r="I640" s="37"/>
      <c r="J640" s="35"/>
    </row>
    <row r="641" spans="9:10" x14ac:dyDescent="0.25">
      <c r="I641" s="37"/>
      <c r="J641" s="35"/>
    </row>
    <row r="642" spans="9:10" x14ac:dyDescent="0.25">
      <c r="I642" s="37"/>
      <c r="J642" s="35"/>
    </row>
    <row r="643" spans="9:10" x14ac:dyDescent="0.25">
      <c r="I643" s="37"/>
      <c r="J643" s="35"/>
    </row>
    <row r="644" spans="9:10" x14ac:dyDescent="0.25">
      <c r="I644" s="37"/>
      <c r="J644" s="35"/>
    </row>
    <row r="645" spans="9:10" x14ac:dyDescent="0.25">
      <c r="I645" s="37"/>
      <c r="J645" s="35"/>
    </row>
    <row r="646" spans="9:10" x14ac:dyDescent="0.25">
      <c r="I646" s="37"/>
      <c r="J646" s="35"/>
    </row>
    <row r="647" spans="9:10" x14ac:dyDescent="0.25">
      <c r="I647" s="37"/>
      <c r="J647" s="35"/>
    </row>
    <row r="648" spans="9:10" x14ac:dyDescent="0.25">
      <c r="I648" s="37"/>
      <c r="J648" s="35"/>
    </row>
    <row r="649" spans="9:10" x14ac:dyDescent="0.25">
      <c r="I649" s="37"/>
      <c r="J649" s="35"/>
    </row>
    <row r="650" spans="9:10" x14ac:dyDescent="0.25">
      <c r="I650" s="37"/>
      <c r="J650" s="35"/>
    </row>
    <row r="651" spans="9:10" x14ac:dyDescent="0.25">
      <c r="I651" s="37"/>
      <c r="J651" s="35"/>
    </row>
    <row r="652" spans="9:10" x14ac:dyDescent="0.25">
      <c r="I652" s="37"/>
      <c r="J652" s="35"/>
    </row>
    <row r="653" spans="9:10" x14ac:dyDescent="0.25">
      <c r="I653" s="37"/>
      <c r="J653" s="35"/>
    </row>
    <row r="654" spans="9:10" x14ac:dyDescent="0.25">
      <c r="I654" s="37"/>
      <c r="J654" s="35"/>
    </row>
    <row r="655" spans="9:10" x14ac:dyDescent="0.25">
      <c r="I655" s="37"/>
      <c r="J655" s="35"/>
    </row>
    <row r="656" spans="9:10" x14ac:dyDescent="0.25">
      <c r="I656" s="37"/>
      <c r="J656" s="35"/>
    </row>
    <row r="657" spans="9:10" x14ac:dyDescent="0.25">
      <c r="I657" s="37"/>
      <c r="J657" s="35"/>
    </row>
    <row r="658" spans="9:10" x14ac:dyDescent="0.25">
      <c r="I658" s="37"/>
      <c r="J658" s="35"/>
    </row>
    <row r="659" spans="9:10" x14ac:dyDescent="0.25">
      <c r="I659" s="37"/>
      <c r="J659" s="35"/>
    </row>
    <row r="660" spans="9:10" x14ac:dyDescent="0.25">
      <c r="I660" s="37"/>
      <c r="J660" s="35"/>
    </row>
    <row r="661" spans="9:10" x14ac:dyDescent="0.25">
      <c r="I661" s="37"/>
      <c r="J661" s="35"/>
    </row>
    <row r="662" spans="9:10" x14ac:dyDescent="0.25">
      <c r="I662" s="37"/>
      <c r="J662" s="35"/>
    </row>
    <row r="663" spans="9:10" x14ac:dyDescent="0.25">
      <c r="I663" s="37"/>
      <c r="J663" s="35"/>
    </row>
    <row r="664" spans="9:10" x14ac:dyDescent="0.25">
      <c r="I664" s="37"/>
      <c r="J664" s="35"/>
    </row>
    <row r="665" spans="9:10" x14ac:dyDescent="0.25">
      <c r="I665" s="37"/>
      <c r="J665" s="35"/>
    </row>
    <row r="666" spans="9:10" x14ac:dyDescent="0.25">
      <c r="I666" s="37"/>
      <c r="J666" s="35"/>
    </row>
    <row r="667" spans="9:10" x14ac:dyDescent="0.25">
      <c r="I667" s="37"/>
      <c r="J667" s="35"/>
    </row>
    <row r="668" spans="9:10" x14ac:dyDescent="0.25">
      <c r="I668" s="37"/>
      <c r="J668" s="35"/>
    </row>
    <row r="669" spans="9:10" x14ac:dyDescent="0.25">
      <c r="I669" s="37"/>
      <c r="J669" s="35"/>
    </row>
    <row r="670" spans="9:10" x14ac:dyDescent="0.25">
      <c r="I670" s="37"/>
      <c r="J670" s="35"/>
    </row>
    <row r="671" spans="9:10" x14ac:dyDescent="0.25">
      <c r="I671" s="37"/>
      <c r="J671" s="35"/>
    </row>
    <row r="672" spans="9:10" x14ac:dyDescent="0.25">
      <c r="I672" s="37"/>
      <c r="J672" s="35"/>
    </row>
    <row r="673" spans="9:10" x14ac:dyDescent="0.25">
      <c r="I673" s="37"/>
      <c r="J673" s="35"/>
    </row>
    <row r="674" spans="9:10" x14ac:dyDescent="0.25">
      <c r="I674" s="37"/>
      <c r="J674" s="35"/>
    </row>
    <row r="675" spans="9:10" x14ac:dyDescent="0.25">
      <c r="I675" s="37"/>
      <c r="J675" s="35"/>
    </row>
    <row r="676" spans="9:10" x14ac:dyDescent="0.25">
      <c r="I676" s="37"/>
      <c r="J676" s="35"/>
    </row>
    <row r="677" spans="9:10" x14ac:dyDescent="0.25">
      <c r="I677" s="37"/>
      <c r="J677" s="35"/>
    </row>
    <row r="678" spans="9:10" x14ac:dyDescent="0.25">
      <c r="I678" s="37"/>
      <c r="J678" s="35"/>
    </row>
    <row r="679" spans="9:10" x14ac:dyDescent="0.25">
      <c r="I679" s="37"/>
      <c r="J679" s="35"/>
    </row>
    <row r="680" spans="9:10" x14ac:dyDescent="0.25">
      <c r="I680" s="37"/>
      <c r="J680" s="35"/>
    </row>
    <row r="681" spans="9:10" x14ac:dyDescent="0.25">
      <c r="I681" s="37"/>
      <c r="J681" s="35"/>
    </row>
    <row r="682" spans="9:10" x14ac:dyDescent="0.25">
      <c r="I682" s="37"/>
      <c r="J682" s="35"/>
    </row>
    <row r="683" spans="9:10" x14ac:dyDescent="0.25">
      <c r="I683" s="37"/>
      <c r="J683" s="35"/>
    </row>
    <row r="684" spans="9:10" x14ac:dyDescent="0.25">
      <c r="I684" s="37"/>
      <c r="J684" s="35"/>
    </row>
    <row r="685" spans="9:10" x14ac:dyDescent="0.25">
      <c r="I685" s="37"/>
      <c r="J685" s="35"/>
    </row>
    <row r="686" spans="9:10" x14ac:dyDescent="0.25">
      <c r="I686" s="37"/>
      <c r="J686" s="35"/>
    </row>
    <row r="687" spans="9:10" x14ac:dyDescent="0.25">
      <c r="I687" s="37"/>
      <c r="J687" s="35"/>
    </row>
    <row r="688" spans="9:10" x14ac:dyDescent="0.25">
      <c r="I688" s="37"/>
      <c r="J688" s="35"/>
    </row>
    <row r="689" spans="9:10" x14ac:dyDescent="0.25">
      <c r="I689" s="37"/>
      <c r="J689" s="35"/>
    </row>
    <row r="690" spans="9:10" x14ac:dyDescent="0.25">
      <c r="I690" s="37"/>
      <c r="J690" s="35"/>
    </row>
    <row r="691" spans="9:10" x14ac:dyDescent="0.25">
      <c r="I691" s="37"/>
      <c r="J691" s="35"/>
    </row>
    <row r="692" spans="9:10" x14ac:dyDescent="0.25">
      <c r="I692" s="37"/>
      <c r="J692" s="35"/>
    </row>
    <row r="693" spans="9:10" x14ac:dyDescent="0.25">
      <c r="I693" s="37"/>
      <c r="J693" s="35"/>
    </row>
    <row r="694" spans="9:10" x14ac:dyDescent="0.25">
      <c r="I694" s="37"/>
      <c r="J694" s="35"/>
    </row>
    <row r="695" spans="9:10" x14ac:dyDescent="0.25">
      <c r="I695" s="37"/>
      <c r="J695" s="35"/>
    </row>
    <row r="696" spans="9:10" x14ac:dyDescent="0.25">
      <c r="I696" s="37"/>
      <c r="J696" s="35"/>
    </row>
    <row r="697" spans="9:10" x14ac:dyDescent="0.25">
      <c r="I697" s="37"/>
      <c r="J697" s="35"/>
    </row>
    <row r="698" spans="9:10" x14ac:dyDescent="0.25">
      <c r="I698" s="37"/>
      <c r="J698" s="35"/>
    </row>
    <row r="699" spans="9:10" x14ac:dyDescent="0.25">
      <c r="I699" s="37"/>
      <c r="J699" s="35"/>
    </row>
    <row r="700" spans="9:10" x14ac:dyDescent="0.25">
      <c r="I700" s="37"/>
      <c r="J700" s="35"/>
    </row>
    <row r="701" spans="9:10" x14ac:dyDescent="0.25">
      <c r="I701" s="37"/>
      <c r="J701" s="35"/>
    </row>
    <row r="702" spans="9:10" x14ac:dyDescent="0.25">
      <c r="I702" s="37"/>
      <c r="J702" s="35"/>
    </row>
    <row r="703" spans="9:10" x14ac:dyDescent="0.25">
      <c r="I703" s="37"/>
      <c r="J703" s="35"/>
    </row>
    <row r="704" spans="9:10" x14ac:dyDescent="0.25">
      <c r="I704" s="37"/>
      <c r="J704" s="35"/>
    </row>
    <row r="705" spans="9:10" x14ac:dyDescent="0.25">
      <c r="I705" s="37"/>
      <c r="J705" s="35"/>
    </row>
    <row r="706" spans="9:10" x14ac:dyDescent="0.25">
      <c r="I706" s="37"/>
      <c r="J706" s="35"/>
    </row>
    <row r="707" spans="9:10" x14ac:dyDescent="0.25">
      <c r="I707" s="37"/>
      <c r="J707" s="35"/>
    </row>
    <row r="708" spans="9:10" x14ac:dyDescent="0.25">
      <c r="I708" s="37"/>
      <c r="J708" s="35"/>
    </row>
    <row r="709" spans="9:10" x14ac:dyDescent="0.25">
      <c r="I709" s="37"/>
      <c r="J709" s="35"/>
    </row>
    <row r="710" spans="9:10" x14ac:dyDescent="0.25">
      <c r="I710" s="37"/>
      <c r="J710" s="35"/>
    </row>
    <row r="711" spans="9:10" x14ac:dyDescent="0.25">
      <c r="I711" s="37"/>
      <c r="J711" s="35"/>
    </row>
    <row r="712" spans="9:10" x14ac:dyDescent="0.25">
      <c r="I712" s="37"/>
      <c r="J712" s="35"/>
    </row>
    <row r="713" spans="9:10" x14ac:dyDescent="0.25">
      <c r="I713" s="37"/>
      <c r="J713" s="35"/>
    </row>
    <row r="714" spans="9:10" x14ac:dyDescent="0.25">
      <c r="I714" s="37"/>
      <c r="J714" s="35"/>
    </row>
    <row r="715" spans="9:10" x14ac:dyDescent="0.25">
      <c r="I715" s="37"/>
      <c r="J715" s="35"/>
    </row>
    <row r="716" spans="9:10" x14ac:dyDescent="0.25">
      <c r="I716" s="37"/>
      <c r="J716" s="35"/>
    </row>
    <row r="717" spans="9:10" x14ac:dyDescent="0.25">
      <c r="I717" s="37"/>
      <c r="J717" s="35"/>
    </row>
    <row r="718" spans="9:10" x14ac:dyDescent="0.25">
      <c r="I718" s="37"/>
      <c r="J718" s="35"/>
    </row>
    <row r="719" spans="9:10" x14ac:dyDescent="0.25">
      <c r="I719" s="37"/>
      <c r="J719" s="35"/>
    </row>
    <row r="720" spans="9:10" x14ac:dyDescent="0.25">
      <c r="I720" s="37"/>
      <c r="J720" s="35"/>
    </row>
    <row r="721" spans="9:10" x14ac:dyDescent="0.25">
      <c r="I721" s="37"/>
      <c r="J721" s="35"/>
    </row>
    <row r="722" spans="9:10" x14ac:dyDescent="0.25">
      <c r="I722" s="37"/>
      <c r="J722" s="35"/>
    </row>
    <row r="723" spans="9:10" x14ac:dyDescent="0.25">
      <c r="I723" s="37"/>
      <c r="J723" s="35"/>
    </row>
    <row r="724" spans="9:10" x14ac:dyDescent="0.25">
      <c r="I724" s="37"/>
      <c r="J724" s="35"/>
    </row>
    <row r="725" spans="9:10" x14ac:dyDescent="0.25">
      <c r="I725" s="37"/>
      <c r="J725" s="35"/>
    </row>
    <row r="726" spans="9:10" x14ac:dyDescent="0.25">
      <c r="I726" s="37"/>
      <c r="J726" s="35"/>
    </row>
    <row r="727" spans="9:10" x14ac:dyDescent="0.25">
      <c r="I727" s="37"/>
      <c r="J727" s="35"/>
    </row>
    <row r="728" spans="9:10" x14ac:dyDescent="0.25">
      <c r="I728" s="37"/>
      <c r="J728" s="35"/>
    </row>
    <row r="729" spans="9:10" x14ac:dyDescent="0.25">
      <c r="I729" s="37"/>
      <c r="J729" s="35"/>
    </row>
    <row r="730" spans="9:10" x14ac:dyDescent="0.25">
      <c r="I730" s="37"/>
      <c r="J730" s="35"/>
    </row>
    <row r="731" spans="9:10" x14ac:dyDescent="0.25">
      <c r="I731" s="37"/>
      <c r="J731" s="35"/>
    </row>
    <row r="732" spans="9:10" x14ac:dyDescent="0.25">
      <c r="I732" s="37"/>
      <c r="J732" s="35"/>
    </row>
    <row r="733" spans="9:10" x14ac:dyDescent="0.25">
      <c r="I733" s="37"/>
      <c r="J733" s="35"/>
    </row>
    <row r="734" spans="9:10" x14ac:dyDescent="0.25">
      <c r="I734" s="37"/>
      <c r="J734" s="35"/>
    </row>
    <row r="735" spans="9:10" x14ac:dyDescent="0.25">
      <c r="I735" s="37"/>
      <c r="J735" s="35"/>
    </row>
    <row r="736" spans="9:10" x14ac:dyDescent="0.25">
      <c r="I736" s="37"/>
      <c r="J736" s="35"/>
    </row>
    <row r="737" spans="9:10" x14ac:dyDescent="0.25">
      <c r="I737" s="37"/>
      <c r="J737" s="35"/>
    </row>
    <row r="738" spans="9:10" x14ac:dyDescent="0.25">
      <c r="I738" s="37"/>
      <c r="J738" s="35"/>
    </row>
    <row r="739" spans="9:10" x14ac:dyDescent="0.25">
      <c r="I739" s="37"/>
      <c r="J739" s="35"/>
    </row>
    <row r="740" spans="9:10" x14ac:dyDescent="0.25">
      <c r="I740" s="37"/>
      <c r="J740" s="35"/>
    </row>
    <row r="741" spans="9:10" x14ac:dyDescent="0.25">
      <c r="I741" s="37"/>
      <c r="J741" s="35"/>
    </row>
    <row r="742" spans="9:10" x14ac:dyDescent="0.25">
      <c r="I742" s="37"/>
      <c r="J742" s="35"/>
    </row>
    <row r="743" spans="9:10" x14ac:dyDescent="0.25">
      <c r="I743" s="37"/>
      <c r="J743" s="35"/>
    </row>
    <row r="744" spans="9:10" x14ac:dyDescent="0.25">
      <c r="I744" s="37"/>
      <c r="J744" s="35"/>
    </row>
    <row r="745" spans="9:10" x14ac:dyDescent="0.25">
      <c r="I745" s="37"/>
      <c r="J745" s="35"/>
    </row>
    <row r="746" spans="9:10" x14ac:dyDescent="0.25">
      <c r="I746" s="37"/>
      <c r="J746" s="35"/>
    </row>
    <row r="747" spans="9:10" x14ac:dyDescent="0.25">
      <c r="I747" s="37"/>
      <c r="J747" s="35"/>
    </row>
    <row r="748" spans="9:10" x14ac:dyDescent="0.25">
      <c r="I748" s="37"/>
      <c r="J748" s="35"/>
    </row>
    <row r="749" spans="9:10" x14ac:dyDescent="0.25">
      <c r="I749" s="37"/>
      <c r="J749" s="35"/>
    </row>
    <row r="750" spans="9:10" x14ac:dyDescent="0.25">
      <c r="I750" s="37"/>
      <c r="J750" s="35"/>
    </row>
    <row r="751" spans="9:10" x14ac:dyDescent="0.25">
      <c r="I751" s="37"/>
      <c r="J751" s="35"/>
    </row>
    <row r="752" spans="9:10" x14ac:dyDescent="0.25">
      <c r="I752" s="37"/>
      <c r="J752" s="35"/>
    </row>
    <row r="753" spans="9:10" x14ac:dyDescent="0.25">
      <c r="I753" s="37"/>
      <c r="J753" s="35"/>
    </row>
    <row r="754" spans="9:10" x14ac:dyDescent="0.25">
      <c r="I754" s="37"/>
      <c r="J754" s="35"/>
    </row>
    <row r="755" spans="9:10" x14ac:dyDescent="0.25">
      <c r="I755" s="37"/>
      <c r="J755" s="35"/>
    </row>
    <row r="756" spans="9:10" x14ac:dyDescent="0.25">
      <c r="I756" s="37"/>
      <c r="J756" s="35"/>
    </row>
    <row r="757" spans="9:10" x14ac:dyDescent="0.25">
      <c r="I757" s="37"/>
      <c r="J757" s="35"/>
    </row>
    <row r="758" spans="9:10" x14ac:dyDescent="0.25">
      <c r="I758" s="37"/>
      <c r="J758" s="35"/>
    </row>
    <row r="759" spans="9:10" x14ac:dyDescent="0.25">
      <c r="I759" s="37"/>
      <c r="J759" s="35"/>
    </row>
    <row r="760" spans="9:10" x14ac:dyDescent="0.25">
      <c r="I760" s="37"/>
      <c r="J760" s="35"/>
    </row>
    <row r="761" spans="9:10" x14ac:dyDescent="0.25">
      <c r="I761" s="37"/>
      <c r="J761" s="35"/>
    </row>
    <row r="762" spans="9:10" x14ac:dyDescent="0.25">
      <c r="I762" s="37"/>
      <c r="J762" s="35"/>
    </row>
    <row r="763" spans="9:10" x14ac:dyDescent="0.25">
      <c r="I763" s="37"/>
      <c r="J763" s="35"/>
    </row>
    <row r="764" spans="9:10" x14ac:dyDescent="0.25">
      <c r="I764" s="37"/>
      <c r="J764" s="35"/>
    </row>
    <row r="765" spans="9:10" x14ac:dyDescent="0.25">
      <c r="I765" s="37"/>
      <c r="J765" s="35"/>
    </row>
    <row r="766" spans="9:10" x14ac:dyDescent="0.25">
      <c r="I766" s="37"/>
      <c r="J766" s="35"/>
    </row>
    <row r="767" spans="9:10" x14ac:dyDescent="0.25">
      <c r="I767" s="37"/>
      <c r="J767" s="35"/>
    </row>
    <row r="768" spans="9:10" x14ac:dyDescent="0.25">
      <c r="I768" s="37"/>
      <c r="J768" s="35"/>
    </row>
    <row r="769" spans="9:10" x14ac:dyDescent="0.25">
      <c r="I769" s="37"/>
      <c r="J769" s="35"/>
    </row>
    <row r="770" spans="9:10" x14ac:dyDescent="0.25">
      <c r="I770" s="37"/>
      <c r="J770" s="35"/>
    </row>
    <row r="771" spans="9:10" x14ac:dyDescent="0.25">
      <c r="I771" s="37"/>
      <c r="J771" s="35"/>
    </row>
    <row r="772" spans="9:10" x14ac:dyDescent="0.25">
      <c r="I772" s="37"/>
      <c r="J772" s="35"/>
    </row>
    <row r="773" spans="9:10" x14ac:dyDescent="0.25">
      <c r="I773" s="37"/>
      <c r="J773" s="35"/>
    </row>
    <row r="774" spans="9:10" x14ac:dyDescent="0.25">
      <c r="I774" s="37"/>
      <c r="J774" s="35"/>
    </row>
    <row r="775" spans="9:10" x14ac:dyDescent="0.25">
      <c r="I775" s="37"/>
      <c r="J775" s="35"/>
    </row>
    <row r="776" spans="9:10" x14ac:dyDescent="0.25">
      <c r="I776" s="37"/>
      <c r="J776" s="35"/>
    </row>
    <row r="777" spans="9:10" x14ac:dyDescent="0.25">
      <c r="I777" s="37"/>
      <c r="J777" s="35"/>
    </row>
    <row r="778" spans="9:10" x14ac:dyDescent="0.25">
      <c r="I778" s="37"/>
      <c r="J778" s="35"/>
    </row>
    <row r="779" spans="9:10" x14ac:dyDescent="0.25">
      <c r="I779" s="37"/>
      <c r="J779" s="35"/>
    </row>
    <row r="780" spans="9:10" x14ac:dyDescent="0.25">
      <c r="I780" s="37"/>
      <c r="J780" s="35"/>
    </row>
    <row r="781" spans="9:10" x14ac:dyDescent="0.25">
      <c r="I781" s="37"/>
      <c r="J781" s="35"/>
    </row>
    <row r="782" spans="9:10" x14ac:dyDescent="0.25">
      <c r="I782" s="37"/>
      <c r="J782" s="35"/>
    </row>
    <row r="783" spans="9:10" x14ac:dyDescent="0.25">
      <c r="I783" s="37"/>
      <c r="J783" s="35"/>
    </row>
    <row r="784" spans="9:10" x14ac:dyDescent="0.25">
      <c r="I784" s="37"/>
      <c r="J784" s="35"/>
    </row>
    <row r="785" spans="9:10" x14ac:dyDescent="0.25">
      <c r="I785" s="37"/>
      <c r="J785" s="35"/>
    </row>
    <row r="786" spans="9:10" x14ac:dyDescent="0.25">
      <c r="I786" s="37"/>
      <c r="J786" s="35"/>
    </row>
    <row r="787" spans="9:10" x14ac:dyDescent="0.25">
      <c r="I787" s="37"/>
      <c r="J787" s="35"/>
    </row>
    <row r="788" spans="9:10" x14ac:dyDescent="0.25">
      <c r="I788" s="37"/>
      <c r="J788" s="35"/>
    </row>
    <row r="789" spans="9:10" x14ac:dyDescent="0.25">
      <c r="I789" s="37"/>
      <c r="J789" s="35"/>
    </row>
    <row r="790" spans="9:10" x14ac:dyDescent="0.25">
      <c r="I790" s="37"/>
      <c r="J790" s="35"/>
    </row>
    <row r="791" spans="9:10" x14ac:dyDescent="0.25">
      <c r="I791" s="37"/>
      <c r="J791" s="35"/>
    </row>
    <row r="792" spans="9:10" x14ac:dyDescent="0.25">
      <c r="I792" s="37"/>
      <c r="J792" s="35"/>
    </row>
    <row r="793" spans="9:10" x14ac:dyDescent="0.25">
      <c r="I793" s="37"/>
      <c r="J793" s="35"/>
    </row>
    <row r="794" spans="9:10" x14ac:dyDescent="0.25">
      <c r="I794" s="37"/>
      <c r="J794" s="35"/>
    </row>
    <row r="795" spans="9:10" x14ac:dyDescent="0.25">
      <c r="I795" s="37"/>
      <c r="J795" s="35"/>
    </row>
    <row r="796" spans="9:10" x14ac:dyDescent="0.25">
      <c r="I796" s="37"/>
      <c r="J796" s="35"/>
    </row>
    <row r="797" spans="9:10" x14ac:dyDescent="0.25">
      <c r="I797" s="37"/>
      <c r="J797" s="35"/>
    </row>
    <row r="798" spans="9:10" x14ac:dyDescent="0.25">
      <c r="I798" s="37"/>
      <c r="J798" s="35"/>
    </row>
    <row r="799" spans="9:10" x14ac:dyDescent="0.25">
      <c r="I799" s="37"/>
      <c r="J799" s="35"/>
    </row>
    <row r="800" spans="9:10" x14ac:dyDescent="0.25">
      <c r="I800" s="37"/>
      <c r="J800" s="35"/>
    </row>
    <row r="801" spans="9:10" x14ac:dyDescent="0.25">
      <c r="I801" s="37"/>
      <c r="J801" s="35"/>
    </row>
    <row r="802" spans="9:10" x14ac:dyDescent="0.25">
      <c r="I802" s="37"/>
      <c r="J802" s="35"/>
    </row>
    <row r="803" spans="9:10" x14ac:dyDescent="0.25">
      <c r="I803" s="37"/>
      <c r="J803" s="35"/>
    </row>
    <row r="804" spans="9:10" x14ac:dyDescent="0.25">
      <c r="I804" s="37"/>
      <c r="J804" s="35"/>
    </row>
    <row r="805" spans="9:10" x14ac:dyDescent="0.25">
      <c r="I805" s="37"/>
      <c r="J805" s="35"/>
    </row>
    <row r="806" spans="9:10" x14ac:dyDescent="0.25">
      <c r="I806" s="37"/>
      <c r="J806" s="35"/>
    </row>
    <row r="807" spans="9:10" x14ac:dyDescent="0.25">
      <c r="I807" s="37"/>
      <c r="J807" s="35"/>
    </row>
    <row r="808" spans="9:10" x14ac:dyDescent="0.25">
      <c r="I808" s="37"/>
      <c r="J808" s="35"/>
    </row>
    <row r="809" spans="9:10" x14ac:dyDescent="0.25">
      <c r="I809" s="37"/>
      <c r="J809" s="35"/>
    </row>
    <row r="810" spans="9:10" x14ac:dyDescent="0.25">
      <c r="I810" s="37"/>
      <c r="J810" s="35"/>
    </row>
    <row r="811" spans="9:10" x14ac:dyDescent="0.25">
      <c r="I811" s="37"/>
      <c r="J811" s="35"/>
    </row>
    <row r="812" spans="9:10" x14ac:dyDescent="0.25">
      <c r="I812" s="37"/>
      <c r="J812" s="35"/>
    </row>
    <row r="813" spans="9:10" x14ac:dyDescent="0.25">
      <c r="I813" s="37"/>
      <c r="J813" s="35"/>
    </row>
    <row r="814" spans="9:10" x14ac:dyDescent="0.25">
      <c r="I814" s="37"/>
      <c r="J814" s="35"/>
    </row>
    <row r="815" spans="9:10" x14ac:dyDescent="0.25">
      <c r="I815" s="37"/>
      <c r="J815" s="35"/>
    </row>
    <row r="816" spans="9:10" x14ac:dyDescent="0.25">
      <c r="I816" s="37"/>
      <c r="J816" s="35"/>
    </row>
    <row r="817" spans="9:10" x14ac:dyDescent="0.25">
      <c r="I817" s="37"/>
      <c r="J817" s="35"/>
    </row>
    <row r="818" spans="9:10" x14ac:dyDescent="0.25">
      <c r="I818" s="37"/>
      <c r="J818" s="35"/>
    </row>
    <row r="819" spans="9:10" x14ac:dyDescent="0.25">
      <c r="I819" s="37"/>
      <c r="J819" s="35"/>
    </row>
    <row r="820" spans="9:10" x14ac:dyDescent="0.25">
      <c r="I820" s="37"/>
      <c r="J820" s="35"/>
    </row>
    <row r="821" spans="9:10" x14ac:dyDescent="0.25">
      <c r="I821" s="37"/>
      <c r="J821" s="35"/>
    </row>
    <row r="822" spans="9:10" x14ac:dyDescent="0.25">
      <c r="I822" s="37"/>
      <c r="J822" s="35"/>
    </row>
    <row r="823" spans="9:10" x14ac:dyDescent="0.25">
      <c r="I823" s="37"/>
      <c r="J823" s="35"/>
    </row>
    <row r="824" spans="9:10" x14ac:dyDescent="0.25">
      <c r="I824" s="37"/>
      <c r="J824" s="35"/>
    </row>
    <row r="825" spans="9:10" x14ac:dyDescent="0.25">
      <c r="I825" s="37"/>
      <c r="J825" s="35"/>
    </row>
    <row r="826" spans="9:10" x14ac:dyDescent="0.25">
      <c r="I826" s="37"/>
      <c r="J826" s="35"/>
    </row>
    <row r="827" spans="9:10" x14ac:dyDescent="0.25">
      <c r="I827" s="37"/>
      <c r="J827" s="35"/>
    </row>
    <row r="828" spans="9:10" x14ac:dyDescent="0.25">
      <c r="I828" s="37"/>
      <c r="J828" s="35"/>
    </row>
    <row r="829" spans="9:10" x14ac:dyDescent="0.25">
      <c r="I829" s="37"/>
      <c r="J829" s="35"/>
    </row>
    <row r="830" spans="9:10" x14ac:dyDescent="0.25">
      <c r="I830" s="37"/>
      <c r="J830" s="35"/>
    </row>
    <row r="831" spans="9:10" x14ac:dyDescent="0.25">
      <c r="I831" s="37"/>
      <c r="J831" s="35"/>
    </row>
    <row r="832" spans="9:10" x14ac:dyDescent="0.25">
      <c r="I832" s="37"/>
      <c r="J832" s="35"/>
    </row>
    <row r="833" spans="9:10" x14ac:dyDescent="0.25">
      <c r="I833" s="37"/>
      <c r="J833" s="35"/>
    </row>
    <row r="834" spans="9:10" x14ac:dyDescent="0.25">
      <c r="I834" s="37"/>
      <c r="J834" s="35"/>
    </row>
    <row r="835" spans="9:10" x14ac:dyDescent="0.25">
      <c r="I835" s="37"/>
      <c r="J835" s="35"/>
    </row>
    <row r="836" spans="9:10" x14ac:dyDescent="0.25">
      <c r="I836" s="37"/>
      <c r="J836" s="35"/>
    </row>
    <row r="837" spans="9:10" x14ac:dyDescent="0.25">
      <c r="I837" s="37"/>
      <c r="J837" s="35"/>
    </row>
    <row r="838" spans="9:10" x14ac:dyDescent="0.25">
      <c r="I838" s="37"/>
      <c r="J838" s="35"/>
    </row>
    <row r="839" spans="9:10" x14ac:dyDescent="0.25">
      <c r="I839" s="37"/>
      <c r="J839" s="35"/>
    </row>
    <row r="840" spans="9:10" x14ac:dyDescent="0.25">
      <c r="I840" s="37"/>
      <c r="J840" s="35"/>
    </row>
    <row r="841" spans="9:10" x14ac:dyDescent="0.25">
      <c r="I841" s="37"/>
      <c r="J841" s="35"/>
    </row>
    <row r="842" spans="9:10" x14ac:dyDescent="0.25">
      <c r="I842" s="37"/>
      <c r="J842" s="35"/>
    </row>
    <row r="843" spans="9:10" x14ac:dyDescent="0.25">
      <c r="I843" s="37"/>
      <c r="J843" s="35"/>
    </row>
    <row r="844" spans="9:10" x14ac:dyDescent="0.25">
      <c r="I844" s="37"/>
      <c r="J844" s="35"/>
    </row>
    <row r="845" spans="9:10" x14ac:dyDescent="0.25">
      <c r="I845" s="37"/>
      <c r="J845" s="35"/>
    </row>
    <row r="846" spans="9:10" x14ac:dyDescent="0.25">
      <c r="I846" s="37"/>
      <c r="J846" s="35"/>
    </row>
    <row r="847" spans="9:10" x14ac:dyDescent="0.25">
      <c r="I847" s="37"/>
      <c r="J847" s="35"/>
    </row>
    <row r="848" spans="9:10" x14ac:dyDescent="0.25">
      <c r="I848" s="37"/>
      <c r="J848" s="35"/>
    </row>
    <row r="849" spans="9:10" x14ac:dyDescent="0.25">
      <c r="I849" s="37"/>
      <c r="J849" s="35"/>
    </row>
    <row r="850" spans="9:10" x14ac:dyDescent="0.25">
      <c r="I850" s="37"/>
      <c r="J850" s="35"/>
    </row>
    <row r="851" spans="9:10" x14ac:dyDescent="0.25">
      <c r="I851" s="37"/>
      <c r="J851" s="35"/>
    </row>
    <row r="852" spans="9:10" x14ac:dyDescent="0.25">
      <c r="I852" s="37"/>
      <c r="J852" s="35"/>
    </row>
    <row r="853" spans="9:10" x14ac:dyDescent="0.25">
      <c r="I853" s="37"/>
      <c r="J853" s="35"/>
    </row>
    <row r="854" spans="9:10" x14ac:dyDescent="0.25">
      <c r="I854" s="37"/>
      <c r="J854" s="35"/>
    </row>
    <row r="855" spans="9:10" x14ac:dyDescent="0.25">
      <c r="I855" s="37"/>
      <c r="J855" s="35"/>
    </row>
    <row r="856" spans="9:10" x14ac:dyDescent="0.25">
      <c r="I856" s="37"/>
      <c r="J856" s="35"/>
    </row>
    <row r="857" spans="9:10" x14ac:dyDescent="0.25">
      <c r="I857" s="37"/>
      <c r="J857" s="35"/>
    </row>
    <row r="858" spans="9:10" x14ac:dyDescent="0.25">
      <c r="I858" s="37"/>
      <c r="J858" s="35"/>
    </row>
    <row r="859" spans="9:10" x14ac:dyDescent="0.25">
      <c r="I859" s="37"/>
      <c r="J859" s="35"/>
    </row>
    <row r="860" spans="9:10" x14ac:dyDescent="0.25">
      <c r="I860" s="37"/>
      <c r="J860" s="35"/>
    </row>
    <row r="861" spans="9:10" x14ac:dyDescent="0.25">
      <c r="I861" s="37"/>
      <c r="J861" s="35"/>
    </row>
    <row r="862" spans="9:10" x14ac:dyDescent="0.25">
      <c r="I862" s="37"/>
      <c r="J862" s="35"/>
    </row>
    <row r="863" spans="9:10" x14ac:dyDescent="0.25">
      <c r="I863" s="37"/>
      <c r="J863" s="35"/>
    </row>
    <row r="864" spans="9:10" x14ac:dyDescent="0.25">
      <c r="I864" s="37"/>
      <c r="J864" s="35"/>
    </row>
    <row r="865" spans="9:10" x14ac:dyDescent="0.25">
      <c r="I865" s="37"/>
      <c r="J865" s="35"/>
    </row>
    <row r="866" spans="9:10" x14ac:dyDescent="0.25">
      <c r="I866" s="37"/>
      <c r="J866" s="35"/>
    </row>
    <row r="867" spans="9:10" x14ac:dyDescent="0.25">
      <c r="I867" s="37"/>
      <c r="J867" s="35"/>
    </row>
    <row r="868" spans="9:10" x14ac:dyDescent="0.25">
      <c r="I868" s="37"/>
      <c r="J868" s="35"/>
    </row>
    <row r="869" spans="9:10" x14ac:dyDescent="0.25">
      <c r="I869" s="37"/>
      <c r="J869" s="35"/>
    </row>
    <row r="870" spans="9:10" x14ac:dyDescent="0.25">
      <c r="I870" s="37"/>
      <c r="J870" s="35"/>
    </row>
    <row r="871" spans="9:10" x14ac:dyDescent="0.25">
      <c r="I871" s="37"/>
      <c r="J871" s="35"/>
    </row>
    <row r="872" spans="9:10" x14ac:dyDescent="0.25">
      <c r="I872" s="37"/>
      <c r="J872" s="35"/>
    </row>
    <row r="873" spans="9:10" x14ac:dyDescent="0.25">
      <c r="I873" s="37"/>
      <c r="J873" s="35"/>
    </row>
    <row r="874" spans="9:10" x14ac:dyDescent="0.25">
      <c r="I874" s="37"/>
      <c r="J874" s="35"/>
    </row>
    <row r="875" spans="9:10" x14ac:dyDescent="0.25">
      <c r="I875" s="37"/>
      <c r="J875" s="35"/>
    </row>
    <row r="876" spans="9:10" x14ac:dyDescent="0.25">
      <c r="I876" s="37"/>
      <c r="J876" s="35"/>
    </row>
    <row r="877" spans="9:10" x14ac:dyDescent="0.25">
      <c r="I877" s="37"/>
      <c r="J877" s="35"/>
    </row>
    <row r="878" spans="9:10" x14ac:dyDescent="0.25">
      <c r="I878" s="37"/>
      <c r="J878" s="35"/>
    </row>
    <row r="879" spans="9:10" x14ac:dyDescent="0.25">
      <c r="I879" s="37"/>
      <c r="J879" s="35"/>
    </row>
    <row r="880" spans="9:10" x14ac:dyDescent="0.25">
      <c r="I880" s="37"/>
      <c r="J880" s="35"/>
    </row>
    <row r="881" spans="9:10" x14ac:dyDescent="0.25">
      <c r="I881" s="37"/>
      <c r="J881" s="35"/>
    </row>
    <row r="882" spans="9:10" x14ac:dyDescent="0.25">
      <c r="I882" s="37"/>
      <c r="J882" s="35"/>
    </row>
    <row r="883" spans="9:10" x14ac:dyDescent="0.25">
      <c r="I883" s="37"/>
      <c r="J883" s="35"/>
    </row>
    <row r="884" spans="9:10" x14ac:dyDescent="0.25">
      <c r="I884" s="37"/>
      <c r="J884" s="35"/>
    </row>
    <row r="885" spans="9:10" x14ac:dyDescent="0.25">
      <c r="I885" s="37"/>
      <c r="J885" s="35"/>
    </row>
    <row r="886" spans="9:10" x14ac:dyDescent="0.25">
      <c r="I886" s="37"/>
      <c r="J886" s="35"/>
    </row>
    <row r="887" spans="9:10" x14ac:dyDescent="0.25">
      <c r="I887" s="37"/>
      <c r="J887" s="35"/>
    </row>
    <row r="888" spans="9:10" x14ac:dyDescent="0.25">
      <c r="I888" s="37"/>
      <c r="J888" s="35"/>
    </row>
    <row r="889" spans="9:10" x14ac:dyDescent="0.25">
      <c r="I889" s="37"/>
      <c r="J889" s="35"/>
    </row>
    <row r="890" spans="9:10" x14ac:dyDescent="0.25">
      <c r="I890" s="37"/>
      <c r="J890" s="35"/>
    </row>
    <row r="891" spans="9:10" x14ac:dyDescent="0.25">
      <c r="I891" s="37"/>
      <c r="J891" s="35"/>
    </row>
    <row r="892" spans="9:10" x14ac:dyDescent="0.25">
      <c r="I892" s="37"/>
      <c r="J892" s="35"/>
    </row>
    <row r="893" spans="9:10" x14ac:dyDescent="0.25">
      <c r="I893" s="37"/>
      <c r="J893" s="35"/>
    </row>
    <row r="894" spans="9:10" x14ac:dyDescent="0.25">
      <c r="I894" s="37"/>
      <c r="J894" s="35"/>
    </row>
    <row r="895" spans="9:10" x14ac:dyDescent="0.25">
      <c r="I895" s="37"/>
      <c r="J895" s="35"/>
    </row>
    <row r="896" spans="9:10" x14ac:dyDescent="0.25">
      <c r="I896" s="37"/>
      <c r="J896" s="35"/>
    </row>
    <row r="897" spans="9:10" x14ac:dyDescent="0.25">
      <c r="I897" s="37"/>
      <c r="J897" s="35"/>
    </row>
    <row r="898" spans="9:10" x14ac:dyDescent="0.25">
      <c r="I898" s="37"/>
      <c r="J898" s="35"/>
    </row>
    <row r="899" spans="9:10" x14ac:dyDescent="0.25">
      <c r="I899" s="37"/>
      <c r="J899" s="35"/>
    </row>
    <row r="900" spans="9:10" x14ac:dyDescent="0.25">
      <c r="I900" s="37"/>
      <c r="J900" s="35"/>
    </row>
    <row r="901" spans="9:10" x14ac:dyDescent="0.25">
      <c r="I901" s="37"/>
      <c r="J901" s="35"/>
    </row>
    <row r="902" spans="9:10" x14ac:dyDescent="0.25">
      <c r="I902" s="37"/>
      <c r="J902" s="35"/>
    </row>
    <row r="903" spans="9:10" x14ac:dyDescent="0.25">
      <c r="I903" s="37"/>
      <c r="J903" s="35"/>
    </row>
    <row r="904" spans="9:10" x14ac:dyDescent="0.25">
      <c r="I904" s="37"/>
      <c r="J904" s="35"/>
    </row>
    <row r="905" spans="9:10" x14ac:dyDescent="0.25">
      <c r="I905" s="37"/>
      <c r="J905" s="35"/>
    </row>
    <row r="906" spans="9:10" x14ac:dyDescent="0.25">
      <c r="I906" s="37"/>
      <c r="J906" s="35"/>
    </row>
    <row r="907" spans="9:10" x14ac:dyDescent="0.25">
      <c r="I907" s="37"/>
      <c r="J907" s="35"/>
    </row>
    <row r="908" spans="9:10" x14ac:dyDescent="0.25">
      <c r="I908" s="37"/>
      <c r="J908" s="35"/>
    </row>
    <row r="909" spans="9:10" x14ac:dyDescent="0.25">
      <c r="I909" s="37"/>
      <c r="J909" s="35"/>
    </row>
    <row r="910" spans="9:10" x14ac:dyDescent="0.25">
      <c r="I910" s="37"/>
      <c r="J910" s="35"/>
    </row>
    <row r="911" spans="9:10" x14ac:dyDescent="0.25">
      <c r="I911" s="37"/>
      <c r="J911" s="35"/>
    </row>
    <row r="912" spans="9:10" x14ac:dyDescent="0.25">
      <c r="I912" s="37"/>
      <c r="J912" s="35"/>
    </row>
    <row r="913" spans="9:10" x14ac:dyDescent="0.25">
      <c r="I913" s="37"/>
      <c r="J913" s="35"/>
    </row>
    <row r="914" spans="9:10" x14ac:dyDescent="0.25">
      <c r="I914" s="37"/>
      <c r="J914" s="35"/>
    </row>
    <row r="915" spans="9:10" x14ac:dyDescent="0.25">
      <c r="I915" s="37"/>
      <c r="J915" s="35"/>
    </row>
    <row r="916" spans="9:10" x14ac:dyDescent="0.25">
      <c r="I916" s="37"/>
      <c r="J916" s="35"/>
    </row>
    <row r="917" spans="9:10" x14ac:dyDescent="0.25">
      <c r="I917" s="37"/>
      <c r="J917" s="35"/>
    </row>
    <row r="918" spans="9:10" x14ac:dyDescent="0.25">
      <c r="I918" s="37"/>
      <c r="J918" s="35"/>
    </row>
    <row r="919" spans="9:10" x14ac:dyDescent="0.25">
      <c r="I919" s="37"/>
      <c r="J919" s="35"/>
    </row>
    <row r="920" spans="9:10" x14ac:dyDescent="0.25">
      <c r="I920" s="37"/>
      <c r="J920" s="35"/>
    </row>
    <row r="921" spans="9:10" x14ac:dyDescent="0.25">
      <c r="I921" s="37"/>
      <c r="J921" s="35"/>
    </row>
    <row r="922" spans="9:10" x14ac:dyDescent="0.25">
      <c r="I922" s="37"/>
      <c r="J922" s="35"/>
    </row>
    <row r="923" spans="9:10" x14ac:dyDescent="0.25">
      <c r="I923" s="37"/>
      <c r="J923" s="35"/>
    </row>
    <row r="924" spans="9:10" x14ac:dyDescent="0.25">
      <c r="I924" s="37"/>
      <c r="J924" s="35"/>
    </row>
    <row r="925" spans="9:10" x14ac:dyDescent="0.25">
      <c r="I925" s="37"/>
      <c r="J925" s="35"/>
    </row>
    <row r="926" spans="9:10" x14ac:dyDescent="0.25">
      <c r="I926" s="37"/>
      <c r="J926" s="35"/>
    </row>
    <row r="927" spans="9:10" x14ac:dyDescent="0.25">
      <c r="I927" s="37"/>
      <c r="J927" s="35"/>
    </row>
    <row r="928" spans="9:10" x14ac:dyDescent="0.25">
      <c r="I928" s="37"/>
      <c r="J928" s="35"/>
    </row>
    <row r="929" spans="9:10" x14ac:dyDescent="0.25">
      <c r="I929" s="37"/>
      <c r="J929" s="35"/>
    </row>
    <row r="930" spans="9:10" x14ac:dyDescent="0.25">
      <c r="I930" s="37"/>
      <c r="J930" s="35"/>
    </row>
    <row r="931" spans="9:10" x14ac:dyDescent="0.25">
      <c r="I931" s="37"/>
      <c r="J931" s="35"/>
    </row>
    <row r="932" spans="9:10" x14ac:dyDescent="0.25">
      <c r="I932" s="37"/>
      <c r="J932" s="35"/>
    </row>
    <row r="933" spans="9:10" x14ac:dyDescent="0.25">
      <c r="I933" s="37"/>
      <c r="J933" s="35"/>
    </row>
    <row r="934" spans="9:10" x14ac:dyDescent="0.25">
      <c r="I934" s="37"/>
      <c r="J934" s="35"/>
    </row>
    <row r="935" spans="9:10" x14ac:dyDescent="0.25">
      <c r="I935" s="37"/>
      <c r="J935" s="35"/>
    </row>
    <row r="936" spans="9:10" x14ac:dyDescent="0.25">
      <c r="I936" s="37"/>
      <c r="J936" s="35"/>
    </row>
    <row r="937" spans="9:10" x14ac:dyDescent="0.25">
      <c r="I937" s="37"/>
      <c r="J937" s="35"/>
    </row>
    <row r="938" spans="9:10" x14ac:dyDescent="0.25">
      <c r="I938" s="37"/>
      <c r="J938" s="35"/>
    </row>
    <row r="939" spans="9:10" x14ac:dyDescent="0.25">
      <c r="I939" s="37"/>
      <c r="J939" s="35"/>
    </row>
    <row r="940" spans="9:10" x14ac:dyDescent="0.25">
      <c r="I940" s="37"/>
      <c r="J940" s="35"/>
    </row>
    <row r="941" spans="9:10" x14ac:dyDescent="0.25">
      <c r="I941" s="37"/>
      <c r="J941" s="35"/>
    </row>
    <row r="942" spans="9:10" x14ac:dyDescent="0.25">
      <c r="I942" s="37"/>
      <c r="J942" s="35"/>
    </row>
    <row r="943" spans="9:10" x14ac:dyDescent="0.25">
      <c r="I943" s="37"/>
      <c r="J943" s="35"/>
    </row>
    <row r="944" spans="9:10" x14ac:dyDescent="0.25">
      <c r="I944" s="37"/>
      <c r="J944" s="35"/>
    </row>
    <row r="945" spans="9:10" x14ac:dyDescent="0.25">
      <c r="I945" s="37"/>
      <c r="J945" s="35"/>
    </row>
    <row r="946" spans="9:10" x14ac:dyDescent="0.25">
      <c r="I946" s="37"/>
      <c r="J946" s="35"/>
    </row>
    <row r="947" spans="9:10" x14ac:dyDescent="0.25">
      <c r="I947" s="37"/>
      <c r="J947" s="35"/>
    </row>
    <row r="948" spans="9:10" x14ac:dyDescent="0.25">
      <c r="I948" s="37"/>
      <c r="J948" s="35"/>
    </row>
    <row r="949" spans="9:10" x14ac:dyDescent="0.25">
      <c r="I949" s="37"/>
      <c r="J949" s="35"/>
    </row>
    <row r="950" spans="9:10" x14ac:dyDescent="0.25">
      <c r="I950" s="37"/>
      <c r="J950" s="35"/>
    </row>
    <row r="951" spans="9:10" x14ac:dyDescent="0.25">
      <c r="I951" s="37"/>
      <c r="J951" s="35"/>
    </row>
    <row r="952" spans="9:10" x14ac:dyDescent="0.25">
      <c r="I952" s="37"/>
      <c r="J952" s="35"/>
    </row>
    <row r="953" spans="9:10" x14ac:dyDescent="0.25">
      <c r="I953" s="37"/>
      <c r="J953" s="35"/>
    </row>
    <row r="954" spans="9:10" x14ac:dyDescent="0.25">
      <c r="I954" s="37"/>
      <c r="J954" s="35"/>
    </row>
    <row r="955" spans="9:10" x14ac:dyDescent="0.25">
      <c r="I955" s="37"/>
      <c r="J955" s="35"/>
    </row>
    <row r="956" spans="9:10" x14ac:dyDescent="0.25">
      <c r="I956" s="37"/>
      <c r="J956" s="35"/>
    </row>
    <row r="957" spans="9:10" x14ac:dyDescent="0.25">
      <c r="I957" s="37"/>
      <c r="J957" s="35"/>
    </row>
    <row r="958" spans="9:10" x14ac:dyDescent="0.25">
      <c r="I958" s="37"/>
      <c r="J958" s="35"/>
    </row>
    <row r="959" spans="9:10" x14ac:dyDescent="0.25">
      <c r="I959" s="37"/>
      <c r="J959" s="35"/>
    </row>
    <row r="960" spans="9:10" x14ac:dyDescent="0.25">
      <c r="I960" s="37"/>
      <c r="J960" s="35"/>
    </row>
    <row r="961" spans="9:10" x14ac:dyDescent="0.25">
      <c r="I961" s="37"/>
      <c r="J961" s="35"/>
    </row>
    <row r="962" spans="9:10" x14ac:dyDescent="0.25">
      <c r="I962" s="37"/>
      <c r="J962" s="35"/>
    </row>
    <row r="963" spans="9:10" x14ac:dyDescent="0.25">
      <c r="I963" s="37"/>
      <c r="J963" s="35"/>
    </row>
    <row r="964" spans="9:10" x14ac:dyDescent="0.25">
      <c r="I964" s="37"/>
      <c r="J964" s="35"/>
    </row>
    <row r="965" spans="9:10" x14ac:dyDescent="0.25">
      <c r="I965" s="37"/>
      <c r="J965" s="35"/>
    </row>
    <row r="966" spans="9:10" x14ac:dyDescent="0.25">
      <c r="I966" s="37"/>
      <c r="J966" s="35"/>
    </row>
    <row r="967" spans="9:10" x14ac:dyDescent="0.25">
      <c r="I967" s="37"/>
      <c r="J967" s="35"/>
    </row>
    <row r="968" spans="9:10" x14ac:dyDescent="0.25">
      <c r="I968" s="37"/>
      <c r="J968" s="35"/>
    </row>
    <row r="969" spans="9:10" x14ac:dyDescent="0.25">
      <c r="I969" s="37"/>
      <c r="J969" s="35"/>
    </row>
    <row r="970" spans="9:10" x14ac:dyDescent="0.25">
      <c r="I970" s="37"/>
      <c r="J970" s="35"/>
    </row>
    <row r="971" spans="9:10" x14ac:dyDescent="0.25">
      <c r="I971" s="37"/>
      <c r="J971" s="35"/>
    </row>
    <row r="972" spans="9:10" x14ac:dyDescent="0.25">
      <c r="I972" s="37"/>
      <c r="J972" s="35"/>
    </row>
    <row r="973" spans="9:10" x14ac:dyDescent="0.25">
      <c r="I973" s="37"/>
      <c r="J973" s="35"/>
    </row>
    <row r="974" spans="9:10" x14ac:dyDescent="0.25">
      <c r="I974" s="37"/>
      <c r="J974" s="35"/>
    </row>
    <row r="975" spans="9:10" x14ac:dyDescent="0.25">
      <c r="I975" s="37"/>
      <c r="J975" s="35"/>
    </row>
    <row r="976" spans="9:10" x14ac:dyDescent="0.25">
      <c r="I976" s="37"/>
      <c r="J976" s="35"/>
    </row>
    <row r="977" spans="9:10" x14ac:dyDescent="0.25">
      <c r="I977" s="37"/>
      <c r="J977" s="35"/>
    </row>
    <row r="978" spans="9:10" x14ac:dyDescent="0.25">
      <c r="I978" s="37"/>
      <c r="J978" s="35"/>
    </row>
    <row r="979" spans="9:10" x14ac:dyDescent="0.25">
      <c r="I979" s="37"/>
      <c r="J979" s="35"/>
    </row>
    <row r="980" spans="9:10" x14ac:dyDescent="0.25">
      <c r="I980" s="37"/>
      <c r="J980" s="35"/>
    </row>
    <row r="981" spans="9:10" x14ac:dyDescent="0.25">
      <c r="I981" s="37"/>
      <c r="J981" s="35"/>
    </row>
    <row r="982" spans="9:10" x14ac:dyDescent="0.25">
      <c r="I982" s="37"/>
      <c r="J982" s="35"/>
    </row>
    <row r="983" spans="9:10" x14ac:dyDescent="0.25">
      <c r="I983" s="37"/>
      <c r="J983" s="35"/>
    </row>
    <row r="984" spans="9:10" x14ac:dyDescent="0.25">
      <c r="I984" s="37"/>
      <c r="J984" s="35"/>
    </row>
    <row r="985" spans="9:10" x14ac:dyDescent="0.25">
      <c r="I985" s="37"/>
      <c r="J985" s="35"/>
    </row>
    <row r="986" spans="9:10" x14ac:dyDescent="0.25">
      <c r="I986" s="37"/>
      <c r="J986" s="35"/>
    </row>
    <row r="987" spans="9:10" x14ac:dyDescent="0.25">
      <c r="I987" s="37"/>
      <c r="J987" s="35"/>
    </row>
    <row r="988" spans="9:10" x14ac:dyDescent="0.25">
      <c r="I988" s="37"/>
      <c r="J988" s="35"/>
    </row>
    <row r="989" spans="9:10" x14ac:dyDescent="0.25">
      <c r="I989" s="37"/>
      <c r="J989" s="35"/>
    </row>
    <row r="990" spans="9:10" x14ac:dyDescent="0.25">
      <c r="I990" s="37"/>
      <c r="J990" s="35"/>
    </row>
    <row r="991" spans="9:10" x14ac:dyDescent="0.25">
      <c r="I991" s="37"/>
      <c r="J991" s="35"/>
    </row>
    <row r="992" spans="9:10" x14ac:dyDescent="0.25">
      <c r="I992" s="37"/>
      <c r="J992" s="35"/>
    </row>
    <row r="993" spans="9:10" x14ac:dyDescent="0.25">
      <c r="I993" s="37"/>
      <c r="J993" s="35"/>
    </row>
    <row r="994" spans="9:10" x14ac:dyDescent="0.25">
      <c r="I994" s="37"/>
      <c r="J994" s="35"/>
    </row>
    <row r="995" spans="9:10" x14ac:dyDescent="0.25">
      <c r="I995" s="37"/>
      <c r="J995" s="35"/>
    </row>
    <row r="996" spans="9:10" x14ac:dyDescent="0.25">
      <c r="I996" s="37"/>
      <c r="J996" s="35"/>
    </row>
    <row r="997" spans="9:10" x14ac:dyDescent="0.25">
      <c r="I997" s="37"/>
      <c r="J997" s="35"/>
    </row>
    <row r="998" spans="9:10" x14ac:dyDescent="0.25">
      <c r="I998" s="37"/>
      <c r="J998" s="35"/>
    </row>
    <row r="999" spans="9:10" x14ac:dyDescent="0.25">
      <c r="I999" s="37"/>
      <c r="J999" s="35"/>
    </row>
    <row r="1000" spans="9:10" x14ac:dyDescent="0.25">
      <c r="I1000" s="37"/>
      <c r="J1000" s="35"/>
    </row>
    <row r="1001" spans="9:10" x14ac:dyDescent="0.25">
      <c r="I1001" s="37"/>
      <c r="J1001" s="35"/>
    </row>
    <row r="1002" spans="9:10" x14ac:dyDescent="0.25">
      <c r="I1002" s="37"/>
      <c r="J1002" s="35"/>
    </row>
    <row r="1003" spans="9:10" x14ac:dyDescent="0.25">
      <c r="I1003" s="37"/>
      <c r="J1003" s="35"/>
    </row>
    <row r="1004" spans="9:10" x14ac:dyDescent="0.25">
      <c r="I1004" s="37"/>
      <c r="J1004" s="35"/>
    </row>
    <row r="1005" spans="9:10" x14ac:dyDescent="0.25">
      <c r="I1005" s="37"/>
      <c r="J1005" s="35"/>
    </row>
    <row r="1006" spans="9:10" x14ac:dyDescent="0.25">
      <c r="I1006" s="37"/>
      <c r="J1006" s="35"/>
    </row>
    <row r="1007" spans="9:10" x14ac:dyDescent="0.25">
      <c r="I1007" s="37"/>
      <c r="J1007" s="35"/>
    </row>
    <row r="1008" spans="9:10" x14ac:dyDescent="0.25">
      <c r="I1008" s="37"/>
      <c r="J1008" s="35"/>
    </row>
    <row r="1009" spans="9:10" x14ac:dyDescent="0.25">
      <c r="I1009" s="37"/>
      <c r="J1009" s="35"/>
    </row>
    <row r="1010" spans="9:10" x14ac:dyDescent="0.25">
      <c r="I1010" s="37"/>
      <c r="J1010" s="35"/>
    </row>
    <row r="1011" spans="9:10" x14ac:dyDescent="0.25">
      <c r="I1011" s="37"/>
      <c r="J1011" s="35"/>
    </row>
    <row r="1012" spans="9:10" x14ac:dyDescent="0.25">
      <c r="I1012" s="37"/>
      <c r="J1012" s="35"/>
    </row>
    <row r="1013" spans="9:10" x14ac:dyDescent="0.25">
      <c r="I1013" s="37"/>
      <c r="J1013" s="35"/>
    </row>
    <row r="1014" spans="9:10" x14ac:dyDescent="0.25">
      <c r="I1014" s="37"/>
      <c r="J1014" s="35"/>
    </row>
    <row r="1015" spans="9:10" x14ac:dyDescent="0.25">
      <c r="I1015" s="37"/>
      <c r="J1015" s="35"/>
    </row>
    <row r="1016" spans="9:10" x14ac:dyDescent="0.25">
      <c r="I1016" s="37"/>
      <c r="J1016" s="35"/>
    </row>
    <row r="1017" spans="9:10" x14ac:dyDescent="0.25">
      <c r="I1017" s="37"/>
      <c r="J1017" s="35"/>
    </row>
    <row r="1018" spans="9:10" x14ac:dyDescent="0.25">
      <c r="I1018" s="37"/>
      <c r="J1018" s="35"/>
    </row>
    <row r="1019" spans="9:10" x14ac:dyDescent="0.25">
      <c r="I1019" s="37"/>
      <c r="J1019" s="35"/>
    </row>
    <row r="1020" spans="9:10" x14ac:dyDescent="0.25">
      <c r="I1020" s="37"/>
      <c r="J1020" s="35"/>
    </row>
    <row r="1021" spans="9:10" x14ac:dyDescent="0.25">
      <c r="I1021" s="37"/>
      <c r="J1021" s="35"/>
    </row>
    <row r="1022" spans="9:10" x14ac:dyDescent="0.25">
      <c r="I1022" s="37"/>
      <c r="J1022" s="35"/>
    </row>
    <row r="1023" spans="9:10" x14ac:dyDescent="0.25">
      <c r="I1023" s="37"/>
      <c r="J1023" s="35"/>
    </row>
    <row r="1024" spans="9:10" x14ac:dyDescent="0.25">
      <c r="I1024" s="37"/>
      <c r="J1024" s="35"/>
    </row>
    <row r="1025" spans="9:10" x14ac:dyDescent="0.25">
      <c r="I1025" s="37"/>
      <c r="J1025" s="35"/>
    </row>
    <row r="1026" spans="9:10" x14ac:dyDescent="0.25">
      <c r="I1026" s="37"/>
      <c r="J1026" s="35"/>
    </row>
    <row r="1027" spans="9:10" x14ac:dyDescent="0.25">
      <c r="I1027" s="37"/>
      <c r="J1027" s="35"/>
    </row>
    <row r="1028" spans="9:10" x14ac:dyDescent="0.25">
      <c r="I1028" s="37"/>
      <c r="J1028" s="35"/>
    </row>
    <row r="1029" spans="9:10" x14ac:dyDescent="0.25">
      <c r="I1029" s="37"/>
      <c r="J1029" s="35"/>
    </row>
    <row r="1030" spans="9:10" x14ac:dyDescent="0.25">
      <c r="I1030" s="37"/>
      <c r="J1030" s="35"/>
    </row>
    <row r="1031" spans="9:10" x14ac:dyDescent="0.25">
      <c r="I1031" s="37"/>
      <c r="J1031" s="35"/>
    </row>
    <row r="1032" spans="9:10" x14ac:dyDescent="0.25">
      <c r="I1032" s="37"/>
      <c r="J1032" s="35"/>
    </row>
    <row r="1033" spans="9:10" x14ac:dyDescent="0.25">
      <c r="I1033" s="37"/>
      <c r="J1033" s="35"/>
    </row>
    <row r="1034" spans="9:10" x14ac:dyDescent="0.25">
      <c r="I1034" s="37"/>
      <c r="J1034" s="35"/>
    </row>
    <row r="1035" spans="9:10" x14ac:dyDescent="0.25">
      <c r="I1035" s="37"/>
      <c r="J1035" s="35"/>
    </row>
    <row r="1036" spans="9:10" x14ac:dyDescent="0.25">
      <c r="I1036" s="37"/>
      <c r="J1036" s="35"/>
    </row>
    <row r="1037" spans="9:10" x14ac:dyDescent="0.25">
      <c r="I1037" s="37"/>
      <c r="J1037" s="35"/>
    </row>
    <row r="1038" spans="9:10" x14ac:dyDescent="0.25">
      <c r="I1038" s="37"/>
      <c r="J1038" s="35"/>
    </row>
    <row r="1039" spans="9:10" x14ac:dyDescent="0.25">
      <c r="I1039" s="37"/>
      <c r="J1039" s="35"/>
    </row>
    <row r="1040" spans="9:10" x14ac:dyDescent="0.25">
      <c r="I1040" s="37"/>
      <c r="J1040" s="35"/>
    </row>
    <row r="1041" spans="9:10" x14ac:dyDescent="0.25">
      <c r="I1041" s="37"/>
      <c r="J1041" s="35"/>
    </row>
    <row r="1042" spans="9:10" x14ac:dyDescent="0.25">
      <c r="I1042" s="37"/>
      <c r="J1042" s="35"/>
    </row>
    <row r="1043" spans="9:10" x14ac:dyDescent="0.25">
      <c r="I1043" s="37"/>
      <c r="J1043" s="35"/>
    </row>
    <row r="1044" spans="9:10" x14ac:dyDescent="0.25">
      <c r="I1044" s="37"/>
      <c r="J1044" s="35"/>
    </row>
    <row r="1045" spans="9:10" x14ac:dyDescent="0.25">
      <c r="I1045" s="37"/>
      <c r="J1045" s="35"/>
    </row>
    <row r="1046" spans="9:10" x14ac:dyDescent="0.25">
      <c r="I1046" s="37"/>
      <c r="J1046" s="35"/>
    </row>
    <row r="1047" spans="9:10" x14ac:dyDescent="0.25">
      <c r="I1047" s="37"/>
      <c r="J1047" s="35"/>
    </row>
    <row r="1048" spans="9:10" x14ac:dyDescent="0.25">
      <c r="I1048" s="37"/>
      <c r="J1048" s="35"/>
    </row>
    <row r="1049" spans="9:10" x14ac:dyDescent="0.25">
      <c r="I1049" s="37"/>
      <c r="J1049" s="35"/>
    </row>
    <row r="1050" spans="9:10" x14ac:dyDescent="0.25">
      <c r="I1050" s="37"/>
      <c r="J1050" s="35"/>
    </row>
    <row r="1051" spans="9:10" x14ac:dyDescent="0.25">
      <c r="I1051" s="37"/>
      <c r="J1051" s="35"/>
    </row>
    <row r="1052" spans="9:10" x14ac:dyDescent="0.25">
      <c r="I1052" s="37"/>
      <c r="J1052" s="35"/>
    </row>
    <row r="1053" spans="9:10" x14ac:dyDescent="0.25">
      <c r="I1053" s="37"/>
      <c r="J1053" s="35"/>
    </row>
    <row r="1054" spans="9:10" x14ac:dyDescent="0.25">
      <c r="I1054" s="37"/>
      <c r="J1054" s="35"/>
    </row>
    <row r="1055" spans="9:10" x14ac:dyDescent="0.25">
      <c r="I1055" s="37"/>
      <c r="J1055" s="35"/>
    </row>
    <row r="1056" spans="9:10" x14ac:dyDescent="0.25">
      <c r="I1056" s="37"/>
      <c r="J1056" s="35"/>
    </row>
    <row r="1057" spans="9:10" x14ac:dyDescent="0.25">
      <c r="I1057" s="37"/>
      <c r="J1057" s="35"/>
    </row>
    <row r="1058" spans="9:10" x14ac:dyDescent="0.25">
      <c r="I1058" s="37"/>
      <c r="J1058" s="35"/>
    </row>
    <row r="1059" spans="9:10" x14ac:dyDescent="0.25">
      <c r="I1059" s="37"/>
      <c r="J1059" s="35"/>
    </row>
    <row r="1060" spans="9:10" x14ac:dyDescent="0.25">
      <c r="I1060" s="37"/>
      <c r="J1060" s="35"/>
    </row>
    <row r="1061" spans="9:10" x14ac:dyDescent="0.25">
      <c r="I1061" s="37"/>
      <c r="J1061" s="35"/>
    </row>
    <row r="1062" spans="9:10" x14ac:dyDescent="0.25">
      <c r="I1062" s="37"/>
      <c r="J1062" s="35"/>
    </row>
    <row r="1063" spans="9:10" x14ac:dyDescent="0.25">
      <c r="I1063" s="37"/>
      <c r="J1063" s="35"/>
    </row>
    <row r="1064" spans="9:10" x14ac:dyDescent="0.25">
      <c r="I1064" s="37"/>
      <c r="J1064" s="35"/>
    </row>
    <row r="1065" spans="9:10" x14ac:dyDescent="0.25">
      <c r="I1065" s="37"/>
      <c r="J1065" s="35"/>
    </row>
    <row r="1066" spans="9:10" x14ac:dyDescent="0.25">
      <c r="I1066" s="37"/>
      <c r="J1066" s="35"/>
    </row>
    <row r="1067" spans="9:10" x14ac:dyDescent="0.25">
      <c r="I1067" s="37"/>
      <c r="J1067" s="35"/>
    </row>
    <row r="1068" spans="9:10" x14ac:dyDescent="0.25">
      <c r="I1068" s="37"/>
      <c r="J1068" s="35"/>
    </row>
    <row r="1069" spans="9:10" x14ac:dyDescent="0.25">
      <c r="I1069" s="37"/>
      <c r="J1069" s="35"/>
    </row>
    <row r="1070" spans="9:10" x14ac:dyDescent="0.25">
      <c r="I1070" s="37"/>
      <c r="J1070" s="35"/>
    </row>
    <row r="1071" spans="9:10" x14ac:dyDescent="0.25">
      <c r="I1071" s="37"/>
      <c r="J1071" s="35"/>
    </row>
    <row r="1072" spans="9:10" x14ac:dyDescent="0.25">
      <c r="I1072" s="37"/>
      <c r="J1072" s="35"/>
    </row>
    <row r="1073" spans="9:10" x14ac:dyDescent="0.25">
      <c r="I1073" s="37"/>
      <c r="J1073" s="35"/>
    </row>
    <row r="1074" spans="9:10" x14ac:dyDescent="0.25">
      <c r="I1074" s="37"/>
      <c r="J1074" s="35"/>
    </row>
    <row r="1075" spans="9:10" x14ac:dyDescent="0.25">
      <c r="I1075" s="37"/>
      <c r="J1075" s="35"/>
    </row>
    <row r="1076" spans="9:10" x14ac:dyDescent="0.25">
      <c r="I1076" s="37"/>
      <c r="J1076" s="35"/>
    </row>
    <row r="1077" spans="9:10" x14ac:dyDescent="0.25">
      <c r="I1077" s="37"/>
      <c r="J1077" s="35"/>
    </row>
    <row r="1078" spans="9:10" x14ac:dyDescent="0.25">
      <c r="I1078" s="37"/>
      <c r="J1078" s="35"/>
    </row>
    <row r="1079" spans="9:10" x14ac:dyDescent="0.25">
      <c r="I1079" s="37"/>
      <c r="J1079" s="35"/>
    </row>
    <row r="1080" spans="9:10" x14ac:dyDescent="0.25">
      <c r="I1080" s="37"/>
      <c r="J1080" s="35"/>
    </row>
    <row r="1081" spans="9:10" x14ac:dyDescent="0.25">
      <c r="I1081" s="37"/>
      <c r="J1081" s="35"/>
    </row>
    <row r="1082" spans="9:10" x14ac:dyDescent="0.25">
      <c r="I1082" s="37"/>
      <c r="J1082" s="35"/>
    </row>
    <row r="1083" spans="9:10" x14ac:dyDescent="0.25">
      <c r="I1083" s="37"/>
      <c r="J1083" s="35"/>
    </row>
    <row r="1084" spans="9:10" x14ac:dyDescent="0.25">
      <c r="I1084" s="37"/>
      <c r="J1084" s="35"/>
    </row>
    <row r="1085" spans="9:10" x14ac:dyDescent="0.25">
      <c r="I1085" s="37"/>
      <c r="J1085" s="35"/>
    </row>
    <row r="1086" spans="9:10" x14ac:dyDescent="0.25">
      <c r="I1086" s="37"/>
      <c r="J1086" s="35"/>
    </row>
    <row r="1087" spans="9:10" x14ac:dyDescent="0.25">
      <c r="I1087" s="37"/>
      <c r="J1087" s="35"/>
    </row>
    <row r="1088" spans="9:10" x14ac:dyDescent="0.25">
      <c r="I1088" s="37"/>
      <c r="J1088" s="35"/>
    </row>
    <row r="1089" spans="9:10" x14ac:dyDescent="0.25">
      <c r="I1089" s="37"/>
      <c r="J1089" s="35"/>
    </row>
    <row r="1090" spans="9:10" x14ac:dyDescent="0.25">
      <c r="I1090" s="37"/>
      <c r="J1090" s="35"/>
    </row>
    <row r="1091" spans="9:10" x14ac:dyDescent="0.25">
      <c r="I1091" s="37"/>
      <c r="J1091" s="35"/>
    </row>
    <row r="1092" spans="9:10" x14ac:dyDescent="0.25">
      <c r="I1092" s="37"/>
      <c r="J1092" s="35"/>
    </row>
    <row r="1093" spans="9:10" x14ac:dyDescent="0.25">
      <c r="I1093" s="37"/>
      <c r="J1093" s="35"/>
    </row>
    <row r="1094" spans="9:10" x14ac:dyDescent="0.25">
      <c r="I1094" s="37"/>
      <c r="J1094" s="35"/>
    </row>
    <row r="1095" spans="9:10" x14ac:dyDescent="0.25">
      <c r="I1095" s="37"/>
      <c r="J1095" s="35"/>
    </row>
    <row r="1096" spans="9:10" x14ac:dyDescent="0.25">
      <c r="I1096" s="37"/>
      <c r="J1096" s="35"/>
    </row>
    <row r="1097" spans="9:10" x14ac:dyDescent="0.25">
      <c r="I1097" s="37"/>
      <c r="J1097" s="35"/>
    </row>
    <row r="1098" spans="9:10" x14ac:dyDescent="0.25">
      <c r="I1098" s="37"/>
      <c r="J1098" s="35"/>
    </row>
    <row r="1099" spans="9:10" x14ac:dyDescent="0.25">
      <c r="I1099" s="37"/>
      <c r="J1099" s="35"/>
    </row>
    <row r="1100" spans="9:10" x14ac:dyDescent="0.25">
      <c r="I1100" s="37"/>
      <c r="J1100" s="35"/>
    </row>
    <row r="1101" spans="9:10" x14ac:dyDescent="0.25">
      <c r="I1101" s="37"/>
      <c r="J1101" s="35"/>
    </row>
    <row r="1102" spans="9:10" x14ac:dyDescent="0.25">
      <c r="I1102" s="37"/>
      <c r="J1102" s="35"/>
    </row>
    <row r="1103" spans="9:10" x14ac:dyDescent="0.25">
      <c r="I1103" s="37"/>
      <c r="J1103" s="35"/>
    </row>
    <row r="1104" spans="9:10" x14ac:dyDescent="0.25">
      <c r="I1104" s="37"/>
      <c r="J1104" s="35"/>
    </row>
    <row r="1105" spans="9:10" x14ac:dyDescent="0.25">
      <c r="I1105" s="37"/>
      <c r="J1105" s="35"/>
    </row>
    <row r="1106" spans="9:10" x14ac:dyDescent="0.25">
      <c r="I1106" s="37"/>
      <c r="J1106" s="35"/>
    </row>
    <row r="1107" spans="9:10" x14ac:dyDescent="0.25">
      <c r="I1107" s="37"/>
      <c r="J1107" s="35"/>
    </row>
    <row r="1108" spans="9:10" x14ac:dyDescent="0.25">
      <c r="I1108" s="37"/>
      <c r="J1108" s="35"/>
    </row>
    <row r="1109" spans="9:10" x14ac:dyDescent="0.25">
      <c r="I1109" s="37"/>
      <c r="J1109" s="35"/>
    </row>
    <row r="1110" spans="9:10" x14ac:dyDescent="0.25">
      <c r="I1110" s="37"/>
      <c r="J1110" s="35"/>
    </row>
    <row r="1111" spans="9:10" x14ac:dyDescent="0.25">
      <c r="I1111" s="37"/>
      <c r="J1111" s="35"/>
    </row>
    <row r="1112" spans="9:10" x14ac:dyDescent="0.25">
      <c r="I1112" s="37"/>
      <c r="J1112" s="35"/>
    </row>
    <row r="1113" spans="9:10" x14ac:dyDescent="0.25">
      <c r="I1113" s="37"/>
      <c r="J1113" s="35"/>
    </row>
    <row r="1114" spans="9:10" x14ac:dyDescent="0.25">
      <c r="I1114" s="37"/>
      <c r="J1114" s="35"/>
    </row>
    <row r="1115" spans="9:10" x14ac:dyDescent="0.25">
      <c r="I1115" s="37"/>
      <c r="J1115" s="35"/>
    </row>
    <row r="1116" spans="9:10" x14ac:dyDescent="0.25">
      <c r="I1116" s="37"/>
      <c r="J1116" s="35"/>
    </row>
    <row r="1117" spans="9:10" x14ac:dyDescent="0.25">
      <c r="I1117" s="37"/>
      <c r="J1117" s="35"/>
    </row>
    <row r="1118" spans="9:10" x14ac:dyDescent="0.25">
      <c r="I1118" s="37"/>
      <c r="J1118" s="35"/>
    </row>
    <row r="1119" spans="9:10" x14ac:dyDescent="0.25">
      <c r="I1119" s="37"/>
      <c r="J1119" s="35"/>
    </row>
    <row r="1120" spans="9:10" x14ac:dyDescent="0.25">
      <c r="I1120" s="37"/>
      <c r="J1120" s="35"/>
    </row>
    <row r="1121" spans="9:10" x14ac:dyDescent="0.25">
      <c r="I1121" s="37"/>
      <c r="J1121" s="35"/>
    </row>
    <row r="1122" spans="9:10" x14ac:dyDescent="0.25">
      <c r="I1122" s="37"/>
      <c r="J1122" s="35"/>
    </row>
    <row r="1123" spans="9:10" x14ac:dyDescent="0.25">
      <c r="I1123" s="37"/>
      <c r="J1123" s="35"/>
    </row>
    <row r="1124" spans="9:10" x14ac:dyDescent="0.25">
      <c r="I1124" s="37"/>
      <c r="J1124" s="35"/>
    </row>
    <row r="1125" spans="9:10" x14ac:dyDescent="0.25">
      <c r="I1125" s="37"/>
      <c r="J1125" s="35"/>
    </row>
    <row r="1126" spans="9:10" x14ac:dyDescent="0.25">
      <c r="I1126" s="37"/>
      <c r="J1126" s="35"/>
    </row>
    <row r="1127" spans="9:10" x14ac:dyDescent="0.25">
      <c r="I1127" s="37"/>
      <c r="J1127" s="35"/>
    </row>
    <row r="1128" spans="9:10" x14ac:dyDescent="0.25">
      <c r="I1128" s="37"/>
      <c r="J1128" s="35"/>
    </row>
    <row r="1129" spans="9:10" x14ac:dyDescent="0.25">
      <c r="I1129" s="37"/>
      <c r="J1129" s="35"/>
    </row>
    <row r="1130" spans="9:10" x14ac:dyDescent="0.25">
      <c r="I1130" s="37"/>
      <c r="J1130" s="35"/>
    </row>
    <row r="1131" spans="9:10" x14ac:dyDescent="0.25">
      <c r="I1131" s="37"/>
      <c r="J1131" s="35"/>
    </row>
    <row r="1132" spans="9:10" x14ac:dyDescent="0.25">
      <c r="I1132" s="37"/>
      <c r="J1132" s="35"/>
    </row>
    <row r="1133" spans="9:10" x14ac:dyDescent="0.25">
      <c r="I1133" s="37"/>
      <c r="J1133" s="35"/>
    </row>
    <row r="1134" spans="9:10" x14ac:dyDescent="0.25">
      <c r="I1134" s="37"/>
      <c r="J1134" s="35"/>
    </row>
    <row r="1135" spans="9:10" x14ac:dyDescent="0.25">
      <c r="I1135" s="37"/>
      <c r="J1135" s="35"/>
    </row>
    <row r="1136" spans="9:10" x14ac:dyDescent="0.25">
      <c r="I1136" s="37"/>
      <c r="J1136" s="35"/>
    </row>
    <row r="1137" spans="9:10" x14ac:dyDescent="0.25">
      <c r="I1137" s="37"/>
      <c r="J1137" s="35"/>
    </row>
    <row r="1138" spans="9:10" x14ac:dyDescent="0.25">
      <c r="I1138" s="37"/>
      <c r="J1138" s="35"/>
    </row>
    <row r="1139" spans="9:10" x14ac:dyDescent="0.25">
      <c r="I1139" s="37"/>
      <c r="J1139" s="35"/>
    </row>
    <row r="1140" spans="9:10" x14ac:dyDescent="0.25">
      <c r="I1140" s="37"/>
      <c r="J1140" s="35"/>
    </row>
    <row r="1141" spans="9:10" x14ac:dyDescent="0.25">
      <c r="I1141" s="37"/>
      <c r="J1141" s="35"/>
    </row>
    <row r="1142" spans="9:10" x14ac:dyDescent="0.25">
      <c r="I1142" s="37"/>
      <c r="J1142" s="35"/>
    </row>
    <row r="1143" spans="9:10" x14ac:dyDescent="0.25">
      <c r="I1143" s="37"/>
      <c r="J1143" s="35"/>
    </row>
    <row r="1144" spans="9:10" x14ac:dyDescent="0.25">
      <c r="I1144" s="37"/>
      <c r="J1144" s="35"/>
    </row>
    <row r="1145" spans="9:10" x14ac:dyDescent="0.25">
      <c r="I1145" s="37"/>
      <c r="J1145" s="35"/>
    </row>
    <row r="1146" spans="9:10" x14ac:dyDescent="0.25">
      <c r="I1146" s="37"/>
      <c r="J1146" s="35"/>
    </row>
    <row r="1147" spans="9:10" x14ac:dyDescent="0.25">
      <c r="I1147" s="37"/>
      <c r="J1147" s="35"/>
    </row>
    <row r="1148" spans="9:10" x14ac:dyDescent="0.25">
      <c r="I1148" s="37"/>
      <c r="J1148" s="35"/>
    </row>
    <row r="1149" spans="9:10" x14ac:dyDescent="0.25">
      <c r="I1149" s="37"/>
      <c r="J1149" s="35"/>
    </row>
    <row r="1150" spans="9:10" x14ac:dyDescent="0.25">
      <c r="I1150" s="37"/>
      <c r="J1150" s="35"/>
    </row>
    <row r="1151" spans="9:10" x14ac:dyDescent="0.25">
      <c r="I1151" s="37"/>
      <c r="J1151" s="35"/>
    </row>
    <row r="1152" spans="9:10" x14ac:dyDescent="0.25">
      <c r="I1152" s="37"/>
      <c r="J1152" s="35"/>
    </row>
    <row r="1153" spans="9:10" x14ac:dyDescent="0.25">
      <c r="I1153" s="37"/>
      <c r="J1153" s="35"/>
    </row>
    <row r="1154" spans="9:10" x14ac:dyDescent="0.25">
      <c r="I1154" s="37"/>
      <c r="J1154" s="35"/>
    </row>
    <row r="1155" spans="9:10" x14ac:dyDescent="0.25">
      <c r="I1155" s="37"/>
      <c r="J1155" s="35"/>
    </row>
    <row r="1156" spans="9:10" x14ac:dyDescent="0.25">
      <c r="I1156" s="37"/>
      <c r="J1156" s="35"/>
    </row>
    <row r="1157" spans="9:10" x14ac:dyDescent="0.25">
      <c r="I1157" s="37"/>
      <c r="J1157" s="35"/>
    </row>
    <row r="1158" spans="9:10" x14ac:dyDescent="0.25">
      <c r="I1158" s="37"/>
      <c r="J1158" s="35"/>
    </row>
    <row r="1159" spans="9:10" x14ac:dyDescent="0.25">
      <c r="I1159" s="37"/>
      <c r="J1159" s="35"/>
    </row>
    <row r="1160" spans="9:10" x14ac:dyDescent="0.25">
      <c r="I1160" s="37"/>
      <c r="J1160" s="35"/>
    </row>
    <row r="1161" spans="9:10" x14ac:dyDescent="0.25">
      <c r="I1161" s="37"/>
      <c r="J1161" s="35"/>
    </row>
    <row r="1162" spans="9:10" x14ac:dyDescent="0.25">
      <c r="I1162" s="37"/>
      <c r="J1162" s="35"/>
    </row>
    <row r="1163" spans="9:10" x14ac:dyDescent="0.25">
      <c r="I1163" s="37"/>
      <c r="J1163" s="35"/>
    </row>
    <row r="1164" spans="9:10" x14ac:dyDescent="0.25">
      <c r="I1164" s="37"/>
      <c r="J1164" s="35"/>
    </row>
    <row r="1165" spans="9:10" x14ac:dyDescent="0.25">
      <c r="I1165" s="37"/>
      <c r="J1165" s="35"/>
    </row>
    <row r="1166" spans="9:10" x14ac:dyDescent="0.25">
      <c r="I1166" s="37"/>
      <c r="J1166" s="35"/>
    </row>
    <row r="1167" spans="9:10" x14ac:dyDescent="0.25">
      <c r="I1167" s="37"/>
      <c r="J1167" s="35"/>
    </row>
    <row r="1168" spans="9:10" x14ac:dyDescent="0.25">
      <c r="I1168" s="37"/>
      <c r="J1168" s="35"/>
    </row>
    <row r="1169" spans="9:10" x14ac:dyDescent="0.25">
      <c r="I1169" s="37"/>
      <c r="J1169" s="35"/>
    </row>
    <row r="1170" spans="9:10" x14ac:dyDescent="0.25">
      <c r="I1170" s="37"/>
      <c r="J1170" s="35"/>
    </row>
    <row r="1171" spans="9:10" x14ac:dyDescent="0.25">
      <c r="I1171" s="37"/>
      <c r="J1171" s="35"/>
    </row>
    <row r="1172" spans="9:10" x14ac:dyDescent="0.25">
      <c r="I1172" s="37"/>
      <c r="J1172" s="35"/>
    </row>
    <row r="1173" spans="9:10" x14ac:dyDescent="0.25">
      <c r="I1173" s="37"/>
      <c r="J1173" s="35"/>
    </row>
    <row r="1174" spans="9:10" x14ac:dyDescent="0.25">
      <c r="I1174" s="37"/>
      <c r="J1174" s="35"/>
    </row>
    <row r="1175" spans="9:10" x14ac:dyDescent="0.25">
      <c r="I1175" s="37"/>
      <c r="J1175" s="35"/>
    </row>
    <row r="1176" spans="9:10" x14ac:dyDescent="0.25">
      <c r="I1176" s="37"/>
      <c r="J1176" s="35"/>
    </row>
    <row r="1177" spans="9:10" x14ac:dyDescent="0.25">
      <c r="I1177" s="37"/>
      <c r="J1177" s="35"/>
    </row>
    <row r="1178" spans="9:10" x14ac:dyDescent="0.25">
      <c r="I1178" s="37"/>
      <c r="J1178" s="35"/>
    </row>
    <row r="1179" spans="9:10" x14ac:dyDescent="0.25">
      <c r="I1179" s="37"/>
      <c r="J1179" s="35"/>
    </row>
    <row r="1180" spans="9:10" x14ac:dyDescent="0.25">
      <c r="I1180" s="37"/>
      <c r="J1180" s="35"/>
    </row>
    <row r="1181" spans="9:10" x14ac:dyDescent="0.25">
      <c r="I1181" s="37"/>
      <c r="J1181" s="35"/>
    </row>
    <row r="1182" spans="9:10" x14ac:dyDescent="0.25">
      <c r="I1182" s="37"/>
      <c r="J1182" s="35"/>
    </row>
    <row r="1183" spans="9:10" x14ac:dyDescent="0.25">
      <c r="I1183" s="37"/>
      <c r="J1183" s="35"/>
    </row>
    <row r="1184" spans="9:10" x14ac:dyDescent="0.25">
      <c r="I1184" s="37"/>
      <c r="J1184" s="35"/>
    </row>
    <row r="1185" spans="9:10" x14ac:dyDescent="0.25">
      <c r="I1185" s="37"/>
      <c r="J1185" s="35"/>
    </row>
    <row r="1186" spans="9:10" x14ac:dyDescent="0.25">
      <c r="I1186" s="37"/>
      <c r="J1186" s="35"/>
    </row>
    <row r="1187" spans="9:10" x14ac:dyDescent="0.25">
      <c r="I1187" s="37"/>
      <c r="J1187" s="35"/>
    </row>
    <row r="1188" spans="9:10" x14ac:dyDescent="0.25">
      <c r="I1188" s="37"/>
      <c r="J1188" s="35"/>
    </row>
    <row r="1189" spans="9:10" x14ac:dyDescent="0.25">
      <c r="I1189" s="37"/>
      <c r="J1189" s="35"/>
    </row>
    <row r="1190" spans="9:10" x14ac:dyDescent="0.25">
      <c r="I1190" s="37"/>
      <c r="J1190" s="35"/>
    </row>
    <row r="1191" spans="9:10" x14ac:dyDescent="0.25">
      <c r="I1191" s="37"/>
      <c r="J1191" s="35"/>
    </row>
    <row r="1192" spans="9:10" x14ac:dyDescent="0.25">
      <c r="I1192" s="37"/>
      <c r="J1192" s="35"/>
    </row>
    <row r="1193" spans="9:10" x14ac:dyDescent="0.25">
      <c r="I1193" s="37"/>
      <c r="J1193" s="35"/>
    </row>
    <row r="1194" spans="9:10" x14ac:dyDescent="0.25">
      <c r="I1194" s="37"/>
      <c r="J1194" s="35"/>
    </row>
    <row r="1195" spans="9:10" x14ac:dyDescent="0.25">
      <c r="I1195" s="37"/>
      <c r="J1195" s="35"/>
    </row>
    <row r="1196" spans="9:10" x14ac:dyDescent="0.25">
      <c r="I1196" s="37"/>
      <c r="J1196" s="35"/>
    </row>
    <row r="1197" spans="9:10" x14ac:dyDescent="0.25">
      <c r="I1197" s="37"/>
      <c r="J1197" s="35"/>
    </row>
    <row r="1198" spans="9:10" x14ac:dyDescent="0.25">
      <c r="I1198" s="37"/>
      <c r="J1198" s="35"/>
    </row>
    <row r="1199" spans="9:10" x14ac:dyDescent="0.25">
      <c r="I1199" s="37"/>
      <c r="J1199" s="35"/>
    </row>
    <row r="1200" spans="9:10" x14ac:dyDescent="0.25">
      <c r="I1200" s="37"/>
      <c r="J1200" s="35"/>
    </row>
    <row r="1201" spans="9:10" x14ac:dyDescent="0.25">
      <c r="I1201" s="37"/>
      <c r="J1201" s="35"/>
    </row>
    <row r="1202" spans="9:10" x14ac:dyDescent="0.25">
      <c r="I1202" s="37"/>
      <c r="J1202" s="35"/>
    </row>
    <row r="1203" spans="9:10" x14ac:dyDescent="0.25">
      <c r="I1203" s="37"/>
      <c r="J1203" s="35"/>
    </row>
    <row r="1204" spans="9:10" x14ac:dyDescent="0.25">
      <c r="I1204" s="37"/>
      <c r="J1204" s="35"/>
    </row>
    <row r="1205" spans="9:10" x14ac:dyDescent="0.25">
      <c r="I1205" s="37"/>
      <c r="J1205" s="35"/>
    </row>
    <row r="1206" spans="9:10" x14ac:dyDescent="0.25">
      <c r="I1206" s="37"/>
      <c r="J1206" s="35"/>
    </row>
    <row r="1207" spans="9:10" x14ac:dyDescent="0.25">
      <c r="I1207" s="37"/>
      <c r="J1207" s="35"/>
    </row>
    <row r="1208" spans="9:10" x14ac:dyDescent="0.25">
      <c r="I1208" s="37"/>
      <c r="J1208" s="35"/>
    </row>
    <row r="1209" spans="9:10" x14ac:dyDescent="0.25">
      <c r="I1209" s="37"/>
      <c r="J1209" s="35"/>
    </row>
    <row r="1210" spans="9:10" x14ac:dyDescent="0.25">
      <c r="I1210" s="37"/>
      <c r="J1210" s="35"/>
    </row>
    <row r="1211" spans="9:10" x14ac:dyDescent="0.25">
      <c r="I1211" s="37"/>
      <c r="J1211" s="35"/>
    </row>
    <row r="1212" spans="9:10" x14ac:dyDescent="0.25">
      <c r="I1212" s="37"/>
      <c r="J1212" s="35"/>
    </row>
    <row r="1213" spans="9:10" x14ac:dyDescent="0.25">
      <c r="I1213" s="37"/>
      <c r="J1213" s="35"/>
    </row>
    <row r="1214" spans="9:10" x14ac:dyDescent="0.25">
      <c r="I1214" s="37"/>
      <c r="J1214" s="35"/>
    </row>
    <row r="1215" spans="9:10" x14ac:dyDescent="0.25">
      <c r="I1215" s="37"/>
      <c r="J1215" s="35"/>
    </row>
    <row r="1216" spans="9:10" x14ac:dyDescent="0.25">
      <c r="I1216" s="37"/>
      <c r="J1216" s="35"/>
    </row>
    <row r="1217" spans="9:10" x14ac:dyDescent="0.25">
      <c r="I1217" s="37"/>
      <c r="J1217" s="35"/>
    </row>
    <row r="1218" spans="9:10" x14ac:dyDescent="0.25">
      <c r="I1218" s="37"/>
      <c r="J1218" s="35"/>
    </row>
    <row r="1219" spans="9:10" x14ac:dyDescent="0.25">
      <c r="I1219" s="37"/>
      <c r="J1219" s="35"/>
    </row>
    <row r="1220" spans="9:10" x14ac:dyDescent="0.25">
      <c r="I1220" s="37"/>
      <c r="J1220" s="35"/>
    </row>
    <row r="1221" spans="9:10" x14ac:dyDescent="0.25">
      <c r="I1221" s="37"/>
      <c r="J1221" s="35"/>
    </row>
    <row r="1222" spans="9:10" x14ac:dyDescent="0.25">
      <c r="I1222" s="37"/>
      <c r="J1222" s="35"/>
    </row>
    <row r="1223" spans="9:10" x14ac:dyDescent="0.25">
      <c r="I1223" s="37"/>
      <c r="J1223" s="35"/>
    </row>
    <row r="1224" spans="9:10" x14ac:dyDescent="0.25">
      <c r="I1224" s="37"/>
      <c r="J1224" s="35"/>
    </row>
    <row r="1225" spans="9:10" x14ac:dyDescent="0.25">
      <c r="I1225" s="37"/>
      <c r="J1225" s="35"/>
    </row>
    <row r="1226" spans="9:10" x14ac:dyDescent="0.25">
      <c r="I1226" s="37"/>
      <c r="J1226" s="35"/>
    </row>
    <row r="1227" spans="9:10" x14ac:dyDescent="0.25">
      <c r="I1227" s="37"/>
      <c r="J1227" s="35"/>
    </row>
    <row r="1228" spans="9:10" x14ac:dyDescent="0.25">
      <c r="I1228" s="37"/>
      <c r="J1228" s="35"/>
    </row>
    <row r="1229" spans="9:10" x14ac:dyDescent="0.25">
      <c r="I1229" s="37"/>
      <c r="J1229" s="35"/>
    </row>
    <row r="1230" spans="9:10" x14ac:dyDescent="0.25">
      <c r="I1230" s="37"/>
      <c r="J1230" s="35"/>
    </row>
    <row r="1231" spans="9:10" x14ac:dyDescent="0.25">
      <c r="I1231" s="37"/>
      <c r="J1231" s="35"/>
    </row>
    <row r="1232" spans="9:10" x14ac:dyDescent="0.25">
      <c r="I1232" s="37"/>
      <c r="J1232" s="35"/>
    </row>
    <row r="1233" spans="9:10" x14ac:dyDescent="0.25">
      <c r="I1233" s="37"/>
      <c r="J1233" s="35"/>
    </row>
    <row r="1234" spans="9:10" x14ac:dyDescent="0.25">
      <c r="I1234" s="37"/>
      <c r="J1234" s="35"/>
    </row>
    <row r="1235" spans="9:10" x14ac:dyDescent="0.25">
      <c r="I1235" s="37"/>
      <c r="J1235" s="35"/>
    </row>
    <row r="1236" spans="9:10" x14ac:dyDescent="0.25">
      <c r="I1236" s="37"/>
      <c r="J1236" s="35"/>
    </row>
    <row r="1237" spans="9:10" x14ac:dyDescent="0.25">
      <c r="I1237" s="37"/>
      <c r="J1237" s="35"/>
    </row>
    <row r="1238" spans="9:10" x14ac:dyDescent="0.25">
      <c r="I1238" s="37"/>
      <c r="J1238" s="35"/>
    </row>
    <row r="1239" spans="9:10" x14ac:dyDescent="0.25">
      <c r="I1239" s="37"/>
      <c r="J1239" s="35"/>
    </row>
    <row r="1240" spans="9:10" x14ac:dyDescent="0.25">
      <c r="I1240" s="37"/>
      <c r="J1240" s="35"/>
    </row>
    <row r="1241" spans="9:10" x14ac:dyDescent="0.25">
      <c r="I1241" s="37"/>
      <c r="J1241" s="35"/>
    </row>
    <row r="1242" spans="9:10" x14ac:dyDescent="0.25">
      <c r="I1242" s="37"/>
      <c r="J1242" s="35"/>
    </row>
    <row r="1243" spans="9:10" x14ac:dyDescent="0.25">
      <c r="I1243" s="37"/>
      <c r="J1243" s="35"/>
    </row>
    <row r="1244" spans="9:10" x14ac:dyDescent="0.25">
      <c r="I1244" s="37"/>
      <c r="J1244" s="35"/>
    </row>
    <row r="1245" spans="9:10" x14ac:dyDescent="0.25">
      <c r="I1245" s="37"/>
      <c r="J1245" s="35"/>
    </row>
    <row r="1246" spans="9:10" x14ac:dyDescent="0.25">
      <c r="I1246" s="37"/>
      <c r="J1246" s="35"/>
    </row>
    <row r="1247" spans="9:10" x14ac:dyDescent="0.25">
      <c r="I1247" s="37"/>
      <c r="J1247" s="35"/>
    </row>
    <row r="1248" spans="9:10" x14ac:dyDescent="0.25">
      <c r="I1248" s="37"/>
      <c r="J1248" s="35"/>
    </row>
    <row r="1249" spans="9:10" x14ac:dyDescent="0.25">
      <c r="I1249" s="37"/>
      <c r="J1249" s="35"/>
    </row>
    <row r="1250" spans="9:10" x14ac:dyDescent="0.25">
      <c r="I1250" s="37"/>
      <c r="J1250" s="35"/>
    </row>
    <row r="1251" spans="9:10" x14ac:dyDescent="0.25">
      <c r="I1251" s="37"/>
      <c r="J1251" s="35"/>
    </row>
    <row r="1252" spans="9:10" x14ac:dyDescent="0.25">
      <c r="I1252" s="37"/>
      <c r="J1252" s="35"/>
    </row>
    <row r="1253" spans="9:10" x14ac:dyDescent="0.25">
      <c r="I1253" s="37"/>
      <c r="J1253" s="35"/>
    </row>
    <row r="1254" spans="9:10" x14ac:dyDescent="0.25">
      <c r="I1254" s="37"/>
      <c r="J1254" s="35"/>
    </row>
    <row r="1255" spans="9:10" x14ac:dyDescent="0.25">
      <c r="I1255" s="37"/>
      <c r="J1255" s="35"/>
    </row>
    <row r="1256" spans="9:10" x14ac:dyDescent="0.25">
      <c r="I1256" s="37"/>
      <c r="J1256" s="35"/>
    </row>
    <row r="1257" spans="9:10" x14ac:dyDescent="0.25">
      <c r="I1257" s="37"/>
      <c r="J1257" s="35"/>
    </row>
    <row r="1258" spans="9:10" x14ac:dyDescent="0.25">
      <c r="I1258" s="37"/>
      <c r="J1258" s="35"/>
    </row>
    <row r="1259" spans="9:10" x14ac:dyDescent="0.25">
      <c r="I1259" s="37"/>
      <c r="J1259" s="35"/>
    </row>
    <row r="1260" spans="9:10" x14ac:dyDescent="0.25">
      <c r="I1260" s="37"/>
      <c r="J1260" s="35"/>
    </row>
    <row r="1261" spans="9:10" x14ac:dyDescent="0.25">
      <c r="I1261" s="37"/>
      <c r="J1261" s="35"/>
    </row>
    <row r="1262" spans="9:10" x14ac:dyDescent="0.25">
      <c r="I1262" s="37"/>
      <c r="J1262" s="35"/>
    </row>
    <row r="1263" spans="9:10" x14ac:dyDescent="0.25">
      <c r="I1263" s="37"/>
      <c r="J1263" s="35"/>
    </row>
    <row r="1264" spans="9:10" x14ac:dyDescent="0.25">
      <c r="I1264" s="37"/>
      <c r="J1264" s="35"/>
    </row>
    <row r="1265" spans="9:10" x14ac:dyDescent="0.25">
      <c r="I1265" s="37"/>
      <c r="J1265" s="35"/>
    </row>
    <row r="1266" spans="9:10" x14ac:dyDescent="0.25">
      <c r="I1266" s="37"/>
      <c r="J1266" s="35"/>
    </row>
    <row r="1267" spans="9:10" x14ac:dyDescent="0.25">
      <c r="I1267" s="37"/>
      <c r="J1267" s="35"/>
    </row>
    <row r="1268" spans="9:10" x14ac:dyDescent="0.25">
      <c r="I1268" s="37"/>
      <c r="J1268" s="35"/>
    </row>
    <row r="1269" spans="9:10" x14ac:dyDescent="0.25">
      <c r="I1269" s="37"/>
      <c r="J1269" s="35"/>
    </row>
    <row r="1270" spans="9:10" x14ac:dyDescent="0.25">
      <c r="I1270" s="37"/>
      <c r="J1270" s="35"/>
    </row>
    <row r="1271" spans="9:10" x14ac:dyDescent="0.25">
      <c r="I1271" s="37"/>
      <c r="J1271" s="35"/>
    </row>
    <row r="1272" spans="9:10" x14ac:dyDescent="0.25">
      <c r="I1272" s="37"/>
      <c r="J1272" s="35"/>
    </row>
    <row r="1273" spans="9:10" x14ac:dyDescent="0.25">
      <c r="I1273" s="37"/>
      <c r="J1273" s="35"/>
    </row>
    <row r="1274" spans="9:10" x14ac:dyDescent="0.25">
      <c r="I1274" s="37"/>
      <c r="J1274" s="35"/>
    </row>
    <row r="1275" spans="9:10" x14ac:dyDescent="0.25">
      <c r="I1275" s="37"/>
      <c r="J1275" s="35"/>
    </row>
    <row r="1276" spans="9:10" x14ac:dyDescent="0.25">
      <c r="I1276" s="37"/>
      <c r="J1276" s="35"/>
    </row>
    <row r="1277" spans="9:10" x14ac:dyDescent="0.25">
      <c r="I1277" s="37"/>
      <c r="J1277" s="35"/>
    </row>
    <row r="1278" spans="9:10" x14ac:dyDescent="0.25">
      <c r="I1278" s="37"/>
      <c r="J1278" s="35"/>
    </row>
    <row r="1279" spans="9:10" x14ac:dyDescent="0.25">
      <c r="I1279" s="37"/>
      <c r="J1279" s="35"/>
    </row>
    <row r="1280" spans="9:10" x14ac:dyDescent="0.25">
      <c r="I1280" s="37"/>
      <c r="J1280" s="35"/>
    </row>
    <row r="1281" spans="9:10" x14ac:dyDescent="0.25">
      <c r="I1281" s="37"/>
      <c r="J1281" s="35"/>
    </row>
    <row r="1282" spans="9:10" x14ac:dyDescent="0.25">
      <c r="I1282" s="37"/>
      <c r="J1282" s="35"/>
    </row>
    <row r="1283" spans="9:10" x14ac:dyDescent="0.25">
      <c r="I1283" s="37"/>
      <c r="J1283" s="35"/>
    </row>
    <row r="1284" spans="9:10" x14ac:dyDescent="0.25">
      <c r="I1284" s="37"/>
      <c r="J1284" s="35"/>
    </row>
    <row r="1285" spans="9:10" x14ac:dyDescent="0.25">
      <c r="I1285" s="37"/>
      <c r="J1285" s="35"/>
    </row>
    <row r="1286" spans="9:10" x14ac:dyDescent="0.25">
      <c r="I1286" s="37"/>
      <c r="J1286" s="35"/>
    </row>
    <row r="1287" spans="9:10" x14ac:dyDescent="0.25">
      <c r="I1287" s="37"/>
      <c r="J1287" s="35"/>
    </row>
    <row r="1288" spans="9:10" x14ac:dyDescent="0.25">
      <c r="I1288" s="37"/>
      <c r="J1288" s="35"/>
    </row>
    <row r="1289" spans="9:10" x14ac:dyDescent="0.25">
      <c r="I1289" s="37"/>
      <c r="J1289" s="35"/>
    </row>
    <row r="1290" spans="9:10" x14ac:dyDescent="0.25">
      <c r="I1290" s="37"/>
      <c r="J1290" s="35"/>
    </row>
    <row r="1291" spans="9:10" x14ac:dyDescent="0.25">
      <c r="I1291" s="37"/>
      <c r="J1291" s="35"/>
    </row>
    <row r="1292" spans="9:10" x14ac:dyDescent="0.25">
      <c r="I1292" s="37"/>
      <c r="J1292" s="35"/>
    </row>
    <row r="1293" spans="9:10" x14ac:dyDescent="0.25">
      <c r="I1293" s="37"/>
      <c r="J1293" s="35"/>
    </row>
    <row r="1294" spans="9:10" x14ac:dyDescent="0.25">
      <c r="I1294" s="37"/>
      <c r="J1294" s="35"/>
    </row>
    <row r="1295" spans="9:10" x14ac:dyDescent="0.25">
      <c r="I1295" s="37"/>
      <c r="J1295" s="35"/>
    </row>
    <row r="1296" spans="9:10" x14ac:dyDescent="0.25">
      <c r="I1296" s="37"/>
      <c r="J1296" s="35"/>
    </row>
    <row r="1297" spans="9:10" x14ac:dyDescent="0.25">
      <c r="I1297" s="37"/>
      <c r="J1297" s="35"/>
    </row>
    <row r="1298" spans="9:10" x14ac:dyDescent="0.25">
      <c r="I1298" s="37"/>
      <c r="J1298" s="35"/>
    </row>
    <row r="1299" spans="9:10" x14ac:dyDescent="0.25">
      <c r="I1299" s="37"/>
      <c r="J1299" s="35"/>
    </row>
    <row r="1300" spans="9:10" x14ac:dyDescent="0.25">
      <c r="I1300" s="37"/>
      <c r="J1300" s="35"/>
    </row>
    <row r="1301" spans="9:10" x14ac:dyDescent="0.25">
      <c r="I1301" s="37"/>
      <c r="J1301" s="35"/>
    </row>
    <row r="1302" spans="9:10" x14ac:dyDescent="0.25">
      <c r="I1302" s="37"/>
      <c r="J1302" s="35"/>
    </row>
    <row r="1303" spans="9:10" x14ac:dyDescent="0.25">
      <c r="I1303" s="37"/>
      <c r="J1303" s="35"/>
    </row>
    <row r="1304" spans="9:10" x14ac:dyDescent="0.25">
      <c r="I1304" s="37"/>
      <c r="J1304" s="35"/>
    </row>
    <row r="1305" spans="9:10" x14ac:dyDescent="0.25">
      <c r="I1305" s="37"/>
      <c r="J1305" s="35"/>
    </row>
    <row r="1306" spans="9:10" x14ac:dyDescent="0.25">
      <c r="I1306" s="37"/>
      <c r="J1306" s="35"/>
    </row>
    <row r="1307" spans="9:10" x14ac:dyDescent="0.25">
      <c r="I1307" s="37"/>
      <c r="J1307" s="35"/>
    </row>
    <row r="1308" spans="9:10" x14ac:dyDescent="0.25">
      <c r="I1308" s="37"/>
      <c r="J1308" s="35"/>
    </row>
    <row r="1309" spans="9:10" x14ac:dyDescent="0.25">
      <c r="I1309" s="37"/>
      <c r="J1309" s="35"/>
    </row>
    <row r="1310" spans="9:10" x14ac:dyDescent="0.25">
      <c r="I1310" s="37"/>
      <c r="J1310" s="35"/>
    </row>
    <row r="1311" spans="9:10" x14ac:dyDescent="0.25">
      <c r="I1311" s="37"/>
      <c r="J1311" s="35"/>
    </row>
    <row r="1312" spans="9:10" x14ac:dyDescent="0.25">
      <c r="I1312" s="37"/>
      <c r="J1312" s="35"/>
    </row>
    <row r="1313" spans="9:10" x14ac:dyDescent="0.25">
      <c r="I1313" s="37"/>
      <c r="J1313" s="35"/>
    </row>
    <row r="1314" spans="9:10" x14ac:dyDescent="0.25">
      <c r="I1314" s="37"/>
      <c r="J1314" s="35"/>
    </row>
    <row r="1315" spans="9:10" x14ac:dyDescent="0.25">
      <c r="I1315" s="37"/>
      <c r="J1315" s="35"/>
    </row>
    <row r="1316" spans="9:10" x14ac:dyDescent="0.25">
      <c r="I1316" s="37"/>
      <c r="J1316" s="35"/>
    </row>
    <row r="1317" spans="9:10" x14ac:dyDescent="0.25">
      <c r="I1317" s="37"/>
      <c r="J1317" s="35"/>
    </row>
    <row r="1318" spans="9:10" x14ac:dyDescent="0.25">
      <c r="I1318" s="37"/>
      <c r="J1318" s="35"/>
    </row>
    <row r="1319" spans="9:10" x14ac:dyDescent="0.25">
      <c r="I1319" s="37"/>
      <c r="J1319" s="35"/>
    </row>
    <row r="1320" spans="9:10" x14ac:dyDescent="0.25">
      <c r="I1320" s="37"/>
      <c r="J1320" s="35"/>
    </row>
    <row r="1321" spans="9:10" x14ac:dyDescent="0.25">
      <c r="I1321" s="37"/>
      <c r="J1321" s="35"/>
    </row>
    <row r="1322" spans="9:10" x14ac:dyDescent="0.25">
      <c r="I1322" s="37"/>
      <c r="J1322" s="35"/>
    </row>
    <row r="1323" spans="9:10" x14ac:dyDescent="0.25">
      <c r="I1323" s="37"/>
      <c r="J1323" s="35"/>
    </row>
    <row r="1324" spans="9:10" x14ac:dyDescent="0.25">
      <c r="I1324" s="37"/>
      <c r="J1324" s="35"/>
    </row>
    <row r="1325" spans="9:10" x14ac:dyDescent="0.25">
      <c r="I1325" s="37"/>
      <c r="J1325" s="35"/>
    </row>
    <row r="1326" spans="9:10" x14ac:dyDescent="0.25">
      <c r="I1326" s="37"/>
      <c r="J1326" s="35"/>
    </row>
    <row r="1327" spans="9:10" x14ac:dyDescent="0.25">
      <c r="I1327" s="37"/>
      <c r="J1327" s="35"/>
    </row>
    <row r="1328" spans="9:10" x14ac:dyDescent="0.25">
      <c r="I1328" s="37"/>
      <c r="J1328" s="35"/>
    </row>
    <row r="1329" spans="9:10" x14ac:dyDescent="0.25">
      <c r="I1329" s="37"/>
      <c r="J1329" s="35"/>
    </row>
    <row r="1330" spans="9:10" x14ac:dyDescent="0.25">
      <c r="I1330" s="37"/>
      <c r="J1330" s="35"/>
    </row>
    <row r="1331" spans="9:10" x14ac:dyDescent="0.25">
      <c r="I1331" s="37"/>
      <c r="J1331" s="35"/>
    </row>
    <row r="1332" spans="9:10" x14ac:dyDescent="0.25">
      <c r="I1332" s="37"/>
      <c r="J1332" s="35"/>
    </row>
    <row r="1333" spans="9:10" x14ac:dyDescent="0.25">
      <c r="I1333" s="37"/>
      <c r="J1333" s="35"/>
    </row>
    <row r="1334" spans="9:10" x14ac:dyDescent="0.25">
      <c r="I1334" s="37"/>
      <c r="J1334" s="35"/>
    </row>
  </sheetData>
  <mergeCells count="18">
    <mergeCell ref="T2:U2"/>
    <mergeCell ref="J2:K2"/>
    <mergeCell ref="L2:M2"/>
    <mergeCell ref="N2:O2"/>
    <mergeCell ref="P2:Q2"/>
    <mergeCell ref="R2:S2"/>
    <mergeCell ref="T29:U29"/>
    <mergeCell ref="J16:K16"/>
    <mergeCell ref="L16:M16"/>
    <mergeCell ref="N16:O16"/>
    <mergeCell ref="P16:Q16"/>
    <mergeCell ref="R16:S16"/>
    <mergeCell ref="T16:U16"/>
    <mergeCell ref="J29:K29"/>
    <mergeCell ref="L29:M29"/>
    <mergeCell ref="N29:O29"/>
    <mergeCell ref="P29:Q29"/>
    <mergeCell ref="R29:S29"/>
  </mergeCells>
  <conditionalFormatting sqref="AE3:AI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:AI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0:AI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BB6BB-DE76-4D84-B6CC-38F870786069}">
  <dimension ref="A1:AQ1334"/>
  <sheetViews>
    <sheetView showGridLines="0" topLeftCell="A2" zoomScale="85" zoomScaleNormal="85" workbookViewId="0">
      <selection activeCell="I8" sqref="I8"/>
    </sheetView>
  </sheetViews>
  <sheetFormatPr defaultRowHeight="15" outlineLevelRow="1" outlineLevelCol="1" x14ac:dyDescent="0.25"/>
  <cols>
    <col min="1" max="1" width="2.5703125" customWidth="1"/>
    <col min="2" max="2" width="9.140625" customWidth="1"/>
    <col min="3" max="3" width="16.28515625" bestFit="1" customWidth="1"/>
    <col min="4" max="4" width="15.28515625" bestFit="1" customWidth="1"/>
    <col min="5" max="5" width="2.5703125" customWidth="1"/>
    <col min="6" max="6" width="18.140625" bestFit="1" customWidth="1"/>
    <col min="7" max="7" width="2.5703125" customWidth="1"/>
    <col min="8" max="8" width="25.140625" bestFit="1" customWidth="1"/>
    <col min="9" max="9" width="24.28515625" style="11" customWidth="1" outlineLevel="1"/>
    <col min="10" max="10" width="9.42578125" style="6" customWidth="1"/>
    <col min="11" max="11" width="19" style="11" hidden="1" customWidth="1" outlineLevel="1"/>
    <col min="12" max="12" width="9.28515625" style="6" customWidth="1" collapsed="1"/>
    <col min="13" max="13" width="19.5703125" style="11" hidden="1" customWidth="1" outlineLevel="1"/>
    <col min="14" max="14" width="10.42578125" style="6" customWidth="1" collapsed="1"/>
    <col min="15" max="15" width="17.85546875" style="11" hidden="1" customWidth="1" outlineLevel="1"/>
    <col min="16" max="16" width="8.5703125" style="6" bestFit="1" customWidth="1" collapsed="1"/>
    <col min="17" max="17" width="18" style="11" hidden="1" customWidth="1" outlineLevel="1"/>
    <col min="18" max="18" width="11.42578125" style="5" customWidth="1" collapsed="1"/>
    <col min="19" max="19" width="19.5703125" style="10" hidden="1" customWidth="1" outlineLevel="1"/>
    <col min="20" max="20" width="9.85546875" style="10" bestFit="1" customWidth="1" collapsed="1"/>
    <col min="21" max="21" width="19.5703125" style="10" hidden="1" customWidth="1" outlineLevel="1"/>
    <col min="22" max="22" width="2.5703125" customWidth="1" collapsed="1"/>
    <col min="23" max="24" width="7.140625" hidden="1" customWidth="1" outlineLevel="1"/>
    <col min="25" max="25" width="17.85546875" bestFit="1" customWidth="1" collapsed="1"/>
    <col min="26" max="27" width="17.85546875" bestFit="1" customWidth="1"/>
    <col min="28" max="28" width="16.140625" bestFit="1" customWidth="1"/>
    <col min="29" max="29" width="15.140625" bestFit="1" customWidth="1"/>
    <col min="30" max="30" width="2.5703125" customWidth="1"/>
    <col min="31" max="31" width="7.85546875" bestFit="1" customWidth="1"/>
    <col min="32" max="32" width="11.140625" bestFit="1" customWidth="1"/>
    <col min="33" max="33" width="13.28515625" bestFit="1" customWidth="1"/>
    <col min="34" max="34" width="7.85546875" bestFit="1" customWidth="1"/>
    <col min="35" max="35" width="8.140625" bestFit="1" customWidth="1"/>
    <col min="36" max="36" width="2.5703125" customWidth="1"/>
    <col min="37" max="37" width="17.85546875" bestFit="1" customWidth="1"/>
    <col min="38" max="38" width="8.140625" bestFit="1" customWidth="1"/>
    <col min="39" max="39" width="2.5703125" customWidth="1"/>
    <col min="41" max="41" width="16.28515625" bestFit="1" customWidth="1"/>
  </cols>
  <sheetData>
    <row r="1" spans="1:43" ht="9" customHeight="1" x14ac:dyDescent="0.25">
      <c r="A1" t="s">
        <v>75</v>
      </c>
    </row>
    <row r="2" spans="1:43" x14ac:dyDescent="0.25">
      <c r="B2" s="1"/>
      <c r="C2" s="1" t="s">
        <v>20</v>
      </c>
      <c r="D2" s="1"/>
      <c r="H2" s="4" t="s">
        <v>1</v>
      </c>
      <c r="I2" s="9" t="s">
        <v>4</v>
      </c>
      <c r="J2" s="112" t="s">
        <v>7</v>
      </c>
      <c r="K2" s="112"/>
      <c r="L2" s="112" t="s">
        <v>8</v>
      </c>
      <c r="M2" s="112"/>
      <c r="N2" s="112" t="s">
        <v>10</v>
      </c>
      <c r="O2" s="112"/>
      <c r="P2" s="112" t="s">
        <v>9</v>
      </c>
      <c r="Q2" s="112"/>
      <c r="R2" s="112" t="s">
        <v>21</v>
      </c>
      <c r="S2" s="112"/>
      <c r="T2" s="112" t="s">
        <v>55</v>
      </c>
      <c r="U2" s="112"/>
      <c r="W2" s="1" t="s">
        <v>46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27" t="s">
        <v>49</v>
      </c>
      <c r="AF2" s="27" t="s">
        <v>50</v>
      </c>
      <c r="AG2" s="27" t="s">
        <v>51</v>
      </c>
      <c r="AH2" s="27" t="s">
        <v>52</v>
      </c>
      <c r="AI2" s="27" t="s">
        <v>53</v>
      </c>
      <c r="AK2" s="75" t="s">
        <v>60</v>
      </c>
      <c r="AL2" s="75" t="s">
        <v>61</v>
      </c>
      <c r="AN2" s="1"/>
      <c r="AO2" s="1" t="s">
        <v>20</v>
      </c>
      <c r="AP2" s="1"/>
    </row>
    <row r="3" spans="1:43" x14ac:dyDescent="0.25">
      <c r="A3" s="98"/>
      <c r="B3" t="s">
        <v>11</v>
      </c>
      <c r="C3" s="2" t="s">
        <v>10</v>
      </c>
      <c r="D3" t="s">
        <v>7</v>
      </c>
      <c r="E3" s="98"/>
      <c r="F3" s="7">
        <f>J3+L3+N3+P3+R3+T3</f>
        <v>0.99999999999999989</v>
      </c>
      <c r="G3" s="99"/>
      <c r="H3" s="97" t="s">
        <v>5</v>
      </c>
      <c r="I3" s="80">
        <v>276830008.54000002</v>
      </c>
      <c r="J3" s="81">
        <f>0.71%+22.7%</f>
        <v>0.23409999999999997</v>
      </c>
      <c r="K3" s="80">
        <f t="shared" ref="K3:O13" si="0">+J3*$I3</f>
        <v>64805904.999214001</v>
      </c>
      <c r="L3" s="81">
        <v>0.26600000000000001</v>
      </c>
      <c r="M3" s="80">
        <f t="shared" si="0"/>
        <v>73636782.271640003</v>
      </c>
      <c r="N3" s="81">
        <v>0.36330000000000001</v>
      </c>
      <c r="O3" s="80">
        <f t="shared" si="0"/>
        <v>100572342.10258201</v>
      </c>
      <c r="P3" s="81">
        <v>7.0999999999999994E-2</v>
      </c>
      <c r="Q3" s="80">
        <f t="shared" ref="Q3:Q13" si="1">+P3*$I3</f>
        <v>19654930.606339999</v>
      </c>
      <c r="R3" s="82"/>
      <c r="S3" s="80">
        <f t="shared" ref="S3:S13" si="2">+R3*$I3</f>
        <v>0</v>
      </c>
      <c r="T3" s="81">
        <v>6.5600000000000006E-2</v>
      </c>
      <c r="U3" s="65">
        <f t="shared" ref="U3:U13" si="3">+T3*$I3</f>
        <v>18160048.560224004</v>
      </c>
      <c r="V3" s="98"/>
      <c r="Y3" s="12">
        <f>K3-'Fev25'!K3</f>
        <v>-210278656.30322802</v>
      </c>
      <c r="Z3" s="12">
        <f>M3-'Fev25'!M3</f>
        <v>-44023981.012200013</v>
      </c>
      <c r="AA3" s="12">
        <f>O3-'Fev25'!O3</f>
        <v>-14987336.122618005</v>
      </c>
      <c r="AB3" s="12">
        <f>Q3-'Fev25'!Q3</f>
        <v>2636141.6313559972</v>
      </c>
      <c r="AC3" s="12">
        <f>+S3-'Fev25'!S3</f>
        <v>0</v>
      </c>
      <c r="AD3" s="98"/>
      <c r="AE3" s="28">
        <f>J3-'Fev25'!J3</f>
        <v>-0.28960000000000008</v>
      </c>
      <c r="AF3" s="28">
        <f>L3-'Fev25'!L3</f>
        <v>4.200000000000001E-2</v>
      </c>
      <c r="AG3" s="28">
        <f>N3-'Fev25'!N3</f>
        <v>0.14330000000000001</v>
      </c>
      <c r="AH3" s="28">
        <f>P3-'Fev25'!P3</f>
        <v>3.8599999999999995E-2</v>
      </c>
      <c r="AI3" s="28">
        <f>R3-'Fev25'!R3</f>
        <v>0</v>
      </c>
      <c r="AJ3" s="98"/>
      <c r="AK3" s="10">
        <f>I3-'Fev25'!I3</f>
        <v>-248441256.12</v>
      </c>
      <c r="AL3" s="76">
        <f>I3/'Fev25'!I3-1</f>
        <v>-0.4729770555425532</v>
      </c>
      <c r="AM3" s="98"/>
      <c r="AN3" t="s">
        <v>11</v>
      </c>
      <c r="AO3" s="2" t="s">
        <v>10</v>
      </c>
      <c r="AP3" t="s">
        <v>7</v>
      </c>
      <c r="AQ3" s="98"/>
    </row>
    <row r="4" spans="1:43" x14ac:dyDescent="0.25">
      <c r="B4" t="s">
        <v>12</v>
      </c>
      <c r="C4" s="2" t="s">
        <v>16</v>
      </c>
      <c r="D4" t="s">
        <v>58</v>
      </c>
      <c r="F4" s="7">
        <f t="shared" ref="F4:F36" si="4">J4+L4+N4+P4+R4+T4</f>
        <v>1</v>
      </c>
      <c r="H4" s="3" t="s">
        <v>0</v>
      </c>
      <c r="I4" s="78">
        <v>1591461624.3399999</v>
      </c>
      <c r="J4" s="77">
        <v>0.4</v>
      </c>
      <c r="K4" s="78">
        <f t="shared" si="0"/>
        <v>636584649.73599994</v>
      </c>
      <c r="L4" s="77">
        <v>0.1</v>
      </c>
      <c r="M4" s="78">
        <f t="shared" si="0"/>
        <v>159146162.43399999</v>
      </c>
      <c r="N4" s="77">
        <v>0.01</v>
      </c>
      <c r="O4" s="78">
        <f t="shared" si="0"/>
        <v>15914616.2434</v>
      </c>
      <c r="P4" s="77">
        <v>0.11</v>
      </c>
      <c r="Q4" s="78">
        <f t="shared" si="1"/>
        <v>175060778.67739999</v>
      </c>
      <c r="R4" s="77"/>
      <c r="S4" s="78">
        <f t="shared" si="2"/>
        <v>0</v>
      </c>
      <c r="T4" s="77">
        <v>0.38</v>
      </c>
      <c r="U4" s="57">
        <f t="shared" si="3"/>
        <v>604755417.24919999</v>
      </c>
      <c r="Y4" s="12">
        <f>K4-'Fev25'!K4</f>
        <v>8833032.9657999277</v>
      </c>
      <c r="Z4" s="12">
        <f>M4-'Fev25'!M4</f>
        <v>46472795.321399972</v>
      </c>
      <c r="AA4" s="12">
        <f>O4-'Fev25'!O4</f>
        <v>-531356024.01780009</v>
      </c>
      <c r="AB4" s="12">
        <f>Q4-'Fev25'!Q4</f>
        <v>-1997369.6424000263</v>
      </c>
      <c r="AC4" s="12">
        <f>+S4-'Fev25'!S4</f>
        <v>0</v>
      </c>
      <c r="AE4" s="28">
        <f>J4-'Fev25'!J4</f>
        <v>1.0000000000000009E-2</v>
      </c>
      <c r="AF4" s="28">
        <f>L4-'Fev25'!L4</f>
        <v>0.03</v>
      </c>
      <c r="AG4" s="28">
        <f>N4-'Fev25'!N4</f>
        <v>-0.33</v>
      </c>
      <c r="AH4" s="28">
        <f>P4-'Fev25'!P4</f>
        <v>0</v>
      </c>
      <c r="AI4" s="28">
        <f>R4-'Fev25'!R4</f>
        <v>0</v>
      </c>
      <c r="AJ4" s="93"/>
      <c r="AK4" s="10">
        <f>I4-'Fev25'!I4</f>
        <v>-18157905.840000153</v>
      </c>
      <c r="AL4" s="76">
        <f>I4/'Fev25'!I4-1</f>
        <v>-1.1280868242179887E-2</v>
      </c>
      <c r="AN4" t="s">
        <v>12</v>
      </c>
      <c r="AO4" s="2" t="s">
        <v>16</v>
      </c>
      <c r="AP4" t="s">
        <v>58</v>
      </c>
    </row>
    <row r="5" spans="1:43" x14ac:dyDescent="0.25">
      <c r="B5" t="s">
        <v>13</v>
      </c>
      <c r="C5" s="2" t="s">
        <v>17</v>
      </c>
      <c r="D5" t="s">
        <v>59</v>
      </c>
      <c r="F5" s="7">
        <f>J5+L5+N5+P5+R5+T5</f>
        <v>1</v>
      </c>
      <c r="H5" s="3" t="s">
        <v>3</v>
      </c>
      <c r="I5" s="78">
        <v>320745509.49000001</v>
      </c>
      <c r="J5" s="77">
        <v>0.31</v>
      </c>
      <c r="K5" s="78">
        <f t="shared" si="0"/>
        <v>99431107.9419</v>
      </c>
      <c r="L5" s="77"/>
      <c r="M5" s="78">
        <f t="shared" si="0"/>
        <v>0</v>
      </c>
      <c r="N5" s="77">
        <v>0.36</v>
      </c>
      <c r="O5" s="78">
        <f t="shared" si="0"/>
        <v>115468383.4164</v>
      </c>
      <c r="P5" s="77">
        <v>0.11</v>
      </c>
      <c r="Q5" s="78">
        <f t="shared" si="1"/>
        <v>35282006.043899998</v>
      </c>
      <c r="R5" s="77">
        <v>0.19</v>
      </c>
      <c r="S5" s="78">
        <f t="shared" si="2"/>
        <v>60941646.803100005</v>
      </c>
      <c r="T5" s="77">
        <v>0.03</v>
      </c>
      <c r="U5" s="57">
        <f t="shared" si="3"/>
        <v>9622365.2847000007</v>
      </c>
      <c r="Y5" s="12">
        <f>K5-'Fev25'!K5</f>
        <v>-61241660.010799989</v>
      </c>
      <c r="Z5" s="12">
        <f>M5-'Fev25'!M5</f>
        <v>0</v>
      </c>
      <c r="AA5" s="12">
        <f>O5-'Fev25'!O5</f>
        <v>-11575200.546200007</v>
      </c>
      <c r="AB5" s="12">
        <f>Q5-'Fev25'!Q5</f>
        <v>12862550.050499998</v>
      </c>
      <c r="AC5" s="12">
        <f>+S5-'Fev25'!S5</f>
        <v>4893006.8196000084</v>
      </c>
      <c r="AE5" s="28">
        <f>J5-'Fev25'!J5</f>
        <v>-0.12</v>
      </c>
      <c r="AF5" s="28">
        <f>L5-'Fev25'!L5</f>
        <v>0</v>
      </c>
      <c r="AG5" s="28">
        <f>N5-'Fev25'!N5</f>
        <v>1.9999999999999962E-2</v>
      </c>
      <c r="AH5" s="28">
        <f>P5-'Fev25'!P5</f>
        <v>0.05</v>
      </c>
      <c r="AI5" s="28">
        <f>R5-'Fev25'!R5</f>
        <v>4.0000000000000008E-2</v>
      </c>
      <c r="AK5" s="10">
        <f>I5-'Fev25'!I5</f>
        <v>-52912090.399999976</v>
      </c>
      <c r="AL5" s="76">
        <f>I5/'Fev25'!I5-1</f>
        <v>-0.14160581884478363</v>
      </c>
      <c r="AN5" t="s">
        <v>13</v>
      </c>
      <c r="AO5" s="2" t="s">
        <v>17</v>
      </c>
      <c r="AP5" t="s">
        <v>59</v>
      </c>
    </row>
    <row r="6" spans="1:43" x14ac:dyDescent="0.25">
      <c r="B6" t="s">
        <v>14</v>
      </c>
      <c r="C6" s="2" t="s">
        <v>18</v>
      </c>
      <c r="F6" s="7">
        <f t="shared" si="4"/>
        <v>1</v>
      </c>
      <c r="H6" s="3" t="s">
        <v>62</v>
      </c>
      <c r="I6" s="78">
        <v>5042629009.3699999</v>
      </c>
      <c r="J6" s="77">
        <v>0.21299999999999999</v>
      </c>
      <c r="K6" s="78">
        <f t="shared" si="0"/>
        <v>1074079978.99581</v>
      </c>
      <c r="L6" s="77">
        <v>0.44700000000000001</v>
      </c>
      <c r="M6" s="78">
        <f t="shared" si="0"/>
        <v>2254055167.1883898</v>
      </c>
      <c r="N6" s="77">
        <v>0.28899999999999998</v>
      </c>
      <c r="O6" s="78">
        <f t="shared" si="0"/>
        <v>1457319783.7079298</v>
      </c>
      <c r="P6" s="77">
        <v>2.4E-2</v>
      </c>
      <c r="Q6" s="78">
        <f t="shared" si="1"/>
        <v>121023096.22487999</v>
      </c>
      <c r="R6" s="77"/>
      <c r="S6" s="78">
        <f t="shared" si="2"/>
        <v>0</v>
      </c>
      <c r="T6" s="77">
        <v>2.7E-2</v>
      </c>
      <c r="U6" s="57">
        <f t="shared" si="3"/>
        <v>136150983.25299001</v>
      </c>
      <c r="Y6" s="12">
        <f>K6-'Fev25'!K6</f>
        <v>1008325008.1658701</v>
      </c>
      <c r="Z6" s="12">
        <f>M6-'Fev25'!M6</f>
        <v>2105334192.8951697</v>
      </c>
      <c r="AA6" s="12">
        <f>O6-'Fev25'!O6</f>
        <v>1276824595.3223898</v>
      </c>
      <c r="AB6" s="12">
        <f>Q6-'Fev25'!Q6</f>
        <v>102929446.53342</v>
      </c>
      <c r="AC6" s="12">
        <f>+S6-'Fev25'!S6</f>
        <v>0</v>
      </c>
      <c r="AE6" s="28">
        <f>J6-'Fev25'!J6</f>
        <v>6.4000000000000001E-2</v>
      </c>
      <c r="AF6" s="28">
        <f>L6-'Fev25'!L6</f>
        <v>0.10999999999999999</v>
      </c>
      <c r="AG6" s="28">
        <f>N6-'Fev25'!N6</f>
        <v>-0.12</v>
      </c>
      <c r="AH6" s="28">
        <f>P6-'Fev25'!P6</f>
        <v>-1.7000000000000001E-2</v>
      </c>
      <c r="AI6" s="28">
        <f>R6-'Fev25'!R6</f>
        <v>0</v>
      </c>
      <c r="AK6" s="10">
        <f>I6-'Fev25'!I6</f>
        <v>4601320480.3099995</v>
      </c>
      <c r="AL6" s="76">
        <f>I6/'Fev25'!I6-1</f>
        <v>10.426538753082671</v>
      </c>
      <c r="AN6" t="s">
        <v>14</v>
      </c>
      <c r="AO6" s="2" t="s">
        <v>18</v>
      </c>
    </row>
    <row r="7" spans="1:43" x14ac:dyDescent="0.25">
      <c r="B7" t="s">
        <v>15</v>
      </c>
      <c r="C7" s="2" t="s">
        <v>19</v>
      </c>
      <c r="F7" s="7">
        <f t="shared" si="4"/>
        <v>1</v>
      </c>
      <c r="H7" s="3" t="s">
        <v>22</v>
      </c>
      <c r="I7" s="78">
        <v>2772470156.3200002</v>
      </c>
      <c r="J7" s="77">
        <v>0.26400000000000001</v>
      </c>
      <c r="K7" s="78">
        <f t="shared" si="0"/>
        <v>731932121.26848006</v>
      </c>
      <c r="L7" s="77">
        <v>0.28100000000000003</v>
      </c>
      <c r="M7" s="78">
        <f t="shared" si="0"/>
        <v>779064113.92592013</v>
      </c>
      <c r="N7" s="77">
        <v>0.41899999999999998</v>
      </c>
      <c r="O7" s="78">
        <f t="shared" si="0"/>
        <v>1161664995.49808</v>
      </c>
      <c r="P7" s="77">
        <v>3.1E-2</v>
      </c>
      <c r="Q7" s="78">
        <f t="shared" si="1"/>
        <v>85946574.845920011</v>
      </c>
      <c r="R7" s="77"/>
      <c r="S7" s="78">
        <f t="shared" si="2"/>
        <v>0</v>
      </c>
      <c r="T7" s="77">
        <v>5.0000000000000001E-3</v>
      </c>
      <c r="U7" s="57">
        <f t="shared" si="3"/>
        <v>13862350.7816</v>
      </c>
      <c r="Y7" s="12">
        <f>K7-'Fev25'!K7</f>
        <v>17365426.51007998</v>
      </c>
      <c r="Z7" s="12">
        <f>M7-'Fev25'!M7</f>
        <v>27445812.772640228</v>
      </c>
      <c r="AA7" s="12">
        <f>O7-'Fev25'!O7</f>
        <v>65996063.535200119</v>
      </c>
      <c r="AB7" s="12">
        <f>Q7-'Fev25'!Q7</f>
        <v>1257188.8004800081</v>
      </c>
      <c r="AC7" s="12">
        <f>+S7-'Fev25'!S7</f>
        <v>0</v>
      </c>
      <c r="AE7" s="28">
        <f>J7-'Fev25'!J7</f>
        <v>-6.0000000000000053E-3</v>
      </c>
      <c r="AF7" s="28">
        <f>L7-'Fev25'!L7</f>
        <v>-2.9999999999999472E-3</v>
      </c>
      <c r="AG7" s="28">
        <f>N7-'Fev25'!N7</f>
        <v>5.0000000000000044E-3</v>
      </c>
      <c r="AH7" s="28">
        <f>P7-'Fev25'!P7</f>
        <v>-1.0000000000000009E-3</v>
      </c>
      <c r="AI7" s="28">
        <f>R7-'Fev25'!R7</f>
        <v>0</v>
      </c>
      <c r="AK7" s="10">
        <f>I7-'Fev25'!I7</f>
        <v>125926842.4000001</v>
      </c>
      <c r="AL7" s="76">
        <f>I7/'Fev25'!I7-1</f>
        <v>4.7581629115104107E-2</v>
      </c>
      <c r="AN7" t="s">
        <v>15</v>
      </c>
      <c r="AO7" s="2" t="s">
        <v>19</v>
      </c>
    </row>
    <row r="8" spans="1:43" x14ac:dyDescent="0.25">
      <c r="B8" t="s">
        <v>57</v>
      </c>
      <c r="F8" s="7">
        <f t="shared" si="4"/>
        <v>1</v>
      </c>
      <c r="H8" s="3" t="s">
        <v>23</v>
      </c>
      <c r="I8" s="78">
        <v>100779603.2</v>
      </c>
      <c r="J8" s="77">
        <v>0.26</v>
      </c>
      <c r="K8" s="78">
        <f t="shared" si="0"/>
        <v>26202696.832000002</v>
      </c>
      <c r="L8" s="77">
        <v>0.315</v>
      </c>
      <c r="M8" s="78">
        <f t="shared" si="0"/>
        <v>31745575.008000001</v>
      </c>
      <c r="N8" s="77">
        <v>0.27</v>
      </c>
      <c r="O8" s="78">
        <f t="shared" si="0"/>
        <v>27210492.864000004</v>
      </c>
      <c r="P8" s="77">
        <v>0.09</v>
      </c>
      <c r="Q8" s="78">
        <f t="shared" si="1"/>
        <v>9070164.2880000006</v>
      </c>
      <c r="R8" s="77"/>
      <c r="S8" s="78">
        <f t="shared" si="2"/>
        <v>0</v>
      </c>
      <c r="T8" s="77">
        <f>4%+2.5%</f>
        <v>6.5000000000000002E-2</v>
      </c>
      <c r="U8" s="57">
        <f t="shared" si="3"/>
        <v>6550674.2080000006</v>
      </c>
      <c r="Y8" s="12">
        <f>K8-'Fev25'!K8</f>
        <v>9452405.1395000014</v>
      </c>
      <c r="Z8" s="12">
        <f>M8-'Fev25'!M8</f>
        <v>4945108.299999997</v>
      </c>
      <c r="AA8" s="12">
        <f>O8-'Fev25'!O8</f>
        <v>13810259.510000002</v>
      </c>
      <c r="AB8" s="12">
        <f>Q8-'Fev25'!Q8</f>
        <v>2370047.6109999996</v>
      </c>
      <c r="AC8" s="12">
        <f>+S8-'Fev25'!S8</f>
        <v>0</v>
      </c>
      <c r="AE8" s="28">
        <f>J8-'Fev25'!J8</f>
        <v>1.0000000000000009E-2</v>
      </c>
      <c r="AF8" s="28">
        <f>L8-'Fev25'!L8</f>
        <v>-8.500000000000002E-2</v>
      </c>
      <c r="AG8" s="28">
        <f>N8-'Fev25'!N8</f>
        <v>7.0000000000000007E-2</v>
      </c>
      <c r="AH8" s="28">
        <f>P8-'Fev25'!P8</f>
        <v>-1.0000000000000009E-2</v>
      </c>
      <c r="AI8" s="28">
        <f>R8-'Fev25'!R8</f>
        <v>0</v>
      </c>
      <c r="AK8" s="10">
        <f>I8-'Fev25'!I8</f>
        <v>33778436.43</v>
      </c>
      <c r="AL8" s="76">
        <f>I8/'Fev25'!I8-1</f>
        <v>0.50414698815550185</v>
      </c>
      <c r="AN8" t="s">
        <v>57</v>
      </c>
    </row>
    <row r="9" spans="1:43" x14ac:dyDescent="0.25">
      <c r="F9" s="7">
        <f t="shared" si="4"/>
        <v>0.99999999999999989</v>
      </c>
      <c r="H9" s="3" t="s">
        <v>24</v>
      </c>
      <c r="I9" s="78">
        <v>1550279287.97</v>
      </c>
      <c r="J9" s="77">
        <v>0.5554</v>
      </c>
      <c r="K9" s="78">
        <f t="shared" si="0"/>
        <v>861025116.53853798</v>
      </c>
      <c r="L9" s="77">
        <v>0.14879999999999999</v>
      </c>
      <c r="M9" s="78">
        <f t="shared" si="0"/>
        <v>230681558.049936</v>
      </c>
      <c r="N9" s="77">
        <v>0.2442</v>
      </c>
      <c r="O9" s="78">
        <f t="shared" si="0"/>
        <v>378578202.12227398</v>
      </c>
      <c r="P9" s="77">
        <v>4.7300000000000002E-2</v>
      </c>
      <c r="Q9" s="78">
        <f t="shared" si="1"/>
        <v>73328210.320981011</v>
      </c>
      <c r="R9" s="77"/>
      <c r="S9" s="78">
        <f t="shared" si="2"/>
        <v>0</v>
      </c>
      <c r="T9" s="77">
        <v>4.3E-3</v>
      </c>
      <c r="U9" s="57">
        <f t="shared" si="3"/>
        <v>6666200.9382710001</v>
      </c>
      <c r="Y9" s="12">
        <f>K9-'Fev25'!K9</f>
        <v>-68709243.088662028</v>
      </c>
      <c r="Z9" s="12">
        <f>M9-'Fev25'!M9</f>
        <v>4199326.0639359653</v>
      </c>
      <c r="AA9" s="12">
        <f>O9-'Fev25'!O9</f>
        <v>-34875857.875526011</v>
      </c>
      <c r="AB9" s="12">
        <f>Q9-'Fev25'!Q9</f>
        <v>-3543496.1560189873</v>
      </c>
      <c r="AC9" s="12">
        <f>+S9-'Fev25'!S9</f>
        <v>0</v>
      </c>
      <c r="AE9" s="28">
        <f>J9-'Fev25'!J9</f>
        <v>-7.0000000000000062E-3</v>
      </c>
      <c r="AF9" s="28">
        <f>L9-'Fev25'!L9</f>
        <v>1.1799999999999977E-2</v>
      </c>
      <c r="AG9" s="28">
        <f>N9-'Fev25'!N9</f>
        <v>-5.8999999999999886E-3</v>
      </c>
      <c r="AH9" s="28">
        <f>P9-'Fev25'!P9</f>
        <v>8.000000000000021E-4</v>
      </c>
      <c r="AI9" s="28">
        <f>R9-'Fev25'!R9</f>
        <v>0</v>
      </c>
      <c r="AK9" s="10">
        <f>I9-'Fev25'!I9</f>
        <v>-102875690.02999997</v>
      </c>
      <c r="AL9" s="76">
        <f>I9/'Fev25'!I9-1</f>
        <v>-6.2229912742034488E-2</v>
      </c>
    </row>
    <row r="10" spans="1:43" x14ac:dyDescent="0.25">
      <c r="F10" s="7">
        <f t="shared" si="4"/>
        <v>1</v>
      </c>
      <c r="H10" s="3" t="s">
        <v>73</v>
      </c>
      <c r="I10" s="78">
        <v>7872868143.8199997</v>
      </c>
      <c r="J10" s="77">
        <v>0.35499999999999998</v>
      </c>
      <c r="K10" s="78">
        <f t="shared" si="0"/>
        <v>2794868191.0560999</v>
      </c>
      <c r="L10" s="77">
        <v>0.4</v>
      </c>
      <c r="M10" s="78">
        <f t="shared" si="0"/>
        <v>3149147257.5279999</v>
      </c>
      <c r="N10" s="77">
        <v>0.21199999999999999</v>
      </c>
      <c r="O10" s="78">
        <f t="shared" si="0"/>
        <v>1669048046.4898398</v>
      </c>
      <c r="P10" s="77">
        <v>3.3000000000000002E-2</v>
      </c>
      <c r="Q10" s="78">
        <f t="shared" si="1"/>
        <v>259804648.74606001</v>
      </c>
      <c r="R10" s="77"/>
      <c r="S10" s="78">
        <f t="shared" si="2"/>
        <v>0</v>
      </c>
      <c r="T10" s="77"/>
      <c r="U10" s="57">
        <f t="shared" si="3"/>
        <v>0</v>
      </c>
      <c r="Y10" s="12">
        <f>K10-'Fev25'!K10</f>
        <v>-246240731.33258009</v>
      </c>
      <c r="Z10" s="12">
        <f>M10-'Fev25'!M10</f>
        <v>461298462.48750019</v>
      </c>
      <c r="AA10" s="12">
        <f>O10-'Fev25'!O10</f>
        <v>348162352.92707992</v>
      </c>
      <c r="AB10" s="12">
        <f>Q10-'Fev25'!Q10</f>
        <v>-369919926.09200001</v>
      </c>
      <c r="AC10" s="12">
        <f>+S10-'Fev25'!S10</f>
        <v>0</v>
      </c>
      <c r="AE10" s="28">
        <f>J10-'Fev25'!J10</f>
        <v>-4.1000000000000036E-2</v>
      </c>
      <c r="AF10" s="28">
        <f>L10-'Fev25'!L10</f>
        <v>5.0000000000000044E-2</v>
      </c>
      <c r="AG10" s="28">
        <f>N10-'Fev25'!N10</f>
        <v>4.0000000000000008E-2</v>
      </c>
      <c r="AH10" s="28">
        <f>P10-'Fev25'!P10</f>
        <v>-4.9000000000000002E-2</v>
      </c>
      <c r="AI10" s="28">
        <f>R10-'Fev25'!R10</f>
        <v>0</v>
      </c>
      <c r="AJ10" s="93"/>
      <c r="AK10" s="10">
        <f>I10-'Fev25'!I10</f>
        <v>193300157.98999977</v>
      </c>
      <c r="AL10" s="76">
        <f>I10/'Fev25'!I10-1</f>
        <v>2.5170707303674877E-2</v>
      </c>
    </row>
    <row r="11" spans="1:43" x14ac:dyDescent="0.25">
      <c r="F11" s="7">
        <f t="shared" si="4"/>
        <v>1</v>
      </c>
      <c r="H11" s="3" t="s">
        <v>47</v>
      </c>
      <c r="I11" s="78">
        <v>3157103400.25</v>
      </c>
      <c r="J11" s="77">
        <v>0.68</v>
      </c>
      <c r="K11" s="78">
        <f t="shared" si="0"/>
        <v>2146830312.1700001</v>
      </c>
      <c r="L11" s="77">
        <v>0.16</v>
      </c>
      <c r="M11" s="78">
        <f t="shared" si="0"/>
        <v>505136544.04000002</v>
      </c>
      <c r="N11" s="77">
        <v>0.16</v>
      </c>
      <c r="O11" s="78">
        <f t="shared" si="0"/>
        <v>505136544.04000002</v>
      </c>
      <c r="P11" s="77"/>
      <c r="Q11" s="78">
        <f t="shared" si="1"/>
        <v>0</v>
      </c>
      <c r="R11" s="77"/>
      <c r="S11" s="78">
        <f t="shared" si="2"/>
        <v>0</v>
      </c>
      <c r="T11" s="77"/>
      <c r="U11" s="57">
        <f t="shared" si="3"/>
        <v>0</v>
      </c>
      <c r="Y11" s="12">
        <f>K11-'Fev25'!K11</f>
        <v>-61022324.695203781</v>
      </c>
      <c r="Z11" s="12">
        <f>M11-'Fev25'!M11</f>
        <v>320796492.39824802</v>
      </c>
      <c r="AA11" s="12">
        <f>O11-'Fev25'!O11</f>
        <v>250048246.27886003</v>
      </c>
      <c r="AB11" s="12">
        <f>Q11-'Fev25'!Q11</f>
        <v>0</v>
      </c>
      <c r="AC11" s="12">
        <f>+S11-'Fev25'!S12</f>
        <v>0</v>
      </c>
      <c r="AE11" s="28">
        <f>J11-'Fev25'!J11</f>
        <v>-0.10329999999999995</v>
      </c>
      <c r="AF11" s="28">
        <f>L11-'Fev25'!L11</f>
        <v>9.4600000000000004E-2</v>
      </c>
      <c r="AG11" s="28">
        <f>N11-'Fev25'!N11</f>
        <v>6.9500000000000006E-2</v>
      </c>
      <c r="AH11" s="28">
        <f>P11-'Fev25'!P11</f>
        <v>0</v>
      </c>
      <c r="AI11" s="28">
        <f>R11-'Fev25'!R11</f>
        <v>0</v>
      </c>
      <c r="AK11" s="10">
        <f>I11-'Fev25'!I11</f>
        <v>338448176.36999989</v>
      </c>
      <c r="AL11" s="76">
        <f>I11/'Fev25'!I11-1</f>
        <v>0.1200743437872871</v>
      </c>
    </row>
    <row r="12" spans="1:43" x14ac:dyDescent="0.25">
      <c r="B12" t="s">
        <v>70</v>
      </c>
      <c r="F12" s="7">
        <f t="shared" si="4"/>
        <v>1</v>
      </c>
      <c r="H12" s="3" t="s">
        <v>30</v>
      </c>
      <c r="I12" s="101">
        <v>1404849500.26</v>
      </c>
      <c r="J12" s="77">
        <v>0.48399999999999999</v>
      </c>
      <c r="K12" s="78">
        <f t="shared" si="0"/>
        <v>679947158.12583995</v>
      </c>
      <c r="L12" s="77">
        <v>0.221</v>
      </c>
      <c r="M12" s="78">
        <f t="shared" si="0"/>
        <v>310471739.55746001</v>
      </c>
      <c r="N12" s="77">
        <v>0.28699999999999998</v>
      </c>
      <c r="O12" s="78">
        <f t="shared" si="0"/>
        <v>403191806.57461995</v>
      </c>
      <c r="P12" s="77">
        <v>8.0000000000000002E-3</v>
      </c>
      <c r="Q12" s="78">
        <f t="shared" si="1"/>
        <v>11238796.002080001</v>
      </c>
      <c r="R12" s="77"/>
      <c r="S12" s="78">
        <f t="shared" si="2"/>
        <v>0</v>
      </c>
      <c r="T12" s="77"/>
      <c r="U12" s="57">
        <f t="shared" si="3"/>
        <v>0</v>
      </c>
      <c r="Y12" s="12">
        <f>K12-'Fev25'!K12</f>
        <v>101389178.12583995</v>
      </c>
      <c r="Z12" s="12">
        <f>M12-'Fev25'!M12</f>
        <v>-117218250.44253999</v>
      </c>
      <c r="AA12" s="12">
        <f>O12-'Fev25'!O12</f>
        <v>47475536.574619949</v>
      </c>
      <c r="AB12" s="12">
        <f>Q12-'Fev25'!Q12</f>
        <v>-10906963.997919999</v>
      </c>
      <c r="AC12" s="12">
        <f>+S12-'Fev25'!S12</f>
        <v>0</v>
      </c>
      <c r="AE12" s="28">
        <f>J12-'Fev25'!J12</f>
        <v>6.6000000000000003E-2</v>
      </c>
      <c r="AF12" s="28">
        <f>L12-'Fev25'!L12</f>
        <v>-8.7999999999999995E-2</v>
      </c>
      <c r="AG12" s="28">
        <f>N12-'Fev25'!N12</f>
        <v>2.9999999999999971E-2</v>
      </c>
      <c r="AH12" s="28">
        <f>P12-'Fev25'!P12</f>
        <v>-8.0000000000000002E-3</v>
      </c>
      <c r="AI12" s="28">
        <f>R12-'Fev25'!R12</f>
        <v>0</v>
      </c>
      <c r="AJ12" s="93"/>
      <c r="AK12" s="10">
        <f>I12-'Fev25'!I12</f>
        <v>20739500.25999999</v>
      </c>
      <c r="AL12" s="76">
        <f>I12/'Fev25'!I12-1</f>
        <v>1.4983997124506043E-2</v>
      </c>
    </row>
    <row r="13" spans="1:43" x14ac:dyDescent="0.25">
      <c r="B13" t="s">
        <v>74</v>
      </c>
      <c r="F13" s="7">
        <f t="shared" si="4"/>
        <v>1</v>
      </c>
      <c r="H13" s="3" t="s">
        <v>64</v>
      </c>
      <c r="I13" s="102">
        <v>828550150.83000004</v>
      </c>
      <c r="J13" s="77">
        <v>0.53</v>
      </c>
      <c r="K13" s="78">
        <f t="shared" si="0"/>
        <v>439131579.93990004</v>
      </c>
      <c r="L13" s="77">
        <v>0.23</v>
      </c>
      <c r="M13" s="78">
        <f t="shared" si="0"/>
        <v>190566534.69090003</v>
      </c>
      <c r="N13" s="77">
        <v>0.2</v>
      </c>
      <c r="O13" s="78">
        <f t="shared" si="0"/>
        <v>165710030.16600001</v>
      </c>
      <c r="P13" s="77">
        <v>0.04</v>
      </c>
      <c r="Q13" s="78">
        <f t="shared" si="1"/>
        <v>33142006.033200003</v>
      </c>
      <c r="R13" s="77"/>
      <c r="S13" s="78">
        <f t="shared" si="2"/>
        <v>0</v>
      </c>
      <c r="T13" s="77"/>
      <c r="U13" s="57">
        <f t="shared" si="3"/>
        <v>0</v>
      </c>
      <c r="Y13" s="12">
        <f>K13-'Fev25'!K13</f>
        <v>204296121.01830003</v>
      </c>
      <c r="Z13" s="12">
        <f>M13-'Fev25'!M13</f>
        <v>84660347.334100023</v>
      </c>
      <c r="AA13" s="12">
        <f>O13-'Fev25'!O13</f>
        <v>59803842.809200004</v>
      </c>
      <c r="AB13" s="12">
        <f>Q13-'Fev25'!Q13</f>
        <v>19328155.508400001</v>
      </c>
      <c r="AC13" s="12">
        <f>+S13-'Fev25'!S13</f>
        <v>0</v>
      </c>
      <c r="AE13" s="28">
        <f>J13-'Fev25'!J13</f>
        <v>2.0000000000000018E-2</v>
      </c>
      <c r="AF13" s="28">
        <f>L13-'Fev25'!L13</f>
        <v>0</v>
      </c>
      <c r="AG13" s="28">
        <f>N13-'Fev25'!N13</f>
        <v>-0.03</v>
      </c>
      <c r="AH13" s="28">
        <f>P13-'Fev25'!P13</f>
        <v>1.0000000000000002E-2</v>
      </c>
      <c r="AI13" s="28">
        <f>R13-'Fev25'!R13</f>
        <v>0</v>
      </c>
      <c r="AK13" s="10">
        <f>I13-'Fev25'!I13</f>
        <v>368088466.67000002</v>
      </c>
      <c r="AL13" s="76">
        <f>I13/'Fev25'!I13-1</f>
        <v>0.79939000210514277</v>
      </c>
    </row>
    <row r="14" spans="1:43" s="8" customFormat="1" x14ac:dyDescent="0.25">
      <c r="B14" t="s">
        <v>42</v>
      </c>
      <c r="F14" s="7">
        <f>J14+L14+N14+P14+R14+T14</f>
        <v>0.99999999999999989</v>
      </c>
      <c r="H14" s="21" t="s">
        <v>45</v>
      </c>
      <c r="I14" s="20">
        <f>SUM(I3:I13)</f>
        <v>24918566394.389999</v>
      </c>
      <c r="J14" s="15">
        <f>K14/$I$14</f>
        <v>0.38344255710291958</v>
      </c>
      <c r="K14" s="17">
        <f>SUM(K3:K13)</f>
        <v>9554838817.6037807</v>
      </c>
      <c r="L14" s="15">
        <f>M14/$I$14</f>
        <v>0.30835046098093716</v>
      </c>
      <c r="M14" s="20">
        <f>SUM(M3:M13)</f>
        <v>7683651434.6942453</v>
      </c>
      <c r="N14" s="15">
        <f>O14/$I$14</f>
        <v>0.24077690298330665</v>
      </c>
      <c r="O14" s="17">
        <f>SUM(O3:O13)</f>
        <v>5999815243.2251263</v>
      </c>
      <c r="P14" s="15">
        <f>Q14/$I$14</f>
        <v>3.3049702729855676E-2</v>
      </c>
      <c r="Q14" s="17">
        <f>SUM(Q3:Q13)</f>
        <v>823551211.78876102</v>
      </c>
      <c r="R14" s="15">
        <f>S14/$I$14</f>
        <v>2.4456321378432109E-3</v>
      </c>
      <c r="S14" s="17">
        <f>SUM(S3:S13)</f>
        <v>60941646.803100005</v>
      </c>
      <c r="T14" s="15">
        <f>U14/$I$14</f>
        <v>3.1934744065137674E-2</v>
      </c>
      <c r="U14" s="63">
        <f>SUM(U3:U13)</f>
        <v>795768040.27498507</v>
      </c>
      <c r="Y14" s="12">
        <f>K14-'Fev25'!K14</f>
        <v>702168556.4949131</v>
      </c>
      <c r="Z14" s="12">
        <f>M14-'Fev25'!M14</f>
        <v>2893910306.1182537</v>
      </c>
      <c r="AA14" s="12">
        <f>O14-'Fev25'!O14</f>
        <v>1469326478.3952065</v>
      </c>
      <c r="AB14" s="12">
        <f>Q14-'Fev25'!Q14</f>
        <v>-244984225.75318289</v>
      </c>
      <c r="AC14" s="12">
        <f>+S14-'Fev25'!S14</f>
        <v>4893006.8196000084</v>
      </c>
      <c r="AE14" s="28">
        <f>J14-'Fev25'!J14</f>
        <v>-6.686071774412683E-2</v>
      </c>
      <c r="AF14" s="28">
        <f>L14-'Fev25'!L14</f>
        <v>6.471367656994792E-2</v>
      </c>
      <c r="AG14" s="28">
        <f>N14-'Fev25'!N14</f>
        <v>1.0327347392932146E-2</v>
      </c>
      <c r="AH14" s="28">
        <f>P14-'Fev25'!P14</f>
        <v>-2.1302825109014628E-2</v>
      </c>
      <c r="AI14" s="28">
        <f>R14-'Fev25'!R14</f>
        <v>-4.0535918916593302E-4</v>
      </c>
      <c r="AK14" s="92">
        <f>I14-'Fev25'!I14</f>
        <v>5259215118.0399971</v>
      </c>
      <c r="AL14" s="76">
        <f>I14/'Fev25'!I14-1</f>
        <v>0.26751722598124483</v>
      </c>
    </row>
    <row r="15" spans="1:43" x14ac:dyDescent="0.25">
      <c r="B15" t="s">
        <v>66</v>
      </c>
      <c r="F15" s="7"/>
      <c r="I15" s="10"/>
      <c r="J15" s="10"/>
      <c r="K15" s="10"/>
      <c r="L15" s="5"/>
      <c r="M15" s="10"/>
      <c r="N15" s="10"/>
      <c r="O15" s="10"/>
      <c r="P15" s="5"/>
      <c r="Q15" s="10"/>
    </row>
    <row r="16" spans="1:43" x14ac:dyDescent="0.25">
      <c r="F16" s="7"/>
      <c r="H16" s="4" t="s">
        <v>2</v>
      </c>
      <c r="I16" s="9" t="s">
        <v>4</v>
      </c>
      <c r="J16" s="112" t="s">
        <v>7</v>
      </c>
      <c r="K16" s="112"/>
      <c r="L16" s="112" t="s">
        <v>8</v>
      </c>
      <c r="M16" s="112"/>
      <c r="N16" s="112" t="s">
        <v>10</v>
      </c>
      <c r="O16" s="112"/>
      <c r="P16" s="112" t="s">
        <v>9</v>
      </c>
      <c r="Q16" s="112"/>
      <c r="R16" s="112" t="s">
        <v>21</v>
      </c>
      <c r="S16" s="112"/>
      <c r="T16" s="112" t="s">
        <v>55</v>
      </c>
      <c r="U16" s="112"/>
      <c r="Y16" s="27" t="s">
        <v>49</v>
      </c>
      <c r="Z16" s="27" t="s">
        <v>50</v>
      </c>
      <c r="AA16" s="27" t="s">
        <v>51</v>
      </c>
      <c r="AB16" s="27" t="s">
        <v>52</v>
      </c>
      <c r="AC16" s="27" t="s">
        <v>53</v>
      </c>
      <c r="AE16" s="27" t="s">
        <v>49</v>
      </c>
      <c r="AF16" s="27" t="s">
        <v>50</v>
      </c>
      <c r="AG16" s="27" t="s">
        <v>51</v>
      </c>
      <c r="AH16" s="27" t="s">
        <v>52</v>
      </c>
      <c r="AI16" s="27" t="s">
        <v>53</v>
      </c>
    </row>
    <row r="17" spans="2:39" x14ac:dyDescent="0.25">
      <c r="E17" s="98"/>
      <c r="F17" s="7">
        <f t="shared" si="4"/>
        <v>0.99999999999999989</v>
      </c>
      <c r="G17" s="99"/>
      <c r="H17" s="21" t="s">
        <v>6</v>
      </c>
      <c r="I17" s="80">
        <v>276830008.54000002</v>
      </c>
      <c r="J17" s="81">
        <v>0.2341</v>
      </c>
      <c r="K17" s="80">
        <f t="shared" ref="K17:K26" si="5">+J17*$I17</f>
        <v>64805904.999214008</v>
      </c>
      <c r="L17" s="81">
        <v>0.26600000000000001</v>
      </c>
      <c r="M17" s="80">
        <f t="shared" ref="M17:M26" si="6">+L17*$I17</f>
        <v>73636782.271640003</v>
      </c>
      <c r="N17" s="81">
        <v>0.36330000000000001</v>
      </c>
      <c r="O17" s="80">
        <f t="shared" ref="O17:O26" si="7">+N17*$I17</f>
        <v>100572342.10258201</v>
      </c>
      <c r="P17" s="81">
        <v>7.1099999999999997E-2</v>
      </c>
      <c r="Q17" s="80">
        <f t="shared" ref="Q17:Q26" si="8">+P17*$I17</f>
        <v>19682613.607193999</v>
      </c>
      <c r="R17" s="81"/>
      <c r="S17" s="80">
        <f t="shared" ref="S17:S26" si="9">+R17*$I17</f>
        <v>0</v>
      </c>
      <c r="T17" s="81">
        <v>6.5500000000000003E-2</v>
      </c>
      <c r="U17" s="79">
        <f t="shared" ref="U17:U26" si="10">+T17*$I17</f>
        <v>18132365.559370004</v>
      </c>
      <c r="V17" s="98"/>
      <c r="Y17" s="12">
        <f>K17-'Fev25'!K17</f>
        <v>-2812609.0593689829</v>
      </c>
      <c r="Z17" s="12">
        <f>M17-'Fev25'!M17</f>
        <v>-2055998.3405119926</v>
      </c>
      <c r="AA17" s="12">
        <f>O17-'Fev25'!O17</f>
        <v>268309.14329701662</v>
      </c>
      <c r="AB17" s="12">
        <f>Q17-'Fev25'!Q17</f>
        <v>2923654.8499580007</v>
      </c>
      <c r="AC17" s="12">
        <f>+S17-'Fev25'!S17</f>
        <v>0</v>
      </c>
      <c r="AD17" s="98"/>
      <c r="AE17" s="28">
        <f>J17-'Fev25'!J17</f>
        <v>-9.5999999999999974E-3</v>
      </c>
      <c r="AF17" s="28">
        <f>L17-'Fev25'!L17</f>
        <v>-6.7999999999999727E-3</v>
      </c>
      <c r="AG17" s="28">
        <f>N17-'Fev25'!N17</f>
        <v>1.8000000000000238E-3</v>
      </c>
      <c r="AH17" s="28">
        <f>P17-'Fev25'!P17</f>
        <v>1.0699999999999994E-2</v>
      </c>
      <c r="AI17" s="28">
        <f>R17-'Fev25'!R17</f>
        <v>0</v>
      </c>
      <c r="AJ17" s="98"/>
      <c r="AK17" s="10">
        <f>I17-'Fev25'!I17</f>
        <v>-636196.04999995232</v>
      </c>
      <c r="AL17" s="76">
        <f>I17/'Fev25'!I17-1</f>
        <v>-2.2928776170778598E-3</v>
      </c>
      <c r="AM17" s="98"/>
    </row>
    <row r="18" spans="2:39" x14ac:dyDescent="0.25">
      <c r="F18" s="7">
        <f t="shared" si="4"/>
        <v>1</v>
      </c>
      <c r="H18" s="3" t="s">
        <v>26</v>
      </c>
      <c r="I18" s="78">
        <v>780472858.91999996</v>
      </c>
      <c r="J18" s="77">
        <v>0.14680000000000001</v>
      </c>
      <c r="K18" s="78">
        <f t="shared" si="5"/>
        <v>114573415.689456</v>
      </c>
      <c r="L18" s="77">
        <v>0.15809999999999999</v>
      </c>
      <c r="M18" s="78">
        <f t="shared" si="6"/>
        <v>123392758.99525198</v>
      </c>
      <c r="N18" s="77">
        <v>0.44590000000000002</v>
      </c>
      <c r="O18" s="78">
        <f t="shared" si="7"/>
        <v>348012847.79242802</v>
      </c>
      <c r="P18" s="77">
        <v>0.15809999999999999</v>
      </c>
      <c r="Q18" s="78">
        <f t="shared" si="8"/>
        <v>123392758.99525198</v>
      </c>
      <c r="R18" s="77"/>
      <c r="S18" s="78">
        <f t="shared" si="9"/>
        <v>0</v>
      </c>
      <c r="T18" s="77">
        <v>9.11E-2</v>
      </c>
      <c r="U18" s="57">
        <f t="shared" si="10"/>
        <v>71101077.447612002</v>
      </c>
      <c r="Y18" s="12">
        <f>K18-'Fev25'!K18</f>
        <v>-43518085.284544006</v>
      </c>
      <c r="Z18" s="12">
        <f>M18-'Fev25'!M18</f>
        <v>-34698741.978748024</v>
      </c>
      <c r="AA18" s="12">
        <f>O18-'Fev25'!O18</f>
        <v>31829845.844428003</v>
      </c>
      <c r="AB18" s="12">
        <f>Q18-'Fev25'!Q18</f>
        <v>44347008.50825198</v>
      </c>
      <c r="AC18" s="12">
        <f>+S18-'Fev25'!S18</f>
        <v>0</v>
      </c>
      <c r="AE18" s="28">
        <f>J18-'Fev25'!J18</f>
        <v>-5.3199999999999997E-2</v>
      </c>
      <c r="AF18" s="28">
        <f>L18-'Fev25'!L18</f>
        <v>-4.1900000000000021E-2</v>
      </c>
      <c r="AG18" s="28">
        <f>N18-'Fev25'!N18</f>
        <v>4.5899999999999996E-2</v>
      </c>
      <c r="AH18" s="28">
        <f>P18-'Fev25'!P18</f>
        <v>5.8099999999999985E-2</v>
      </c>
      <c r="AI18" s="28">
        <f>R18-'Fev25'!R18</f>
        <v>0</v>
      </c>
      <c r="AK18" s="10">
        <f>I18-'Fev25'!I18</f>
        <v>-9984645.9500000477</v>
      </c>
      <c r="AL18" s="76">
        <f>I18/'Fev25'!I18-1</f>
        <v>-1.2631477199577135E-2</v>
      </c>
    </row>
    <row r="19" spans="2:39" x14ac:dyDescent="0.25">
      <c r="F19" s="7">
        <f t="shared" si="4"/>
        <v>1</v>
      </c>
      <c r="H19" s="3" t="s">
        <v>27</v>
      </c>
      <c r="I19" s="78">
        <v>582791302.15999997</v>
      </c>
      <c r="J19" s="77">
        <v>0.11799999999999999</v>
      </c>
      <c r="K19" s="78">
        <f t="shared" si="5"/>
        <v>68769373.654879987</v>
      </c>
      <c r="L19" s="77">
        <v>0.38200000000000001</v>
      </c>
      <c r="M19" s="78">
        <f t="shared" si="6"/>
        <v>222626277.42512</v>
      </c>
      <c r="N19" s="77">
        <v>0.42399999999999999</v>
      </c>
      <c r="O19" s="78">
        <f t="shared" si="7"/>
        <v>247103512.11583999</v>
      </c>
      <c r="P19" s="77">
        <v>3.7999999999999999E-2</v>
      </c>
      <c r="Q19" s="78">
        <f t="shared" si="8"/>
        <v>22146069.482079998</v>
      </c>
      <c r="R19" s="77"/>
      <c r="S19" s="78">
        <f t="shared" si="9"/>
        <v>0</v>
      </c>
      <c r="T19" s="77">
        <v>3.7999999999999999E-2</v>
      </c>
      <c r="U19" s="57">
        <f t="shared" si="10"/>
        <v>22146069.482079998</v>
      </c>
      <c r="Y19" s="12">
        <f>K19-'Fev25'!K19</f>
        <v>-516065.40754000843</v>
      </c>
      <c r="Z19" s="12">
        <f>M19-'Fev25'!M19</f>
        <v>118036156.0379</v>
      </c>
      <c r="AA19" s="12">
        <f>O19-'Fev25'!O19</f>
        <v>10562140.539679974</v>
      </c>
      <c r="AB19" s="12">
        <f>Q19-'Fev25'!Q19</f>
        <v>4052419.7906199954</v>
      </c>
      <c r="AC19" s="12">
        <f>+S19-'Fev25'!S19</f>
        <v>0</v>
      </c>
      <c r="AE19" s="28">
        <f>J19-'Fev25'!J19</f>
        <v>-3.9000000000000007E-2</v>
      </c>
      <c r="AF19" s="28">
        <f>L19-'Fev25'!L19</f>
        <v>0.14500000000000002</v>
      </c>
      <c r="AG19" s="28">
        <f>N19-'Fev25'!N19</f>
        <v>-0.11200000000000004</v>
      </c>
      <c r="AH19" s="28">
        <f>P19-'Fev25'!P19</f>
        <v>-3.0000000000000027E-3</v>
      </c>
      <c r="AI19" s="28">
        <f>R19-'Fev25'!R19</f>
        <v>0</v>
      </c>
      <c r="AJ19" s="93"/>
      <c r="AK19" s="10">
        <f>I19-'Fev25'!I19</f>
        <v>141482773.09999996</v>
      </c>
      <c r="AL19" s="76">
        <f>I19/'Fev25'!I19-1</f>
        <v>0.3205983201851148</v>
      </c>
    </row>
    <row r="20" spans="2:39" x14ac:dyDescent="0.25">
      <c r="B20" s="1"/>
      <c r="C20" s="1" t="s">
        <v>20</v>
      </c>
      <c r="D20" s="1"/>
      <c r="F20" s="7">
        <f t="shared" si="4"/>
        <v>1</v>
      </c>
      <c r="H20" s="3" t="s">
        <v>67</v>
      </c>
      <c r="I20" s="78">
        <v>1216595195.6900001</v>
      </c>
      <c r="J20" s="77">
        <v>0.22</v>
      </c>
      <c r="K20" s="78">
        <f t="shared" si="5"/>
        <v>267650943.05180001</v>
      </c>
      <c r="L20" s="77">
        <v>0.19</v>
      </c>
      <c r="M20" s="78">
        <f t="shared" si="6"/>
        <v>231153087.18110001</v>
      </c>
      <c r="N20" s="77">
        <v>0.43</v>
      </c>
      <c r="O20" s="78">
        <f t="shared" si="7"/>
        <v>523135934.14670002</v>
      </c>
      <c r="P20" s="77">
        <v>0.16</v>
      </c>
      <c r="Q20" s="78">
        <f t="shared" si="8"/>
        <v>194655231.31040001</v>
      </c>
      <c r="R20" s="77"/>
      <c r="S20" s="78">
        <f t="shared" si="9"/>
        <v>0</v>
      </c>
      <c r="T20" s="77"/>
      <c r="U20" s="57">
        <f t="shared" si="10"/>
        <v>0</v>
      </c>
      <c r="Y20" s="12">
        <f>K20-'Fev25'!K20</f>
        <v>81993160.047000021</v>
      </c>
      <c r="Z20" s="12">
        <f>M20-'Fev25'!M20</f>
        <v>-919141.57490000129</v>
      </c>
      <c r="AA20" s="12">
        <f>O20-'Fev25'!O20</f>
        <v>-45441026.305499911</v>
      </c>
      <c r="AB20" s="12">
        <f>Q20-'Fev25'!Q20</f>
        <v>8997448.3056000173</v>
      </c>
      <c r="AC20" s="12">
        <f>+S20-'Fev25'!S20</f>
        <v>0</v>
      </c>
      <c r="AE20" s="28">
        <f>J20-'Fev25'!J20</f>
        <v>0.06</v>
      </c>
      <c r="AF20" s="28">
        <f>L20-'Fev25'!L20</f>
        <v>-1.0000000000000009E-2</v>
      </c>
      <c r="AG20" s="28">
        <f>N20-'Fev25'!N20</f>
        <v>-0.06</v>
      </c>
      <c r="AH20" s="28">
        <f>P20-'Fev25'!P20</f>
        <v>0</v>
      </c>
      <c r="AI20" s="28">
        <f>R20-'Fev25'!R20</f>
        <v>0</v>
      </c>
      <c r="AJ20" s="93"/>
      <c r="AK20" s="10">
        <f>I20-'Fev25'!I20</f>
        <v>56234051.910000086</v>
      </c>
      <c r="AL20" s="76">
        <f>I20/'Fev25'!I20-1</f>
        <v>4.8462543072419484E-2</v>
      </c>
    </row>
    <row r="21" spans="2:39" x14ac:dyDescent="0.25">
      <c r="B21" t="s">
        <v>11</v>
      </c>
      <c r="C21" s="2" t="s">
        <v>10</v>
      </c>
      <c r="D21" t="s">
        <v>7</v>
      </c>
      <c r="F21" s="7">
        <f t="shared" si="4"/>
        <v>1</v>
      </c>
      <c r="H21" s="3" t="s">
        <v>32</v>
      </c>
      <c r="I21" s="78">
        <v>203143207.00999999</v>
      </c>
      <c r="J21" s="77">
        <v>0.30080000000000001</v>
      </c>
      <c r="K21" s="78">
        <f t="shared" si="5"/>
        <v>61105476.668608002</v>
      </c>
      <c r="L21" s="77">
        <v>7.5999999999999998E-2</v>
      </c>
      <c r="M21" s="78">
        <f t="shared" si="6"/>
        <v>15438883.732759999</v>
      </c>
      <c r="N21" s="77">
        <v>0.379</v>
      </c>
      <c r="O21" s="78">
        <f t="shared" si="7"/>
        <v>76991275.45679</v>
      </c>
      <c r="P21" s="77">
        <v>0.19600000000000001</v>
      </c>
      <c r="Q21" s="78">
        <f t="shared" si="8"/>
        <v>39816068.573959999</v>
      </c>
      <c r="R21" s="77"/>
      <c r="S21" s="78">
        <f t="shared" si="9"/>
        <v>0</v>
      </c>
      <c r="T21" s="77">
        <v>4.82E-2</v>
      </c>
      <c r="U21" s="57">
        <f t="shared" si="10"/>
        <v>9791502.5778819993</v>
      </c>
      <c r="Y21" s="12">
        <f>K21-'Fev25'!K21</f>
        <v>20906534.696608</v>
      </c>
      <c r="Z21" s="12">
        <f>M21-'Fev25'!M21</f>
        <v>-9949921.7232400011</v>
      </c>
      <c r="AA21" s="12">
        <f>O21-'Fev25'!O21</f>
        <v>-39374082.883210018</v>
      </c>
      <c r="AB21" s="12">
        <f>Q21-'Fev25'!Q21</f>
        <v>10195795.541959994</v>
      </c>
      <c r="AC21" s="12">
        <f>+S21-'Fev25'!S21</f>
        <v>0</v>
      </c>
      <c r="AE21" s="28">
        <f>J21-'Fev25'!J21</f>
        <v>0.11080000000000001</v>
      </c>
      <c r="AF21" s="28">
        <f>L21-'Fev25'!L21</f>
        <v>-4.3999999999999997E-2</v>
      </c>
      <c r="AG21" s="28">
        <f>N21-'Fev25'!N21</f>
        <v>-0.17100000000000004</v>
      </c>
      <c r="AH21" s="28">
        <f>P21-'Fev25'!P21</f>
        <v>5.5999999999999994E-2</v>
      </c>
      <c r="AI21" s="28">
        <f>R21-'Fev25'!R21</f>
        <v>0</v>
      </c>
      <c r="AK21" s="10">
        <f>I21-'Fev25'!I21</f>
        <v>-8430171.7900000215</v>
      </c>
      <c r="AL21" s="76">
        <f>I21/'Fev25'!I21-1</f>
        <v>-3.984514421338925E-2</v>
      </c>
    </row>
    <row r="22" spans="2:39" x14ac:dyDescent="0.25">
      <c r="B22" t="s">
        <v>12</v>
      </c>
      <c r="C22" s="2" t="s">
        <v>16</v>
      </c>
      <c r="D22" t="s">
        <v>58</v>
      </c>
      <c r="F22" s="7">
        <f t="shared" si="4"/>
        <v>1</v>
      </c>
      <c r="H22" s="3" t="s">
        <v>33</v>
      </c>
      <c r="I22" s="78">
        <v>1190273419.4400001</v>
      </c>
      <c r="J22" s="77">
        <v>0.23</v>
      </c>
      <c r="K22" s="78">
        <f t="shared" si="5"/>
        <v>273762886.47120005</v>
      </c>
      <c r="L22" s="77">
        <v>0.14000000000000001</v>
      </c>
      <c r="M22" s="78">
        <f t="shared" si="6"/>
        <v>166638278.72160003</v>
      </c>
      <c r="N22" s="77">
        <v>0.61</v>
      </c>
      <c r="O22" s="78">
        <f t="shared" si="7"/>
        <v>726066785.85839999</v>
      </c>
      <c r="P22" s="77">
        <v>0.02</v>
      </c>
      <c r="Q22" s="78">
        <f t="shared" si="8"/>
        <v>23805468.388800003</v>
      </c>
      <c r="R22" s="77"/>
      <c r="S22" s="78">
        <f t="shared" si="9"/>
        <v>0</v>
      </c>
      <c r="T22" s="77"/>
      <c r="U22" s="57">
        <f t="shared" si="10"/>
        <v>0</v>
      </c>
      <c r="Y22" s="12">
        <f>K22-'Fev25'!K22</f>
        <v>-28021118.241699934</v>
      </c>
      <c r="Z22" s="12">
        <f>M22-'Fev25'!M22</f>
        <v>10543103.870100021</v>
      </c>
      <c r="AA22" s="12">
        <f>O22-'Fev25'!O22</f>
        <v>174530501.38309991</v>
      </c>
      <c r="AB22" s="12">
        <f>Q22-'Fev25'!Q22</f>
        <v>2992778.4086000025</v>
      </c>
      <c r="AC22" s="12">
        <f>+S22-'Fev25'!S22</f>
        <v>0</v>
      </c>
      <c r="AE22" s="28">
        <f>J22-'Fev25'!J22</f>
        <v>-5.999999999999997E-2</v>
      </c>
      <c r="AF22" s="28">
        <f>L22-'Fev25'!L22</f>
        <v>-9.9999999999999811E-3</v>
      </c>
      <c r="AG22" s="28">
        <f>N22-'Fev25'!N22</f>
        <v>7.999999999999996E-2</v>
      </c>
      <c r="AH22" s="28">
        <f>P22-'Fev25'!P22</f>
        <v>0</v>
      </c>
      <c r="AI22" s="28">
        <f>R22-'Fev25'!R22</f>
        <v>0</v>
      </c>
      <c r="AK22" s="10">
        <f>I22-'Fev25'!I22</f>
        <v>149638920.43000007</v>
      </c>
      <c r="AL22" s="76">
        <f>I22/'Fev25'!I22-1</f>
        <v>0.14379584817950786</v>
      </c>
    </row>
    <row r="23" spans="2:39" x14ac:dyDescent="0.25">
      <c r="B23" t="s">
        <v>13</v>
      </c>
      <c r="C23" s="2" t="s">
        <v>17</v>
      </c>
      <c r="D23" t="s">
        <v>59</v>
      </c>
      <c r="F23" s="7">
        <f t="shared" si="4"/>
        <v>1</v>
      </c>
      <c r="H23" s="3" t="s">
        <v>68</v>
      </c>
      <c r="I23" s="78">
        <v>221884894.44999999</v>
      </c>
      <c r="J23" s="77">
        <v>0.45419999999999999</v>
      </c>
      <c r="K23" s="78">
        <f t="shared" si="5"/>
        <v>100780119.05918999</v>
      </c>
      <c r="L23" s="77">
        <v>0.1216</v>
      </c>
      <c r="M23" s="78">
        <f t="shared" si="6"/>
        <v>26981203.165119998</v>
      </c>
      <c r="N23" s="77">
        <v>0.3327</v>
      </c>
      <c r="O23" s="78">
        <f t="shared" si="7"/>
        <v>73821104.383515</v>
      </c>
      <c r="P23" s="77">
        <v>8.9499999999999996E-2</v>
      </c>
      <c r="Q23" s="78">
        <f t="shared" si="8"/>
        <v>19858698.053274997</v>
      </c>
      <c r="R23" s="77"/>
      <c r="S23" s="78">
        <f t="shared" si="9"/>
        <v>0</v>
      </c>
      <c r="T23" s="77">
        <v>2E-3</v>
      </c>
      <c r="U23" s="57">
        <f t="shared" si="10"/>
        <v>443769.78889999999</v>
      </c>
      <c r="Y23" s="12">
        <f>K23-'Fev25'!K23</f>
        <v>8270865.3915579915</v>
      </c>
      <c r="Z23" s="12">
        <f>M23-'Fev25'!M23</f>
        <v>644205.56677799672</v>
      </c>
      <c r="AA23" s="12">
        <f>O23-'Fev25'!O23</f>
        <v>-5585602.8996330053</v>
      </c>
      <c r="AB23" s="12">
        <f>Q23-'Fev25'!Q23</f>
        <v>-1377979.4759390056</v>
      </c>
      <c r="AC23" s="12">
        <f>+S23-'Fev25'!S23</f>
        <v>0</v>
      </c>
      <c r="AE23" s="28">
        <f>J23-'Fev25'!J23</f>
        <v>3.3399999999999985E-2</v>
      </c>
      <c r="AF23" s="28">
        <f>L23-'Fev25'!L23</f>
        <v>1.799999999999996E-3</v>
      </c>
      <c r="AG23" s="28">
        <f>N23-'Fev25'!N23</f>
        <v>-2.8500000000000025E-2</v>
      </c>
      <c r="AH23" s="28">
        <f>P23-'Fev25'!P23</f>
        <v>-7.1000000000000091E-3</v>
      </c>
      <c r="AI23" s="28">
        <f>R23-'Fev25'!R23</f>
        <v>0</v>
      </c>
      <c r="AJ23" s="93"/>
      <c r="AK23" s="10">
        <f>I23-'Fev25'!I23</f>
        <v>2043512.1599999964</v>
      </c>
      <c r="AL23" s="76">
        <f>I23/'Fev25'!I23-1</f>
        <v>9.2953935183337499E-3</v>
      </c>
    </row>
    <row r="24" spans="2:39" x14ac:dyDescent="0.25">
      <c r="B24" t="s">
        <v>14</v>
      </c>
      <c r="C24" s="2" t="s">
        <v>18</v>
      </c>
      <c r="F24" s="7">
        <f t="shared" si="4"/>
        <v>0.99999999999999989</v>
      </c>
      <c r="H24" s="3" t="s">
        <v>35</v>
      </c>
      <c r="I24" s="78">
        <v>448835366.41000003</v>
      </c>
      <c r="J24" s="77">
        <v>0.13500000000000001</v>
      </c>
      <c r="K24" s="78">
        <f t="shared" si="5"/>
        <v>60592774.46535001</v>
      </c>
      <c r="L24" s="77">
        <v>0.42</v>
      </c>
      <c r="M24" s="78">
        <f t="shared" si="6"/>
        <v>188510853.89219999</v>
      </c>
      <c r="N24" s="77">
        <v>0.36499999999999999</v>
      </c>
      <c r="O24" s="78">
        <f t="shared" si="7"/>
        <v>163824908.73965001</v>
      </c>
      <c r="P24" s="77">
        <v>0.08</v>
      </c>
      <c r="Q24" s="78">
        <f t="shared" si="8"/>
        <v>35906829.312800005</v>
      </c>
      <c r="R24" s="77"/>
      <c r="S24" s="78">
        <f t="shared" si="9"/>
        <v>0</v>
      </c>
      <c r="T24" s="77"/>
      <c r="U24" s="57">
        <f t="shared" si="10"/>
        <v>0</v>
      </c>
      <c r="Y24" s="12">
        <f>K24-'Fev25'!K24</f>
        <v>8635562.3106400073</v>
      </c>
      <c r="Z24" s="12">
        <f>M24-'Fev25'!M24</f>
        <v>12183622.09156999</v>
      </c>
      <c r="AA24" s="12">
        <f>O24-'Fev25'!O24</f>
        <v>17362846.130309999</v>
      </c>
      <c r="AB24" s="12">
        <f>Q24-'Fev25'!Q24</f>
        <v>1541429.1474800035</v>
      </c>
      <c r="AC24" s="12">
        <f>+S24-'Fev25'!S24</f>
        <v>0</v>
      </c>
      <c r="AE24" s="28">
        <f>J24-'Fev25'!J24</f>
        <v>8.0000000000000071E-3</v>
      </c>
      <c r="AF24" s="28">
        <f>L24-'Fev25'!L24</f>
        <v>-1.100000000000001E-2</v>
      </c>
      <c r="AG24" s="28">
        <f>N24-'Fev25'!N24</f>
        <v>7.0000000000000062E-3</v>
      </c>
      <c r="AH24" s="28">
        <f>P24-'Fev25'!P24</f>
        <v>-4.0000000000000036E-3</v>
      </c>
      <c r="AI24" s="28">
        <f>R24-'Fev25'!R24</f>
        <v>0</v>
      </c>
      <c r="AJ24" s="93"/>
      <c r="AK24" s="10">
        <f>I24-'Fev25'!I24</f>
        <v>39723459.680000007</v>
      </c>
      <c r="AL24" s="76">
        <f>I24/'Fev25'!I24-1</f>
        <v>9.7096806586507212E-2</v>
      </c>
    </row>
    <row r="25" spans="2:39" x14ac:dyDescent="0.25">
      <c r="B25" t="s">
        <v>15</v>
      </c>
      <c r="C25" s="2" t="s">
        <v>19</v>
      </c>
      <c r="F25" s="7">
        <f t="shared" si="4"/>
        <v>1</v>
      </c>
      <c r="H25" s="3" t="s">
        <v>36</v>
      </c>
      <c r="I25" s="78">
        <v>820920738.86000001</v>
      </c>
      <c r="J25" s="77">
        <v>0.17</v>
      </c>
      <c r="K25" s="78">
        <f t="shared" si="5"/>
        <v>139556525.60620001</v>
      </c>
      <c r="L25" s="77">
        <v>0.18</v>
      </c>
      <c r="M25" s="78">
        <f t="shared" si="6"/>
        <v>147765732.9948</v>
      </c>
      <c r="N25" s="77">
        <v>0.56000000000000005</v>
      </c>
      <c r="O25" s="78">
        <f t="shared" si="7"/>
        <v>459715613.76160008</v>
      </c>
      <c r="P25" s="77">
        <v>0.09</v>
      </c>
      <c r="Q25" s="78">
        <f t="shared" si="8"/>
        <v>73882866.497400001</v>
      </c>
      <c r="R25" s="77"/>
      <c r="S25" s="78">
        <f t="shared" si="9"/>
        <v>0</v>
      </c>
      <c r="T25" s="77"/>
      <c r="U25" s="57">
        <f t="shared" si="10"/>
        <v>0</v>
      </c>
      <c r="Y25" s="12">
        <f>K25-'Fev25'!K25</f>
        <v>6804018.7217999846</v>
      </c>
      <c r="Z25" s="12">
        <f>M25-'Fev25'!M25</f>
        <v>-8413686.869200021</v>
      </c>
      <c r="AA25" s="12">
        <f>O25-'Fev25'!O25</f>
        <v>69267064.101600051</v>
      </c>
      <c r="AB25" s="12">
        <f>Q25-'Fev25'!Q25</f>
        <v>11411098.551799998</v>
      </c>
      <c r="AC25" s="12">
        <f>+S25-'Fev25'!S25</f>
        <v>0</v>
      </c>
      <c r="AE25" s="28">
        <f>J25-'Fev25'!J25</f>
        <v>0</v>
      </c>
      <c r="AF25" s="28">
        <f>L25-'Fev25'!L25</f>
        <v>-2.0000000000000018E-2</v>
      </c>
      <c r="AG25" s="28">
        <f>N25-'Fev25'!N25</f>
        <v>6.0000000000000053E-2</v>
      </c>
      <c r="AH25" s="28">
        <f>P25-'Fev25'!P25</f>
        <v>9.999999999999995E-3</v>
      </c>
      <c r="AI25" s="28">
        <f>R25-'Fev25'!R25</f>
        <v>0</v>
      </c>
      <c r="AJ25" s="93"/>
      <c r="AK25" s="10">
        <f>I25-'Fev25'!I25</f>
        <v>40023639.539999962</v>
      </c>
      <c r="AL25" s="76">
        <f>I25/'Fev25'!I25-1</f>
        <v>5.1253410436346014E-2</v>
      </c>
    </row>
    <row r="26" spans="2:39" x14ac:dyDescent="0.25">
      <c r="B26" t="s">
        <v>57</v>
      </c>
      <c r="F26" s="7">
        <f>J26+L26+N26+P26+R26+T26</f>
        <v>0.99999999999999989</v>
      </c>
      <c r="H26" s="3" t="s">
        <v>65</v>
      </c>
      <c r="I26" s="78">
        <v>1288165082.3399999</v>
      </c>
      <c r="J26" s="77">
        <v>0.32</v>
      </c>
      <c r="K26" s="78">
        <f t="shared" si="5"/>
        <v>412212826.3488</v>
      </c>
      <c r="L26" s="77">
        <v>0.16</v>
      </c>
      <c r="M26" s="78">
        <f t="shared" si="6"/>
        <v>206106413.1744</v>
      </c>
      <c r="N26" s="77">
        <v>0.43</v>
      </c>
      <c r="O26" s="78">
        <f t="shared" si="7"/>
        <v>553910985.40619993</v>
      </c>
      <c r="P26" s="77">
        <v>0.09</v>
      </c>
      <c r="Q26" s="78">
        <f t="shared" si="8"/>
        <v>115934857.41059999</v>
      </c>
      <c r="R26" s="77"/>
      <c r="S26" s="78">
        <f t="shared" si="9"/>
        <v>0</v>
      </c>
      <c r="T26" s="77"/>
      <c r="U26" s="57">
        <f t="shared" si="10"/>
        <v>0</v>
      </c>
      <c r="Y26" s="12">
        <f>K26-'Fev25'!K26</f>
        <v>157886394.62580001</v>
      </c>
      <c r="Z26" s="12">
        <f>M26-'Fev25'!M26</f>
        <v>59379625.641900003</v>
      </c>
      <c r="AA26" s="12">
        <f>O26-'Fev25'!O26</f>
        <v>64821693.631199956</v>
      </c>
      <c r="AB26" s="12">
        <f>Q26-'Fev25'!Q26</f>
        <v>27898784.891100004</v>
      </c>
      <c r="AC26" s="12">
        <f>+S26-'Fev25'!S26</f>
        <v>0</v>
      </c>
      <c r="AE26" s="28">
        <f>J26-'Fev25'!J26</f>
        <v>0.06</v>
      </c>
      <c r="AF26" s="28">
        <f>L26-'Fev25'!L26</f>
        <v>1.0000000000000009E-2</v>
      </c>
      <c r="AG26" s="28">
        <f>N26-'Fev25'!N26</f>
        <v>-7.0000000000000007E-2</v>
      </c>
      <c r="AH26" s="28">
        <f>P26-'Fev25'!P26</f>
        <v>0</v>
      </c>
      <c r="AI26" s="28">
        <f>R26-'Fev25'!R26</f>
        <v>0</v>
      </c>
      <c r="AK26" s="10">
        <f>I26-'Fev25'!I26</f>
        <v>309986498.78999996</v>
      </c>
      <c r="AL26" s="76">
        <f>I26/'Fev25'!I26-1</f>
        <v>0.31690174371329904</v>
      </c>
    </row>
    <row r="27" spans="2:39" s="8" customFormat="1" x14ac:dyDescent="0.25">
      <c r="B27"/>
      <c r="C27"/>
      <c r="D27" s="8" t="s">
        <v>75</v>
      </c>
      <c r="F27" s="7">
        <f t="shared" si="4"/>
        <v>1</v>
      </c>
      <c r="H27" s="21" t="s">
        <v>45</v>
      </c>
      <c r="I27" s="20">
        <f>SUM(I17:I26)</f>
        <v>7029912073.8199997</v>
      </c>
      <c r="J27" s="15">
        <f>K27/$I$27</f>
        <v>0.2224508969092889</v>
      </c>
      <c r="K27" s="63">
        <f>SUM(K17:K26)</f>
        <v>1563810246.014698</v>
      </c>
      <c r="L27" s="15">
        <f>M27/$I$27</f>
        <v>0.19946910527886874</v>
      </c>
      <c r="M27" s="62">
        <f>SUM(M17:M26)</f>
        <v>1402250271.553992</v>
      </c>
      <c r="N27" s="15">
        <f>O27/$I$27</f>
        <v>0.46560401828540893</v>
      </c>
      <c r="O27" s="63">
        <f>SUM(O17:O26)</f>
        <v>3273155309.7637043</v>
      </c>
      <c r="P27" s="15">
        <f>Q27/$I$27</f>
        <v>9.5176362749041787E-2</v>
      </c>
      <c r="Q27" s="63">
        <f>SUM(Q17:Q26)</f>
        <v>669081461.63176095</v>
      </c>
      <c r="R27" s="15">
        <f>S27/$I$27</f>
        <v>0</v>
      </c>
      <c r="S27" s="63">
        <f>SUM(S17:S26)</f>
        <v>0</v>
      </c>
      <c r="T27" s="15">
        <f>U27/$I$27</f>
        <v>1.7299616777391565E-2</v>
      </c>
      <c r="U27" s="17">
        <f>SUM(U17:U26)</f>
        <v>121614784.85584401</v>
      </c>
      <c r="Y27" s="12">
        <f>K27-'Fev25'!K27</f>
        <v>209628657.80025291</v>
      </c>
      <c r="Z27" s="12">
        <f>M27-'Fev25'!M27</f>
        <v>144749222.72164798</v>
      </c>
      <c r="AA27" s="12">
        <f>O27-'Fev25'!O27</f>
        <v>278241688.68527126</v>
      </c>
      <c r="AB27" s="12">
        <f>Q27-'Fev25'!Q27</f>
        <v>112982438.51943099</v>
      </c>
      <c r="AC27" s="12">
        <f>+S27-'Fev25'!S27</f>
        <v>0</v>
      </c>
      <c r="AE27" s="28">
        <f>J27-'Fev25'!J27</f>
        <v>7.8363132479443709E-3</v>
      </c>
      <c r="AF27" s="28">
        <f>L27-'Fev25'!L27</f>
        <v>1.7673090483441567E-4</v>
      </c>
      <c r="AG27" s="28">
        <f>N27-'Fev25'!N27</f>
        <v>-9.0384857061996948E-3</v>
      </c>
      <c r="AH27" s="28">
        <f>P27-'Fev25'!P27</f>
        <v>7.0441939480334059E-3</v>
      </c>
      <c r="AI27" s="28">
        <f>R27-'Fev25'!R27</f>
        <v>0</v>
      </c>
      <c r="AK27" s="92">
        <f>I27-'Fev25'!I27</f>
        <v>720081841.81999874</v>
      </c>
      <c r="AL27" s="76">
        <f>I27/'Fev25'!I27-1</f>
        <v>0.11412063642665671</v>
      </c>
    </row>
    <row r="28" spans="2:39" x14ac:dyDescent="0.25">
      <c r="F28" s="7"/>
      <c r="I28" s="10"/>
      <c r="J28" s="10"/>
      <c r="K28" s="10"/>
      <c r="L28" s="5"/>
      <c r="M28" s="10"/>
      <c r="N28" s="10"/>
      <c r="O28" s="10"/>
      <c r="P28" s="5"/>
      <c r="Q28" s="10"/>
    </row>
    <row r="29" spans="2:39" x14ac:dyDescent="0.25">
      <c r="F29" s="7"/>
      <c r="H29" s="4" t="s">
        <v>38</v>
      </c>
      <c r="I29" s="9" t="s">
        <v>4</v>
      </c>
      <c r="J29" s="113" t="s">
        <v>7</v>
      </c>
      <c r="K29" s="113"/>
      <c r="L29" s="112" t="s">
        <v>8</v>
      </c>
      <c r="M29" s="112"/>
      <c r="N29" s="112" t="s">
        <v>10</v>
      </c>
      <c r="O29" s="112"/>
      <c r="P29" s="112" t="s">
        <v>9</v>
      </c>
      <c r="Q29" s="112"/>
      <c r="R29" s="112" t="s">
        <v>40</v>
      </c>
      <c r="S29" s="112"/>
      <c r="T29" s="112" t="s">
        <v>55</v>
      </c>
      <c r="U29" s="112"/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  <c r="AE29" s="27" t="s">
        <v>49</v>
      </c>
      <c r="AF29" s="27" t="s">
        <v>50</v>
      </c>
      <c r="AG29" s="27" t="s">
        <v>51</v>
      </c>
      <c r="AH29" s="27" t="s">
        <v>52</v>
      </c>
      <c r="AI29" s="27" t="s">
        <v>54</v>
      </c>
    </row>
    <row r="30" spans="2:39" x14ac:dyDescent="0.25">
      <c r="E30" s="98"/>
      <c r="F30" s="7">
        <f>J30+L30+N30+P30+R30+T30</f>
        <v>0.99999999999999989</v>
      </c>
      <c r="G30" s="98"/>
      <c r="H30" s="21" t="s">
        <v>39</v>
      </c>
      <c r="I30" s="87">
        <v>250490861.81</v>
      </c>
      <c r="J30" s="81">
        <v>9.8699999999999996E-2</v>
      </c>
      <c r="K30" s="80">
        <f t="shared" ref="K30:K35" si="11">+J30*$I30</f>
        <v>24723448.060647</v>
      </c>
      <c r="L30" s="81">
        <v>0.22309999999999999</v>
      </c>
      <c r="M30" s="80">
        <f t="shared" ref="M30:M35" si="12">+L30*$I30</f>
        <v>55884511.269810997</v>
      </c>
      <c r="N30" s="81">
        <v>0.50039999999999996</v>
      </c>
      <c r="O30" s="80">
        <f t="shared" ref="O30:O35" si="13">+N30*$I30</f>
        <v>125345627.24972399</v>
      </c>
      <c r="P30" s="81">
        <v>9.9099999999999994E-2</v>
      </c>
      <c r="Q30" s="80">
        <f t="shared" ref="Q30:Q35" si="14">+P30*$I30</f>
        <v>24823644.405370999</v>
      </c>
      <c r="R30" s="88">
        <v>4.1200000000000001E-2</v>
      </c>
      <c r="S30" s="80">
        <f t="shared" ref="S30:S35" si="15">+R30*$I30</f>
        <v>10320223.506572001</v>
      </c>
      <c r="T30" s="81">
        <v>3.7499999999999999E-2</v>
      </c>
      <c r="U30" s="65">
        <f t="shared" ref="U30:U35" si="16">+T30*$I30</f>
        <v>9393407.3178749997</v>
      </c>
      <c r="V30" s="98"/>
      <c r="Y30" s="12">
        <f>K30-'Fev25'!K30</f>
        <v>881631.07803600281</v>
      </c>
      <c r="Z30" s="12">
        <f>M30-'Fev25'!M30</f>
        <v>2719442.2709470019</v>
      </c>
      <c r="AA30" s="12">
        <f>O30-'Fev25'!O30</f>
        <v>1916322.4435109943</v>
      </c>
      <c r="AB30" s="12">
        <f>Q30-'Fev25'!Q30</f>
        <v>1175860.5212959982</v>
      </c>
      <c r="AC30" s="12">
        <f>+S30-'Fev25'!S30</f>
        <v>1321938.5619650017</v>
      </c>
      <c r="AD30" s="98"/>
      <c r="AE30" s="28">
        <f>J30-'Fev25'!J30</f>
        <v>3.9999999999999758E-4</v>
      </c>
      <c r="AF30" s="28">
        <f>L30-'Fev25'!L30</f>
        <v>3.8999999999999868E-3</v>
      </c>
      <c r="AG30" s="28">
        <f>N30-'Fev25'!N30</f>
        <v>-8.5000000000000631E-3</v>
      </c>
      <c r="AH30" s="28">
        <f>P30-'Fev25'!P30</f>
        <v>1.5999999999999903E-3</v>
      </c>
      <c r="AI30" s="28">
        <f>R30-'Fev25'!R30</f>
        <v>4.0999999999999995E-3</v>
      </c>
      <c r="AJ30" s="98"/>
      <c r="AK30" s="10">
        <f>I30-'Fev25'!I30</f>
        <v>7949488.6400000155</v>
      </c>
      <c r="AL30" s="76">
        <f>I30/'Fev25'!I30-1</f>
        <v>3.2775804540482012E-2</v>
      </c>
      <c r="AM30" s="98"/>
    </row>
    <row r="31" spans="2:39" hidden="1" outlineLevel="1" x14ac:dyDescent="0.25">
      <c r="F31" s="7">
        <f t="shared" si="4"/>
        <v>0</v>
      </c>
      <c r="H31" s="3" t="s">
        <v>56</v>
      </c>
      <c r="I31" s="78"/>
      <c r="J31" s="77"/>
      <c r="K31" s="78">
        <f t="shared" si="11"/>
        <v>0</v>
      </c>
      <c r="L31" s="77"/>
      <c r="M31" s="78">
        <f t="shared" si="12"/>
        <v>0</v>
      </c>
      <c r="N31" s="77"/>
      <c r="O31" s="78">
        <f t="shared" si="13"/>
        <v>0</v>
      </c>
      <c r="P31" s="77"/>
      <c r="Q31" s="78">
        <f t="shared" si="14"/>
        <v>0</v>
      </c>
      <c r="R31" s="77"/>
      <c r="S31" s="78">
        <f t="shared" si="15"/>
        <v>0</v>
      </c>
      <c r="T31" s="77"/>
      <c r="U31" s="72">
        <f t="shared" si="16"/>
        <v>0</v>
      </c>
      <c r="Y31" s="12">
        <f>K31-'Fev25'!K31</f>
        <v>0</v>
      </c>
      <c r="Z31" s="12">
        <f>M31-'Fev25'!M31</f>
        <v>0</v>
      </c>
      <c r="AA31" s="12">
        <f>O31-'Fev25'!O31</f>
        <v>0</v>
      </c>
      <c r="AB31" s="12">
        <f>Q31-'Fev25'!Q31</f>
        <v>0</v>
      </c>
      <c r="AC31" s="12">
        <f>+S31-'Fev25'!S31</f>
        <v>0</v>
      </c>
      <c r="AE31" s="28">
        <f>J31-'Fev25'!J31</f>
        <v>0</v>
      </c>
      <c r="AF31" s="28">
        <f>L31-'Fev25'!L31</f>
        <v>0</v>
      </c>
      <c r="AG31" s="28">
        <f>N31-'Fev25'!N31</f>
        <v>0</v>
      </c>
      <c r="AH31" s="28">
        <f>P31-'Fev25'!P31</f>
        <v>0</v>
      </c>
      <c r="AI31" s="28">
        <f>R31-'Fev25'!R31</f>
        <v>0</v>
      </c>
      <c r="AK31" s="10">
        <f>I31-'Fev25'!I31</f>
        <v>0</v>
      </c>
      <c r="AL31" s="76" t="e">
        <f>I31/'Fev25'!I31-1</f>
        <v>#DIV/0!</v>
      </c>
    </row>
    <row r="32" spans="2:39" collapsed="1" x14ac:dyDescent="0.25">
      <c r="F32" s="7">
        <f t="shared" si="4"/>
        <v>1</v>
      </c>
      <c r="H32" s="3" t="s">
        <v>42</v>
      </c>
      <c r="I32" s="84">
        <v>239717351</v>
      </c>
      <c r="J32" s="77">
        <v>0.08</v>
      </c>
      <c r="K32" s="78">
        <f t="shared" si="11"/>
        <v>19177388.080000002</v>
      </c>
      <c r="L32" s="77">
        <v>0.1</v>
      </c>
      <c r="M32" s="78">
        <f t="shared" si="12"/>
        <v>23971735.100000001</v>
      </c>
      <c r="N32" s="77">
        <v>0.48</v>
      </c>
      <c r="O32" s="78">
        <f t="shared" si="13"/>
        <v>115064328.47999999</v>
      </c>
      <c r="P32" s="77">
        <v>0.04</v>
      </c>
      <c r="Q32" s="78">
        <f t="shared" si="14"/>
        <v>9588694.040000001</v>
      </c>
      <c r="R32" s="77">
        <v>0.25</v>
      </c>
      <c r="S32" s="78">
        <f t="shared" si="15"/>
        <v>59929337.75</v>
      </c>
      <c r="T32" s="77">
        <v>0.05</v>
      </c>
      <c r="U32" s="72">
        <f t="shared" si="16"/>
        <v>11985867.550000001</v>
      </c>
      <c r="Y32" s="12">
        <f>K32-'Fev25'!K32</f>
        <v>6218163.1300000008</v>
      </c>
      <c r="Z32" s="12">
        <f>M32-'Fev25'!M32</f>
        <v>-7130404.7799999975</v>
      </c>
      <c r="AA32" s="12">
        <f>O32-'Fev25'!O32</f>
        <v>-87099580.74000001</v>
      </c>
      <c r="AB32" s="12">
        <f>Q32-'Fev25'!Q32</f>
        <v>-3370530.91</v>
      </c>
      <c r="AC32" s="12">
        <f>+S32-'Fev25'!S32</f>
        <v>59929337.75</v>
      </c>
      <c r="AE32" s="28">
        <f>J32-'Fev25'!J32</f>
        <v>0.03</v>
      </c>
      <c r="AF32" s="28">
        <f>L32-'Fev25'!L32</f>
        <v>-1.999999999999999E-2</v>
      </c>
      <c r="AG32" s="28">
        <f>N32-'Fev25'!N32</f>
        <v>-0.30000000000000004</v>
      </c>
      <c r="AH32" s="28">
        <f>P32-'Fev25'!P32</f>
        <v>-1.0000000000000002E-2</v>
      </c>
      <c r="AI32" s="28">
        <f>R32-'Fev25'!R32</f>
        <v>0.25</v>
      </c>
      <c r="AK32" s="10">
        <f>I32-'Fev25'!I32</f>
        <v>-19467148</v>
      </c>
      <c r="AL32" s="76">
        <f>I32/'Fev25'!I32-1</f>
        <v>-7.510922942965037E-2</v>
      </c>
    </row>
    <row r="33" spans="6:38" x14ac:dyDescent="0.25">
      <c r="F33" s="7">
        <f t="shared" si="4"/>
        <v>1</v>
      </c>
      <c r="H33" s="3" t="s">
        <v>69</v>
      </c>
      <c r="I33" s="84">
        <v>516005023.10000002</v>
      </c>
      <c r="J33" s="77">
        <v>0.18</v>
      </c>
      <c r="K33" s="78">
        <f t="shared" si="11"/>
        <v>92880904.158000007</v>
      </c>
      <c r="L33" s="77">
        <v>0.04</v>
      </c>
      <c r="M33" s="78">
        <f t="shared" si="12"/>
        <v>20640200.924000002</v>
      </c>
      <c r="N33" s="77">
        <v>0.56999999999999995</v>
      </c>
      <c r="O33" s="78">
        <f t="shared" si="13"/>
        <v>294122863.167</v>
      </c>
      <c r="P33" s="77">
        <v>0.2</v>
      </c>
      <c r="Q33" s="78">
        <f t="shared" si="14"/>
        <v>103201004.62</v>
      </c>
      <c r="R33" s="77"/>
      <c r="S33" s="78">
        <f t="shared" si="15"/>
        <v>0</v>
      </c>
      <c r="T33" s="77">
        <v>0.01</v>
      </c>
      <c r="U33" s="72">
        <f t="shared" si="16"/>
        <v>5160050.2310000006</v>
      </c>
      <c r="Y33" s="12">
        <f>K33-'Fev25'!K33</f>
        <v>14051056.518000007</v>
      </c>
      <c r="Z33" s="12">
        <f>M33-'Fev25'!M33</f>
        <v>-8920991.9409999959</v>
      </c>
      <c r="AA33" s="12">
        <f>O33-'Fev25'!O33</f>
        <v>-11342796.438000023</v>
      </c>
      <c r="AB33" s="12">
        <f>Q33-'Fev25'!Q33</f>
        <v>24371156.980000004</v>
      </c>
      <c r="AC33" s="12">
        <f>+S33-'Fev25'!S33</f>
        <v>0</v>
      </c>
      <c r="AE33" s="28">
        <f>J33-'Fev25'!J33</f>
        <v>1.999999999999999E-2</v>
      </c>
      <c r="AF33" s="28">
        <f>L33-'Fev25'!L33</f>
        <v>-1.9999999999999997E-2</v>
      </c>
      <c r="AG33" s="28">
        <f>N33-'Fev25'!N33</f>
        <v>-5.0000000000000044E-2</v>
      </c>
      <c r="AH33" s="28">
        <f>P33-'Fev25'!P33</f>
        <v>4.0000000000000008E-2</v>
      </c>
      <c r="AI33" s="28">
        <f>R33-'Fev25'!R33</f>
        <v>0</v>
      </c>
      <c r="AK33" s="10">
        <f>I33-'Fev25'!I33</f>
        <v>23318475.350000024</v>
      </c>
      <c r="AL33" s="76">
        <f>I33/'Fev25'!I33-1</f>
        <v>4.7329230839548542E-2</v>
      </c>
    </row>
    <row r="34" spans="6:38" x14ac:dyDescent="0.25">
      <c r="F34" s="7">
        <f t="shared" si="4"/>
        <v>1</v>
      </c>
      <c r="H34" s="3" t="s">
        <v>44</v>
      </c>
      <c r="I34" s="84">
        <v>81310934.120000005</v>
      </c>
      <c r="J34" s="77">
        <v>0.05</v>
      </c>
      <c r="K34" s="78">
        <f t="shared" si="11"/>
        <v>4065546.7060000002</v>
      </c>
      <c r="L34" s="77">
        <v>0.04</v>
      </c>
      <c r="M34" s="78">
        <f t="shared" si="12"/>
        <v>3252437.3648000001</v>
      </c>
      <c r="N34" s="77">
        <v>0.64</v>
      </c>
      <c r="O34" s="78">
        <f t="shared" si="13"/>
        <v>52038997.836800002</v>
      </c>
      <c r="P34" s="77">
        <v>0.01</v>
      </c>
      <c r="Q34" s="78">
        <f t="shared" si="14"/>
        <v>813109.34120000002</v>
      </c>
      <c r="R34" s="77">
        <v>0.2</v>
      </c>
      <c r="S34" s="78">
        <f t="shared" si="15"/>
        <v>16262186.824000001</v>
      </c>
      <c r="T34" s="77">
        <v>0.06</v>
      </c>
      <c r="U34" s="72">
        <f t="shared" si="16"/>
        <v>4878656.0471999999</v>
      </c>
      <c r="Y34" s="12">
        <f>K34-'Fev25'!K34</f>
        <v>-2482449.1970000006</v>
      </c>
      <c r="Z34" s="12">
        <f>M34-'Fev25'!M34</f>
        <v>-21560.586700000335</v>
      </c>
      <c r="AA34" s="12">
        <f>O34-'Fev25'!O34</f>
        <v>12751022.418800004</v>
      </c>
      <c r="AB34" s="12">
        <f>Q34-'Fev25'!Q34</f>
        <v>-2460888.6103000003</v>
      </c>
      <c r="AC34" s="12">
        <f>+S34-'Fev25'!S34</f>
        <v>9714190.9210000001</v>
      </c>
      <c r="AE34" s="28">
        <f>J34-'Fev25'!J34</f>
        <v>-0.05</v>
      </c>
      <c r="AF34" s="28">
        <f>L34-'Fev25'!L34</f>
        <v>-1.0000000000000002E-2</v>
      </c>
      <c r="AG34" s="28">
        <f>N34-'Fev25'!N34</f>
        <v>4.0000000000000036E-2</v>
      </c>
      <c r="AH34" s="28">
        <f>P34-'Fev25'!P34</f>
        <v>-0.04</v>
      </c>
      <c r="AI34" s="28">
        <f>R34-'Fev25'!R34</f>
        <v>0.1</v>
      </c>
      <c r="AK34" s="10">
        <f>I34-'Fev25'!I34</f>
        <v>15830975.090000004</v>
      </c>
      <c r="AL34" s="76">
        <f>I34/'Fev25'!I34-1</f>
        <v>0.24176824977466693</v>
      </c>
    </row>
    <row r="35" spans="6:38" x14ac:dyDescent="0.25">
      <c r="F35" s="7">
        <f t="shared" si="4"/>
        <v>1</v>
      </c>
      <c r="H35" s="3" t="s">
        <v>66</v>
      </c>
      <c r="I35" s="84">
        <v>308300000</v>
      </c>
      <c r="J35" s="77">
        <v>0.05</v>
      </c>
      <c r="K35" s="78">
        <f t="shared" si="11"/>
        <v>15415000</v>
      </c>
      <c r="L35" s="77">
        <v>0.01</v>
      </c>
      <c r="M35" s="78">
        <f t="shared" si="12"/>
        <v>3083000</v>
      </c>
      <c r="N35" s="77">
        <v>0.48</v>
      </c>
      <c r="O35" s="78">
        <f t="shared" si="13"/>
        <v>147984000</v>
      </c>
      <c r="P35" s="77">
        <v>0.28999999999999998</v>
      </c>
      <c r="Q35" s="78">
        <f t="shared" si="14"/>
        <v>89407000</v>
      </c>
      <c r="R35" s="77">
        <v>0.16</v>
      </c>
      <c r="S35" s="78">
        <f t="shared" si="15"/>
        <v>49328000</v>
      </c>
      <c r="T35" s="77">
        <v>0.01</v>
      </c>
      <c r="U35" s="72">
        <f t="shared" si="16"/>
        <v>3083000</v>
      </c>
      <c r="Y35" s="12">
        <f>K35-'Fev25'!K35</f>
        <v>-8217553.3599999994</v>
      </c>
      <c r="Z35" s="12">
        <f>M35-'Fev25'!M35</f>
        <v>3083000</v>
      </c>
      <c r="AA35" s="12">
        <f>O35-'Fev25'!O35</f>
        <v>-5627596.8400000036</v>
      </c>
      <c r="AB35" s="12">
        <f>Q35-'Fev25'!Q35</f>
        <v>6693063.2399999946</v>
      </c>
      <c r="AC35" s="12">
        <f>+S35-'Fev25'!S35</f>
        <v>49328000</v>
      </c>
      <c r="AE35" s="28">
        <f>J35-'Fev25'!J35</f>
        <v>-0.03</v>
      </c>
      <c r="AF35" s="28">
        <f>L35-'Fev25'!L35</f>
        <v>0.01</v>
      </c>
      <c r="AG35" s="28">
        <f>N35-'Fev25'!N35</f>
        <v>-4.0000000000000036E-2</v>
      </c>
      <c r="AH35" s="28">
        <f>P35-'Fev25'!P35</f>
        <v>9.9999999999999534E-3</v>
      </c>
      <c r="AI35" s="28">
        <f>R35-'Fev25'!R35</f>
        <v>0.16</v>
      </c>
      <c r="AK35" s="10">
        <f>I35-'Fev25'!I35</f>
        <v>12893083</v>
      </c>
      <c r="AL35" s="76">
        <f>I35/'Fev25'!I35-1</f>
        <v>4.3645162851755348E-2</v>
      </c>
    </row>
    <row r="36" spans="6:38" s="8" customFormat="1" x14ac:dyDescent="0.25">
      <c r="F36" s="7">
        <f t="shared" si="4"/>
        <v>0.99999999999999989</v>
      </c>
      <c r="H36" s="3" t="s">
        <v>45</v>
      </c>
      <c r="I36" s="17">
        <f>SUM(I30:I35)</f>
        <v>1395824170.0300002</v>
      </c>
      <c r="J36" s="15">
        <f>+K36/$I$36</f>
        <v>0.1119498360608618</v>
      </c>
      <c r="K36" s="17">
        <f>SUM(K30:K35)</f>
        <v>156262287.00464702</v>
      </c>
      <c r="L36" s="15">
        <f>+M36/$I$36</f>
        <v>7.6536778021485952E-2</v>
      </c>
      <c r="M36" s="17">
        <f>SUM(M30:M35)</f>
        <v>106831884.658611</v>
      </c>
      <c r="N36" s="15">
        <f>+O36/$I$36</f>
        <v>0.52625239804934476</v>
      </c>
      <c r="O36" s="17">
        <f>SUM(O30:O35)</f>
        <v>734555816.73352396</v>
      </c>
      <c r="P36" s="15">
        <f>+Q36/$I$36</f>
        <v>0.16322503743553474</v>
      </c>
      <c r="Q36" s="17">
        <f>SUM(Q30:Q35)</f>
        <v>227833452.406571</v>
      </c>
      <c r="R36" s="15">
        <f>+S36/$I$36</f>
        <v>9.7318667348805427E-2</v>
      </c>
      <c r="S36" s="17">
        <f>SUM(S30:S35)</f>
        <v>135839748.08057201</v>
      </c>
      <c r="T36" s="15">
        <f>+U36/$I$36</f>
        <v>2.4717283083967145E-2</v>
      </c>
      <c r="U36" s="63">
        <f>SUM(U30:U35)</f>
        <v>34500981.146075003</v>
      </c>
      <c r="Y36" s="12">
        <f>K36-'Fev25'!K36</f>
        <v>10450848.169036031</v>
      </c>
      <c r="Z36" s="12">
        <f>M36-'Fev25'!M36</f>
        <v>-10270515.036752984</v>
      </c>
      <c r="AA36" s="12">
        <f>O36-'Fev25'!O36</f>
        <v>-89402629.155689001</v>
      </c>
      <c r="AB36" s="12">
        <f>Q36-'Fev25'!Q36</f>
        <v>26408661.220995992</v>
      </c>
      <c r="AC36" s="12">
        <f>+S36-'Fev25'!S36</f>
        <v>120293467.23296501</v>
      </c>
      <c r="AE36" s="28">
        <f>J36-'Fev25'!J36</f>
        <v>4.3636820125752401E-3</v>
      </c>
      <c r="AF36" s="28">
        <f>L36-'Fev25'!L36</f>
        <v>-9.8665721796818429E-3</v>
      </c>
      <c r="AG36" s="28">
        <f>N36-'Fev25'!N36</f>
        <v>-8.1700729611403844E-2</v>
      </c>
      <c r="AH36" s="28">
        <f>P36-'Fev25'!P36</f>
        <v>1.4604882619925624E-2</v>
      </c>
      <c r="AI36" s="28">
        <f>R36-'Fev25'!R36</f>
        <v>8.5847931036860545E-2</v>
      </c>
      <c r="AK36" s="92">
        <f>I36-'Fev25'!I36</f>
        <v>40524874.080000401</v>
      </c>
      <c r="AL36" s="76">
        <f>I36/'Fev25'!I36-1</f>
        <v>2.9901051525002442E-2</v>
      </c>
    </row>
    <row r="37" spans="6:38" x14ac:dyDescent="0.25">
      <c r="F37" s="7"/>
    </row>
    <row r="38" spans="6:38" x14ac:dyDescent="0.25">
      <c r="F38" s="7"/>
      <c r="K38"/>
    </row>
    <row r="39" spans="6:38" x14ac:dyDescent="0.25">
      <c r="F39" s="7"/>
      <c r="J39" s="38"/>
    </row>
    <row r="40" spans="6:38" x14ac:dyDescent="0.25">
      <c r="F40" s="7"/>
      <c r="I40" s="30"/>
      <c r="J40" s="35"/>
    </row>
    <row r="41" spans="6:38" x14ac:dyDescent="0.25">
      <c r="F41" s="7"/>
      <c r="I41" s="37"/>
      <c r="J41" s="35"/>
    </row>
    <row r="42" spans="6:38" x14ac:dyDescent="0.25">
      <c r="F42" s="7"/>
      <c r="I42" s="37"/>
      <c r="J42" s="35"/>
    </row>
    <row r="43" spans="6:38" x14ac:dyDescent="0.25">
      <c r="F43" s="7"/>
      <c r="I43" s="37"/>
      <c r="J43" s="35"/>
    </row>
    <row r="44" spans="6:38" x14ac:dyDescent="0.25">
      <c r="F44" s="7"/>
      <c r="I44" s="37"/>
      <c r="J44" s="35"/>
    </row>
    <row r="45" spans="6:38" x14ac:dyDescent="0.25">
      <c r="F45" s="7"/>
      <c r="I45" s="37"/>
      <c r="J45" s="35"/>
      <c r="K45" s="37"/>
    </row>
    <row r="46" spans="6:38" x14ac:dyDescent="0.25">
      <c r="F46" s="7"/>
      <c r="I46" s="37"/>
      <c r="J46" s="35"/>
    </row>
    <row r="47" spans="6:38" x14ac:dyDescent="0.25">
      <c r="F47" s="7"/>
      <c r="I47" s="37"/>
      <c r="J47" s="35"/>
    </row>
    <row r="48" spans="6:38" x14ac:dyDescent="0.25">
      <c r="F48" s="7"/>
      <c r="I48" s="37"/>
      <c r="J48" s="35"/>
    </row>
    <row r="49" spans="9:10" x14ac:dyDescent="0.25">
      <c r="I49" s="37"/>
      <c r="J49" s="35"/>
    </row>
    <row r="50" spans="9:10" x14ac:dyDescent="0.25">
      <c r="I50" s="37"/>
      <c r="J50" s="35"/>
    </row>
    <row r="51" spans="9:10" x14ac:dyDescent="0.25">
      <c r="I51" s="37"/>
      <c r="J51" s="35"/>
    </row>
    <row r="52" spans="9:10" x14ac:dyDescent="0.25">
      <c r="I52" s="37"/>
      <c r="J52" s="35"/>
    </row>
    <row r="53" spans="9:10" x14ac:dyDescent="0.25">
      <c r="I53" s="37"/>
      <c r="J53" s="35"/>
    </row>
    <row r="54" spans="9:10" x14ac:dyDescent="0.25">
      <c r="I54" s="37"/>
      <c r="J54" s="35"/>
    </row>
    <row r="55" spans="9:10" x14ac:dyDescent="0.25">
      <c r="I55" s="37"/>
      <c r="J55" s="35"/>
    </row>
    <row r="56" spans="9:10" x14ac:dyDescent="0.25">
      <c r="I56" s="37"/>
      <c r="J56" s="35"/>
    </row>
    <row r="57" spans="9:10" x14ac:dyDescent="0.25">
      <c r="I57" s="37"/>
      <c r="J57" s="35"/>
    </row>
    <row r="58" spans="9:10" x14ac:dyDescent="0.25">
      <c r="I58" s="37"/>
      <c r="J58" s="35"/>
    </row>
    <row r="59" spans="9:10" x14ac:dyDescent="0.25">
      <c r="I59" s="37"/>
      <c r="J59" s="35"/>
    </row>
    <row r="60" spans="9:10" x14ac:dyDescent="0.25">
      <c r="I60" s="37"/>
      <c r="J60" s="35"/>
    </row>
    <row r="61" spans="9:10" x14ac:dyDescent="0.25">
      <c r="I61" s="37"/>
      <c r="J61" s="35"/>
    </row>
    <row r="62" spans="9:10" x14ac:dyDescent="0.25">
      <c r="I62" s="37"/>
      <c r="J62" s="35"/>
    </row>
    <row r="63" spans="9:10" x14ac:dyDescent="0.25">
      <c r="I63" s="37"/>
      <c r="J63" s="35"/>
    </row>
    <row r="64" spans="9:10" x14ac:dyDescent="0.25">
      <c r="I64" s="37"/>
      <c r="J64" s="35"/>
    </row>
    <row r="65" spans="9:10" x14ac:dyDescent="0.25">
      <c r="I65" s="37"/>
      <c r="J65" s="35"/>
    </row>
    <row r="66" spans="9:10" x14ac:dyDescent="0.25">
      <c r="I66" s="37"/>
      <c r="J66" s="35"/>
    </row>
    <row r="67" spans="9:10" x14ac:dyDescent="0.25">
      <c r="I67" s="37"/>
      <c r="J67" s="35"/>
    </row>
    <row r="68" spans="9:10" x14ac:dyDescent="0.25">
      <c r="I68" s="37"/>
      <c r="J68" s="35"/>
    </row>
    <row r="69" spans="9:10" x14ac:dyDescent="0.25">
      <c r="I69" s="37"/>
      <c r="J69" s="35"/>
    </row>
    <row r="70" spans="9:10" x14ac:dyDescent="0.25">
      <c r="I70" s="37"/>
      <c r="J70" s="35"/>
    </row>
    <row r="71" spans="9:10" x14ac:dyDescent="0.25">
      <c r="I71" s="37"/>
      <c r="J71" s="35"/>
    </row>
    <row r="72" spans="9:10" x14ac:dyDescent="0.25">
      <c r="I72" s="37"/>
      <c r="J72" s="35"/>
    </row>
    <row r="73" spans="9:10" x14ac:dyDescent="0.25">
      <c r="I73" s="37"/>
      <c r="J73" s="35"/>
    </row>
    <row r="74" spans="9:10" x14ac:dyDescent="0.25">
      <c r="I74" s="37"/>
      <c r="J74" s="35"/>
    </row>
    <row r="75" spans="9:10" x14ac:dyDescent="0.25">
      <c r="I75" s="37"/>
      <c r="J75" s="35"/>
    </row>
    <row r="76" spans="9:10" x14ac:dyDescent="0.25">
      <c r="I76" s="37"/>
      <c r="J76" s="35"/>
    </row>
    <row r="77" spans="9:10" x14ac:dyDescent="0.25">
      <c r="I77" s="37"/>
      <c r="J77" s="35"/>
    </row>
    <row r="78" spans="9:10" x14ac:dyDescent="0.25">
      <c r="I78" s="37"/>
      <c r="J78" s="35"/>
    </row>
    <row r="79" spans="9:10" x14ac:dyDescent="0.25">
      <c r="I79" s="37"/>
      <c r="J79" s="35"/>
    </row>
    <row r="80" spans="9:10" x14ac:dyDescent="0.25">
      <c r="I80" s="37"/>
      <c r="J80" s="35"/>
    </row>
    <row r="81" spans="9:10" x14ac:dyDescent="0.25">
      <c r="I81" s="37"/>
      <c r="J81" s="35"/>
    </row>
    <row r="82" spans="9:10" x14ac:dyDescent="0.25">
      <c r="I82" s="37"/>
      <c r="J82" s="35"/>
    </row>
    <row r="83" spans="9:10" x14ac:dyDescent="0.25">
      <c r="I83" s="37"/>
      <c r="J83" s="35"/>
    </row>
    <row r="84" spans="9:10" x14ac:dyDescent="0.25">
      <c r="I84" s="37"/>
      <c r="J84" s="35"/>
    </row>
    <row r="85" spans="9:10" x14ac:dyDescent="0.25">
      <c r="I85" s="37"/>
      <c r="J85" s="35"/>
    </row>
    <row r="86" spans="9:10" x14ac:dyDescent="0.25">
      <c r="I86" s="37"/>
      <c r="J86" s="35"/>
    </row>
    <row r="87" spans="9:10" x14ac:dyDescent="0.25">
      <c r="I87" s="37"/>
      <c r="J87" s="35"/>
    </row>
    <row r="88" spans="9:10" x14ac:dyDescent="0.25">
      <c r="I88" s="37"/>
      <c r="J88" s="35"/>
    </row>
    <row r="89" spans="9:10" x14ac:dyDescent="0.25">
      <c r="I89" s="37"/>
      <c r="J89" s="35"/>
    </row>
    <row r="90" spans="9:10" x14ac:dyDescent="0.25">
      <c r="I90" s="37"/>
      <c r="J90" s="35"/>
    </row>
    <row r="91" spans="9:10" x14ac:dyDescent="0.25">
      <c r="I91" s="37"/>
      <c r="J91" s="35"/>
    </row>
    <row r="92" spans="9:10" x14ac:dyDescent="0.25">
      <c r="I92" s="37"/>
      <c r="J92" s="35"/>
    </row>
    <row r="93" spans="9:10" x14ac:dyDescent="0.25">
      <c r="I93" s="37"/>
      <c r="J93" s="35"/>
    </row>
    <row r="94" spans="9:10" x14ac:dyDescent="0.25">
      <c r="I94" s="37"/>
      <c r="J94" s="35"/>
    </row>
    <row r="95" spans="9:10" x14ac:dyDescent="0.25">
      <c r="I95" s="37"/>
      <c r="J95" s="35"/>
    </row>
    <row r="96" spans="9:10" x14ac:dyDescent="0.25">
      <c r="I96" s="37"/>
      <c r="J96" s="35"/>
    </row>
    <row r="97" spans="9:10" x14ac:dyDescent="0.25">
      <c r="I97" s="37"/>
      <c r="J97" s="35"/>
    </row>
    <row r="98" spans="9:10" x14ac:dyDescent="0.25">
      <c r="I98" s="37"/>
      <c r="J98" s="35"/>
    </row>
    <row r="99" spans="9:10" x14ac:dyDescent="0.25">
      <c r="I99" s="37"/>
      <c r="J99" s="35"/>
    </row>
    <row r="100" spans="9:10" x14ac:dyDescent="0.25">
      <c r="I100" s="37"/>
      <c r="J100" s="35"/>
    </row>
    <row r="101" spans="9:10" x14ac:dyDescent="0.25">
      <c r="I101" s="37"/>
      <c r="J101" s="35"/>
    </row>
    <row r="102" spans="9:10" x14ac:dyDescent="0.25">
      <c r="I102" s="37"/>
      <c r="J102" s="35"/>
    </row>
    <row r="103" spans="9:10" x14ac:dyDescent="0.25">
      <c r="I103" s="37"/>
      <c r="J103" s="35"/>
    </row>
    <row r="104" spans="9:10" x14ac:dyDescent="0.25">
      <c r="I104" s="37"/>
      <c r="J104" s="35"/>
    </row>
    <row r="105" spans="9:10" x14ac:dyDescent="0.25">
      <c r="I105" s="37"/>
      <c r="J105" s="35"/>
    </row>
    <row r="106" spans="9:10" x14ac:dyDescent="0.25">
      <c r="I106" s="37"/>
      <c r="J106" s="35"/>
    </row>
    <row r="107" spans="9:10" x14ac:dyDescent="0.25">
      <c r="I107" s="37"/>
      <c r="J107" s="35"/>
    </row>
    <row r="108" spans="9:10" x14ac:dyDescent="0.25">
      <c r="I108" s="37"/>
      <c r="J108" s="35"/>
    </row>
    <row r="109" spans="9:10" x14ac:dyDescent="0.25">
      <c r="I109" s="37"/>
      <c r="J109" s="35"/>
    </row>
    <row r="110" spans="9:10" x14ac:dyDescent="0.25">
      <c r="I110" s="37"/>
      <c r="J110" s="35"/>
    </row>
    <row r="111" spans="9:10" x14ac:dyDescent="0.25">
      <c r="I111" s="37"/>
      <c r="J111" s="35"/>
    </row>
    <row r="112" spans="9:10" x14ac:dyDescent="0.25">
      <c r="I112" s="37"/>
      <c r="J112" s="35"/>
    </row>
    <row r="113" spans="9:10" x14ac:dyDescent="0.25">
      <c r="I113" s="37"/>
      <c r="J113" s="35"/>
    </row>
    <row r="114" spans="9:10" x14ac:dyDescent="0.25">
      <c r="I114" s="37"/>
      <c r="J114" s="35"/>
    </row>
    <row r="115" spans="9:10" x14ac:dyDescent="0.25">
      <c r="I115" s="37"/>
      <c r="J115" s="35"/>
    </row>
    <row r="116" spans="9:10" x14ac:dyDescent="0.25">
      <c r="I116" s="37"/>
      <c r="J116" s="35"/>
    </row>
    <row r="117" spans="9:10" x14ac:dyDescent="0.25">
      <c r="I117" s="37"/>
      <c r="J117" s="35"/>
    </row>
    <row r="118" spans="9:10" x14ac:dyDescent="0.25">
      <c r="I118" s="37"/>
      <c r="J118" s="35"/>
    </row>
    <row r="119" spans="9:10" x14ac:dyDescent="0.25">
      <c r="I119" s="37"/>
      <c r="J119" s="35"/>
    </row>
    <row r="120" spans="9:10" x14ac:dyDescent="0.25">
      <c r="I120" s="37"/>
      <c r="J120" s="35"/>
    </row>
    <row r="121" spans="9:10" x14ac:dyDescent="0.25">
      <c r="I121" s="37"/>
      <c r="J121" s="35"/>
    </row>
    <row r="122" spans="9:10" x14ac:dyDescent="0.25">
      <c r="I122" s="37"/>
      <c r="J122" s="35"/>
    </row>
    <row r="123" spans="9:10" x14ac:dyDescent="0.25">
      <c r="I123" s="37"/>
      <c r="J123" s="35"/>
    </row>
    <row r="124" spans="9:10" x14ac:dyDescent="0.25">
      <c r="I124" s="37"/>
      <c r="J124" s="35"/>
    </row>
    <row r="125" spans="9:10" x14ac:dyDescent="0.25">
      <c r="I125" s="37"/>
      <c r="J125" s="35"/>
    </row>
    <row r="126" spans="9:10" x14ac:dyDescent="0.25">
      <c r="I126" s="37"/>
      <c r="J126" s="35"/>
    </row>
    <row r="127" spans="9:10" x14ac:dyDescent="0.25">
      <c r="I127" s="37"/>
      <c r="J127" s="35"/>
    </row>
    <row r="128" spans="9:10" x14ac:dyDescent="0.25">
      <c r="I128" s="37"/>
      <c r="J128" s="35"/>
    </row>
    <row r="129" spans="9:10" x14ac:dyDescent="0.25">
      <c r="I129" s="37"/>
      <c r="J129" s="35"/>
    </row>
    <row r="130" spans="9:10" x14ac:dyDescent="0.25">
      <c r="I130" s="37"/>
      <c r="J130" s="35"/>
    </row>
    <row r="131" spans="9:10" x14ac:dyDescent="0.25">
      <c r="I131" s="37"/>
      <c r="J131" s="35"/>
    </row>
    <row r="132" spans="9:10" x14ac:dyDescent="0.25">
      <c r="I132" s="37"/>
      <c r="J132" s="35"/>
    </row>
    <row r="133" spans="9:10" x14ac:dyDescent="0.25">
      <c r="I133" s="37"/>
      <c r="J133" s="35"/>
    </row>
    <row r="134" spans="9:10" x14ac:dyDescent="0.25">
      <c r="I134" s="37"/>
      <c r="J134" s="35"/>
    </row>
    <row r="135" spans="9:10" x14ac:dyDescent="0.25">
      <c r="I135" s="37"/>
      <c r="J135" s="35"/>
    </row>
    <row r="136" spans="9:10" x14ac:dyDescent="0.25">
      <c r="I136" s="37"/>
      <c r="J136" s="35"/>
    </row>
    <row r="137" spans="9:10" x14ac:dyDescent="0.25">
      <c r="I137" s="37"/>
      <c r="J137" s="35"/>
    </row>
    <row r="138" spans="9:10" x14ac:dyDescent="0.25">
      <c r="I138" s="37"/>
      <c r="J138" s="35"/>
    </row>
    <row r="139" spans="9:10" x14ac:dyDescent="0.25">
      <c r="I139" s="37"/>
      <c r="J139" s="35"/>
    </row>
    <row r="140" spans="9:10" x14ac:dyDescent="0.25">
      <c r="I140" s="37"/>
      <c r="J140" s="35"/>
    </row>
    <row r="141" spans="9:10" x14ac:dyDescent="0.25">
      <c r="I141" s="37"/>
      <c r="J141" s="35"/>
    </row>
    <row r="142" spans="9:10" x14ac:dyDescent="0.25">
      <c r="I142" s="37"/>
      <c r="J142" s="35"/>
    </row>
    <row r="143" spans="9:10" x14ac:dyDescent="0.25">
      <c r="I143" s="37"/>
      <c r="J143" s="35"/>
    </row>
    <row r="144" spans="9:10" x14ac:dyDescent="0.25">
      <c r="I144" s="37"/>
      <c r="J144" s="35"/>
    </row>
    <row r="145" spans="9:10" x14ac:dyDescent="0.25">
      <c r="I145" s="37"/>
      <c r="J145" s="35"/>
    </row>
    <row r="146" spans="9:10" x14ac:dyDescent="0.25">
      <c r="I146" s="37"/>
      <c r="J146" s="35"/>
    </row>
    <row r="147" spans="9:10" x14ac:dyDescent="0.25">
      <c r="I147" s="37"/>
      <c r="J147" s="35"/>
    </row>
    <row r="148" spans="9:10" x14ac:dyDescent="0.25">
      <c r="I148" s="37"/>
      <c r="J148" s="35"/>
    </row>
    <row r="149" spans="9:10" x14ac:dyDescent="0.25">
      <c r="I149" s="37"/>
      <c r="J149" s="35"/>
    </row>
    <row r="150" spans="9:10" x14ac:dyDescent="0.25">
      <c r="I150" s="37"/>
      <c r="J150" s="35"/>
    </row>
    <row r="151" spans="9:10" x14ac:dyDescent="0.25">
      <c r="I151" s="37"/>
      <c r="J151" s="35"/>
    </row>
    <row r="152" spans="9:10" x14ac:dyDescent="0.25">
      <c r="I152" s="37"/>
      <c r="J152" s="35"/>
    </row>
    <row r="153" spans="9:10" x14ac:dyDescent="0.25">
      <c r="I153" s="37"/>
      <c r="J153" s="35"/>
    </row>
    <row r="154" spans="9:10" x14ac:dyDescent="0.25">
      <c r="I154" s="37"/>
      <c r="J154" s="35"/>
    </row>
    <row r="155" spans="9:10" x14ac:dyDescent="0.25">
      <c r="I155" s="37"/>
      <c r="J155" s="35"/>
    </row>
    <row r="156" spans="9:10" x14ac:dyDescent="0.25">
      <c r="I156" s="37"/>
      <c r="J156" s="35"/>
    </row>
    <row r="157" spans="9:10" x14ac:dyDescent="0.25">
      <c r="I157" s="37"/>
      <c r="J157" s="35"/>
    </row>
    <row r="158" spans="9:10" x14ac:dyDescent="0.25">
      <c r="I158" s="37"/>
      <c r="J158" s="35"/>
    </row>
    <row r="159" spans="9:10" x14ac:dyDescent="0.25">
      <c r="I159" s="37"/>
      <c r="J159" s="35"/>
    </row>
    <row r="160" spans="9:10" x14ac:dyDescent="0.25">
      <c r="I160" s="37"/>
      <c r="J160" s="35"/>
    </row>
    <row r="161" spans="9:10" x14ac:dyDescent="0.25">
      <c r="I161" s="37"/>
      <c r="J161" s="35"/>
    </row>
    <row r="162" spans="9:10" x14ac:dyDescent="0.25">
      <c r="I162" s="37"/>
      <c r="J162" s="35"/>
    </row>
    <row r="163" spans="9:10" x14ac:dyDescent="0.25">
      <c r="I163" s="37"/>
      <c r="J163" s="35"/>
    </row>
    <row r="164" spans="9:10" x14ac:dyDescent="0.25">
      <c r="I164" s="37"/>
      <c r="J164" s="35"/>
    </row>
    <row r="165" spans="9:10" x14ac:dyDescent="0.25">
      <c r="I165" s="37"/>
      <c r="J165" s="35"/>
    </row>
    <row r="166" spans="9:10" x14ac:dyDescent="0.25">
      <c r="I166" s="37"/>
      <c r="J166" s="35"/>
    </row>
    <row r="167" spans="9:10" x14ac:dyDescent="0.25">
      <c r="I167" s="37"/>
      <c r="J167" s="35"/>
    </row>
    <row r="168" spans="9:10" x14ac:dyDescent="0.25">
      <c r="I168" s="37"/>
      <c r="J168" s="35"/>
    </row>
    <row r="169" spans="9:10" x14ac:dyDescent="0.25">
      <c r="I169" s="37"/>
      <c r="J169" s="35"/>
    </row>
    <row r="170" spans="9:10" x14ac:dyDescent="0.25">
      <c r="I170" s="37"/>
      <c r="J170" s="35"/>
    </row>
    <row r="171" spans="9:10" x14ac:dyDescent="0.25">
      <c r="I171" s="37"/>
      <c r="J171" s="35"/>
    </row>
    <row r="172" spans="9:10" x14ac:dyDescent="0.25">
      <c r="I172" s="37"/>
      <c r="J172" s="35"/>
    </row>
    <row r="173" spans="9:10" x14ac:dyDescent="0.25">
      <c r="I173" s="37"/>
      <c r="J173" s="35"/>
    </row>
    <row r="174" spans="9:10" x14ac:dyDescent="0.25">
      <c r="I174" s="37"/>
      <c r="J174" s="35"/>
    </row>
    <row r="175" spans="9:10" x14ac:dyDescent="0.25">
      <c r="I175" s="37"/>
      <c r="J175" s="35"/>
    </row>
    <row r="176" spans="9:10" x14ac:dyDescent="0.25">
      <c r="I176" s="37"/>
      <c r="J176" s="35"/>
    </row>
    <row r="177" spans="9:10" x14ac:dyDescent="0.25">
      <c r="I177" s="37"/>
      <c r="J177" s="35"/>
    </row>
    <row r="178" spans="9:10" x14ac:dyDescent="0.25">
      <c r="I178" s="37"/>
      <c r="J178" s="35"/>
    </row>
    <row r="179" spans="9:10" x14ac:dyDescent="0.25">
      <c r="I179" s="37"/>
      <c r="J179" s="35"/>
    </row>
    <row r="180" spans="9:10" x14ac:dyDescent="0.25">
      <c r="I180" s="37"/>
      <c r="J180" s="35"/>
    </row>
    <row r="181" spans="9:10" x14ac:dyDescent="0.25">
      <c r="I181" s="37"/>
      <c r="J181" s="35"/>
    </row>
    <row r="182" spans="9:10" x14ac:dyDescent="0.25">
      <c r="I182" s="37"/>
      <c r="J182" s="35"/>
    </row>
    <row r="183" spans="9:10" x14ac:dyDescent="0.25">
      <c r="I183" s="37"/>
      <c r="J183" s="35"/>
    </row>
    <row r="184" spans="9:10" x14ac:dyDescent="0.25">
      <c r="I184" s="37"/>
      <c r="J184" s="35"/>
    </row>
    <row r="185" spans="9:10" x14ac:dyDescent="0.25">
      <c r="I185" s="37"/>
      <c r="J185" s="35"/>
    </row>
    <row r="186" spans="9:10" x14ac:dyDescent="0.25">
      <c r="I186" s="37"/>
      <c r="J186" s="35"/>
    </row>
    <row r="187" spans="9:10" x14ac:dyDescent="0.25">
      <c r="I187" s="37"/>
      <c r="J187" s="35"/>
    </row>
    <row r="188" spans="9:10" x14ac:dyDescent="0.25">
      <c r="I188" s="37"/>
      <c r="J188" s="35"/>
    </row>
    <row r="189" spans="9:10" x14ac:dyDescent="0.25">
      <c r="I189" s="37"/>
      <c r="J189" s="35"/>
    </row>
    <row r="190" spans="9:10" x14ac:dyDescent="0.25">
      <c r="I190" s="37"/>
      <c r="J190" s="35"/>
    </row>
    <row r="191" spans="9:10" x14ac:dyDescent="0.25">
      <c r="I191" s="37"/>
      <c r="J191" s="35"/>
    </row>
    <row r="192" spans="9:10" x14ac:dyDescent="0.25">
      <c r="I192" s="37"/>
      <c r="J192" s="35"/>
    </row>
    <row r="193" spans="9:10" x14ac:dyDescent="0.25">
      <c r="I193" s="37"/>
      <c r="J193" s="35"/>
    </row>
    <row r="194" spans="9:10" x14ac:dyDescent="0.25">
      <c r="I194" s="37"/>
      <c r="J194" s="35"/>
    </row>
    <row r="195" spans="9:10" x14ac:dyDescent="0.25">
      <c r="I195" s="37"/>
      <c r="J195" s="35"/>
    </row>
    <row r="196" spans="9:10" x14ac:dyDescent="0.25">
      <c r="I196" s="37"/>
      <c r="J196" s="35"/>
    </row>
    <row r="197" spans="9:10" x14ac:dyDescent="0.25">
      <c r="I197" s="37"/>
      <c r="J197" s="35"/>
    </row>
    <row r="198" spans="9:10" x14ac:dyDescent="0.25">
      <c r="I198" s="37"/>
      <c r="J198" s="35"/>
    </row>
    <row r="199" spans="9:10" x14ac:dyDescent="0.25">
      <c r="I199" s="37"/>
      <c r="J199" s="35"/>
    </row>
    <row r="200" spans="9:10" x14ac:dyDescent="0.25">
      <c r="I200" s="37"/>
      <c r="J200" s="35"/>
    </row>
    <row r="201" spans="9:10" x14ac:dyDescent="0.25">
      <c r="I201" s="37"/>
      <c r="J201" s="35"/>
    </row>
    <row r="202" spans="9:10" x14ac:dyDescent="0.25">
      <c r="I202" s="37"/>
      <c r="J202" s="35"/>
    </row>
    <row r="203" spans="9:10" x14ac:dyDescent="0.25">
      <c r="I203" s="37"/>
      <c r="J203" s="35"/>
    </row>
    <row r="204" spans="9:10" x14ac:dyDescent="0.25">
      <c r="I204" s="37"/>
      <c r="J204" s="35"/>
    </row>
    <row r="205" spans="9:10" x14ac:dyDescent="0.25">
      <c r="I205" s="37"/>
      <c r="J205" s="35"/>
    </row>
    <row r="206" spans="9:10" x14ac:dyDescent="0.25">
      <c r="I206" s="37"/>
      <c r="J206" s="35"/>
    </row>
    <row r="207" spans="9:10" x14ac:dyDescent="0.25">
      <c r="I207" s="37"/>
      <c r="J207" s="35"/>
    </row>
    <row r="208" spans="9:10" x14ac:dyDescent="0.25">
      <c r="I208" s="37"/>
      <c r="J208" s="35"/>
    </row>
    <row r="209" spans="9:10" x14ac:dyDescent="0.25">
      <c r="I209" s="37"/>
      <c r="J209" s="35"/>
    </row>
    <row r="210" spans="9:10" x14ac:dyDescent="0.25">
      <c r="I210" s="37"/>
      <c r="J210" s="35"/>
    </row>
    <row r="211" spans="9:10" x14ac:dyDescent="0.25">
      <c r="I211" s="37"/>
      <c r="J211" s="35"/>
    </row>
    <row r="212" spans="9:10" x14ac:dyDescent="0.25">
      <c r="I212" s="37"/>
      <c r="J212" s="35"/>
    </row>
    <row r="213" spans="9:10" x14ac:dyDescent="0.25">
      <c r="I213" s="37"/>
      <c r="J213" s="35"/>
    </row>
    <row r="214" spans="9:10" x14ac:dyDescent="0.25">
      <c r="I214" s="37"/>
      <c r="J214" s="35"/>
    </row>
    <row r="215" spans="9:10" x14ac:dyDescent="0.25">
      <c r="I215" s="37"/>
      <c r="J215" s="35"/>
    </row>
    <row r="216" spans="9:10" x14ac:dyDescent="0.25">
      <c r="I216" s="37"/>
      <c r="J216" s="35"/>
    </row>
    <row r="217" spans="9:10" x14ac:dyDescent="0.25">
      <c r="I217" s="37"/>
      <c r="J217" s="35"/>
    </row>
    <row r="218" spans="9:10" x14ac:dyDescent="0.25">
      <c r="I218" s="37"/>
      <c r="J218" s="35"/>
    </row>
    <row r="219" spans="9:10" x14ac:dyDescent="0.25">
      <c r="I219" s="37"/>
      <c r="J219" s="35"/>
    </row>
    <row r="220" spans="9:10" x14ac:dyDescent="0.25">
      <c r="I220" s="37"/>
      <c r="J220" s="35"/>
    </row>
    <row r="221" spans="9:10" x14ac:dyDescent="0.25">
      <c r="I221" s="37"/>
      <c r="J221" s="35"/>
    </row>
    <row r="222" spans="9:10" x14ac:dyDescent="0.25">
      <c r="I222" s="37"/>
      <c r="J222" s="35"/>
    </row>
    <row r="223" spans="9:10" x14ac:dyDescent="0.25">
      <c r="I223" s="37"/>
      <c r="J223" s="35"/>
    </row>
    <row r="224" spans="9:10" x14ac:dyDescent="0.25">
      <c r="I224" s="37"/>
      <c r="J224" s="35"/>
    </row>
    <row r="225" spans="9:10" x14ac:dyDescent="0.25">
      <c r="I225" s="37"/>
      <c r="J225" s="35"/>
    </row>
    <row r="226" spans="9:10" x14ac:dyDescent="0.25">
      <c r="I226" s="37"/>
      <c r="J226" s="35"/>
    </row>
    <row r="227" spans="9:10" x14ac:dyDescent="0.25">
      <c r="I227" s="37"/>
      <c r="J227" s="35"/>
    </row>
    <row r="228" spans="9:10" x14ac:dyDescent="0.25">
      <c r="I228" s="37"/>
      <c r="J228" s="35"/>
    </row>
    <row r="229" spans="9:10" x14ac:dyDescent="0.25">
      <c r="I229" s="37"/>
      <c r="J229" s="35"/>
    </row>
    <row r="230" spans="9:10" x14ac:dyDescent="0.25">
      <c r="I230" s="37"/>
      <c r="J230" s="35"/>
    </row>
    <row r="231" spans="9:10" x14ac:dyDescent="0.25">
      <c r="I231" s="37"/>
      <c r="J231" s="35"/>
    </row>
    <row r="232" spans="9:10" x14ac:dyDescent="0.25">
      <c r="I232" s="37"/>
      <c r="J232" s="35"/>
    </row>
    <row r="233" spans="9:10" x14ac:dyDescent="0.25">
      <c r="I233" s="37"/>
      <c r="J233" s="35"/>
    </row>
    <row r="234" spans="9:10" x14ac:dyDescent="0.25">
      <c r="I234" s="37"/>
      <c r="J234" s="35"/>
    </row>
    <row r="235" spans="9:10" x14ac:dyDescent="0.25">
      <c r="I235" s="37"/>
      <c r="J235" s="35"/>
    </row>
    <row r="236" spans="9:10" x14ac:dyDescent="0.25">
      <c r="I236" s="37"/>
      <c r="J236" s="35"/>
    </row>
    <row r="237" spans="9:10" x14ac:dyDescent="0.25">
      <c r="I237" s="37"/>
      <c r="J237" s="35"/>
    </row>
    <row r="238" spans="9:10" x14ac:dyDescent="0.25">
      <c r="I238" s="37"/>
      <c r="J238" s="35"/>
    </row>
    <row r="239" spans="9:10" x14ac:dyDescent="0.25">
      <c r="I239" s="37"/>
      <c r="J239" s="35"/>
    </row>
    <row r="240" spans="9:10" x14ac:dyDescent="0.25">
      <c r="I240" s="37"/>
      <c r="J240" s="35"/>
    </row>
    <row r="241" spans="9:10" x14ac:dyDescent="0.25">
      <c r="I241" s="37"/>
      <c r="J241" s="35"/>
    </row>
    <row r="242" spans="9:10" x14ac:dyDescent="0.25">
      <c r="I242" s="37"/>
      <c r="J242" s="35"/>
    </row>
    <row r="243" spans="9:10" x14ac:dyDescent="0.25">
      <c r="I243" s="37"/>
      <c r="J243" s="35"/>
    </row>
    <row r="244" spans="9:10" x14ac:dyDescent="0.25">
      <c r="I244" s="37"/>
      <c r="J244" s="35"/>
    </row>
    <row r="245" spans="9:10" x14ac:dyDescent="0.25">
      <c r="I245" s="37"/>
      <c r="J245" s="35"/>
    </row>
    <row r="246" spans="9:10" x14ac:dyDescent="0.25">
      <c r="I246" s="37"/>
      <c r="J246" s="35"/>
    </row>
    <row r="247" spans="9:10" x14ac:dyDescent="0.25">
      <c r="I247" s="37"/>
      <c r="J247" s="35"/>
    </row>
    <row r="248" spans="9:10" x14ac:dyDescent="0.25">
      <c r="I248" s="37"/>
      <c r="J248" s="35"/>
    </row>
    <row r="249" spans="9:10" x14ac:dyDescent="0.25">
      <c r="I249" s="37"/>
      <c r="J249" s="35"/>
    </row>
    <row r="250" spans="9:10" x14ac:dyDescent="0.25">
      <c r="I250" s="37"/>
      <c r="J250" s="35"/>
    </row>
    <row r="251" spans="9:10" x14ac:dyDescent="0.25">
      <c r="I251" s="37"/>
      <c r="J251" s="35"/>
    </row>
    <row r="252" spans="9:10" x14ac:dyDescent="0.25">
      <c r="I252" s="37"/>
      <c r="J252" s="35"/>
    </row>
    <row r="253" spans="9:10" x14ac:dyDescent="0.25">
      <c r="I253" s="37"/>
      <c r="J253" s="35"/>
    </row>
    <row r="254" spans="9:10" x14ac:dyDescent="0.25">
      <c r="I254" s="37"/>
      <c r="J254" s="35"/>
    </row>
    <row r="255" spans="9:10" x14ac:dyDescent="0.25">
      <c r="I255" s="37"/>
      <c r="J255" s="35"/>
    </row>
    <row r="256" spans="9:10" x14ac:dyDescent="0.25">
      <c r="I256" s="37"/>
      <c r="J256" s="35"/>
    </row>
    <row r="257" spans="9:10" x14ac:dyDescent="0.25">
      <c r="I257" s="37"/>
      <c r="J257" s="35"/>
    </row>
    <row r="258" spans="9:10" x14ac:dyDescent="0.25">
      <c r="I258" s="37"/>
      <c r="J258" s="35"/>
    </row>
    <row r="259" spans="9:10" x14ac:dyDescent="0.25">
      <c r="I259" s="37"/>
      <c r="J259" s="35"/>
    </row>
    <row r="260" spans="9:10" x14ac:dyDescent="0.25">
      <c r="I260" s="37"/>
      <c r="J260" s="35"/>
    </row>
    <row r="261" spans="9:10" x14ac:dyDescent="0.25">
      <c r="I261" s="37"/>
      <c r="J261" s="35"/>
    </row>
    <row r="262" spans="9:10" x14ac:dyDescent="0.25">
      <c r="I262" s="37"/>
      <c r="J262" s="35"/>
    </row>
    <row r="263" spans="9:10" x14ac:dyDescent="0.25">
      <c r="I263" s="37"/>
      <c r="J263" s="35"/>
    </row>
    <row r="264" spans="9:10" x14ac:dyDescent="0.25">
      <c r="I264" s="37"/>
      <c r="J264" s="35"/>
    </row>
    <row r="265" spans="9:10" x14ac:dyDescent="0.25">
      <c r="I265" s="37"/>
      <c r="J265" s="35"/>
    </row>
    <row r="266" spans="9:10" x14ac:dyDescent="0.25">
      <c r="I266" s="37"/>
      <c r="J266" s="35"/>
    </row>
    <row r="267" spans="9:10" x14ac:dyDescent="0.25">
      <c r="I267" s="37"/>
      <c r="J267" s="35"/>
    </row>
    <row r="268" spans="9:10" x14ac:dyDescent="0.25">
      <c r="I268" s="37"/>
      <c r="J268" s="35"/>
    </row>
    <row r="269" spans="9:10" x14ac:dyDescent="0.25">
      <c r="I269" s="37"/>
      <c r="J269" s="35"/>
    </row>
    <row r="270" spans="9:10" x14ac:dyDescent="0.25">
      <c r="I270" s="37"/>
      <c r="J270" s="35"/>
    </row>
    <row r="271" spans="9:10" x14ac:dyDescent="0.25">
      <c r="I271" s="37"/>
      <c r="J271" s="35"/>
    </row>
    <row r="272" spans="9:10" x14ac:dyDescent="0.25">
      <c r="I272" s="37"/>
      <c r="J272" s="35"/>
    </row>
    <row r="273" spans="9:10" x14ac:dyDescent="0.25">
      <c r="I273" s="37"/>
      <c r="J273" s="35"/>
    </row>
    <row r="274" spans="9:10" x14ac:dyDescent="0.25">
      <c r="I274" s="37"/>
      <c r="J274" s="35"/>
    </row>
    <row r="275" spans="9:10" x14ac:dyDescent="0.25">
      <c r="I275" s="37"/>
      <c r="J275" s="35"/>
    </row>
    <row r="276" spans="9:10" x14ac:dyDescent="0.25">
      <c r="I276" s="37"/>
      <c r="J276" s="35"/>
    </row>
    <row r="277" spans="9:10" x14ac:dyDescent="0.25">
      <c r="I277" s="37"/>
      <c r="J277" s="35"/>
    </row>
    <row r="278" spans="9:10" x14ac:dyDescent="0.25">
      <c r="I278" s="37"/>
      <c r="J278" s="35"/>
    </row>
    <row r="279" spans="9:10" x14ac:dyDescent="0.25">
      <c r="I279" s="37"/>
      <c r="J279" s="35"/>
    </row>
    <row r="280" spans="9:10" x14ac:dyDescent="0.25">
      <c r="I280" s="37"/>
      <c r="J280" s="35"/>
    </row>
    <row r="281" spans="9:10" x14ac:dyDescent="0.25">
      <c r="I281" s="37"/>
      <c r="J281" s="35"/>
    </row>
    <row r="282" spans="9:10" x14ac:dyDescent="0.25">
      <c r="I282" s="37"/>
      <c r="J282" s="35"/>
    </row>
    <row r="283" spans="9:10" x14ac:dyDescent="0.25">
      <c r="I283" s="37"/>
      <c r="J283" s="35"/>
    </row>
    <row r="284" spans="9:10" x14ac:dyDescent="0.25">
      <c r="I284" s="37"/>
      <c r="J284" s="35"/>
    </row>
    <row r="285" spans="9:10" x14ac:dyDescent="0.25">
      <c r="I285" s="37"/>
      <c r="J285" s="35"/>
    </row>
    <row r="286" spans="9:10" x14ac:dyDescent="0.25">
      <c r="I286" s="37"/>
      <c r="J286" s="35"/>
    </row>
    <row r="287" spans="9:10" x14ac:dyDescent="0.25">
      <c r="I287" s="37"/>
      <c r="J287" s="35"/>
    </row>
    <row r="288" spans="9:10" x14ac:dyDescent="0.25">
      <c r="I288" s="37"/>
      <c r="J288" s="35"/>
    </row>
    <row r="289" spans="9:10" x14ac:dyDescent="0.25">
      <c r="I289" s="37"/>
      <c r="J289" s="35"/>
    </row>
    <row r="290" spans="9:10" x14ac:dyDescent="0.25">
      <c r="I290" s="37"/>
      <c r="J290" s="35"/>
    </row>
    <row r="291" spans="9:10" x14ac:dyDescent="0.25">
      <c r="I291" s="37"/>
      <c r="J291" s="35"/>
    </row>
    <row r="292" spans="9:10" x14ac:dyDescent="0.25">
      <c r="I292" s="37"/>
      <c r="J292" s="35"/>
    </row>
    <row r="293" spans="9:10" x14ac:dyDescent="0.25">
      <c r="I293" s="37"/>
      <c r="J293" s="35"/>
    </row>
    <row r="294" spans="9:10" x14ac:dyDescent="0.25">
      <c r="I294" s="37"/>
      <c r="J294" s="35"/>
    </row>
    <row r="295" spans="9:10" x14ac:dyDescent="0.25">
      <c r="I295" s="37"/>
      <c r="J295" s="35"/>
    </row>
    <row r="296" spans="9:10" x14ac:dyDescent="0.25">
      <c r="I296" s="37"/>
      <c r="J296" s="35"/>
    </row>
    <row r="297" spans="9:10" x14ac:dyDescent="0.25">
      <c r="I297" s="37"/>
      <c r="J297" s="35"/>
    </row>
    <row r="298" spans="9:10" x14ac:dyDescent="0.25">
      <c r="I298" s="37"/>
      <c r="J298" s="35"/>
    </row>
    <row r="299" spans="9:10" x14ac:dyDescent="0.25">
      <c r="I299" s="37"/>
      <c r="J299" s="35"/>
    </row>
    <row r="300" spans="9:10" x14ac:dyDescent="0.25">
      <c r="I300" s="37"/>
      <c r="J300" s="35"/>
    </row>
    <row r="301" spans="9:10" x14ac:dyDescent="0.25">
      <c r="I301" s="37"/>
      <c r="J301" s="35"/>
    </row>
    <row r="302" spans="9:10" x14ac:dyDescent="0.25">
      <c r="I302" s="37"/>
      <c r="J302" s="35"/>
    </row>
    <row r="303" spans="9:10" x14ac:dyDescent="0.25">
      <c r="I303" s="37"/>
      <c r="J303" s="35"/>
    </row>
    <row r="304" spans="9:10" x14ac:dyDescent="0.25">
      <c r="I304" s="37"/>
      <c r="J304" s="35"/>
    </row>
    <row r="305" spans="9:12" x14ac:dyDescent="0.25">
      <c r="I305" s="37"/>
      <c r="J305" s="35"/>
    </row>
    <row r="306" spans="9:12" x14ac:dyDescent="0.25">
      <c r="I306" s="37"/>
      <c r="J306" s="35"/>
    </row>
    <row r="307" spans="9:12" x14ac:dyDescent="0.25">
      <c r="I307" s="37"/>
      <c r="J307" s="35"/>
    </row>
    <row r="308" spans="9:12" x14ac:dyDescent="0.25">
      <c r="I308" s="37"/>
      <c r="J308" s="35"/>
    </row>
    <row r="309" spans="9:12" x14ac:dyDescent="0.25">
      <c r="I309" s="37"/>
      <c r="J309" s="35"/>
    </row>
    <row r="310" spans="9:12" x14ac:dyDescent="0.25">
      <c r="I310" s="37"/>
      <c r="J310" s="35"/>
    </row>
    <row r="311" spans="9:12" x14ac:dyDescent="0.25">
      <c r="I311" s="37"/>
      <c r="J311" s="35"/>
    </row>
    <row r="312" spans="9:12" x14ac:dyDescent="0.25">
      <c r="I312" s="37"/>
      <c r="J312" s="35"/>
      <c r="L312" s="36"/>
    </row>
    <row r="313" spans="9:12" x14ac:dyDescent="0.25">
      <c r="I313" s="37"/>
      <c r="J313" s="35"/>
    </row>
    <row r="314" spans="9:12" x14ac:dyDescent="0.25">
      <c r="I314" s="37"/>
      <c r="J314" s="35"/>
    </row>
    <row r="315" spans="9:12" x14ac:dyDescent="0.25">
      <c r="I315" s="37"/>
      <c r="J315" s="35"/>
    </row>
    <row r="316" spans="9:12" x14ac:dyDescent="0.25">
      <c r="I316" s="37"/>
      <c r="J316" s="35"/>
    </row>
    <row r="317" spans="9:12" x14ac:dyDescent="0.25">
      <c r="I317" s="37"/>
      <c r="J317" s="35"/>
    </row>
    <row r="318" spans="9:12" x14ac:dyDescent="0.25">
      <c r="I318" s="37"/>
      <c r="J318" s="35"/>
    </row>
    <row r="319" spans="9:12" x14ac:dyDescent="0.25">
      <c r="I319" s="37"/>
      <c r="J319" s="35"/>
    </row>
    <row r="320" spans="9:12" x14ac:dyDescent="0.25">
      <c r="I320" s="37"/>
      <c r="J320" s="35"/>
    </row>
    <row r="321" spans="9:10" x14ac:dyDescent="0.25">
      <c r="I321" s="37"/>
      <c r="J321" s="35"/>
    </row>
    <row r="322" spans="9:10" x14ac:dyDescent="0.25">
      <c r="I322" s="37"/>
      <c r="J322" s="35"/>
    </row>
    <row r="323" spans="9:10" x14ac:dyDescent="0.25">
      <c r="I323" s="37"/>
      <c r="J323" s="35"/>
    </row>
    <row r="324" spans="9:10" x14ac:dyDescent="0.25">
      <c r="I324" s="37"/>
      <c r="J324" s="35"/>
    </row>
    <row r="325" spans="9:10" x14ac:dyDescent="0.25">
      <c r="I325" s="37"/>
      <c r="J325" s="35"/>
    </row>
    <row r="326" spans="9:10" x14ac:dyDescent="0.25">
      <c r="I326" s="37"/>
      <c r="J326" s="35"/>
    </row>
    <row r="327" spans="9:10" x14ac:dyDescent="0.25">
      <c r="I327" s="37"/>
      <c r="J327" s="35"/>
    </row>
    <row r="328" spans="9:10" x14ac:dyDescent="0.25">
      <c r="I328" s="37"/>
      <c r="J328" s="35"/>
    </row>
    <row r="329" spans="9:10" x14ac:dyDescent="0.25">
      <c r="I329" s="37"/>
      <c r="J329" s="35"/>
    </row>
    <row r="330" spans="9:10" x14ac:dyDescent="0.25">
      <c r="I330" s="37"/>
      <c r="J330" s="35"/>
    </row>
    <row r="331" spans="9:10" x14ac:dyDescent="0.25">
      <c r="I331" s="37"/>
      <c r="J331" s="35"/>
    </row>
    <row r="332" spans="9:10" x14ac:dyDescent="0.25">
      <c r="I332" s="37"/>
      <c r="J332" s="35"/>
    </row>
    <row r="333" spans="9:10" x14ac:dyDescent="0.25">
      <c r="I333" s="37"/>
      <c r="J333" s="35"/>
    </row>
    <row r="334" spans="9:10" x14ac:dyDescent="0.25">
      <c r="I334" s="37"/>
      <c r="J334" s="35"/>
    </row>
    <row r="335" spans="9:10" x14ac:dyDescent="0.25">
      <c r="I335" s="37"/>
      <c r="J335" s="35"/>
    </row>
    <row r="336" spans="9:10" x14ac:dyDescent="0.25">
      <c r="I336" s="37"/>
      <c r="J336" s="35"/>
    </row>
    <row r="337" spans="9:10" x14ac:dyDescent="0.25">
      <c r="I337" s="37"/>
      <c r="J337" s="35"/>
    </row>
    <row r="338" spans="9:10" x14ac:dyDescent="0.25">
      <c r="I338" s="37"/>
      <c r="J338" s="35"/>
    </row>
    <row r="339" spans="9:10" x14ac:dyDescent="0.25">
      <c r="I339" s="37"/>
      <c r="J339" s="35"/>
    </row>
    <row r="340" spans="9:10" x14ac:dyDescent="0.25">
      <c r="I340" s="37"/>
      <c r="J340" s="35"/>
    </row>
    <row r="341" spans="9:10" x14ac:dyDescent="0.25">
      <c r="I341" s="37"/>
      <c r="J341" s="35"/>
    </row>
    <row r="342" spans="9:10" x14ac:dyDescent="0.25">
      <c r="I342" s="37"/>
      <c r="J342" s="35"/>
    </row>
    <row r="343" spans="9:10" x14ac:dyDescent="0.25">
      <c r="I343" s="37"/>
      <c r="J343" s="35"/>
    </row>
    <row r="344" spans="9:10" x14ac:dyDescent="0.25">
      <c r="I344" s="37"/>
      <c r="J344" s="35"/>
    </row>
    <row r="345" spans="9:10" x14ac:dyDescent="0.25">
      <c r="I345" s="37"/>
      <c r="J345" s="35"/>
    </row>
    <row r="346" spans="9:10" x14ac:dyDescent="0.25">
      <c r="I346" s="37"/>
      <c r="J346" s="35"/>
    </row>
    <row r="347" spans="9:10" x14ac:dyDescent="0.25">
      <c r="I347" s="37"/>
      <c r="J347" s="35"/>
    </row>
    <row r="348" spans="9:10" x14ac:dyDescent="0.25">
      <c r="I348" s="37"/>
      <c r="J348" s="35"/>
    </row>
    <row r="349" spans="9:10" x14ac:dyDescent="0.25">
      <c r="I349" s="37"/>
      <c r="J349" s="35"/>
    </row>
    <row r="350" spans="9:10" x14ac:dyDescent="0.25">
      <c r="I350" s="37"/>
      <c r="J350" s="35"/>
    </row>
    <row r="351" spans="9:10" x14ac:dyDescent="0.25">
      <c r="I351" s="37"/>
      <c r="J351" s="35"/>
    </row>
    <row r="352" spans="9:10" x14ac:dyDescent="0.25">
      <c r="I352" s="37"/>
      <c r="J352" s="35"/>
    </row>
    <row r="353" spans="9:10" x14ac:dyDescent="0.25">
      <c r="I353" s="37"/>
      <c r="J353" s="35"/>
    </row>
    <row r="354" spans="9:10" x14ac:dyDescent="0.25">
      <c r="I354" s="37"/>
      <c r="J354" s="35"/>
    </row>
    <row r="355" spans="9:10" x14ac:dyDescent="0.25">
      <c r="I355" s="37"/>
      <c r="J355" s="35"/>
    </row>
    <row r="356" spans="9:10" x14ac:dyDescent="0.25">
      <c r="I356" s="37"/>
      <c r="J356" s="35"/>
    </row>
    <row r="357" spans="9:10" x14ac:dyDescent="0.25">
      <c r="I357" s="37"/>
      <c r="J357" s="35"/>
    </row>
    <row r="358" spans="9:10" x14ac:dyDescent="0.25">
      <c r="I358" s="37"/>
      <c r="J358" s="35"/>
    </row>
    <row r="359" spans="9:10" x14ac:dyDescent="0.25">
      <c r="I359" s="37"/>
      <c r="J359" s="35"/>
    </row>
    <row r="360" spans="9:10" x14ac:dyDescent="0.25">
      <c r="I360" s="37"/>
      <c r="J360" s="35"/>
    </row>
    <row r="361" spans="9:10" x14ac:dyDescent="0.25">
      <c r="I361" s="37"/>
      <c r="J361" s="35"/>
    </row>
    <row r="362" spans="9:10" x14ac:dyDescent="0.25">
      <c r="I362" s="37"/>
      <c r="J362" s="35"/>
    </row>
    <row r="363" spans="9:10" x14ac:dyDescent="0.25">
      <c r="I363" s="37"/>
      <c r="J363" s="35"/>
    </row>
    <row r="364" spans="9:10" x14ac:dyDescent="0.25">
      <c r="I364" s="37"/>
      <c r="J364" s="35"/>
    </row>
    <row r="365" spans="9:10" x14ac:dyDescent="0.25">
      <c r="I365" s="37"/>
      <c r="J365" s="35"/>
    </row>
    <row r="366" spans="9:10" x14ac:dyDescent="0.25">
      <c r="I366" s="37"/>
      <c r="J366" s="35"/>
    </row>
    <row r="367" spans="9:10" x14ac:dyDescent="0.25">
      <c r="I367" s="37"/>
      <c r="J367" s="35"/>
    </row>
    <row r="368" spans="9:10" x14ac:dyDescent="0.25">
      <c r="I368" s="37"/>
      <c r="J368" s="35"/>
    </row>
    <row r="369" spans="9:10" x14ac:dyDescent="0.25">
      <c r="I369" s="37"/>
      <c r="J369" s="35"/>
    </row>
    <row r="370" spans="9:10" x14ac:dyDescent="0.25">
      <c r="I370" s="37"/>
      <c r="J370" s="35"/>
    </row>
    <row r="371" spans="9:10" x14ac:dyDescent="0.25">
      <c r="I371" s="37"/>
      <c r="J371" s="35"/>
    </row>
    <row r="372" spans="9:10" x14ac:dyDescent="0.25">
      <c r="I372" s="37"/>
      <c r="J372" s="35"/>
    </row>
    <row r="373" spans="9:10" x14ac:dyDescent="0.25">
      <c r="I373" s="37"/>
      <c r="J373" s="35"/>
    </row>
    <row r="374" spans="9:10" x14ac:dyDescent="0.25">
      <c r="I374" s="37"/>
      <c r="J374" s="35"/>
    </row>
    <row r="375" spans="9:10" x14ac:dyDescent="0.25">
      <c r="I375" s="37"/>
      <c r="J375" s="35"/>
    </row>
    <row r="376" spans="9:10" x14ac:dyDescent="0.25">
      <c r="I376" s="37"/>
      <c r="J376" s="35"/>
    </row>
    <row r="377" spans="9:10" x14ac:dyDescent="0.25">
      <c r="I377" s="37"/>
      <c r="J377" s="35"/>
    </row>
    <row r="378" spans="9:10" x14ac:dyDescent="0.25">
      <c r="I378" s="37"/>
      <c r="J378" s="35"/>
    </row>
    <row r="379" spans="9:10" x14ac:dyDescent="0.25">
      <c r="I379" s="37"/>
      <c r="J379" s="35"/>
    </row>
    <row r="380" spans="9:10" x14ac:dyDescent="0.25">
      <c r="I380" s="37"/>
      <c r="J380" s="35"/>
    </row>
    <row r="381" spans="9:10" x14ac:dyDescent="0.25">
      <c r="I381" s="37"/>
      <c r="J381" s="35"/>
    </row>
    <row r="382" spans="9:10" x14ac:dyDescent="0.25">
      <c r="I382" s="37"/>
      <c r="J382" s="35"/>
    </row>
    <row r="383" spans="9:10" x14ac:dyDescent="0.25">
      <c r="I383" s="37"/>
      <c r="J383" s="35"/>
    </row>
    <row r="384" spans="9:10" x14ac:dyDescent="0.25">
      <c r="I384" s="37"/>
      <c r="J384" s="35"/>
    </row>
    <row r="385" spans="9:10" x14ac:dyDescent="0.25">
      <c r="I385" s="37"/>
      <c r="J385" s="35"/>
    </row>
    <row r="386" spans="9:10" x14ac:dyDescent="0.25">
      <c r="I386" s="37"/>
      <c r="J386" s="35"/>
    </row>
    <row r="387" spans="9:10" x14ac:dyDescent="0.25">
      <c r="I387" s="37"/>
      <c r="J387" s="35"/>
    </row>
    <row r="388" spans="9:10" x14ac:dyDescent="0.25">
      <c r="I388" s="37"/>
      <c r="J388" s="35"/>
    </row>
    <row r="389" spans="9:10" x14ac:dyDescent="0.25">
      <c r="I389" s="37"/>
      <c r="J389" s="35"/>
    </row>
    <row r="390" spans="9:10" x14ac:dyDescent="0.25">
      <c r="I390" s="37"/>
      <c r="J390" s="35"/>
    </row>
    <row r="391" spans="9:10" x14ac:dyDescent="0.25">
      <c r="I391" s="37"/>
      <c r="J391" s="35"/>
    </row>
    <row r="392" spans="9:10" x14ac:dyDescent="0.25">
      <c r="I392" s="37"/>
      <c r="J392" s="35"/>
    </row>
    <row r="393" spans="9:10" x14ac:dyDescent="0.25">
      <c r="I393" s="37"/>
      <c r="J393" s="35"/>
    </row>
    <row r="394" spans="9:10" x14ac:dyDescent="0.25">
      <c r="I394" s="37"/>
      <c r="J394" s="35"/>
    </row>
    <row r="395" spans="9:10" x14ac:dyDescent="0.25">
      <c r="I395" s="37"/>
      <c r="J395" s="35"/>
    </row>
    <row r="396" spans="9:10" x14ac:dyDescent="0.25">
      <c r="I396" s="37"/>
      <c r="J396" s="35"/>
    </row>
    <row r="397" spans="9:10" x14ac:dyDescent="0.25">
      <c r="I397" s="37"/>
      <c r="J397" s="35"/>
    </row>
    <row r="398" spans="9:10" x14ac:dyDescent="0.25">
      <c r="I398" s="37"/>
      <c r="J398" s="35"/>
    </row>
    <row r="399" spans="9:10" x14ac:dyDescent="0.25">
      <c r="I399" s="37"/>
      <c r="J399" s="35"/>
    </row>
    <row r="400" spans="9:10" x14ac:dyDescent="0.25">
      <c r="I400" s="37"/>
      <c r="J400" s="35"/>
    </row>
    <row r="401" spans="9:10" x14ac:dyDescent="0.25">
      <c r="I401" s="37"/>
      <c r="J401" s="35"/>
    </row>
    <row r="402" spans="9:10" x14ac:dyDescent="0.25">
      <c r="I402" s="37"/>
      <c r="J402" s="35"/>
    </row>
    <row r="403" spans="9:10" x14ac:dyDescent="0.25">
      <c r="I403" s="37"/>
      <c r="J403" s="35"/>
    </row>
    <row r="404" spans="9:10" x14ac:dyDescent="0.25">
      <c r="I404" s="37"/>
      <c r="J404" s="35"/>
    </row>
    <row r="405" spans="9:10" x14ac:dyDescent="0.25">
      <c r="I405" s="37"/>
      <c r="J405" s="35"/>
    </row>
    <row r="406" spans="9:10" x14ac:dyDescent="0.25">
      <c r="I406" s="37"/>
      <c r="J406" s="35"/>
    </row>
    <row r="407" spans="9:10" x14ac:dyDescent="0.25">
      <c r="I407" s="37"/>
      <c r="J407" s="35"/>
    </row>
    <row r="408" spans="9:10" x14ac:dyDescent="0.25">
      <c r="I408" s="37"/>
      <c r="J408" s="35"/>
    </row>
    <row r="409" spans="9:10" x14ac:dyDescent="0.25">
      <c r="I409" s="37"/>
      <c r="J409" s="35"/>
    </row>
    <row r="410" spans="9:10" x14ac:dyDescent="0.25">
      <c r="I410" s="37"/>
      <c r="J410" s="35"/>
    </row>
    <row r="411" spans="9:10" x14ac:dyDescent="0.25">
      <c r="I411" s="37"/>
      <c r="J411" s="35"/>
    </row>
    <row r="412" spans="9:10" x14ac:dyDescent="0.25">
      <c r="I412" s="37"/>
      <c r="J412" s="35"/>
    </row>
    <row r="413" spans="9:10" x14ac:dyDescent="0.25">
      <c r="I413" s="37"/>
      <c r="J413" s="35"/>
    </row>
    <row r="414" spans="9:10" x14ac:dyDescent="0.25">
      <c r="I414" s="37"/>
      <c r="J414" s="35"/>
    </row>
    <row r="415" spans="9:10" x14ac:dyDescent="0.25">
      <c r="I415" s="37"/>
      <c r="J415" s="35"/>
    </row>
    <row r="416" spans="9:10" x14ac:dyDescent="0.25">
      <c r="I416" s="37"/>
      <c r="J416" s="35"/>
    </row>
    <row r="417" spans="9:10" x14ac:dyDescent="0.25">
      <c r="I417" s="37"/>
      <c r="J417" s="35"/>
    </row>
    <row r="418" spans="9:10" x14ac:dyDescent="0.25">
      <c r="I418" s="37"/>
      <c r="J418" s="35"/>
    </row>
    <row r="419" spans="9:10" x14ac:dyDescent="0.25">
      <c r="I419" s="37"/>
      <c r="J419" s="35"/>
    </row>
    <row r="420" spans="9:10" x14ac:dyDescent="0.25">
      <c r="I420" s="37"/>
      <c r="J420" s="35"/>
    </row>
    <row r="421" spans="9:10" x14ac:dyDescent="0.25">
      <c r="I421" s="37"/>
      <c r="J421" s="35"/>
    </row>
    <row r="422" spans="9:10" x14ac:dyDescent="0.25">
      <c r="I422" s="37"/>
      <c r="J422" s="35"/>
    </row>
    <row r="423" spans="9:10" x14ac:dyDescent="0.25">
      <c r="I423" s="37"/>
      <c r="J423" s="35"/>
    </row>
    <row r="424" spans="9:10" x14ac:dyDescent="0.25">
      <c r="I424" s="37"/>
      <c r="J424" s="35"/>
    </row>
    <row r="425" spans="9:10" x14ac:dyDescent="0.25">
      <c r="I425" s="37"/>
      <c r="J425" s="35"/>
    </row>
    <row r="426" spans="9:10" x14ac:dyDescent="0.25">
      <c r="I426" s="37"/>
      <c r="J426" s="35"/>
    </row>
    <row r="427" spans="9:10" x14ac:dyDescent="0.25">
      <c r="I427" s="37"/>
      <c r="J427" s="35"/>
    </row>
    <row r="428" spans="9:10" x14ac:dyDescent="0.25">
      <c r="I428" s="37"/>
      <c r="J428" s="35"/>
    </row>
    <row r="429" spans="9:10" x14ac:dyDescent="0.25">
      <c r="I429" s="37"/>
      <c r="J429" s="35"/>
    </row>
    <row r="430" spans="9:10" x14ac:dyDescent="0.25">
      <c r="I430" s="37"/>
      <c r="J430" s="35"/>
    </row>
    <row r="431" spans="9:10" x14ac:dyDescent="0.25">
      <c r="I431" s="37"/>
      <c r="J431" s="35"/>
    </row>
    <row r="432" spans="9:10" x14ac:dyDescent="0.25">
      <c r="I432" s="37"/>
      <c r="J432" s="35"/>
    </row>
    <row r="433" spans="9:10" x14ac:dyDescent="0.25">
      <c r="I433" s="37"/>
      <c r="J433" s="35"/>
    </row>
    <row r="434" spans="9:10" x14ac:dyDescent="0.25">
      <c r="I434" s="37"/>
      <c r="J434" s="35"/>
    </row>
    <row r="435" spans="9:10" x14ac:dyDescent="0.25">
      <c r="I435" s="37"/>
      <c r="J435" s="35"/>
    </row>
    <row r="436" spans="9:10" x14ac:dyDescent="0.25">
      <c r="I436" s="37"/>
      <c r="J436" s="35"/>
    </row>
    <row r="437" spans="9:10" x14ac:dyDescent="0.25">
      <c r="I437" s="37"/>
      <c r="J437" s="35"/>
    </row>
    <row r="438" spans="9:10" x14ac:dyDescent="0.25">
      <c r="I438" s="37"/>
      <c r="J438" s="35"/>
    </row>
    <row r="439" spans="9:10" x14ac:dyDescent="0.25">
      <c r="I439" s="37"/>
      <c r="J439" s="35"/>
    </row>
    <row r="440" spans="9:10" x14ac:dyDescent="0.25">
      <c r="I440" s="37"/>
      <c r="J440" s="35"/>
    </row>
    <row r="441" spans="9:10" x14ac:dyDescent="0.25">
      <c r="I441" s="37"/>
      <c r="J441" s="35"/>
    </row>
    <row r="442" spans="9:10" x14ac:dyDescent="0.25">
      <c r="I442" s="37"/>
      <c r="J442" s="35"/>
    </row>
    <row r="443" spans="9:10" x14ac:dyDescent="0.25">
      <c r="I443" s="37"/>
      <c r="J443" s="35"/>
    </row>
    <row r="444" spans="9:10" x14ac:dyDescent="0.25">
      <c r="I444" s="37"/>
      <c r="J444" s="35"/>
    </row>
    <row r="445" spans="9:10" x14ac:dyDescent="0.25">
      <c r="I445" s="37"/>
      <c r="J445" s="35"/>
    </row>
    <row r="446" spans="9:10" x14ac:dyDescent="0.25">
      <c r="I446" s="37"/>
      <c r="J446" s="35"/>
    </row>
    <row r="447" spans="9:10" x14ac:dyDescent="0.25">
      <c r="I447" s="37"/>
      <c r="J447" s="35"/>
    </row>
    <row r="448" spans="9:10" x14ac:dyDescent="0.25">
      <c r="I448" s="37"/>
      <c r="J448" s="35"/>
    </row>
    <row r="449" spans="9:10" x14ac:dyDescent="0.25">
      <c r="I449" s="37"/>
      <c r="J449" s="35"/>
    </row>
    <row r="450" spans="9:10" x14ac:dyDescent="0.25">
      <c r="I450" s="37"/>
      <c r="J450" s="35"/>
    </row>
    <row r="451" spans="9:10" x14ac:dyDescent="0.25">
      <c r="I451" s="37"/>
      <c r="J451" s="35"/>
    </row>
    <row r="452" spans="9:10" x14ac:dyDescent="0.25">
      <c r="I452" s="37"/>
      <c r="J452" s="35"/>
    </row>
    <row r="453" spans="9:10" x14ac:dyDescent="0.25">
      <c r="I453" s="37"/>
      <c r="J453" s="35"/>
    </row>
    <row r="454" spans="9:10" x14ac:dyDescent="0.25">
      <c r="I454" s="37"/>
      <c r="J454" s="35"/>
    </row>
    <row r="455" spans="9:10" x14ac:dyDescent="0.25">
      <c r="I455" s="37"/>
      <c r="J455" s="35"/>
    </row>
    <row r="456" spans="9:10" x14ac:dyDescent="0.25">
      <c r="I456" s="37"/>
      <c r="J456" s="35"/>
    </row>
    <row r="457" spans="9:10" x14ac:dyDescent="0.25">
      <c r="I457" s="37"/>
      <c r="J457" s="35"/>
    </row>
    <row r="458" spans="9:10" x14ac:dyDescent="0.25">
      <c r="I458" s="37"/>
      <c r="J458" s="35"/>
    </row>
    <row r="459" spans="9:10" x14ac:dyDescent="0.25">
      <c r="I459" s="37"/>
      <c r="J459" s="35"/>
    </row>
    <row r="460" spans="9:10" x14ac:dyDescent="0.25">
      <c r="I460" s="37"/>
      <c r="J460" s="35"/>
    </row>
    <row r="461" spans="9:10" x14ac:dyDescent="0.25">
      <c r="I461" s="37"/>
      <c r="J461" s="35"/>
    </row>
    <row r="462" spans="9:10" x14ac:dyDescent="0.25">
      <c r="I462" s="37"/>
      <c r="J462" s="35"/>
    </row>
    <row r="463" spans="9:10" x14ac:dyDescent="0.25">
      <c r="I463" s="37"/>
      <c r="J463" s="35"/>
    </row>
    <row r="464" spans="9:10" x14ac:dyDescent="0.25">
      <c r="I464" s="37"/>
      <c r="J464" s="35"/>
    </row>
    <row r="465" spans="9:10" x14ac:dyDescent="0.25">
      <c r="I465" s="37"/>
      <c r="J465" s="35"/>
    </row>
    <row r="466" spans="9:10" x14ac:dyDescent="0.25">
      <c r="I466" s="37"/>
      <c r="J466" s="35"/>
    </row>
    <row r="467" spans="9:10" x14ac:dyDescent="0.25">
      <c r="I467" s="37"/>
      <c r="J467" s="35"/>
    </row>
    <row r="468" spans="9:10" x14ac:dyDescent="0.25">
      <c r="I468" s="37"/>
      <c r="J468" s="35"/>
    </row>
    <row r="469" spans="9:10" x14ac:dyDescent="0.25">
      <c r="I469" s="37"/>
      <c r="J469" s="35"/>
    </row>
    <row r="470" spans="9:10" x14ac:dyDescent="0.25">
      <c r="I470" s="37"/>
      <c r="J470" s="35"/>
    </row>
    <row r="471" spans="9:10" x14ac:dyDescent="0.25">
      <c r="I471" s="37"/>
      <c r="J471" s="35"/>
    </row>
    <row r="472" spans="9:10" x14ac:dyDescent="0.25">
      <c r="I472" s="37"/>
      <c r="J472" s="35"/>
    </row>
    <row r="473" spans="9:10" x14ac:dyDescent="0.25">
      <c r="I473" s="37"/>
      <c r="J473" s="35"/>
    </row>
    <row r="474" spans="9:10" x14ac:dyDescent="0.25">
      <c r="I474" s="37"/>
      <c r="J474" s="35"/>
    </row>
    <row r="475" spans="9:10" x14ac:dyDescent="0.25">
      <c r="I475" s="37"/>
      <c r="J475" s="35"/>
    </row>
    <row r="476" spans="9:10" x14ac:dyDescent="0.25">
      <c r="I476" s="37"/>
      <c r="J476" s="35"/>
    </row>
    <row r="477" spans="9:10" x14ac:dyDescent="0.25">
      <c r="I477" s="37"/>
      <c r="J477" s="35"/>
    </row>
    <row r="478" spans="9:10" x14ac:dyDescent="0.25">
      <c r="I478" s="37"/>
      <c r="J478" s="35"/>
    </row>
    <row r="479" spans="9:10" x14ac:dyDescent="0.25">
      <c r="I479" s="37"/>
      <c r="J479" s="35"/>
    </row>
    <row r="480" spans="9:10" x14ac:dyDescent="0.25">
      <c r="I480" s="37"/>
      <c r="J480" s="35"/>
    </row>
    <row r="481" spans="9:10" x14ac:dyDescent="0.25">
      <c r="I481" s="37"/>
      <c r="J481" s="35"/>
    </row>
    <row r="482" spans="9:10" x14ac:dyDescent="0.25">
      <c r="I482" s="37"/>
      <c r="J482" s="35"/>
    </row>
    <row r="483" spans="9:10" x14ac:dyDescent="0.25">
      <c r="I483" s="37"/>
      <c r="J483" s="35"/>
    </row>
    <row r="484" spans="9:10" x14ac:dyDescent="0.25">
      <c r="I484" s="37"/>
      <c r="J484" s="35"/>
    </row>
    <row r="485" spans="9:10" x14ac:dyDescent="0.25">
      <c r="I485" s="37"/>
      <c r="J485" s="35"/>
    </row>
    <row r="486" spans="9:10" x14ac:dyDescent="0.25">
      <c r="I486" s="37"/>
      <c r="J486" s="35"/>
    </row>
    <row r="487" spans="9:10" x14ac:dyDescent="0.25">
      <c r="I487" s="37"/>
      <c r="J487" s="35"/>
    </row>
    <row r="488" spans="9:10" x14ac:dyDescent="0.25">
      <c r="I488" s="37"/>
      <c r="J488" s="35"/>
    </row>
    <row r="489" spans="9:10" x14ac:dyDescent="0.25">
      <c r="I489" s="37"/>
      <c r="J489" s="35"/>
    </row>
    <row r="490" spans="9:10" x14ac:dyDescent="0.25">
      <c r="I490" s="37"/>
      <c r="J490" s="35"/>
    </row>
    <row r="491" spans="9:10" x14ac:dyDescent="0.25">
      <c r="I491" s="37"/>
      <c r="J491" s="35"/>
    </row>
    <row r="492" spans="9:10" x14ac:dyDescent="0.25">
      <c r="I492" s="37"/>
      <c r="J492" s="35"/>
    </row>
    <row r="493" spans="9:10" x14ac:dyDescent="0.25">
      <c r="I493" s="37"/>
      <c r="J493" s="35"/>
    </row>
    <row r="494" spans="9:10" x14ac:dyDescent="0.25">
      <c r="I494" s="37"/>
      <c r="J494" s="35"/>
    </row>
    <row r="495" spans="9:10" x14ac:dyDescent="0.25">
      <c r="I495" s="37"/>
      <c r="J495" s="35"/>
    </row>
    <row r="496" spans="9:10" x14ac:dyDescent="0.25">
      <c r="I496" s="37"/>
      <c r="J496" s="35"/>
    </row>
    <row r="497" spans="9:10" x14ac:dyDescent="0.25">
      <c r="I497" s="37"/>
      <c r="J497" s="35"/>
    </row>
    <row r="498" spans="9:10" x14ac:dyDescent="0.25">
      <c r="I498" s="37"/>
      <c r="J498" s="35"/>
    </row>
    <row r="499" spans="9:10" x14ac:dyDescent="0.25">
      <c r="I499" s="37"/>
      <c r="J499" s="35"/>
    </row>
    <row r="500" spans="9:10" x14ac:dyDescent="0.25">
      <c r="I500" s="37"/>
      <c r="J500" s="35"/>
    </row>
    <row r="501" spans="9:10" x14ac:dyDescent="0.25">
      <c r="I501" s="37"/>
      <c r="J501" s="35"/>
    </row>
    <row r="502" spans="9:10" x14ac:dyDescent="0.25">
      <c r="I502" s="37"/>
      <c r="J502" s="35"/>
    </row>
    <row r="503" spans="9:10" x14ac:dyDescent="0.25">
      <c r="I503" s="37"/>
      <c r="J503" s="35"/>
    </row>
    <row r="504" spans="9:10" x14ac:dyDescent="0.25">
      <c r="I504" s="37"/>
      <c r="J504" s="35"/>
    </row>
    <row r="505" spans="9:10" x14ac:dyDescent="0.25">
      <c r="I505" s="37"/>
      <c r="J505" s="35"/>
    </row>
    <row r="506" spans="9:10" x14ac:dyDescent="0.25">
      <c r="I506" s="37"/>
      <c r="J506" s="35"/>
    </row>
    <row r="507" spans="9:10" x14ac:dyDescent="0.25">
      <c r="I507" s="37"/>
      <c r="J507" s="35"/>
    </row>
    <row r="508" spans="9:10" x14ac:dyDescent="0.25">
      <c r="I508" s="37"/>
      <c r="J508" s="35"/>
    </row>
    <row r="509" spans="9:10" x14ac:dyDescent="0.25">
      <c r="I509" s="37"/>
      <c r="J509" s="35"/>
    </row>
    <row r="510" spans="9:10" x14ac:dyDescent="0.25">
      <c r="I510" s="37"/>
      <c r="J510" s="35"/>
    </row>
    <row r="511" spans="9:10" x14ac:dyDescent="0.25">
      <c r="I511" s="37"/>
      <c r="J511" s="35"/>
    </row>
    <row r="512" spans="9:10" x14ac:dyDescent="0.25">
      <c r="I512" s="37"/>
      <c r="J512" s="35"/>
    </row>
    <row r="513" spans="9:10" x14ac:dyDescent="0.25">
      <c r="I513" s="37"/>
      <c r="J513" s="35"/>
    </row>
    <row r="514" spans="9:10" x14ac:dyDescent="0.25">
      <c r="I514" s="37"/>
      <c r="J514" s="35"/>
    </row>
    <row r="515" spans="9:10" x14ac:dyDescent="0.25">
      <c r="I515" s="37"/>
      <c r="J515" s="35"/>
    </row>
    <row r="516" spans="9:10" x14ac:dyDescent="0.25">
      <c r="I516" s="37"/>
      <c r="J516" s="35"/>
    </row>
    <row r="517" spans="9:10" x14ac:dyDescent="0.25">
      <c r="I517" s="37"/>
      <c r="J517" s="35"/>
    </row>
    <row r="518" spans="9:10" x14ac:dyDescent="0.25">
      <c r="I518" s="37"/>
      <c r="J518" s="35"/>
    </row>
    <row r="519" spans="9:10" x14ac:dyDescent="0.25">
      <c r="I519" s="37"/>
      <c r="J519" s="35"/>
    </row>
    <row r="520" spans="9:10" x14ac:dyDescent="0.25">
      <c r="I520" s="37"/>
      <c r="J520" s="35"/>
    </row>
    <row r="521" spans="9:10" x14ac:dyDescent="0.25">
      <c r="I521" s="37"/>
      <c r="J521" s="35"/>
    </row>
    <row r="522" spans="9:10" x14ac:dyDescent="0.25">
      <c r="I522" s="37"/>
      <c r="J522" s="35"/>
    </row>
    <row r="523" spans="9:10" x14ac:dyDescent="0.25">
      <c r="I523" s="37"/>
      <c r="J523" s="35"/>
    </row>
    <row r="524" spans="9:10" x14ac:dyDescent="0.25">
      <c r="I524" s="37"/>
      <c r="J524" s="35"/>
    </row>
    <row r="525" spans="9:10" x14ac:dyDescent="0.25">
      <c r="I525" s="37"/>
      <c r="J525" s="35"/>
    </row>
    <row r="526" spans="9:10" x14ac:dyDescent="0.25">
      <c r="I526" s="37"/>
      <c r="J526" s="35"/>
    </row>
    <row r="527" spans="9:10" x14ac:dyDescent="0.25">
      <c r="I527" s="37"/>
      <c r="J527" s="35"/>
    </row>
    <row r="528" spans="9:10" x14ac:dyDescent="0.25">
      <c r="I528" s="37"/>
      <c r="J528" s="35"/>
    </row>
    <row r="529" spans="9:10" x14ac:dyDescent="0.25">
      <c r="I529" s="37"/>
      <c r="J529" s="35"/>
    </row>
    <row r="530" spans="9:10" x14ac:dyDescent="0.25">
      <c r="I530" s="37"/>
      <c r="J530" s="35"/>
    </row>
    <row r="531" spans="9:10" x14ac:dyDescent="0.25">
      <c r="I531" s="37"/>
      <c r="J531" s="35"/>
    </row>
    <row r="532" spans="9:10" x14ac:dyDescent="0.25">
      <c r="I532" s="37"/>
      <c r="J532" s="35"/>
    </row>
    <row r="533" spans="9:10" x14ac:dyDescent="0.25">
      <c r="I533" s="37"/>
      <c r="J533" s="35"/>
    </row>
    <row r="534" spans="9:10" x14ac:dyDescent="0.25">
      <c r="I534" s="37"/>
      <c r="J534" s="35"/>
    </row>
    <row r="535" spans="9:10" x14ac:dyDescent="0.25">
      <c r="I535" s="37"/>
      <c r="J535" s="35"/>
    </row>
    <row r="536" spans="9:10" x14ac:dyDescent="0.25">
      <c r="I536" s="37"/>
      <c r="J536" s="35"/>
    </row>
    <row r="537" spans="9:10" x14ac:dyDescent="0.25">
      <c r="I537" s="37"/>
      <c r="J537" s="35"/>
    </row>
    <row r="538" spans="9:10" x14ac:dyDescent="0.25">
      <c r="I538" s="37"/>
      <c r="J538" s="35"/>
    </row>
    <row r="539" spans="9:10" x14ac:dyDescent="0.25">
      <c r="I539" s="37"/>
      <c r="J539" s="35"/>
    </row>
    <row r="540" spans="9:10" x14ac:dyDescent="0.25">
      <c r="I540" s="37"/>
      <c r="J540" s="35"/>
    </row>
    <row r="541" spans="9:10" x14ac:dyDescent="0.25">
      <c r="I541" s="37"/>
      <c r="J541" s="35"/>
    </row>
    <row r="542" spans="9:10" x14ac:dyDescent="0.25">
      <c r="I542" s="37"/>
      <c r="J542" s="35"/>
    </row>
    <row r="543" spans="9:10" x14ac:dyDescent="0.25">
      <c r="I543" s="37"/>
      <c r="J543" s="35"/>
    </row>
    <row r="544" spans="9:10" x14ac:dyDescent="0.25">
      <c r="I544" s="37"/>
      <c r="J544" s="35"/>
    </row>
    <row r="545" spans="9:10" x14ac:dyDescent="0.25">
      <c r="I545" s="37"/>
      <c r="J545" s="35"/>
    </row>
    <row r="546" spans="9:10" x14ac:dyDescent="0.25">
      <c r="I546" s="37"/>
      <c r="J546" s="35"/>
    </row>
    <row r="547" spans="9:10" x14ac:dyDescent="0.25">
      <c r="I547" s="37"/>
      <c r="J547" s="35"/>
    </row>
    <row r="548" spans="9:10" x14ac:dyDescent="0.25">
      <c r="I548" s="37"/>
      <c r="J548" s="35"/>
    </row>
    <row r="549" spans="9:10" x14ac:dyDescent="0.25">
      <c r="I549" s="37"/>
      <c r="J549" s="35"/>
    </row>
    <row r="550" spans="9:10" x14ac:dyDescent="0.25">
      <c r="I550" s="37"/>
      <c r="J550" s="35"/>
    </row>
    <row r="551" spans="9:10" x14ac:dyDescent="0.25">
      <c r="I551" s="37"/>
      <c r="J551" s="35"/>
    </row>
    <row r="552" spans="9:10" x14ac:dyDescent="0.25">
      <c r="I552" s="37"/>
      <c r="J552" s="35"/>
    </row>
    <row r="553" spans="9:10" x14ac:dyDescent="0.25">
      <c r="I553" s="37"/>
      <c r="J553" s="35"/>
    </row>
    <row r="554" spans="9:10" x14ac:dyDescent="0.25">
      <c r="I554" s="37"/>
      <c r="J554" s="35"/>
    </row>
    <row r="555" spans="9:10" x14ac:dyDescent="0.25">
      <c r="I555" s="37"/>
      <c r="J555" s="35"/>
    </row>
    <row r="556" spans="9:10" x14ac:dyDescent="0.25">
      <c r="I556" s="37"/>
      <c r="J556" s="35"/>
    </row>
    <row r="557" spans="9:10" x14ac:dyDescent="0.25">
      <c r="I557" s="37"/>
      <c r="J557" s="35"/>
    </row>
    <row r="558" spans="9:10" x14ac:dyDescent="0.25">
      <c r="I558" s="37"/>
      <c r="J558" s="35"/>
    </row>
    <row r="559" spans="9:10" x14ac:dyDescent="0.25">
      <c r="I559" s="37"/>
      <c r="J559" s="35"/>
    </row>
    <row r="560" spans="9:10" x14ac:dyDescent="0.25">
      <c r="I560" s="37"/>
      <c r="J560" s="35"/>
    </row>
    <row r="561" spans="9:10" x14ac:dyDescent="0.25">
      <c r="I561" s="37"/>
      <c r="J561" s="35"/>
    </row>
    <row r="562" spans="9:10" x14ac:dyDescent="0.25">
      <c r="I562" s="37"/>
      <c r="J562" s="35"/>
    </row>
    <row r="563" spans="9:10" x14ac:dyDescent="0.25">
      <c r="I563" s="37"/>
      <c r="J563" s="35"/>
    </row>
    <row r="564" spans="9:10" x14ac:dyDescent="0.25">
      <c r="I564" s="37"/>
      <c r="J564" s="35"/>
    </row>
    <row r="565" spans="9:10" x14ac:dyDescent="0.25">
      <c r="I565" s="37"/>
      <c r="J565" s="35"/>
    </row>
    <row r="566" spans="9:10" x14ac:dyDescent="0.25">
      <c r="I566" s="37"/>
      <c r="J566" s="35"/>
    </row>
    <row r="567" spans="9:10" x14ac:dyDescent="0.25">
      <c r="I567" s="37"/>
      <c r="J567" s="35"/>
    </row>
    <row r="568" spans="9:10" x14ac:dyDescent="0.25">
      <c r="I568" s="37"/>
      <c r="J568" s="35"/>
    </row>
    <row r="569" spans="9:10" x14ac:dyDescent="0.25">
      <c r="I569" s="37"/>
      <c r="J569" s="35"/>
    </row>
    <row r="570" spans="9:10" x14ac:dyDescent="0.25">
      <c r="I570" s="37"/>
      <c r="J570" s="35"/>
    </row>
    <row r="571" spans="9:10" x14ac:dyDescent="0.25">
      <c r="I571" s="37"/>
      <c r="J571" s="35"/>
    </row>
    <row r="572" spans="9:10" x14ac:dyDescent="0.25">
      <c r="I572" s="37"/>
      <c r="J572" s="35"/>
    </row>
    <row r="573" spans="9:10" x14ac:dyDescent="0.25">
      <c r="I573" s="37"/>
      <c r="J573" s="35"/>
    </row>
    <row r="574" spans="9:10" x14ac:dyDescent="0.25">
      <c r="I574" s="37"/>
      <c r="J574" s="35"/>
    </row>
    <row r="575" spans="9:10" x14ac:dyDescent="0.25">
      <c r="I575" s="37"/>
      <c r="J575" s="35"/>
    </row>
    <row r="576" spans="9:10" x14ac:dyDescent="0.25">
      <c r="I576" s="37"/>
      <c r="J576" s="35"/>
    </row>
    <row r="577" spans="9:10" x14ac:dyDescent="0.25">
      <c r="I577" s="37"/>
      <c r="J577" s="35"/>
    </row>
    <row r="578" spans="9:10" x14ac:dyDescent="0.25">
      <c r="I578" s="37"/>
      <c r="J578" s="35"/>
    </row>
    <row r="579" spans="9:10" x14ac:dyDescent="0.25">
      <c r="I579" s="37"/>
      <c r="J579" s="35"/>
    </row>
    <row r="580" spans="9:10" x14ac:dyDescent="0.25">
      <c r="I580" s="37"/>
      <c r="J580" s="35"/>
    </row>
    <row r="581" spans="9:10" x14ac:dyDescent="0.25">
      <c r="I581" s="37"/>
      <c r="J581" s="35"/>
    </row>
    <row r="582" spans="9:10" x14ac:dyDescent="0.25">
      <c r="I582" s="37"/>
      <c r="J582" s="35"/>
    </row>
    <row r="583" spans="9:10" x14ac:dyDescent="0.25">
      <c r="I583" s="37"/>
      <c r="J583" s="35"/>
    </row>
    <row r="584" spans="9:10" x14ac:dyDescent="0.25">
      <c r="I584" s="37"/>
      <c r="J584" s="35"/>
    </row>
    <row r="585" spans="9:10" x14ac:dyDescent="0.25">
      <c r="I585" s="37"/>
      <c r="J585" s="35"/>
    </row>
    <row r="586" spans="9:10" x14ac:dyDescent="0.25">
      <c r="I586" s="37"/>
      <c r="J586" s="35"/>
    </row>
    <row r="587" spans="9:10" x14ac:dyDescent="0.25">
      <c r="I587" s="37"/>
      <c r="J587" s="35"/>
    </row>
    <row r="588" spans="9:10" x14ac:dyDescent="0.25">
      <c r="I588" s="37"/>
      <c r="J588" s="35"/>
    </row>
    <row r="589" spans="9:10" x14ac:dyDescent="0.25">
      <c r="I589" s="37"/>
      <c r="J589" s="35"/>
    </row>
    <row r="590" spans="9:10" x14ac:dyDescent="0.25">
      <c r="I590" s="37"/>
      <c r="J590" s="35"/>
    </row>
    <row r="591" spans="9:10" x14ac:dyDescent="0.25">
      <c r="I591" s="37"/>
      <c r="J591" s="35"/>
    </row>
    <row r="592" spans="9:10" x14ac:dyDescent="0.25">
      <c r="I592" s="37"/>
      <c r="J592" s="35"/>
    </row>
    <row r="593" spans="9:10" x14ac:dyDescent="0.25">
      <c r="I593" s="37"/>
      <c r="J593" s="35"/>
    </row>
    <row r="594" spans="9:10" x14ac:dyDescent="0.25">
      <c r="I594" s="37"/>
      <c r="J594" s="35"/>
    </row>
    <row r="595" spans="9:10" x14ac:dyDescent="0.25">
      <c r="I595" s="37"/>
      <c r="J595" s="35"/>
    </row>
    <row r="596" spans="9:10" x14ac:dyDescent="0.25">
      <c r="I596" s="37"/>
      <c r="J596" s="35"/>
    </row>
    <row r="597" spans="9:10" x14ac:dyDescent="0.25">
      <c r="I597" s="37"/>
      <c r="J597" s="35"/>
    </row>
    <row r="598" spans="9:10" x14ac:dyDescent="0.25">
      <c r="I598" s="37"/>
      <c r="J598" s="35"/>
    </row>
    <row r="599" spans="9:10" x14ac:dyDescent="0.25">
      <c r="I599" s="37"/>
      <c r="J599" s="35"/>
    </row>
    <row r="600" spans="9:10" x14ac:dyDescent="0.25">
      <c r="I600" s="37"/>
      <c r="J600" s="35"/>
    </row>
    <row r="601" spans="9:10" x14ac:dyDescent="0.25">
      <c r="I601" s="37"/>
      <c r="J601" s="35"/>
    </row>
    <row r="602" spans="9:10" x14ac:dyDescent="0.25">
      <c r="I602" s="37"/>
      <c r="J602" s="35"/>
    </row>
    <row r="603" spans="9:10" x14ac:dyDescent="0.25">
      <c r="I603" s="37"/>
      <c r="J603" s="35"/>
    </row>
    <row r="604" spans="9:10" x14ac:dyDescent="0.25">
      <c r="I604" s="37"/>
      <c r="J604" s="35"/>
    </row>
    <row r="605" spans="9:10" x14ac:dyDescent="0.25">
      <c r="I605" s="37"/>
      <c r="J605" s="35"/>
    </row>
    <row r="606" spans="9:10" x14ac:dyDescent="0.25">
      <c r="I606" s="37"/>
      <c r="J606" s="35"/>
    </row>
    <row r="607" spans="9:10" x14ac:dyDescent="0.25">
      <c r="I607" s="37"/>
      <c r="J607" s="35"/>
    </row>
    <row r="608" spans="9:10" x14ac:dyDescent="0.25">
      <c r="I608" s="37"/>
      <c r="J608" s="35"/>
    </row>
    <row r="609" spans="9:10" x14ac:dyDescent="0.25">
      <c r="I609" s="37"/>
      <c r="J609" s="35"/>
    </row>
    <row r="610" spans="9:10" x14ac:dyDescent="0.25">
      <c r="I610" s="37"/>
      <c r="J610" s="35"/>
    </row>
    <row r="611" spans="9:10" x14ac:dyDescent="0.25">
      <c r="I611" s="37"/>
      <c r="J611" s="35"/>
    </row>
    <row r="612" spans="9:10" x14ac:dyDescent="0.25">
      <c r="I612" s="37"/>
      <c r="J612" s="35"/>
    </row>
    <row r="613" spans="9:10" x14ac:dyDescent="0.25">
      <c r="I613" s="37"/>
      <c r="J613" s="35"/>
    </row>
    <row r="614" spans="9:10" x14ac:dyDescent="0.25">
      <c r="I614" s="37"/>
      <c r="J614" s="35"/>
    </row>
    <row r="615" spans="9:10" x14ac:dyDescent="0.25">
      <c r="I615" s="37"/>
      <c r="J615" s="35"/>
    </row>
    <row r="616" spans="9:10" x14ac:dyDescent="0.25">
      <c r="I616" s="37"/>
      <c r="J616" s="35"/>
    </row>
    <row r="617" spans="9:10" x14ac:dyDescent="0.25">
      <c r="I617" s="37"/>
      <c r="J617" s="35"/>
    </row>
    <row r="618" spans="9:10" x14ac:dyDescent="0.25">
      <c r="I618" s="37"/>
      <c r="J618" s="35"/>
    </row>
    <row r="619" spans="9:10" x14ac:dyDescent="0.25">
      <c r="I619" s="37"/>
      <c r="J619" s="35"/>
    </row>
    <row r="620" spans="9:10" x14ac:dyDescent="0.25">
      <c r="I620" s="37"/>
      <c r="J620" s="35"/>
    </row>
    <row r="621" spans="9:10" x14ac:dyDescent="0.25">
      <c r="I621" s="37"/>
      <c r="J621" s="35"/>
    </row>
    <row r="622" spans="9:10" x14ac:dyDescent="0.25">
      <c r="I622" s="37"/>
      <c r="J622" s="35"/>
    </row>
    <row r="623" spans="9:10" x14ac:dyDescent="0.25">
      <c r="I623" s="37"/>
      <c r="J623" s="35"/>
    </row>
    <row r="624" spans="9:10" x14ac:dyDescent="0.25">
      <c r="I624" s="37"/>
      <c r="J624" s="35"/>
    </row>
    <row r="625" spans="9:10" x14ac:dyDescent="0.25">
      <c r="I625" s="37"/>
      <c r="J625" s="35"/>
    </row>
    <row r="626" spans="9:10" x14ac:dyDescent="0.25">
      <c r="I626" s="37"/>
      <c r="J626" s="35"/>
    </row>
    <row r="627" spans="9:10" x14ac:dyDescent="0.25">
      <c r="I627" s="37"/>
      <c r="J627" s="35"/>
    </row>
    <row r="628" spans="9:10" x14ac:dyDescent="0.25">
      <c r="I628" s="37"/>
      <c r="J628" s="35"/>
    </row>
    <row r="629" spans="9:10" x14ac:dyDescent="0.25">
      <c r="I629" s="37"/>
      <c r="J629" s="35"/>
    </row>
    <row r="630" spans="9:10" x14ac:dyDescent="0.25">
      <c r="I630" s="37"/>
      <c r="J630" s="35"/>
    </row>
    <row r="631" spans="9:10" x14ac:dyDescent="0.25">
      <c r="I631" s="37"/>
      <c r="J631" s="35"/>
    </row>
    <row r="632" spans="9:10" x14ac:dyDescent="0.25">
      <c r="I632" s="37"/>
      <c r="J632" s="35"/>
    </row>
    <row r="633" spans="9:10" x14ac:dyDescent="0.25">
      <c r="I633" s="37"/>
      <c r="J633" s="35"/>
    </row>
    <row r="634" spans="9:10" x14ac:dyDescent="0.25">
      <c r="I634" s="37"/>
      <c r="J634" s="35"/>
    </row>
    <row r="635" spans="9:10" x14ac:dyDescent="0.25">
      <c r="I635" s="37"/>
      <c r="J635" s="35"/>
    </row>
    <row r="636" spans="9:10" x14ac:dyDescent="0.25">
      <c r="I636" s="37"/>
      <c r="J636" s="35"/>
    </row>
    <row r="637" spans="9:10" x14ac:dyDescent="0.25">
      <c r="I637" s="37"/>
      <c r="J637" s="35"/>
    </row>
    <row r="638" spans="9:10" x14ac:dyDescent="0.25">
      <c r="I638" s="37"/>
      <c r="J638" s="35"/>
    </row>
    <row r="639" spans="9:10" x14ac:dyDescent="0.25">
      <c r="I639" s="37"/>
      <c r="J639" s="35"/>
    </row>
    <row r="640" spans="9:10" x14ac:dyDescent="0.25">
      <c r="I640" s="37"/>
      <c r="J640" s="35"/>
    </row>
    <row r="641" spans="9:10" x14ac:dyDescent="0.25">
      <c r="I641" s="37"/>
      <c r="J641" s="35"/>
    </row>
    <row r="642" spans="9:10" x14ac:dyDescent="0.25">
      <c r="I642" s="37"/>
      <c r="J642" s="35"/>
    </row>
    <row r="643" spans="9:10" x14ac:dyDescent="0.25">
      <c r="I643" s="37"/>
      <c r="J643" s="35"/>
    </row>
    <row r="644" spans="9:10" x14ac:dyDescent="0.25">
      <c r="I644" s="37"/>
      <c r="J644" s="35"/>
    </row>
    <row r="645" spans="9:10" x14ac:dyDescent="0.25">
      <c r="I645" s="37"/>
      <c r="J645" s="35"/>
    </row>
    <row r="646" spans="9:10" x14ac:dyDescent="0.25">
      <c r="I646" s="37"/>
      <c r="J646" s="35"/>
    </row>
    <row r="647" spans="9:10" x14ac:dyDescent="0.25">
      <c r="I647" s="37"/>
      <c r="J647" s="35"/>
    </row>
    <row r="648" spans="9:10" x14ac:dyDescent="0.25">
      <c r="I648" s="37"/>
      <c r="J648" s="35"/>
    </row>
    <row r="649" spans="9:10" x14ac:dyDescent="0.25">
      <c r="I649" s="37"/>
      <c r="J649" s="35"/>
    </row>
    <row r="650" spans="9:10" x14ac:dyDescent="0.25">
      <c r="I650" s="37"/>
      <c r="J650" s="35"/>
    </row>
    <row r="651" spans="9:10" x14ac:dyDescent="0.25">
      <c r="I651" s="37"/>
      <c r="J651" s="35"/>
    </row>
    <row r="652" spans="9:10" x14ac:dyDescent="0.25">
      <c r="I652" s="37"/>
      <c r="J652" s="35"/>
    </row>
    <row r="653" spans="9:10" x14ac:dyDescent="0.25">
      <c r="I653" s="37"/>
      <c r="J653" s="35"/>
    </row>
    <row r="654" spans="9:10" x14ac:dyDescent="0.25">
      <c r="I654" s="37"/>
      <c r="J654" s="35"/>
    </row>
    <row r="655" spans="9:10" x14ac:dyDescent="0.25">
      <c r="I655" s="37"/>
      <c r="J655" s="35"/>
    </row>
    <row r="656" spans="9:10" x14ac:dyDescent="0.25">
      <c r="I656" s="37"/>
      <c r="J656" s="35"/>
    </row>
    <row r="657" spans="9:10" x14ac:dyDescent="0.25">
      <c r="I657" s="37"/>
      <c r="J657" s="35"/>
    </row>
    <row r="658" spans="9:10" x14ac:dyDescent="0.25">
      <c r="I658" s="37"/>
      <c r="J658" s="35"/>
    </row>
    <row r="659" spans="9:10" x14ac:dyDescent="0.25">
      <c r="I659" s="37"/>
      <c r="J659" s="35"/>
    </row>
    <row r="660" spans="9:10" x14ac:dyDescent="0.25">
      <c r="I660" s="37"/>
      <c r="J660" s="35"/>
    </row>
    <row r="661" spans="9:10" x14ac:dyDescent="0.25">
      <c r="I661" s="37"/>
      <c r="J661" s="35"/>
    </row>
    <row r="662" spans="9:10" x14ac:dyDescent="0.25">
      <c r="I662" s="37"/>
      <c r="J662" s="35"/>
    </row>
    <row r="663" spans="9:10" x14ac:dyDescent="0.25">
      <c r="I663" s="37"/>
      <c r="J663" s="35"/>
    </row>
    <row r="664" spans="9:10" x14ac:dyDescent="0.25">
      <c r="I664" s="37"/>
      <c r="J664" s="35"/>
    </row>
    <row r="665" spans="9:10" x14ac:dyDescent="0.25">
      <c r="I665" s="37"/>
      <c r="J665" s="35"/>
    </row>
    <row r="666" spans="9:10" x14ac:dyDescent="0.25">
      <c r="I666" s="37"/>
      <c r="J666" s="35"/>
    </row>
    <row r="667" spans="9:10" x14ac:dyDescent="0.25">
      <c r="I667" s="37"/>
      <c r="J667" s="35"/>
    </row>
    <row r="668" spans="9:10" x14ac:dyDescent="0.25">
      <c r="I668" s="37"/>
      <c r="J668" s="35"/>
    </row>
    <row r="669" spans="9:10" x14ac:dyDescent="0.25">
      <c r="I669" s="37"/>
      <c r="J669" s="35"/>
    </row>
    <row r="670" spans="9:10" x14ac:dyDescent="0.25">
      <c r="I670" s="37"/>
      <c r="J670" s="35"/>
    </row>
    <row r="671" spans="9:10" x14ac:dyDescent="0.25">
      <c r="I671" s="37"/>
      <c r="J671" s="35"/>
    </row>
    <row r="672" spans="9:10" x14ac:dyDescent="0.25">
      <c r="I672" s="37"/>
      <c r="J672" s="35"/>
    </row>
    <row r="673" spans="9:10" x14ac:dyDescent="0.25">
      <c r="I673" s="37"/>
      <c r="J673" s="35"/>
    </row>
    <row r="674" spans="9:10" x14ac:dyDescent="0.25">
      <c r="I674" s="37"/>
      <c r="J674" s="35"/>
    </row>
    <row r="675" spans="9:10" x14ac:dyDescent="0.25">
      <c r="I675" s="37"/>
      <c r="J675" s="35"/>
    </row>
    <row r="676" spans="9:10" x14ac:dyDescent="0.25">
      <c r="I676" s="37"/>
      <c r="J676" s="35"/>
    </row>
    <row r="677" spans="9:10" x14ac:dyDescent="0.25">
      <c r="I677" s="37"/>
      <c r="J677" s="35"/>
    </row>
    <row r="678" spans="9:10" x14ac:dyDescent="0.25">
      <c r="I678" s="37"/>
      <c r="J678" s="35"/>
    </row>
    <row r="679" spans="9:10" x14ac:dyDescent="0.25">
      <c r="I679" s="37"/>
      <c r="J679" s="35"/>
    </row>
    <row r="680" spans="9:10" x14ac:dyDescent="0.25">
      <c r="I680" s="37"/>
      <c r="J680" s="35"/>
    </row>
    <row r="681" spans="9:10" x14ac:dyDescent="0.25">
      <c r="I681" s="37"/>
      <c r="J681" s="35"/>
    </row>
    <row r="682" spans="9:10" x14ac:dyDescent="0.25">
      <c r="I682" s="37"/>
      <c r="J682" s="35"/>
    </row>
    <row r="683" spans="9:10" x14ac:dyDescent="0.25">
      <c r="I683" s="37"/>
      <c r="J683" s="35"/>
    </row>
    <row r="684" spans="9:10" x14ac:dyDescent="0.25">
      <c r="I684" s="37"/>
      <c r="J684" s="35"/>
    </row>
    <row r="685" spans="9:10" x14ac:dyDescent="0.25">
      <c r="I685" s="37"/>
      <c r="J685" s="35"/>
    </row>
    <row r="686" spans="9:10" x14ac:dyDescent="0.25">
      <c r="I686" s="37"/>
      <c r="J686" s="35"/>
    </row>
    <row r="687" spans="9:10" x14ac:dyDescent="0.25">
      <c r="I687" s="37"/>
      <c r="J687" s="35"/>
    </row>
    <row r="688" spans="9:10" x14ac:dyDescent="0.25">
      <c r="I688" s="37"/>
      <c r="J688" s="35"/>
    </row>
    <row r="689" spans="9:10" x14ac:dyDescent="0.25">
      <c r="I689" s="37"/>
      <c r="J689" s="35"/>
    </row>
    <row r="690" spans="9:10" x14ac:dyDescent="0.25">
      <c r="I690" s="37"/>
      <c r="J690" s="35"/>
    </row>
    <row r="691" spans="9:10" x14ac:dyDescent="0.25">
      <c r="I691" s="37"/>
      <c r="J691" s="35"/>
    </row>
    <row r="692" spans="9:10" x14ac:dyDescent="0.25">
      <c r="I692" s="37"/>
      <c r="J692" s="35"/>
    </row>
    <row r="693" spans="9:10" x14ac:dyDescent="0.25">
      <c r="I693" s="37"/>
      <c r="J693" s="35"/>
    </row>
    <row r="694" spans="9:10" x14ac:dyDescent="0.25">
      <c r="I694" s="37"/>
      <c r="J694" s="35"/>
    </row>
    <row r="695" spans="9:10" x14ac:dyDescent="0.25">
      <c r="I695" s="37"/>
      <c r="J695" s="35"/>
    </row>
    <row r="696" spans="9:10" x14ac:dyDescent="0.25">
      <c r="I696" s="37"/>
      <c r="J696" s="35"/>
    </row>
    <row r="697" spans="9:10" x14ac:dyDescent="0.25">
      <c r="I697" s="37"/>
      <c r="J697" s="35"/>
    </row>
    <row r="698" spans="9:10" x14ac:dyDescent="0.25">
      <c r="I698" s="37"/>
      <c r="J698" s="35"/>
    </row>
    <row r="699" spans="9:10" x14ac:dyDescent="0.25">
      <c r="I699" s="37"/>
      <c r="J699" s="35"/>
    </row>
    <row r="700" spans="9:10" x14ac:dyDescent="0.25">
      <c r="I700" s="37"/>
      <c r="J700" s="35"/>
    </row>
    <row r="701" spans="9:10" x14ac:dyDescent="0.25">
      <c r="I701" s="37"/>
      <c r="J701" s="35"/>
    </row>
    <row r="702" spans="9:10" x14ac:dyDescent="0.25">
      <c r="I702" s="37"/>
      <c r="J702" s="35"/>
    </row>
    <row r="703" spans="9:10" x14ac:dyDescent="0.25">
      <c r="I703" s="37"/>
      <c r="J703" s="35"/>
    </row>
    <row r="704" spans="9:10" x14ac:dyDescent="0.25">
      <c r="I704" s="37"/>
      <c r="J704" s="35"/>
    </row>
    <row r="705" spans="9:10" x14ac:dyDescent="0.25">
      <c r="I705" s="37"/>
      <c r="J705" s="35"/>
    </row>
    <row r="706" spans="9:10" x14ac:dyDescent="0.25">
      <c r="I706" s="37"/>
      <c r="J706" s="35"/>
    </row>
    <row r="707" spans="9:10" x14ac:dyDescent="0.25">
      <c r="I707" s="37"/>
      <c r="J707" s="35"/>
    </row>
    <row r="708" spans="9:10" x14ac:dyDescent="0.25">
      <c r="I708" s="37"/>
      <c r="J708" s="35"/>
    </row>
    <row r="709" spans="9:10" x14ac:dyDescent="0.25">
      <c r="I709" s="37"/>
      <c r="J709" s="35"/>
    </row>
    <row r="710" spans="9:10" x14ac:dyDescent="0.25">
      <c r="I710" s="37"/>
      <c r="J710" s="35"/>
    </row>
    <row r="711" spans="9:10" x14ac:dyDescent="0.25">
      <c r="I711" s="37"/>
      <c r="J711" s="35"/>
    </row>
    <row r="712" spans="9:10" x14ac:dyDescent="0.25">
      <c r="I712" s="37"/>
      <c r="J712" s="35"/>
    </row>
    <row r="713" spans="9:10" x14ac:dyDescent="0.25">
      <c r="I713" s="37"/>
      <c r="J713" s="35"/>
    </row>
    <row r="714" spans="9:10" x14ac:dyDescent="0.25">
      <c r="I714" s="37"/>
      <c r="J714" s="35"/>
    </row>
    <row r="715" spans="9:10" x14ac:dyDescent="0.25">
      <c r="I715" s="37"/>
      <c r="J715" s="35"/>
    </row>
    <row r="716" spans="9:10" x14ac:dyDescent="0.25">
      <c r="I716" s="37"/>
      <c r="J716" s="35"/>
    </row>
    <row r="717" spans="9:10" x14ac:dyDescent="0.25">
      <c r="I717" s="37"/>
      <c r="J717" s="35"/>
    </row>
    <row r="718" spans="9:10" x14ac:dyDescent="0.25">
      <c r="I718" s="37"/>
      <c r="J718" s="35"/>
    </row>
    <row r="719" spans="9:10" x14ac:dyDescent="0.25">
      <c r="I719" s="37"/>
      <c r="J719" s="35"/>
    </row>
    <row r="720" spans="9:10" x14ac:dyDescent="0.25">
      <c r="I720" s="37"/>
      <c r="J720" s="35"/>
    </row>
    <row r="721" spans="9:10" x14ac:dyDescent="0.25">
      <c r="I721" s="37"/>
      <c r="J721" s="35"/>
    </row>
    <row r="722" spans="9:10" x14ac:dyDescent="0.25">
      <c r="I722" s="37"/>
      <c r="J722" s="35"/>
    </row>
    <row r="723" spans="9:10" x14ac:dyDescent="0.25">
      <c r="I723" s="37"/>
      <c r="J723" s="35"/>
    </row>
    <row r="724" spans="9:10" x14ac:dyDescent="0.25">
      <c r="I724" s="37"/>
      <c r="J724" s="35"/>
    </row>
    <row r="725" spans="9:10" x14ac:dyDescent="0.25">
      <c r="I725" s="37"/>
      <c r="J725" s="35"/>
    </row>
    <row r="726" spans="9:10" x14ac:dyDescent="0.25">
      <c r="I726" s="37"/>
      <c r="J726" s="35"/>
    </row>
    <row r="727" spans="9:10" x14ac:dyDescent="0.25">
      <c r="I727" s="37"/>
      <c r="J727" s="35"/>
    </row>
    <row r="728" spans="9:10" x14ac:dyDescent="0.25">
      <c r="I728" s="37"/>
      <c r="J728" s="35"/>
    </row>
    <row r="729" spans="9:10" x14ac:dyDescent="0.25">
      <c r="I729" s="37"/>
      <c r="J729" s="35"/>
    </row>
    <row r="730" spans="9:10" x14ac:dyDescent="0.25">
      <c r="I730" s="37"/>
      <c r="J730" s="35"/>
    </row>
    <row r="731" spans="9:10" x14ac:dyDescent="0.25">
      <c r="I731" s="37"/>
      <c r="J731" s="35"/>
    </row>
    <row r="732" spans="9:10" x14ac:dyDescent="0.25">
      <c r="I732" s="37"/>
      <c r="J732" s="35"/>
    </row>
    <row r="733" spans="9:10" x14ac:dyDescent="0.25">
      <c r="I733" s="37"/>
      <c r="J733" s="35"/>
    </row>
    <row r="734" spans="9:10" x14ac:dyDescent="0.25">
      <c r="I734" s="37"/>
      <c r="J734" s="35"/>
    </row>
    <row r="735" spans="9:10" x14ac:dyDescent="0.25">
      <c r="I735" s="37"/>
      <c r="J735" s="35"/>
    </row>
    <row r="736" spans="9:10" x14ac:dyDescent="0.25">
      <c r="I736" s="37"/>
      <c r="J736" s="35"/>
    </row>
    <row r="737" spans="9:10" x14ac:dyDescent="0.25">
      <c r="I737" s="37"/>
      <c r="J737" s="35"/>
    </row>
    <row r="738" spans="9:10" x14ac:dyDescent="0.25">
      <c r="I738" s="37"/>
      <c r="J738" s="35"/>
    </row>
    <row r="739" spans="9:10" x14ac:dyDescent="0.25">
      <c r="I739" s="37"/>
      <c r="J739" s="35"/>
    </row>
    <row r="740" spans="9:10" x14ac:dyDescent="0.25">
      <c r="I740" s="37"/>
      <c r="J740" s="35"/>
    </row>
    <row r="741" spans="9:10" x14ac:dyDescent="0.25">
      <c r="I741" s="37"/>
      <c r="J741" s="35"/>
    </row>
    <row r="742" spans="9:10" x14ac:dyDescent="0.25">
      <c r="I742" s="37"/>
      <c r="J742" s="35"/>
    </row>
    <row r="743" spans="9:10" x14ac:dyDescent="0.25">
      <c r="I743" s="37"/>
      <c r="J743" s="35"/>
    </row>
    <row r="744" spans="9:10" x14ac:dyDescent="0.25">
      <c r="I744" s="37"/>
      <c r="J744" s="35"/>
    </row>
    <row r="745" spans="9:10" x14ac:dyDescent="0.25">
      <c r="I745" s="37"/>
      <c r="J745" s="35"/>
    </row>
    <row r="746" spans="9:10" x14ac:dyDescent="0.25">
      <c r="I746" s="37"/>
      <c r="J746" s="35"/>
    </row>
    <row r="747" spans="9:10" x14ac:dyDescent="0.25">
      <c r="I747" s="37"/>
      <c r="J747" s="35"/>
    </row>
    <row r="748" spans="9:10" x14ac:dyDescent="0.25">
      <c r="I748" s="37"/>
      <c r="J748" s="35"/>
    </row>
    <row r="749" spans="9:10" x14ac:dyDescent="0.25">
      <c r="I749" s="37"/>
      <c r="J749" s="35"/>
    </row>
    <row r="750" spans="9:10" x14ac:dyDescent="0.25">
      <c r="I750" s="37"/>
      <c r="J750" s="35"/>
    </row>
    <row r="751" spans="9:10" x14ac:dyDescent="0.25">
      <c r="I751" s="37"/>
      <c r="J751" s="35"/>
    </row>
    <row r="752" spans="9:10" x14ac:dyDescent="0.25">
      <c r="I752" s="37"/>
      <c r="J752" s="35"/>
    </row>
    <row r="753" spans="9:10" x14ac:dyDescent="0.25">
      <c r="I753" s="37"/>
      <c r="J753" s="35"/>
    </row>
    <row r="754" spans="9:10" x14ac:dyDescent="0.25">
      <c r="I754" s="37"/>
      <c r="J754" s="35"/>
    </row>
    <row r="755" spans="9:10" x14ac:dyDescent="0.25">
      <c r="I755" s="37"/>
      <c r="J755" s="35"/>
    </row>
    <row r="756" spans="9:10" x14ac:dyDescent="0.25">
      <c r="I756" s="37"/>
      <c r="J756" s="35"/>
    </row>
    <row r="757" spans="9:10" x14ac:dyDescent="0.25">
      <c r="I757" s="37"/>
      <c r="J757" s="35"/>
    </row>
    <row r="758" spans="9:10" x14ac:dyDescent="0.25">
      <c r="I758" s="37"/>
      <c r="J758" s="35"/>
    </row>
    <row r="759" spans="9:10" x14ac:dyDescent="0.25">
      <c r="I759" s="37"/>
      <c r="J759" s="35"/>
    </row>
    <row r="760" spans="9:10" x14ac:dyDescent="0.25">
      <c r="I760" s="37"/>
      <c r="J760" s="35"/>
    </row>
    <row r="761" spans="9:10" x14ac:dyDescent="0.25">
      <c r="I761" s="37"/>
      <c r="J761" s="35"/>
    </row>
    <row r="762" spans="9:10" x14ac:dyDescent="0.25">
      <c r="I762" s="37"/>
      <c r="J762" s="35"/>
    </row>
    <row r="763" spans="9:10" x14ac:dyDescent="0.25">
      <c r="I763" s="37"/>
      <c r="J763" s="35"/>
    </row>
    <row r="764" spans="9:10" x14ac:dyDescent="0.25">
      <c r="I764" s="37"/>
      <c r="J764" s="35"/>
    </row>
    <row r="765" spans="9:10" x14ac:dyDescent="0.25">
      <c r="I765" s="37"/>
      <c r="J765" s="35"/>
    </row>
    <row r="766" spans="9:10" x14ac:dyDescent="0.25">
      <c r="I766" s="37"/>
      <c r="J766" s="35"/>
    </row>
    <row r="767" spans="9:10" x14ac:dyDescent="0.25">
      <c r="I767" s="37"/>
      <c r="J767" s="35"/>
    </row>
    <row r="768" spans="9:10" x14ac:dyDescent="0.25">
      <c r="I768" s="37"/>
      <c r="J768" s="35"/>
    </row>
    <row r="769" spans="9:10" x14ac:dyDescent="0.25">
      <c r="I769" s="37"/>
      <c r="J769" s="35"/>
    </row>
    <row r="770" spans="9:10" x14ac:dyDescent="0.25">
      <c r="I770" s="37"/>
      <c r="J770" s="35"/>
    </row>
    <row r="771" spans="9:10" x14ac:dyDescent="0.25">
      <c r="I771" s="37"/>
      <c r="J771" s="35"/>
    </row>
    <row r="772" spans="9:10" x14ac:dyDescent="0.25">
      <c r="I772" s="37"/>
      <c r="J772" s="35"/>
    </row>
    <row r="773" spans="9:10" x14ac:dyDescent="0.25">
      <c r="I773" s="37"/>
      <c r="J773" s="35"/>
    </row>
    <row r="774" spans="9:10" x14ac:dyDescent="0.25">
      <c r="I774" s="37"/>
      <c r="J774" s="35"/>
    </row>
    <row r="775" spans="9:10" x14ac:dyDescent="0.25">
      <c r="I775" s="37"/>
      <c r="J775" s="35"/>
    </row>
    <row r="776" spans="9:10" x14ac:dyDescent="0.25">
      <c r="I776" s="37"/>
      <c r="J776" s="35"/>
    </row>
    <row r="777" spans="9:10" x14ac:dyDescent="0.25">
      <c r="I777" s="37"/>
      <c r="J777" s="35"/>
    </row>
    <row r="778" spans="9:10" x14ac:dyDescent="0.25">
      <c r="I778" s="37"/>
      <c r="J778" s="35"/>
    </row>
    <row r="779" spans="9:10" x14ac:dyDescent="0.25">
      <c r="I779" s="37"/>
      <c r="J779" s="35"/>
    </row>
    <row r="780" spans="9:10" x14ac:dyDescent="0.25">
      <c r="I780" s="37"/>
      <c r="J780" s="35"/>
    </row>
    <row r="781" spans="9:10" x14ac:dyDescent="0.25">
      <c r="I781" s="37"/>
      <c r="J781" s="35"/>
    </row>
    <row r="782" spans="9:10" x14ac:dyDescent="0.25">
      <c r="I782" s="37"/>
      <c r="J782" s="35"/>
    </row>
    <row r="783" spans="9:10" x14ac:dyDescent="0.25">
      <c r="I783" s="37"/>
      <c r="J783" s="35"/>
    </row>
    <row r="784" spans="9:10" x14ac:dyDescent="0.25">
      <c r="I784" s="37"/>
      <c r="J784" s="35"/>
    </row>
    <row r="785" spans="9:10" x14ac:dyDescent="0.25">
      <c r="I785" s="37"/>
      <c r="J785" s="35"/>
    </row>
    <row r="786" spans="9:10" x14ac:dyDescent="0.25">
      <c r="I786" s="37"/>
      <c r="J786" s="35"/>
    </row>
    <row r="787" spans="9:10" x14ac:dyDescent="0.25">
      <c r="I787" s="37"/>
      <c r="J787" s="35"/>
    </row>
    <row r="788" spans="9:10" x14ac:dyDescent="0.25">
      <c r="I788" s="37"/>
      <c r="J788" s="35"/>
    </row>
    <row r="789" spans="9:10" x14ac:dyDescent="0.25">
      <c r="I789" s="37"/>
      <c r="J789" s="35"/>
    </row>
    <row r="790" spans="9:10" x14ac:dyDescent="0.25">
      <c r="I790" s="37"/>
      <c r="J790" s="35"/>
    </row>
    <row r="791" spans="9:10" x14ac:dyDescent="0.25">
      <c r="I791" s="37"/>
      <c r="J791" s="35"/>
    </row>
    <row r="792" spans="9:10" x14ac:dyDescent="0.25">
      <c r="I792" s="37"/>
      <c r="J792" s="35"/>
    </row>
    <row r="793" spans="9:10" x14ac:dyDescent="0.25">
      <c r="I793" s="37"/>
      <c r="J793" s="35"/>
    </row>
    <row r="794" spans="9:10" x14ac:dyDescent="0.25">
      <c r="I794" s="37"/>
      <c r="J794" s="35"/>
    </row>
    <row r="795" spans="9:10" x14ac:dyDescent="0.25">
      <c r="I795" s="37"/>
      <c r="J795" s="35"/>
    </row>
    <row r="796" spans="9:10" x14ac:dyDescent="0.25">
      <c r="I796" s="37"/>
      <c r="J796" s="35"/>
    </row>
    <row r="797" spans="9:10" x14ac:dyDescent="0.25">
      <c r="I797" s="37"/>
      <c r="J797" s="35"/>
    </row>
    <row r="798" spans="9:10" x14ac:dyDescent="0.25">
      <c r="I798" s="37"/>
      <c r="J798" s="35"/>
    </row>
    <row r="799" spans="9:10" x14ac:dyDescent="0.25">
      <c r="I799" s="37"/>
      <c r="J799" s="35"/>
    </row>
    <row r="800" spans="9:10" x14ac:dyDescent="0.25">
      <c r="I800" s="37"/>
      <c r="J800" s="35"/>
    </row>
    <row r="801" spans="9:10" x14ac:dyDescent="0.25">
      <c r="I801" s="37"/>
      <c r="J801" s="35"/>
    </row>
    <row r="802" spans="9:10" x14ac:dyDescent="0.25">
      <c r="I802" s="37"/>
      <c r="J802" s="35"/>
    </row>
    <row r="803" spans="9:10" x14ac:dyDescent="0.25">
      <c r="I803" s="37"/>
      <c r="J803" s="35"/>
    </row>
    <row r="804" spans="9:10" x14ac:dyDescent="0.25">
      <c r="I804" s="37"/>
      <c r="J804" s="35"/>
    </row>
    <row r="805" spans="9:10" x14ac:dyDescent="0.25">
      <c r="I805" s="37"/>
      <c r="J805" s="35"/>
    </row>
    <row r="806" spans="9:10" x14ac:dyDescent="0.25">
      <c r="I806" s="37"/>
      <c r="J806" s="35"/>
    </row>
    <row r="807" spans="9:10" x14ac:dyDescent="0.25">
      <c r="I807" s="37"/>
      <c r="J807" s="35"/>
    </row>
    <row r="808" spans="9:10" x14ac:dyDescent="0.25">
      <c r="I808" s="37"/>
      <c r="J808" s="35"/>
    </row>
    <row r="809" spans="9:10" x14ac:dyDescent="0.25">
      <c r="I809" s="37"/>
      <c r="J809" s="35"/>
    </row>
    <row r="810" spans="9:10" x14ac:dyDescent="0.25">
      <c r="I810" s="37"/>
      <c r="J810" s="35"/>
    </row>
    <row r="811" spans="9:10" x14ac:dyDescent="0.25">
      <c r="I811" s="37"/>
      <c r="J811" s="35"/>
    </row>
    <row r="812" spans="9:10" x14ac:dyDescent="0.25">
      <c r="I812" s="37"/>
      <c r="J812" s="35"/>
    </row>
    <row r="813" spans="9:10" x14ac:dyDescent="0.25">
      <c r="I813" s="37"/>
      <c r="J813" s="35"/>
    </row>
    <row r="814" spans="9:10" x14ac:dyDescent="0.25">
      <c r="I814" s="37"/>
      <c r="J814" s="35"/>
    </row>
    <row r="815" spans="9:10" x14ac:dyDescent="0.25">
      <c r="I815" s="37"/>
      <c r="J815" s="35"/>
    </row>
    <row r="816" spans="9:10" x14ac:dyDescent="0.25">
      <c r="I816" s="37"/>
      <c r="J816" s="35"/>
    </row>
    <row r="817" spans="9:10" x14ac:dyDescent="0.25">
      <c r="I817" s="37"/>
      <c r="J817" s="35"/>
    </row>
    <row r="818" spans="9:10" x14ac:dyDescent="0.25">
      <c r="I818" s="37"/>
      <c r="J818" s="35"/>
    </row>
    <row r="819" spans="9:10" x14ac:dyDescent="0.25">
      <c r="I819" s="37"/>
      <c r="J819" s="35"/>
    </row>
    <row r="820" spans="9:10" x14ac:dyDescent="0.25">
      <c r="I820" s="37"/>
      <c r="J820" s="35"/>
    </row>
    <row r="821" spans="9:10" x14ac:dyDescent="0.25">
      <c r="I821" s="37"/>
      <c r="J821" s="35"/>
    </row>
    <row r="822" spans="9:10" x14ac:dyDescent="0.25">
      <c r="I822" s="37"/>
      <c r="J822" s="35"/>
    </row>
    <row r="823" spans="9:10" x14ac:dyDescent="0.25">
      <c r="I823" s="37"/>
      <c r="J823" s="35"/>
    </row>
    <row r="824" spans="9:10" x14ac:dyDescent="0.25">
      <c r="I824" s="37"/>
      <c r="J824" s="35"/>
    </row>
    <row r="825" spans="9:10" x14ac:dyDescent="0.25">
      <c r="I825" s="37"/>
      <c r="J825" s="35"/>
    </row>
    <row r="826" spans="9:10" x14ac:dyDescent="0.25">
      <c r="I826" s="37"/>
      <c r="J826" s="35"/>
    </row>
    <row r="827" spans="9:10" x14ac:dyDescent="0.25">
      <c r="I827" s="37"/>
      <c r="J827" s="35"/>
    </row>
    <row r="828" spans="9:10" x14ac:dyDescent="0.25">
      <c r="I828" s="37"/>
      <c r="J828" s="35"/>
    </row>
    <row r="829" spans="9:10" x14ac:dyDescent="0.25">
      <c r="I829" s="37"/>
      <c r="J829" s="35"/>
    </row>
    <row r="830" spans="9:10" x14ac:dyDescent="0.25">
      <c r="I830" s="37"/>
      <c r="J830" s="35"/>
    </row>
    <row r="831" spans="9:10" x14ac:dyDescent="0.25">
      <c r="I831" s="37"/>
      <c r="J831" s="35"/>
    </row>
    <row r="832" spans="9:10" x14ac:dyDescent="0.25">
      <c r="I832" s="37"/>
      <c r="J832" s="35"/>
    </row>
    <row r="833" spans="9:10" x14ac:dyDescent="0.25">
      <c r="I833" s="37"/>
      <c r="J833" s="35"/>
    </row>
    <row r="834" spans="9:10" x14ac:dyDescent="0.25">
      <c r="I834" s="37"/>
      <c r="J834" s="35"/>
    </row>
    <row r="835" spans="9:10" x14ac:dyDescent="0.25">
      <c r="I835" s="37"/>
      <c r="J835" s="35"/>
    </row>
    <row r="836" spans="9:10" x14ac:dyDescent="0.25">
      <c r="I836" s="37"/>
      <c r="J836" s="35"/>
    </row>
    <row r="837" spans="9:10" x14ac:dyDescent="0.25">
      <c r="I837" s="37"/>
      <c r="J837" s="35"/>
    </row>
    <row r="838" spans="9:10" x14ac:dyDescent="0.25">
      <c r="I838" s="37"/>
      <c r="J838" s="35"/>
    </row>
    <row r="839" spans="9:10" x14ac:dyDescent="0.25">
      <c r="I839" s="37"/>
      <c r="J839" s="35"/>
    </row>
    <row r="840" spans="9:10" x14ac:dyDescent="0.25">
      <c r="I840" s="37"/>
      <c r="J840" s="35"/>
    </row>
    <row r="841" spans="9:10" x14ac:dyDescent="0.25">
      <c r="I841" s="37"/>
      <c r="J841" s="35"/>
    </row>
    <row r="842" spans="9:10" x14ac:dyDescent="0.25">
      <c r="I842" s="37"/>
      <c r="J842" s="35"/>
    </row>
    <row r="843" spans="9:10" x14ac:dyDescent="0.25">
      <c r="I843" s="37"/>
      <c r="J843" s="35"/>
    </row>
    <row r="844" spans="9:10" x14ac:dyDescent="0.25">
      <c r="I844" s="37"/>
      <c r="J844" s="35"/>
    </row>
    <row r="845" spans="9:10" x14ac:dyDescent="0.25">
      <c r="I845" s="37"/>
      <c r="J845" s="35"/>
    </row>
    <row r="846" spans="9:10" x14ac:dyDescent="0.25">
      <c r="I846" s="37"/>
      <c r="J846" s="35"/>
    </row>
    <row r="847" spans="9:10" x14ac:dyDescent="0.25">
      <c r="I847" s="37"/>
      <c r="J847" s="35"/>
    </row>
    <row r="848" spans="9:10" x14ac:dyDescent="0.25">
      <c r="I848" s="37"/>
      <c r="J848" s="35"/>
    </row>
    <row r="849" spans="9:10" x14ac:dyDescent="0.25">
      <c r="I849" s="37"/>
      <c r="J849" s="35"/>
    </row>
    <row r="850" spans="9:10" x14ac:dyDescent="0.25">
      <c r="I850" s="37"/>
      <c r="J850" s="35"/>
    </row>
    <row r="851" spans="9:10" x14ac:dyDescent="0.25">
      <c r="I851" s="37"/>
      <c r="J851" s="35"/>
    </row>
    <row r="852" spans="9:10" x14ac:dyDescent="0.25">
      <c r="I852" s="37"/>
      <c r="J852" s="35"/>
    </row>
    <row r="853" spans="9:10" x14ac:dyDescent="0.25">
      <c r="I853" s="37"/>
      <c r="J853" s="35"/>
    </row>
    <row r="854" spans="9:10" x14ac:dyDescent="0.25">
      <c r="I854" s="37"/>
      <c r="J854" s="35"/>
    </row>
    <row r="855" spans="9:10" x14ac:dyDescent="0.25">
      <c r="I855" s="37"/>
      <c r="J855" s="35"/>
    </row>
    <row r="856" spans="9:10" x14ac:dyDescent="0.25">
      <c r="I856" s="37"/>
      <c r="J856" s="35"/>
    </row>
    <row r="857" spans="9:10" x14ac:dyDescent="0.25">
      <c r="I857" s="37"/>
      <c r="J857" s="35"/>
    </row>
    <row r="858" spans="9:10" x14ac:dyDescent="0.25">
      <c r="I858" s="37"/>
      <c r="J858" s="35"/>
    </row>
    <row r="859" spans="9:10" x14ac:dyDescent="0.25">
      <c r="I859" s="37"/>
      <c r="J859" s="35"/>
    </row>
    <row r="860" spans="9:10" x14ac:dyDescent="0.25">
      <c r="I860" s="37"/>
      <c r="J860" s="35"/>
    </row>
    <row r="861" spans="9:10" x14ac:dyDescent="0.25">
      <c r="I861" s="37"/>
      <c r="J861" s="35"/>
    </row>
    <row r="862" spans="9:10" x14ac:dyDescent="0.25">
      <c r="I862" s="37"/>
      <c r="J862" s="35"/>
    </row>
    <row r="863" spans="9:10" x14ac:dyDescent="0.25">
      <c r="I863" s="37"/>
      <c r="J863" s="35"/>
    </row>
    <row r="864" spans="9:10" x14ac:dyDescent="0.25">
      <c r="I864" s="37"/>
      <c r="J864" s="35"/>
    </row>
    <row r="865" spans="9:10" x14ac:dyDescent="0.25">
      <c r="I865" s="37"/>
      <c r="J865" s="35"/>
    </row>
    <row r="866" spans="9:10" x14ac:dyDescent="0.25">
      <c r="I866" s="37"/>
      <c r="J866" s="35"/>
    </row>
    <row r="867" spans="9:10" x14ac:dyDescent="0.25">
      <c r="I867" s="37"/>
      <c r="J867" s="35"/>
    </row>
    <row r="868" spans="9:10" x14ac:dyDescent="0.25">
      <c r="I868" s="37"/>
      <c r="J868" s="35"/>
    </row>
    <row r="869" spans="9:10" x14ac:dyDescent="0.25">
      <c r="I869" s="37"/>
      <c r="J869" s="35"/>
    </row>
    <row r="870" spans="9:10" x14ac:dyDescent="0.25">
      <c r="I870" s="37"/>
      <c r="J870" s="35"/>
    </row>
    <row r="871" spans="9:10" x14ac:dyDescent="0.25">
      <c r="I871" s="37"/>
      <c r="J871" s="35"/>
    </row>
    <row r="872" spans="9:10" x14ac:dyDescent="0.25">
      <c r="I872" s="37"/>
      <c r="J872" s="35"/>
    </row>
    <row r="873" spans="9:10" x14ac:dyDescent="0.25">
      <c r="I873" s="37"/>
      <c r="J873" s="35"/>
    </row>
    <row r="874" spans="9:10" x14ac:dyDescent="0.25">
      <c r="I874" s="37"/>
      <c r="J874" s="35"/>
    </row>
    <row r="875" spans="9:10" x14ac:dyDescent="0.25">
      <c r="I875" s="37"/>
      <c r="J875" s="35"/>
    </row>
    <row r="876" spans="9:10" x14ac:dyDescent="0.25">
      <c r="I876" s="37"/>
      <c r="J876" s="35"/>
    </row>
    <row r="877" spans="9:10" x14ac:dyDescent="0.25">
      <c r="I877" s="37"/>
      <c r="J877" s="35"/>
    </row>
    <row r="878" spans="9:10" x14ac:dyDescent="0.25">
      <c r="I878" s="37"/>
      <c r="J878" s="35"/>
    </row>
    <row r="879" spans="9:10" x14ac:dyDescent="0.25">
      <c r="I879" s="37"/>
      <c r="J879" s="35"/>
    </row>
    <row r="880" spans="9:10" x14ac:dyDescent="0.25">
      <c r="I880" s="37"/>
      <c r="J880" s="35"/>
    </row>
    <row r="881" spans="9:10" x14ac:dyDescent="0.25">
      <c r="I881" s="37"/>
      <c r="J881" s="35"/>
    </row>
    <row r="882" spans="9:10" x14ac:dyDescent="0.25">
      <c r="I882" s="37"/>
      <c r="J882" s="35"/>
    </row>
    <row r="883" spans="9:10" x14ac:dyDescent="0.25">
      <c r="I883" s="37"/>
      <c r="J883" s="35"/>
    </row>
    <row r="884" spans="9:10" x14ac:dyDescent="0.25">
      <c r="I884" s="37"/>
      <c r="J884" s="35"/>
    </row>
    <row r="885" spans="9:10" x14ac:dyDescent="0.25">
      <c r="I885" s="37"/>
      <c r="J885" s="35"/>
    </row>
    <row r="886" spans="9:10" x14ac:dyDescent="0.25">
      <c r="I886" s="37"/>
      <c r="J886" s="35"/>
    </row>
    <row r="887" spans="9:10" x14ac:dyDescent="0.25">
      <c r="I887" s="37"/>
      <c r="J887" s="35"/>
    </row>
    <row r="888" spans="9:10" x14ac:dyDescent="0.25">
      <c r="I888" s="37"/>
      <c r="J888" s="35"/>
    </row>
    <row r="889" spans="9:10" x14ac:dyDescent="0.25">
      <c r="I889" s="37"/>
      <c r="J889" s="35"/>
    </row>
    <row r="890" spans="9:10" x14ac:dyDescent="0.25">
      <c r="I890" s="37"/>
      <c r="J890" s="35"/>
    </row>
    <row r="891" spans="9:10" x14ac:dyDescent="0.25">
      <c r="I891" s="37"/>
      <c r="J891" s="35"/>
    </row>
    <row r="892" spans="9:10" x14ac:dyDescent="0.25">
      <c r="I892" s="37"/>
      <c r="J892" s="35"/>
    </row>
    <row r="893" spans="9:10" x14ac:dyDescent="0.25">
      <c r="I893" s="37"/>
      <c r="J893" s="35"/>
    </row>
    <row r="894" spans="9:10" x14ac:dyDescent="0.25">
      <c r="I894" s="37"/>
      <c r="J894" s="35"/>
    </row>
    <row r="895" spans="9:10" x14ac:dyDescent="0.25">
      <c r="I895" s="37"/>
      <c r="J895" s="35"/>
    </row>
    <row r="896" spans="9:10" x14ac:dyDescent="0.25">
      <c r="I896" s="37"/>
      <c r="J896" s="35"/>
    </row>
    <row r="897" spans="9:10" x14ac:dyDescent="0.25">
      <c r="I897" s="37"/>
      <c r="J897" s="35"/>
    </row>
    <row r="898" spans="9:10" x14ac:dyDescent="0.25">
      <c r="I898" s="37"/>
      <c r="J898" s="35"/>
    </row>
    <row r="899" spans="9:10" x14ac:dyDescent="0.25">
      <c r="I899" s="37"/>
      <c r="J899" s="35"/>
    </row>
    <row r="900" spans="9:10" x14ac:dyDescent="0.25">
      <c r="I900" s="37"/>
      <c r="J900" s="35"/>
    </row>
    <row r="901" spans="9:10" x14ac:dyDescent="0.25">
      <c r="I901" s="37"/>
      <c r="J901" s="35"/>
    </row>
    <row r="902" spans="9:10" x14ac:dyDescent="0.25">
      <c r="I902" s="37"/>
      <c r="J902" s="35"/>
    </row>
    <row r="903" spans="9:10" x14ac:dyDescent="0.25">
      <c r="I903" s="37"/>
      <c r="J903" s="35"/>
    </row>
    <row r="904" spans="9:10" x14ac:dyDescent="0.25">
      <c r="I904" s="37"/>
      <c r="J904" s="35"/>
    </row>
    <row r="905" spans="9:10" x14ac:dyDescent="0.25">
      <c r="I905" s="37"/>
      <c r="J905" s="35"/>
    </row>
    <row r="906" spans="9:10" x14ac:dyDescent="0.25">
      <c r="I906" s="37"/>
      <c r="J906" s="35"/>
    </row>
    <row r="907" spans="9:10" x14ac:dyDescent="0.25">
      <c r="I907" s="37"/>
      <c r="J907" s="35"/>
    </row>
    <row r="908" spans="9:10" x14ac:dyDescent="0.25">
      <c r="I908" s="37"/>
      <c r="J908" s="35"/>
    </row>
    <row r="909" spans="9:10" x14ac:dyDescent="0.25">
      <c r="I909" s="37"/>
      <c r="J909" s="35"/>
    </row>
    <row r="910" spans="9:10" x14ac:dyDescent="0.25">
      <c r="I910" s="37"/>
      <c r="J910" s="35"/>
    </row>
    <row r="911" spans="9:10" x14ac:dyDescent="0.25">
      <c r="I911" s="37"/>
      <c r="J911" s="35"/>
    </row>
    <row r="912" spans="9:10" x14ac:dyDescent="0.25">
      <c r="I912" s="37"/>
      <c r="J912" s="35"/>
    </row>
    <row r="913" spans="9:10" x14ac:dyDescent="0.25">
      <c r="I913" s="37"/>
      <c r="J913" s="35"/>
    </row>
    <row r="914" spans="9:10" x14ac:dyDescent="0.25">
      <c r="I914" s="37"/>
      <c r="J914" s="35"/>
    </row>
    <row r="915" spans="9:10" x14ac:dyDescent="0.25">
      <c r="I915" s="37"/>
      <c r="J915" s="35"/>
    </row>
    <row r="916" spans="9:10" x14ac:dyDescent="0.25">
      <c r="I916" s="37"/>
      <c r="J916" s="35"/>
    </row>
    <row r="917" spans="9:10" x14ac:dyDescent="0.25">
      <c r="I917" s="37"/>
      <c r="J917" s="35"/>
    </row>
    <row r="918" spans="9:10" x14ac:dyDescent="0.25">
      <c r="I918" s="37"/>
      <c r="J918" s="35"/>
    </row>
    <row r="919" spans="9:10" x14ac:dyDescent="0.25">
      <c r="I919" s="37"/>
      <c r="J919" s="35"/>
    </row>
    <row r="920" spans="9:10" x14ac:dyDescent="0.25">
      <c r="I920" s="37"/>
      <c r="J920" s="35"/>
    </row>
    <row r="921" spans="9:10" x14ac:dyDescent="0.25">
      <c r="I921" s="37"/>
      <c r="J921" s="35"/>
    </row>
    <row r="922" spans="9:10" x14ac:dyDescent="0.25">
      <c r="I922" s="37"/>
      <c r="J922" s="35"/>
    </row>
    <row r="923" spans="9:10" x14ac:dyDescent="0.25">
      <c r="I923" s="37"/>
      <c r="J923" s="35"/>
    </row>
    <row r="924" spans="9:10" x14ac:dyDescent="0.25">
      <c r="I924" s="37"/>
      <c r="J924" s="35"/>
    </row>
    <row r="925" spans="9:10" x14ac:dyDescent="0.25">
      <c r="I925" s="37"/>
      <c r="J925" s="35"/>
    </row>
    <row r="926" spans="9:10" x14ac:dyDescent="0.25">
      <c r="I926" s="37"/>
      <c r="J926" s="35"/>
    </row>
    <row r="927" spans="9:10" x14ac:dyDescent="0.25">
      <c r="I927" s="37"/>
      <c r="J927" s="35"/>
    </row>
    <row r="928" spans="9:10" x14ac:dyDescent="0.25">
      <c r="I928" s="37"/>
      <c r="J928" s="35"/>
    </row>
    <row r="929" spans="9:10" x14ac:dyDescent="0.25">
      <c r="I929" s="37"/>
      <c r="J929" s="35"/>
    </row>
    <row r="930" spans="9:10" x14ac:dyDescent="0.25">
      <c r="I930" s="37"/>
      <c r="J930" s="35"/>
    </row>
    <row r="931" spans="9:10" x14ac:dyDescent="0.25">
      <c r="I931" s="37"/>
      <c r="J931" s="35"/>
    </row>
    <row r="932" spans="9:10" x14ac:dyDescent="0.25">
      <c r="I932" s="37"/>
      <c r="J932" s="35"/>
    </row>
    <row r="933" spans="9:10" x14ac:dyDescent="0.25">
      <c r="I933" s="37"/>
      <c r="J933" s="35"/>
    </row>
    <row r="934" spans="9:10" x14ac:dyDescent="0.25">
      <c r="I934" s="37"/>
      <c r="J934" s="35"/>
    </row>
    <row r="935" spans="9:10" x14ac:dyDescent="0.25">
      <c r="I935" s="37"/>
      <c r="J935" s="35"/>
    </row>
    <row r="936" spans="9:10" x14ac:dyDescent="0.25">
      <c r="I936" s="37"/>
      <c r="J936" s="35"/>
    </row>
    <row r="937" spans="9:10" x14ac:dyDescent="0.25">
      <c r="I937" s="37"/>
      <c r="J937" s="35"/>
    </row>
    <row r="938" spans="9:10" x14ac:dyDescent="0.25">
      <c r="I938" s="37"/>
      <c r="J938" s="35"/>
    </row>
    <row r="939" spans="9:10" x14ac:dyDescent="0.25">
      <c r="I939" s="37"/>
      <c r="J939" s="35"/>
    </row>
    <row r="940" spans="9:10" x14ac:dyDescent="0.25">
      <c r="I940" s="37"/>
      <c r="J940" s="35"/>
    </row>
    <row r="941" spans="9:10" x14ac:dyDescent="0.25">
      <c r="I941" s="37"/>
      <c r="J941" s="35"/>
    </row>
    <row r="942" spans="9:10" x14ac:dyDescent="0.25">
      <c r="I942" s="37"/>
      <c r="J942" s="35"/>
    </row>
    <row r="943" spans="9:10" x14ac:dyDescent="0.25">
      <c r="I943" s="37"/>
      <c r="J943" s="35"/>
    </row>
    <row r="944" spans="9:10" x14ac:dyDescent="0.25">
      <c r="I944" s="37"/>
      <c r="J944" s="35"/>
    </row>
    <row r="945" spans="9:10" x14ac:dyDescent="0.25">
      <c r="I945" s="37"/>
      <c r="J945" s="35"/>
    </row>
    <row r="946" spans="9:10" x14ac:dyDescent="0.25">
      <c r="I946" s="37"/>
      <c r="J946" s="35"/>
    </row>
    <row r="947" spans="9:10" x14ac:dyDescent="0.25">
      <c r="I947" s="37"/>
      <c r="J947" s="35"/>
    </row>
    <row r="948" spans="9:10" x14ac:dyDescent="0.25">
      <c r="I948" s="37"/>
      <c r="J948" s="35"/>
    </row>
    <row r="949" spans="9:10" x14ac:dyDescent="0.25">
      <c r="I949" s="37"/>
      <c r="J949" s="35"/>
    </row>
    <row r="950" spans="9:10" x14ac:dyDescent="0.25">
      <c r="I950" s="37"/>
      <c r="J950" s="35"/>
    </row>
    <row r="951" spans="9:10" x14ac:dyDescent="0.25">
      <c r="I951" s="37"/>
      <c r="J951" s="35"/>
    </row>
    <row r="952" spans="9:10" x14ac:dyDescent="0.25">
      <c r="I952" s="37"/>
      <c r="J952" s="35"/>
    </row>
    <row r="953" spans="9:10" x14ac:dyDescent="0.25">
      <c r="I953" s="37"/>
      <c r="J953" s="35"/>
    </row>
    <row r="954" spans="9:10" x14ac:dyDescent="0.25">
      <c r="I954" s="37"/>
      <c r="J954" s="35"/>
    </row>
    <row r="955" spans="9:10" x14ac:dyDescent="0.25">
      <c r="I955" s="37"/>
      <c r="J955" s="35"/>
    </row>
    <row r="956" spans="9:10" x14ac:dyDescent="0.25">
      <c r="I956" s="37"/>
      <c r="J956" s="35"/>
    </row>
    <row r="957" spans="9:10" x14ac:dyDescent="0.25">
      <c r="I957" s="37"/>
      <c r="J957" s="35"/>
    </row>
    <row r="958" spans="9:10" x14ac:dyDescent="0.25">
      <c r="I958" s="37"/>
      <c r="J958" s="35"/>
    </row>
    <row r="959" spans="9:10" x14ac:dyDescent="0.25">
      <c r="I959" s="37"/>
      <c r="J959" s="35"/>
    </row>
    <row r="960" spans="9:10" x14ac:dyDescent="0.25">
      <c r="I960" s="37"/>
      <c r="J960" s="35"/>
    </row>
    <row r="961" spans="9:10" x14ac:dyDescent="0.25">
      <c r="I961" s="37"/>
      <c r="J961" s="35"/>
    </row>
    <row r="962" spans="9:10" x14ac:dyDescent="0.25">
      <c r="I962" s="37"/>
      <c r="J962" s="35"/>
    </row>
    <row r="963" spans="9:10" x14ac:dyDescent="0.25">
      <c r="I963" s="37"/>
      <c r="J963" s="35"/>
    </row>
    <row r="964" spans="9:10" x14ac:dyDescent="0.25">
      <c r="I964" s="37"/>
      <c r="J964" s="35"/>
    </row>
    <row r="965" spans="9:10" x14ac:dyDescent="0.25">
      <c r="I965" s="37"/>
      <c r="J965" s="35"/>
    </row>
    <row r="966" spans="9:10" x14ac:dyDescent="0.25">
      <c r="I966" s="37"/>
      <c r="J966" s="35"/>
    </row>
    <row r="967" spans="9:10" x14ac:dyDescent="0.25">
      <c r="I967" s="37"/>
      <c r="J967" s="35"/>
    </row>
    <row r="968" spans="9:10" x14ac:dyDescent="0.25">
      <c r="I968" s="37"/>
      <c r="J968" s="35"/>
    </row>
    <row r="969" spans="9:10" x14ac:dyDescent="0.25">
      <c r="I969" s="37"/>
      <c r="J969" s="35"/>
    </row>
    <row r="970" spans="9:10" x14ac:dyDescent="0.25">
      <c r="I970" s="37"/>
      <c r="J970" s="35"/>
    </row>
    <row r="971" spans="9:10" x14ac:dyDescent="0.25">
      <c r="I971" s="37"/>
      <c r="J971" s="35"/>
    </row>
    <row r="972" spans="9:10" x14ac:dyDescent="0.25">
      <c r="I972" s="37"/>
      <c r="J972" s="35"/>
    </row>
    <row r="973" spans="9:10" x14ac:dyDescent="0.25">
      <c r="I973" s="37"/>
      <c r="J973" s="35"/>
    </row>
    <row r="974" spans="9:10" x14ac:dyDescent="0.25">
      <c r="I974" s="37"/>
      <c r="J974" s="35"/>
    </row>
    <row r="975" spans="9:10" x14ac:dyDescent="0.25">
      <c r="I975" s="37"/>
      <c r="J975" s="35"/>
    </row>
    <row r="976" spans="9:10" x14ac:dyDescent="0.25">
      <c r="I976" s="37"/>
      <c r="J976" s="35"/>
    </row>
    <row r="977" spans="9:10" x14ac:dyDescent="0.25">
      <c r="I977" s="37"/>
      <c r="J977" s="35"/>
    </row>
    <row r="978" spans="9:10" x14ac:dyDescent="0.25">
      <c r="I978" s="37"/>
      <c r="J978" s="35"/>
    </row>
    <row r="979" spans="9:10" x14ac:dyDescent="0.25">
      <c r="I979" s="37"/>
      <c r="J979" s="35"/>
    </row>
    <row r="980" spans="9:10" x14ac:dyDescent="0.25">
      <c r="I980" s="37"/>
      <c r="J980" s="35"/>
    </row>
    <row r="981" spans="9:10" x14ac:dyDescent="0.25">
      <c r="I981" s="37"/>
      <c r="J981" s="35"/>
    </row>
    <row r="982" spans="9:10" x14ac:dyDescent="0.25">
      <c r="I982" s="37"/>
      <c r="J982" s="35"/>
    </row>
    <row r="983" spans="9:10" x14ac:dyDescent="0.25">
      <c r="I983" s="37"/>
      <c r="J983" s="35"/>
    </row>
    <row r="984" spans="9:10" x14ac:dyDescent="0.25">
      <c r="I984" s="37"/>
      <c r="J984" s="35"/>
    </row>
    <row r="985" spans="9:10" x14ac:dyDescent="0.25">
      <c r="I985" s="37"/>
      <c r="J985" s="35"/>
    </row>
    <row r="986" spans="9:10" x14ac:dyDescent="0.25">
      <c r="I986" s="37"/>
      <c r="J986" s="35"/>
    </row>
    <row r="987" spans="9:10" x14ac:dyDescent="0.25">
      <c r="I987" s="37"/>
      <c r="J987" s="35"/>
    </row>
    <row r="988" spans="9:10" x14ac:dyDescent="0.25">
      <c r="I988" s="37"/>
      <c r="J988" s="35"/>
    </row>
    <row r="989" spans="9:10" x14ac:dyDescent="0.25">
      <c r="I989" s="37"/>
      <c r="J989" s="35"/>
    </row>
    <row r="990" spans="9:10" x14ac:dyDescent="0.25">
      <c r="I990" s="37"/>
      <c r="J990" s="35"/>
    </row>
    <row r="991" spans="9:10" x14ac:dyDescent="0.25">
      <c r="I991" s="37"/>
      <c r="J991" s="35"/>
    </row>
    <row r="992" spans="9:10" x14ac:dyDescent="0.25">
      <c r="I992" s="37"/>
      <c r="J992" s="35"/>
    </row>
    <row r="993" spans="9:10" x14ac:dyDescent="0.25">
      <c r="I993" s="37"/>
      <c r="J993" s="35"/>
    </row>
    <row r="994" spans="9:10" x14ac:dyDescent="0.25">
      <c r="I994" s="37"/>
      <c r="J994" s="35"/>
    </row>
    <row r="995" spans="9:10" x14ac:dyDescent="0.25">
      <c r="I995" s="37"/>
      <c r="J995" s="35"/>
    </row>
    <row r="996" spans="9:10" x14ac:dyDescent="0.25">
      <c r="I996" s="37"/>
      <c r="J996" s="35"/>
    </row>
    <row r="997" spans="9:10" x14ac:dyDescent="0.25">
      <c r="I997" s="37"/>
      <c r="J997" s="35"/>
    </row>
    <row r="998" spans="9:10" x14ac:dyDescent="0.25">
      <c r="I998" s="37"/>
      <c r="J998" s="35"/>
    </row>
    <row r="999" spans="9:10" x14ac:dyDescent="0.25">
      <c r="I999" s="37"/>
      <c r="J999" s="35"/>
    </row>
    <row r="1000" spans="9:10" x14ac:dyDescent="0.25">
      <c r="I1000" s="37"/>
      <c r="J1000" s="35"/>
    </row>
    <row r="1001" spans="9:10" x14ac:dyDescent="0.25">
      <c r="I1001" s="37"/>
      <c r="J1001" s="35"/>
    </row>
    <row r="1002" spans="9:10" x14ac:dyDescent="0.25">
      <c r="I1002" s="37"/>
      <c r="J1002" s="35"/>
    </row>
    <row r="1003" spans="9:10" x14ac:dyDescent="0.25">
      <c r="I1003" s="37"/>
      <c r="J1003" s="35"/>
    </row>
    <row r="1004" spans="9:10" x14ac:dyDescent="0.25">
      <c r="I1004" s="37"/>
      <c r="J1004" s="35"/>
    </row>
    <row r="1005" spans="9:10" x14ac:dyDescent="0.25">
      <c r="I1005" s="37"/>
      <c r="J1005" s="35"/>
    </row>
    <row r="1006" spans="9:10" x14ac:dyDescent="0.25">
      <c r="I1006" s="37"/>
      <c r="J1006" s="35"/>
    </row>
    <row r="1007" spans="9:10" x14ac:dyDescent="0.25">
      <c r="I1007" s="37"/>
      <c r="J1007" s="35"/>
    </row>
    <row r="1008" spans="9:10" x14ac:dyDescent="0.25">
      <c r="I1008" s="37"/>
      <c r="J1008" s="35"/>
    </row>
    <row r="1009" spans="9:10" x14ac:dyDescent="0.25">
      <c r="I1009" s="37"/>
      <c r="J1009" s="35"/>
    </row>
    <row r="1010" spans="9:10" x14ac:dyDescent="0.25">
      <c r="I1010" s="37"/>
      <c r="J1010" s="35"/>
    </row>
    <row r="1011" spans="9:10" x14ac:dyDescent="0.25">
      <c r="I1011" s="37"/>
      <c r="J1011" s="35"/>
    </row>
    <row r="1012" spans="9:10" x14ac:dyDescent="0.25">
      <c r="I1012" s="37"/>
      <c r="J1012" s="35"/>
    </row>
    <row r="1013" spans="9:10" x14ac:dyDescent="0.25">
      <c r="I1013" s="37"/>
      <c r="J1013" s="35"/>
    </row>
    <row r="1014" spans="9:10" x14ac:dyDescent="0.25">
      <c r="I1014" s="37"/>
      <c r="J1014" s="35"/>
    </row>
    <row r="1015" spans="9:10" x14ac:dyDescent="0.25">
      <c r="I1015" s="37"/>
      <c r="J1015" s="35"/>
    </row>
    <row r="1016" spans="9:10" x14ac:dyDescent="0.25">
      <c r="I1016" s="37"/>
      <c r="J1016" s="35"/>
    </row>
    <row r="1017" spans="9:10" x14ac:dyDescent="0.25">
      <c r="I1017" s="37"/>
      <c r="J1017" s="35"/>
    </row>
    <row r="1018" spans="9:10" x14ac:dyDescent="0.25">
      <c r="I1018" s="37"/>
      <c r="J1018" s="35"/>
    </row>
    <row r="1019" spans="9:10" x14ac:dyDescent="0.25">
      <c r="I1019" s="37"/>
      <c r="J1019" s="35"/>
    </row>
    <row r="1020" spans="9:10" x14ac:dyDescent="0.25">
      <c r="I1020" s="37"/>
      <c r="J1020" s="35"/>
    </row>
    <row r="1021" spans="9:10" x14ac:dyDescent="0.25">
      <c r="I1021" s="37"/>
      <c r="J1021" s="35"/>
    </row>
    <row r="1022" spans="9:10" x14ac:dyDescent="0.25">
      <c r="I1022" s="37"/>
      <c r="J1022" s="35"/>
    </row>
    <row r="1023" spans="9:10" x14ac:dyDescent="0.25">
      <c r="I1023" s="37"/>
      <c r="J1023" s="35"/>
    </row>
    <row r="1024" spans="9:10" x14ac:dyDescent="0.25">
      <c r="I1024" s="37"/>
      <c r="J1024" s="35"/>
    </row>
    <row r="1025" spans="9:10" x14ac:dyDescent="0.25">
      <c r="I1025" s="37"/>
      <c r="J1025" s="35"/>
    </row>
    <row r="1026" spans="9:10" x14ac:dyDescent="0.25">
      <c r="I1026" s="37"/>
      <c r="J1026" s="35"/>
    </row>
    <row r="1027" spans="9:10" x14ac:dyDescent="0.25">
      <c r="I1027" s="37"/>
      <c r="J1027" s="35"/>
    </row>
    <row r="1028" spans="9:10" x14ac:dyDescent="0.25">
      <c r="I1028" s="37"/>
      <c r="J1028" s="35"/>
    </row>
    <row r="1029" spans="9:10" x14ac:dyDescent="0.25">
      <c r="I1029" s="37"/>
      <c r="J1029" s="35"/>
    </row>
    <row r="1030" spans="9:10" x14ac:dyDescent="0.25">
      <c r="I1030" s="37"/>
      <c r="J1030" s="35"/>
    </row>
    <row r="1031" spans="9:10" x14ac:dyDescent="0.25">
      <c r="I1031" s="37"/>
      <c r="J1031" s="35"/>
    </row>
    <row r="1032" spans="9:10" x14ac:dyDescent="0.25">
      <c r="I1032" s="37"/>
      <c r="J1032" s="35"/>
    </row>
    <row r="1033" spans="9:10" x14ac:dyDescent="0.25">
      <c r="I1033" s="37"/>
      <c r="J1033" s="35"/>
    </row>
    <row r="1034" spans="9:10" x14ac:dyDescent="0.25">
      <c r="I1034" s="37"/>
      <c r="J1034" s="35"/>
    </row>
    <row r="1035" spans="9:10" x14ac:dyDescent="0.25">
      <c r="I1035" s="37"/>
      <c r="J1035" s="35"/>
    </row>
    <row r="1036" spans="9:10" x14ac:dyDescent="0.25">
      <c r="I1036" s="37"/>
      <c r="J1036" s="35"/>
    </row>
    <row r="1037" spans="9:10" x14ac:dyDescent="0.25">
      <c r="I1037" s="37"/>
      <c r="J1037" s="35"/>
    </row>
    <row r="1038" spans="9:10" x14ac:dyDescent="0.25">
      <c r="I1038" s="37"/>
      <c r="J1038" s="35"/>
    </row>
    <row r="1039" spans="9:10" x14ac:dyDescent="0.25">
      <c r="I1039" s="37"/>
      <c r="J1039" s="35"/>
    </row>
    <row r="1040" spans="9:10" x14ac:dyDescent="0.25">
      <c r="I1040" s="37"/>
      <c r="J1040" s="35"/>
    </row>
    <row r="1041" spans="9:10" x14ac:dyDescent="0.25">
      <c r="I1041" s="37"/>
      <c r="J1041" s="35"/>
    </row>
    <row r="1042" spans="9:10" x14ac:dyDescent="0.25">
      <c r="I1042" s="37"/>
      <c r="J1042" s="35"/>
    </row>
    <row r="1043" spans="9:10" x14ac:dyDescent="0.25">
      <c r="I1043" s="37"/>
      <c r="J1043" s="35"/>
    </row>
    <row r="1044" spans="9:10" x14ac:dyDescent="0.25">
      <c r="I1044" s="37"/>
      <c r="J1044" s="35"/>
    </row>
    <row r="1045" spans="9:10" x14ac:dyDescent="0.25">
      <c r="I1045" s="37"/>
      <c r="J1045" s="35"/>
    </row>
    <row r="1046" spans="9:10" x14ac:dyDescent="0.25">
      <c r="I1046" s="37"/>
      <c r="J1046" s="35"/>
    </row>
    <row r="1047" spans="9:10" x14ac:dyDescent="0.25">
      <c r="I1047" s="37"/>
      <c r="J1047" s="35"/>
    </row>
    <row r="1048" spans="9:10" x14ac:dyDescent="0.25">
      <c r="I1048" s="37"/>
      <c r="J1048" s="35"/>
    </row>
    <row r="1049" spans="9:10" x14ac:dyDescent="0.25">
      <c r="I1049" s="37"/>
      <c r="J1049" s="35"/>
    </row>
    <row r="1050" spans="9:10" x14ac:dyDescent="0.25">
      <c r="I1050" s="37"/>
      <c r="J1050" s="35"/>
    </row>
    <row r="1051" spans="9:10" x14ac:dyDescent="0.25">
      <c r="I1051" s="37"/>
      <c r="J1051" s="35"/>
    </row>
    <row r="1052" spans="9:10" x14ac:dyDescent="0.25">
      <c r="I1052" s="37"/>
      <c r="J1052" s="35"/>
    </row>
    <row r="1053" spans="9:10" x14ac:dyDescent="0.25">
      <c r="I1053" s="37"/>
      <c r="J1053" s="35"/>
    </row>
    <row r="1054" spans="9:10" x14ac:dyDescent="0.25">
      <c r="I1054" s="37"/>
      <c r="J1054" s="35"/>
    </row>
    <row r="1055" spans="9:10" x14ac:dyDescent="0.25">
      <c r="I1055" s="37"/>
      <c r="J1055" s="35"/>
    </row>
    <row r="1056" spans="9:10" x14ac:dyDescent="0.25">
      <c r="I1056" s="37"/>
      <c r="J1056" s="35"/>
    </row>
    <row r="1057" spans="9:10" x14ac:dyDescent="0.25">
      <c r="I1057" s="37"/>
      <c r="J1057" s="35"/>
    </row>
    <row r="1058" spans="9:10" x14ac:dyDescent="0.25">
      <c r="I1058" s="37"/>
      <c r="J1058" s="35"/>
    </row>
    <row r="1059" spans="9:10" x14ac:dyDescent="0.25">
      <c r="I1059" s="37"/>
      <c r="J1059" s="35"/>
    </row>
    <row r="1060" spans="9:10" x14ac:dyDescent="0.25">
      <c r="I1060" s="37"/>
      <c r="J1060" s="35"/>
    </row>
    <row r="1061" spans="9:10" x14ac:dyDescent="0.25">
      <c r="I1061" s="37"/>
      <c r="J1061" s="35"/>
    </row>
    <row r="1062" spans="9:10" x14ac:dyDescent="0.25">
      <c r="I1062" s="37"/>
      <c r="J1062" s="35"/>
    </row>
    <row r="1063" spans="9:10" x14ac:dyDescent="0.25">
      <c r="I1063" s="37"/>
      <c r="J1063" s="35"/>
    </row>
    <row r="1064" spans="9:10" x14ac:dyDescent="0.25">
      <c r="I1064" s="37"/>
      <c r="J1064" s="35"/>
    </row>
    <row r="1065" spans="9:10" x14ac:dyDescent="0.25">
      <c r="I1065" s="37"/>
      <c r="J1065" s="35"/>
    </row>
    <row r="1066" spans="9:10" x14ac:dyDescent="0.25">
      <c r="I1066" s="37"/>
      <c r="J1066" s="35"/>
    </row>
    <row r="1067" spans="9:10" x14ac:dyDescent="0.25">
      <c r="I1067" s="37"/>
      <c r="J1067" s="35"/>
    </row>
    <row r="1068" spans="9:10" x14ac:dyDescent="0.25">
      <c r="I1068" s="37"/>
      <c r="J1068" s="35"/>
    </row>
    <row r="1069" spans="9:10" x14ac:dyDescent="0.25">
      <c r="I1069" s="37"/>
      <c r="J1069" s="35"/>
    </row>
    <row r="1070" spans="9:10" x14ac:dyDescent="0.25">
      <c r="I1070" s="37"/>
      <c r="J1070" s="35"/>
    </row>
    <row r="1071" spans="9:10" x14ac:dyDescent="0.25">
      <c r="I1071" s="37"/>
      <c r="J1071" s="35"/>
    </row>
    <row r="1072" spans="9:10" x14ac:dyDescent="0.25">
      <c r="I1072" s="37"/>
      <c r="J1072" s="35"/>
    </row>
    <row r="1073" spans="9:10" x14ac:dyDescent="0.25">
      <c r="I1073" s="37"/>
      <c r="J1073" s="35"/>
    </row>
    <row r="1074" spans="9:10" x14ac:dyDescent="0.25">
      <c r="I1074" s="37"/>
      <c r="J1074" s="35"/>
    </row>
    <row r="1075" spans="9:10" x14ac:dyDescent="0.25">
      <c r="I1075" s="37"/>
      <c r="J1075" s="35"/>
    </row>
    <row r="1076" spans="9:10" x14ac:dyDescent="0.25">
      <c r="I1076" s="37"/>
      <c r="J1076" s="35"/>
    </row>
    <row r="1077" spans="9:10" x14ac:dyDescent="0.25">
      <c r="I1077" s="37"/>
      <c r="J1077" s="35"/>
    </row>
    <row r="1078" spans="9:10" x14ac:dyDescent="0.25">
      <c r="I1078" s="37"/>
      <c r="J1078" s="35"/>
    </row>
    <row r="1079" spans="9:10" x14ac:dyDescent="0.25">
      <c r="I1079" s="37"/>
      <c r="J1079" s="35"/>
    </row>
    <row r="1080" spans="9:10" x14ac:dyDescent="0.25">
      <c r="I1080" s="37"/>
      <c r="J1080" s="35"/>
    </row>
    <row r="1081" spans="9:10" x14ac:dyDescent="0.25">
      <c r="I1081" s="37"/>
      <c r="J1081" s="35"/>
    </row>
    <row r="1082" spans="9:10" x14ac:dyDescent="0.25">
      <c r="I1082" s="37"/>
      <c r="J1082" s="35"/>
    </row>
    <row r="1083" spans="9:10" x14ac:dyDescent="0.25">
      <c r="I1083" s="37"/>
      <c r="J1083" s="35"/>
    </row>
    <row r="1084" spans="9:10" x14ac:dyDescent="0.25">
      <c r="I1084" s="37"/>
      <c r="J1084" s="35"/>
    </row>
    <row r="1085" spans="9:10" x14ac:dyDescent="0.25">
      <c r="I1085" s="37"/>
      <c r="J1085" s="35"/>
    </row>
    <row r="1086" spans="9:10" x14ac:dyDescent="0.25">
      <c r="I1086" s="37"/>
      <c r="J1086" s="35"/>
    </row>
    <row r="1087" spans="9:10" x14ac:dyDescent="0.25">
      <c r="I1087" s="37"/>
      <c r="J1087" s="35"/>
    </row>
    <row r="1088" spans="9:10" x14ac:dyDescent="0.25">
      <c r="I1088" s="37"/>
      <c r="J1088" s="35"/>
    </row>
    <row r="1089" spans="9:10" x14ac:dyDescent="0.25">
      <c r="I1089" s="37"/>
      <c r="J1089" s="35"/>
    </row>
    <row r="1090" spans="9:10" x14ac:dyDescent="0.25">
      <c r="I1090" s="37"/>
      <c r="J1090" s="35"/>
    </row>
    <row r="1091" spans="9:10" x14ac:dyDescent="0.25">
      <c r="I1091" s="37"/>
      <c r="J1091" s="35"/>
    </row>
    <row r="1092" spans="9:10" x14ac:dyDescent="0.25">
      <c r="I1092" s="37"/>
      <c r="J1092" s="35"/>
    </row>
    <row r="1093" spans="9:10" x14ac:dyDescent="0.25">
      <c r="I1093" s="37"/>
      <c r="J1093" s="35"/>
    </row>
    <row r="1094" spans="9:10" x14ac:dyDescent="0.25">
      <c r="I1094" s="37"/>
      <c r="J1094" s="35"/>
    </row>
    <row r="1095" spans="9:10" x14ac:dyDescent="0.25">
      <c r="I1095" s="37"/>
      <c r="J1095" s="35"/>
    </row>
    <row r="1096" spans="9:10" x14ac:dyDescent="0.25">
      <c r="I1096" s="37"/>
      <c r="J1096" s="35"/>
    </row>
    <row r="1097" spans="9:10" x14ac:dyDescent="0.25">
      <c r="I1097" s="37"/>
      <c r="J1097" s="35"/>
    </row>
    <row r="1098" spans="9:10" x14ac:dyDescent="0.25">
      <c r="I1098" s="37"/>
      <c r="J1098" s="35"/>
    </row>
    <row r="1099" spans="9:10" x14ac:dyDescent="0.25">
      <c r="I1099" s="37"/>
      <c r="J1099" s="35"/>
    </row>
    <row r="1100" spans="9:10" x14ac:dyDescent="0.25">
      <c r="I1100" s="37"/>
      <c r="J1100" s="35"/>
    </row>
    <row r="1101" spans="9:10" x14ac:dyDescent="0.25">
      <c r="I1101" s="37"/>
      <c r="J1101" s="35"/>
    </row>
    <row r="1102" spans="9:10" x14ac:dyDescent="0.25">
      <c r="I1102" s="37"/>
      <c r="J1102" s="35"/>
    </row>
    <row r="1103" spans="9:10" x14ac:dyDescent="0.25">
      <c r="I1103" s="37"/>
      <c r="J1103" s="35"/>
    </row>
    <row r="1104" spans="9:10" x14ac:dyDescent="0.25">
      <c r="I1104" s="37"/>
      <c r="J1104" s="35"/>
    </row>
    <row r="1105" spans="9:10" x14ac:dyDescent="0.25">
      <c r="I1105" s="37"/>
      <c r="J1105" s="35"/>
    </row>
    <row r="1106" spans="9:10" x14ac:dyDescent="0.25">
      <c r="I1106" s="37"/>
      <c r="J1106" s="35"/>
    </row>
    <row r="1107" spans="9:10" x14ac:dyDescent="0.25">
      <c r="I1107" s="37"/>
      <c r="J1107" s="35"/>
    </row>
    <row r="1108" spans="9:10" x14ac:dyDescent="0.25">
      <c r="I1108" s="37"/>
      <c r="J1108" s="35"/>
    </row>
    <row r="1109" spans="9:10" x14ac:dyDescent="0.25">
      <c r="I1109" s="37"/>
      <c r="J1109" s="35"/>
    </row>
    <row r="1110" spans="9:10" x14ac:dyDescent="0.25">
      <c r="I1110" s="37"/>
      <c r="J1110" s="35"/>
    </row>
    <row r="1111" spans="9:10" x14ac:dyDescent="0.25">
      <c r="I1111" s="37"/>
      <c r="J1111" s="35"/>
    </row>
    <row r="1112" spans="9:10" x14ac:dyDescent="0.25">
      <c r="I1112" s="37"/>
      <c r="J1112" s="35"/>
    </row>
    <row r="1113" spans="9:10" x14ac:dyDescent="0.25">
      <c r="I1113" s="37"/>
      <c r="J1113" s="35"/>
    </row>
    <row r="1114" spans="9:10" x14ac:dyDescent="0.25">
      <c r="I1114" s="37"/>
      <c r="J1114" s="35"/>
    </row>
    <row r="1115" spans="9:10" x14ac:dyDescent="0.25">
      <c r="I1115" s="37"/>
      <c r="J1115" s="35"/>
    </row>
    <row r="1116" spans="9:10" x14ac:dyDescent="0.25">
      <c r="I1116" s="37"/>
      <c r="J1116" s="35"/>
    </row>
    <row r="1117" spans="9:10" x14ac:dyDescent="0.25">
      <c r="I1117" s="37"/>
      <c r="J1117" s="35"/>
    </row>
    <row r="1118" spans="9:10" x14ac:dyDescent="0.25">
      <c r="I1118" s="37"/>
      <c r="J1118" s="35"/>
    </row>
    <row r="1119" spans="9:10" x14ac:dyDescent="0.25">
      <c r="I1119" s="37"/>
      <c r="J1119" s="35"/>
    </row>
    <row r="1120" spans="9:10" x14ac:dyDescent="0.25">
      <c r="I1120" s="37"/>
      <c r="J1120" s="35"/>
    </row>
    <row r="1121" spans="9:10" x14ac:dyDescent="0.25">
      <c r="I1121" s="37"/>
      <c r="J1121" s="35"/>
    </row>
    <row r="1122" spans="9:10" x14ac:dyDescent="0.25">
      <c r="I1122" s="37"/>
      <c r="J1122" s="35"/>
    </row>
    <row r="1123" spans="9:10" x14ac:dyDescent="0.25">
      <c r="I1123" s="37"/>
      <c r="J1123" s="35"/>
    </row>
    <row r="1124" spans="9:10" x14ac:dyDescent="0.25">
      <c r="I1124" s="37"/>
      <c r="J1124" s="35"/>
    </row>
    <row r="1125" spans="9:10" x14ac:dyDescent="0.25">
      <c r="I1125" s="37"/>
      <c r="J1125" s="35"/>
    </row>
    <row r="1126" spans="9:10" x14ac:dyDescent="0.25">
      <c r="I1126" s="37"/>
      <c r="J1126" s="35"/>
    </row>
    <row r="1127" spans="9:10" x14ac:dyDescent="0.25">
      <c r="I1127" s="37"/>
      <c r="J1127" s="35"/>
    </row>
    <row r="1128" spans="9:10" x14ac:dyDescent="0.25">
      <c r="I1128" s="37"/>
      <c r="J1128" s="35"/>
    </row>
    <row r="1129" spans="9:10" x14ac:dyDescent="0.25">
      <c r="I1129" s="37"/>
      <c r="J1129" s="35"/>
    </row>
    <row r="1130" spans="9:10" x14ac:dyDescent="0.25">
      <c r="I1130" s="37"/>
      <c r="J1130" s="35"/>
    </row>
    <row r="1131" spans="9:10" x14ac:dyDescent="0.25">
      <c r="I1131" s="37"/>
      <c r="J1131" s="35"/>
    </row>
    <row r="1132" spans="9:10" x14ac:dyDescent="0.25">
      <c r="I1132" s="37"/>
      <c r="J1132" s="35"/>
    </row>
    <row r="1133" spans="9:10" x14ac:dyDescent="0.25">
      <c r="I1133" s="37"/>
      <c r="J1133" s="35"/>
    </row>
    <row r="1134" spans="9:10" x14ac:dyDescent="0.25">
      <c r="I1134" s="37"/>
      <c r="J1134" s="35"/>
    </row>
    <row r="1135" spans="9:10" x14ac:dyDescent="0.25">
      <c r="I1135" s="37"/>
      <c r="J1135" s="35"/>
    </row>
    <row r="1136" spans="9:10" x14ac:dyDescent="0.25">
      <c r="I1136" s="37"/>
      <c r="J1136" s="35"/>
    </row>
    <row r="1137" spans="9:10" x14ac:dyDescent="0.25">
      <c r="I1137" s="37"/>
      <c r="J1137" s="35"/>
    </row>
    <row r="1138" spans="9:10" x14ac:dyDescent="0.25">
      <c r="I1138" s="37"/>
      <c r="J1138" s="35"/>
    </row>
    <row r="1139" spans="9:10" x14ac:dyDescent="0.25">
      <c r="I1139" s="37"/>
      <c r="J1139" s="35"/>
    </row>
    <row r="1140" spans="9:10" x14ac:dyDescent="0.25">
      <c r="I1140" s="37"/>
      <c r="J1140" s="35"/>
    </row>
    <row r="1141" spans="9:10" x14ac:dyDescent="0.25">
      <c r="I1141" s="37"/>
      <c r="J1141" s="35"/>
    </row>
    <row r="1142" spans="9:10" x14ac:dyDescent="0.25">
      <c r="I1142" s="37"/>
      <c r="J1142" s="35"/>
    </row>
    <row r="1143" spans="9:10" x14ac:dyDescent="0.25">
      <c r="I1143" s="37"/>
      <c r="J1143" s="35"/>
    </row>
    <row r="1144" spans="9:10" x14ac:dyDescent="0.25">
      <c r="I1144" s="37"/>
      <c r="J1144" s="35"/>
    </row>
    <row r="1145" spans="9:10" x14ac:dyDescent="0.25">
      <c r="I1145" s="37"/>
      <c r="J1145" s="35"/>
    </row>
    <row r="1146" spans="9:10" x14ac:dyDescent="0.25">
      <c r="I1146" s="37"/>
      <c r="J1146" s="35"/>
    </row>
    <row r="1147" spans="9:10" x14ac:dyDescent="0.25">
      <c r="I1147" s="37"/>
      <c r="J1147" s="35"/>
    </row>
    <row r="1148" spans="9:10" x14ac:dyDescent="0.25">
      <c r="I1148" s="37"/>
      <c r="J1148" s="35"/>
    </row>
    <row r="1149" spans="9:10" x14ac:dyDescent="0.25">
      <c r="I1149" s="37"/>
      <c r="J1149" s="35"/>
    </row>
    <row r="1150" spans="9:10" x14ac:dyDescent="0.25">
      <c r="I1150" s="37"/>
      <c r="J1150" s="35"/>
    </row>
    <row r="1151" spans="9:10" x14ac:dyDescent="0.25">
      <c r="I1151" s="37"/>
      <c r="J1151" s="35"/>
    </row>
    <row r="1152" spans="9:10" x14ac:dyDescent="0.25">
      <c r="I1152" s="37"/>
      <c r="J1152" s="35"/>
    </row>
    <row r="1153" spans="9:10" x14ac:dyDescent="0.25">
      <c r="I1153" s="37"/>
      <c r="J1153" s="35"/>
    </row>
    <row r="1154" spans="9:10" x14ac:dyDescent="0.25">
      <c r="I1154" s="37"/>
      <c r="J1154" s="35"/>
    </row>
    <row r="1155" spans="9:10" x14ac:dyDescent="0.25">
      <c r="I1155" s="37"/>
      <c r="J1155" s="35"/>
    </row>
    <row r="1156" spans="9:10" x14ac:dyDescent="0.25">
      <c r="I1156" s="37"/>
      <c r="J1156" s="35"/>
    </row>
    <row r="1157" spans="9:10" x14ac:dyDescent="0.25">
      <c r="I1157" s="37"/>
      <c r="J1157" s="35"/>
    </row>
    <row r="1158" spans="9:10" x14ac:dyDescent="0.25">
      <c r="I1158" s="37"/>
      <c r="J1158" s="35"/>
    </row>
    <row r="1159" spans="9:10" x14ac:dyDescent="0.25">
      <c r="I1159" s="37"/>
      <c r="J1159" s="35"/>
    </row>
    <row r="1160" spans="9:10" x14ac:dyDescent="0.25">
      <c r="I1160" s="37"/>
      <c r="J1160" s="35"/>
    </row>
    <row r="1161" spans="9:10" x14ac:dyDescent="0.25">
      <c r="I1161" s="37"/>
      <c r="J1161" s="35"/>
    </row>
    <row r="1162" spans="9:10" x14ac:dyDescent="0.25">
      <c r="I1162" s="37"/>
      <c r="J1162" s="35"/>
    </row>
    <row r="1163" spans="9:10" x14ac:dyDescent="0.25">
      <c r="I1163" s="37"/>
      <c r="J1163" s="35"/>
    </row>
    <row r="1164" spans="9:10" x14ac:dyDescent="0.25">
      <c r="I1164" s="37"/>
      <c r="J1164" s="35"/>
    </row>
    <row r="1165" spans="9:10" x14ac:dyDescent="0.25">
      <c r="I1165" s="37"/>
      <c r="J1165" s="35"/>
    </row>
    <row r="1166" spans="9:10" x14ac:dyDescent="0.25">
      <c r="I1166" s="37"/>
      <c r="J1166" s="35"/>
    </row>
    <row r="1167" spans="9:10" x14ac:dyDescent="0.25">
      <c r="I1167" s="37"/>
      <c r="J1167" s="35"/>
    </row>
    <row r="1168" spans="9:10" x14ac:dyDescent="0.25">
      <c r="I1168" s="37"/>
      <c r="J1168" s="35"/>
    </row>
    <row r="1169" spans="9:10" x14ac:dyDescent="0.25">
      <c r="I1169" s="37"/>
      <c r="J1169" s="35"/>
    </row>
    <row r="1170" spans="9:10" x14ac:dyDescent="0.25">
      <c r="I1170" s="37"/>
      <c r="J1170" s="35"/>
    </row>
    <row r="1171" spans="9:10" x14ac:dyDescent="0.25">
      <c r="I1171" s="37"/>
      <c r="J1171" s="35"/>
    </row>
    <row r="1172" spans="9:10" x14ac:dyDescent="0.25">
      <c r="I1172" s="37"/>
      <c r="J1172" s="35"/>
    </row>
    <row r="1173" spans="9:10" x14ac:dyDescent="0.25">
      <c r="I1173" s="37"/>
      <c r="J1173" s="35"/>
    </row>
    <row r="1174" spans="9:10" x14ac:dyDescent="0.25">
      <c r="I1174" s="37"/>
      <c r="J1174" s="35"/>
    </row>
    <row r="1175" spans="9:10" x14ac:dyDescent="0.25">
      <c r="I1175" s="37"/>
      <c r="J1175" s="35"/>
    </row>
    <row r="1176" spans="9:10" x14ac:dyDescent="0.25">
      <c r="I1176" s="37"/>
      <c r="J1176" s="35"/>
    </row>
    <row r="1177" spans="9:10" x14ac:dyDescent="0.25">
      <c r="I1177" s="37"/>
      <c r="J1177" s="35"/>
    </row>
    <row r="1178" spans="9:10" x14ac:dyDescent="0.25">
      <c r="I1178" s="37"/>
      <c r="J1178" s="35"/>
    </row>
    <row r="1179" spans="9:10" x14ac:dyDescent="0.25">
      <c r="I1179" s="37"/>
      <c r="J1179" s="35"/>
    </row>
    <row r="1180" spans="9:10" x14ac:dyDescent="0.25">
      <c r="I1180" s="37"/>
      <c r="J1180" s="35"/>
    </row>
    <row r="1181" spans="9:10" x14ac:dyDescent="0.25">
      <c r="I1181" s="37"/>
      <c r="J1181" s="35"/>
    </row>
    <row r="1182" spans="9:10" x14ac:dyDescent="0.25">
      <c r="I1182" s="37"/>
      <c r="J1182" s="35"/>
    </row>
    <row r="1183" spans="9:10" x14ac:dyDescent="0.25">
      <c r="I1183" s="37"/>
      <c r="J1183" s="35"/>
    </row>
    <row r="1184" spans="9:10" x14ac:dyDescent="0.25">
      <c r="I1184" s="37"/>
      <c r="J1184" s="35"/>
    </row>
    <row r="1185" spans="9:10" x14ac:dyDescent="0.25">
      <c r="I1185" s="37"/>
      <c r="J1185" s="35"/>
    </row>
    <row r="1186" spans="9:10" x14ac:dyDescent="0.25">
      <c r="I1186" s="37"/>
      <c r="J1186" s="35"/>
    </row>
    <row r="1187" spans="9:10" x14ac:dyDescent="0.25">
      <c r="I1187" s="37"/>
      <c r="J1187" s="35"/>
    </row>
    <row r="1188" spans="9:10" x14ac:dyDescent="0.25">
      <c r="I1188" s="37"/>
      <c r="J1188" s="35"/>
    </row>
    <row r="1189" spans="9:10" x14ac:dyDescent="0.25">
      <c r="I1189" s="37"/>
      <c r="J1189" s="35"/>
    </row>
    <row r="1190" spans="9:10" x14ac:dyDescent="0.25">
      <c r="I1190" s="37"/>
      <c r="J1190" s="35"/>
    </row>
    <row r="1191" spans="9:10" x14ac:dyDescent="0.25">
      <c r="I1191" s="37"/>
      <c r="J1191" s="35"/>
    </row>
    <row r="1192" spans="9:10" x14ac:dyDescent="0.25">
      <c r="I1192" s="37"/>
      <c r="J1192" s="35"/>
    </row>
    <row r="1193" spans="9:10" x14ac:dyDescent="0.25">
      <c r="I1193" s="37"/>
      <c r="J1193" s="35"/>
    </row>
    <row r="1194" spans="9:10" x14ac:dyDescent="0.25">
      <c r="I1194" s="37"/>
      <c r="J1194" s="35"/>
    </row>
    <row r="1195" spans="9:10" x14ac:dyDescent="0.25">
      <c r="I1195" s="37"/>
      <c r="J1195" s="35"/>
    </row>
    <row r="1196" spans="9:10" x14ac:dyDescent="0.25">
      <c r="I1196" s="37"/>
      <c r="J1196" s="35"/>
    </row>
    <row r="1197" spans="9:10" x14ac:dyDescent="0.25">
      <c r="I1197" s="37"/>
      <c r="J1197" s="35"/>
    </row>
    <row r="1198" spans="9:10" x14ac:dyDescent="0.25">
      <c r="I1198" s="37"/>
      <c r="J1198" s="35"/>
    </row>
    <row r="1199" spans="9:10" x14ac:dyDescent="0.25">
      <c r="I1199" s="37"/>
      <c r="J1199" s="35"/>
    </row>
    <row r="1200" spans="9:10" x14ac:dyDescent="0.25">
      <c r="I1200" s="37"/>
      <c r="J1200" s="35"/>
    </row>
    <row r="1201" spans="9:10" x14ac:dyDescent="0.25">
      <c r="I1201" s="37"/>
      <c r="J1201" s="35"/>
    </row>
    <row r="1202" spans="9:10" x14ac:dyDescent="0.25">
      <c r="I1202" s="37"/>
      <c r="J1202" s="35"/>
    </row>
    <row r="1203" spans="9:10" x14ac:dyDescent="0.25">
      <c r="I1203" s="37"/>
      <c r="J1203" s="35"/>
    </row>
    <row r="1204" spans="9:10" x14ac:dyDescent="0.25">
      <c r="I1204" s="37"/>
      <c r="J1204" s="35"/>
    </row>
    <row r="1205" spans="9:10" x14ac:dyDescent="0.25">
      <c r="I1205" s="37"/>
      <c r="J1205" s="35"/>
    </row>
    <row r="1206" spans="9:10" x14ac:dyDescent="0.25">
      <c r="I1206" s="37"/>
      <c r="J1206" s="35"/>
    </row>
    <row r="1207" spans="9:10" x14ac:dyDescent="0.25">
      <c r="I1207" s="37"/>
      <c r="J1207" s="35"/>
    </row>
    <row r="1208" spans="9:10" x14ac:dyDescent="0.25">
      <c r="I1208" s="37"/>
      <c r="J1208" s="35"/>
    </row>
    <row r="1209" spans="9:10" x14ac:dyDescent="0.25">
      <c r="I1209" s="37"/>
      <c r="J1209" s="35"/>
    </row>
    <row r="1210" spans="9:10" x14ac:dyDescent="0.25">
      <c r="I1210" s="37"/>
      <c r="J1210" s="35"/>
    </row>
    <row r="1211" spans="9:10" x14ac:dyDescent="0.25">
      <c r="I1211" s="37"/>
      <c r="J1211" s="35"/>
    </row>
    <row r="1212" spans="9:10" x14ac:dyDescent="0.25">
      <c r="I1212" s="37"/>
      <c r="J1212" s="35"/>
    </row>
    <row r="1213" spans="9:10" x14ac:dyDescent="0.25">
      <c r="I1213" s="37"/>
      <c r="J1213" s="35"/>
    </row>
    <row r="1214" spans="9:10" x14ac:dyDescent="0.25">
      <c r="I1214" s="37"/>
      <c r="J1214" s="35"/>
    </row>
    <row r="1215" spans="9:10" x14ac:dyDescent="0.25">
      <c r="I1215" s="37"/>
      <c r="J1215" s="35"/>
    </row>
    <row r="1216" spans="9:10" x14ac:dyDescent="0.25">
      <c r="I1216" s="37"/>
      <c r="J1216" s="35"/>
    </row>
    <row r="1217" spans="9:10" x14ac:dyDescent="0.25">
      <c r="I1217" s="37"/>
      <c r="J1217" s="35"/>
    </row>
    <row r="1218" spans="9:10" x14ac:dyDescent="0.25">
      <c r="I1218" s="37"/>
      <c r="J1218" s="35"/>
    </row>
    <row r="1219" spans="9:10" x14ac:dyDescent="0.25">
      <c r="I1219" s="37"/>
      <c r="J1219" s="35"/>
    </row>
    <row r="1220" spans="9:10" x14ac:dyDescent="0.25">
      <c r="I1220" s="37"/>
      <c r="J1220" s="35"/>
    </row>
    <row r="1221" spans="9:10" x14ac:dyDescent="0.25">
      <c r="I1221" s="37"/>
      <c r="J1221" s="35"/>
    </row>
    <row r="1222" spans="9:10" x14ac:dyDescent="0.25">
      <c r="I1222" s="37"/>
      <c r="J1222" s="35"/>
    </row>
    <row r="1223" spans="9:10" x14ac:dyDescent="0.25">
      <c r="I1223" s="37"/>
      <c r="J1223" s="35"/>
    </row>
    <row r="1224" spans="9:10" x14ac:dyDescent="0.25">
      <c r="I1224" s="37"/>
      <c r="J1224" s="35"/>
    </row>
    <row r="1225" spans="9:10" x14ac:dyDescent="0.25">
      <c r="I1225" s="37"/>
      <c r="J1225" s="35"/>
    </row>
    <row r="1226" spans="9:10" x14ac:dyDescent="0.25">
      <c r="I1226" s="37"/>
      <c r="J1226" s="35"/>
    </row>
    <row r="1227" spans="9:10" x14ac:dyDescent="0.25">
      <c r="I1227" s="37"/>
      <c r="J1227" s="35"/>
    </row>
    <row r="1228" spans="9:10" x14ac:dyDescent="0.25">
      <c r="I1228" s="37"/>
      <c r="J1228" s="35"/>
    </row>
    <row r="1229" spans="9:10" x14ac:dyDescent="0.25">
      <c r="I1229" s="37"/>
      <c r="J1229" s="35"/>
    </row>
    <row r="1230" spans="9:10" x14ac:dyDescent="0.25">
      <c r="I1230" s="37"/>
      <c r="J1230" s="35"/>
    </row>
    <row r="1231" spans="9:10" x14ac:dyDescent="0.25">
      <c r="I1231" s="37"/>
      <c r="J1231" s="35"/>
    </row>
    <row r="1232" spans="9:10" x14ac:dyDescent="0.25">
      <c r="I1232" s="37"/>
      <c r="J1232" s="35"/>
    </row>
    <row r="1233" spans="9:10" x14ac:dyDescent="0.25">
      <c r="I1233" s="37"/>
      <c r="J1233" s="35"/>
    </row>
    <row r="1234" spans="9:10" x14ac:dyDescent="0.25">
      <c r="I1234" s="37"/>
      <c r="J1234" s="35"/>
    </row>
    <row r="1235" spans="9:10" x14ac:dyDescent="0.25">
      <c r="I1235" s="37"/>
      <c r="J1235" s="35"/>
    </row>
    <row r="1236" spans="9:10" x14ac:dyDescent="0.25">
      <c r="I1236" s="37"/>
      <c r="J1236" s="35"/>
    </row>
    <row r="1237" spans="9:10" x14ac:dyDescent="0.25">
      <c r="I1237" s="37"/>
      <c r="J1237" s="35"/>
    </row>
    <row r="1238" spans="9:10" x14ac:dyDescent="0.25">
      <c r="I1238" s="37"/>
      <c r="J1238" s="35"/>
    </row>
    <row r="1239" spans="9:10" x14ac:dyDescent="0.25">
      <c r="I1239" s="37"/>
      <c r="J1239" s="35"/>
    </row>
    <row r="1240" spans="9:10" x14ac:dyDescent="0.25">
      <c r="I1240" s="37"/>
      <c r="J1240" s="35"/>
    </row>
    <row r="1241" spans="9:10" x14ac:dyDescent="0.25">
      <c r="I1241" s="37"/>
      <c r="J1241" s="35"/>
    </row>
    <row r="1242" spans="9:10" x14ac:dyDescent="0.25">
      <c r="I1242" s="37"/>
      <c r="J1242" s="35"/>
    </row>
    <row r="1243" spans="9:10" x14ac:dyDescent="0.25">
      <c r="I1243" s="37"/>
      <c r="J1243" s="35"/>
    </row>
    <row r="1244" spans="9:10" x14ac:dyDescent="0.25">
      <c r="I1244" s="37"/>
      <c r="J1244" s="35"/>
    </row>
    <row r="1245" spans="9:10" x14ac:dyDescent="0.25">
      <c r="I1245" s="37"/>
      <c r="J1245" s="35"/>
    </row>
    <row r="1246" spans="9:10" x14ac:dyDescent="0.25">
      <c r="I1246" s="37"/>
      <c r="J1246" s="35"/>
    </row>
    <row r="1247" spans="9:10" x14ac:dyDescent="0.25">
      <c r="I1247" s="37"/>
      <c r="J1247" s="35"/>
    </row>
    <row r="1248" spans="9:10" x14ac:dyDescent="0.25">
      <c r="I1248" s="37"/>
      <c r="J1248" s="35"/>
    </row>
    <row r="1249" spans="9:10" x14ac:dyDescent="0.25">
      <c r="I1249" s="37"/>
      <c r="J1249" s="35"/>
    </row>
    <row r="1250" spans="9:10" x14ac:dyDescent="0.25">
      <c r="I1250" s="37"/>
      <c r="J1250" s="35"/>
    </row>
    <row r="1251" spans="9:10" x14ac:dyDescent="0.25">
      <c r="I1251" s="37"/>
      <c r="J1251" s="35"/>
    </row>
    <row r="1252" spans="9:10" x14ac:dyDescent="0.25">
      <c r="I1252" s="37"/>
      <c r="J1252" s="35"/>
    </row>
    <row r="1253" spans="9:10" x14ac:dyDescent="0.25">
      <c r="I1253" s="37"/>
      <c r="J1253" s="35"/>
    </row>
    <row r="1254" spans="9:10" x14ac:dyDescent="0.25">
      <c r="I1254" s="37"/>
      <c r="J1254" s="35"/>
    </row>
    <row r="1255" spans="9:10" x14ac:dyDescent="0.25">
      <c r="I1255" s="37"/>
      <c r="J1255" s="35"/>
    </row>
    <row r="1256" spans="9:10" x14ac:dyDescent="0.25">
      <c r="I1256" s="37"/>
      <c r="J1256" s="35"/>
    </row>
    <row r="1257" spans="9:10" x14ac:dyDescent="0.25">
      <c r="I1257" s="37"/>
      <c r="J1257" s="35"/>
    </row>
    <row r="1258" spans="9:10" x14ac:dyDescent="0.25">
      <c r="I1258" s="37"/>
      <c r="J1258" s="35"/>
    </row>
    <row r="1259" spans="9:10" x14ac:dyDescent="0.25">
      <c r="I1259" s="37"/>
      <c r="J1259" s="35"/>
    </row>
    <row r="1260" spans="9:10" x14ac:dyDescent="0.25">
      <c r="I1260" s="37"/>
      <c r="J1260" s="35"/>
    </row>
    <row r="1261" spans="9:10" x14ac:dyDescent="0.25">
      <c r="I1261" s="37"/>
      <c r="J1261" s="35"/>
    </row>
    <row r="1262" spans="9:10" x14ac:dyDescent="0.25">
      <c r="I1262" s="37"/>
      <c r="J1262" s="35"/>
    </row>
    <row r="1263" spans="9:10" x14ac:dyDescent="0.25">
      <c r="I1263" s="37"/>
      <c r="J1263" s="35"/>
    </row>
    <row r="1264" spans="9:10" x14ac:dyDescent="0.25">
      <c r="I1264" s="37"/>
      <c r="J1264" s="35"/>
    </row>
    <row r="1265" spans="9:10" x14ac:dyDescent="0.25">
      <c r="I1265" s="37"/>
      <c r="J1265" s="35"/>
    </row>
    <row r="1266" spans="9:10" x14ac:dyDescent="0.25">
      <c r="I1266" s="37"/>
      <c r="J1266" s="35"/>
    </row>
    <row r="1267" spans="9:10" x14ac:dyDescent="0.25">
      <c r="I1267" s="37"/>
      <c r="J1267" s="35"/>
    </row>
    <row r="1268" spans="9:10" x14ac:dyDescent="0.25">
      <c r="I1268" s="37"/>
      <c r="J1268" s="35"/>
    </row>
    <row r="1269" spans="9:10" x14ac:dyDescent="0.25">
      <c r="I1269" s="37"/>
      <c r="J1269" s="35"/>
    </row>
    <row r="1270" spans="9:10" x14ac:dyDescent="0.25">
      <c r="I1270" s="37"/>
      <c r="J1270" s="35"/>
    </row>
    <row r="1271" spans="9:10" x14ac:dyDescent="0.25">
      <c r="I1271" s="37"/>
      <c r="J1271" s="35"/>
    </row>
    <row r="1272" spans="9:10" x14ac:dyDescent="0.25">
      <c r="I1272" s="37"/>
      <c r="J1272" s="35"/>
    </row>
    <row r="1273" spans="9:10" x14ac:dyDescent="0.25">
      <c r="I1273" s="37"/>
      <c r="J1273" s="35"/>
    </row>
    <row r="1274" spans="9:10" x14ac:dyDescent="0.25">
      <c r="I1274" s="37"/>
      <c r="J1274" s="35"/>
    </row>
    <row r="1275" spans="9:10" x14ac:dyDescent="0.25">
      <c r="I1275" s="37"/>
      <c r="J1275" s="35"/>
    </row>
    <row r="1276" spans="9:10" x14ac:dyDescent="0.25">
      <c r="I1276" s="37"/>
      <c r="J1276" s="35"/>
    </row>
    <row r="1277" spans="9:10" x14ac:dyDescent="0.25">
      <c r="I1277" s="37"/>
      <c r="J1277" s="35"/>
    </row>
    <row r="1278" spans="9:10" x14ac:dyDescent="0.25">
      <c r="I1278" s="37"/>
      <c r="J1278" s="35"/>
    </row>
    <row r="1279" spans="9:10" x14ac:dyDescent="0.25">
      <c r="I1279" s="37"/>
      <c r="J1279" s="35"/>
    </row>
    <row r="1280" spans="9:10" x14ac:dyDescent="0.25">
      <c r="I1280" s="37"/>
      <c r="J1280" s="35"/>
    </row>
    <row r="1281" spans="9:10" x14ac:dyDescent="0.25">
      <c r="I1281" s="37"/>
      <c r="J1281" s="35"/>
    </row>
    <row r="1282" spans="9:10" x14ac:dyDescent="0.25">
      <c r="I1282" s="37"/>
      <c r="J1282" s="35"/>
    </row>
    <row r="1283" spans="9:10" x14ac:dyDescent="0.25">
      <c r="I1283" s="37"/>
      <c r="J1283" s="35"/>
    </row>
    <row r="1284" spans="9:10" x14ac:dyDescent="0.25">
      <c r="I1284" s="37"/>
      <c r="J1284" s="35"/>
    </row>
    <row r="1285" spans="9:10" x14ac:dyDescent="0.25">
      <c r="I1285" s="37"/>
      <c r="J1285" s="35"/>
    </row>
    <row r="1286" spans="9:10" x14ac:dyDescent="0.25">
      <c r="I1286" s="37"/>
      <c r="J1286" s="35"/>
    </row>
    <row r="1287" spans="9:10" x14ac:dyDescent="0.25">
      <c r="I1287" s="37"/>
      <c r="J1287" s="35"/>
    </row>
    <row r="1288" spans="9:10" x14ac:dyDescent="0.25">
      <c r="I1288" s="37"/>
      <c r="J1288" s="35"/>
    </row>
    <row r="1289" spans="9:10" x14ac:dyDescent="0.25">
      <c r="I1289" s="37"/>
      <c r="J1289" s="35"/>
    </row>
    <row r="1290" spans="9:10" x14ac:dyDescent="0.25">
      <c r="I1290" s="37"/>
      <c r="J1290" s="35"/>
    </row>
    <row r="1291" spans="9:10" x14ac:dyDescent="0.25">
      <c r="I1291" s="37"/>
      <c r="J1291" s="35"/>
    </row>
    <row r="1292" spans="9:10" x14ac:dyDescent="0.25">
      <c r="I1292" s="37"/>
      <c r="J1292" s="35"/>
    </row>
    <row r="1293" spans="9:10" x14ac:dyDescent="0.25">
      <c r="I1293" s="37"/>
      <c r="J1293" s="35"/>
    </row>
    <row r="1294" spans="9:10" x14ac:dyDescent="0.25">
      <c r="I1294" s="37"/>
      <c r="J1294" s="35"/>
    </row>
    <row r="1295" spans="9:10" x14ac:dyDescent="0.25">
      <c r="I1295" s="37"/>
      <c r="J1295" s="35"/>
    </row>
    <row r="1296" spans="9:10" x14ac:dyDescent="0.25">
      <c r="I1296" s="37"/>
      <c r="J1296" s="35"/>
    </row>
    <row r="1297" spans="9:10" x14ac:dyDescent="0.25">
      <c r="I1297" s="37"/>
      <c r="J1297" s="35"/>
    </row>
    <row r="1298" spans="9:10" x14ac:dyDescent="0.25">
      <c r="I1298" s="37"/>
      <c r="J1298" s="35"/>
    </row>
    <row r="1299" spans="9:10" x14ac:dyDescent="0.25">
      <c r="I1299" s="37"/>
      <c r="J1299" s="35"/>
    </row>
    <row r="1300" spans="9:10" x14ac:dyDescent="0.25">
      <c r="I1300" s="37"/>
      <c r="J1300" s="35"/>
    </row>
    <row r="1301" spans="9:10" x14ac:dyDescent="0.25">
      <c r="I1301" s="37"/>
      <c r="J1301" s="35"/>
    </row>
    <row r="1302" spans="9:10" x14ac:dyDescent="0.25">
      <c r="I1302" s="37"/>
      <c r="J1302" s="35"/>
    </row>
    <row r="1303" spans="9:10" x14ac:dyDescent="0.25">
      <c r="I1303" s="37"/>
      <c r="J1303" s="35"/>
    </row>
    <row r="1304" spans="9:10" x14ac:dyDescent="0.25">
      <c r="I1304" s="37"/>
      <c r="J1304" s="35"/>
    </row>
    <row r="1305" spans="9:10" x14ac:dyDescent="0.25">
      <c r="I1305" s="37"/>
      <c r="J1305" s="35"/>
    </row>
    <row r="1306" spans="9:10" x14ac:dyDescent="0.25">
      <c r="I1306" s="37"/>
      <c r="J1306" s="35"/>
    </row>
    <row r="1307" spans="9:10" x14ac:dyDescent="0.25">
      <c r="I1307" s="37"/>
      <c r="J1307" s="35"/>
    </row>
    <row r="1308" spans="9:10" x14ac:dyDescent="0.25">
      <c r="I1308" s="37"/>
      <c r="J1308" s="35"/>
    </row>
    <row r="1309" spans="9:10" x14ac:dyDescent="0.25">
      <c r="I1309" s="37"/>
      <c r="J1309" s="35"/>
    </row>
    <row r="1310" spans="9:10" x14ac:dyDescent="0.25">
      <c r="I1310" s="37"/>
      <c r="J1310" s="35"/>
    </row>
    <row r="1311" spans="9:10" x14ac:dyDescent="0.25">
      <c r="I1311" s="37"/>
      <c r="J1311" s="35"/>
    </row>
    <row r="1312" spans="9:10" x14ac:dyDescent="0.25">
      <c r="I1312" s="37"/>
      <c r="J1312" s="35"/>
    </row>
    <row r="1313" spans="9:10" x14ac:dyDescent="0.25">
      <c r="I1313" s="37"/>
      <c r="J1313" s="35"/>
    </row>
    <row r="1314" spans="9:10" x14ac:dyDescent="0.25">
      <c r="I1314" s="37"/>
      <c r="J1314" s="35"/>
    </row>
    <row r="1315" spans="9:10" x14ac:dyDescent="0.25">
      <c r="I1315" s="37"/>
      <c r="J1315" s="35"/>
    </row>
    <row r="1316" spans="9:10" x14ac:dyDescent="0.25">
      <c r="I1316" s="37"/>
      <c r="J1316" s="35"/>
    </row>
    <row r="1317" spans="9:10" x14ac:dyDescent="0.25">
      <c r="I1317" s="37"/>
      <c r="J1317" s="35"/>
    </row>
    <row r="1318" spans="9:10" x14ac:dyDescent="0.25">
      <c r="I1318" s="37"/>
      <c r="J1318" s="35"/>
    </row>
    <row r="1319" spans="9:10" x14ac:dyDescent="0.25">
      <c r="I1319" s="37"/>
      <c r="J1319" s="35"/>
    </row>
    <row r="1320" spans="9:10" x14ac:dyDescent="0.25">
      <c r="I1320" s="37"/>
      <c r="J1320" s="35"/>
    </row>
    <row r="1321" spans="9:10" x14ac:dyDescent="0.25">
      <c r="I1321" s="37"/>
      <c r="J1321" s="35"/>
    </row>
    <row r="1322" spans="9:10" x14ac:dyDescent="0.25">
      <c r="I1322" s="37"/>
      <c r="J1322" s="35"/>
    </row>
    <row r="1323" spans="9:10" x14ac:dyDescent="0.25">
      <c r="I1323" s="37"/>
      <c r="J1323" s="35"/>
    </row>
    <row r="1324" spans="9:10" x14ac:dyDescent="0.25">
      <c r="I1324" s="37"/>
      <c r="J1324" s="35"/>
    </row>
    <row r="1325" spans="9:10" x14ac:dyDescent="0.25">
      <c r="I1325" s="37"/>
      <c r="J1325" s="35"/>
    </row>
    <row r="1326" spans="9:10" x14ac:dyDescent="0.25">
      <c r="I1326" s="37"/>
      <c r="J1326" s="35"/>
    </row>
    <row r="1327" spans="9:10" x14ac:dyDescent="0.25">
      <c r="I1327" s="37"/>
      <c r="J1327" s="35"/>
    </row>
    <row r="1328" spans="9:10" x14ac:dyDescent="0.25">
      <c r="I1328" s="37"/>
      <c r="J1328" s="35"/>
    </row>
    <row r="1329" spans="9:10" x14ac:dyDescent="0.25">
      <c r="I1329" s="37"/>
      <c r="J1329" s="35"/>
    </row>
    <row r="1330" spans="9:10" x14ac:dyDescent="0.25">
      <c r="I1330" s="37"/>
      <c r="J1330" s="35"/>
    </row>
    <row r="1331" spans="9:10" x14ac:dyDescent="0.25">
      <c r="I1331" s="37"/>
      <c r="J1331" s="35"/>
    </row>
    <row r="1332" spans="9:10" x14ac:dyDescent="0.25">
      <c r="I1332" s="37"/>
      <c r="J1332" s="35"/>
    </row>
    <row r="1333" spans="9:10" x14ac:dyDescent="0.25">
      <c r="I1333" s="37"/>
      <c r="J1333" s="35"/>
    </row>
    <row r="1334" spans="9:10" x14ac:dyDescent="0.25">
      <c r="I1334" s="37"/>
      <c r="J1334" s="35"/>
    </row>
  </sheetData>
  <mergeCells count="18">
    <mergeCell ref="T29:U29"/>
    <mergeCell ref="J16:K16"/>
    <mergeCell ref="L16:M16"/>
    <mergeCell ref="N16:O16"/>
    <mergeCell ref="P16:Q16"/>
    <mergeCell ref="R16:S16"/>
    <mergeCell ref="T16:U16"/>
    <mergeCell ref="J29:K29"/>
    <mergeCell ref="L29:M29"/>
    <mergeCell ref="N29:O29"/>
    <mergeCell ref="P29:Q29"/>
    <mergeCell ref="R29:S29"/>
    <mergeCell ref="T2:U2"/>
    <mergeCell ref="J2:K2"/>
    <mergeCell ref="L2:M2"/>
    <mergeCell ref="N2:O2"/>
    <mergeCell ref="P2:Q2"/>
    <mergeCell ref="R2:S2"/>
  </mergeCells>
  <conditionalFormatting sqref="AE3:AI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:AI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0:AI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04E5-F1F8-4669-8A24-E3B9017CA4A8}">
  <dimension ref="A1:AQ1334"/>
  <sheetViews>
    <sheetView showGridLines="0" zoomScale="85" zoomScaleNormal="85" workbookViewId="0">
      <selection activeCell="AL7" sqref="AL7"/>
    </sheetView>
  </sheetViews>
  <sheetFormatPr defaultRowHeight="15" outlineLevelRow="1" outlineLevelCol="1" x14ac:dyDescent="0.25"/>
  <cols>
    <col min="1" max="1" width="2.5703125" customWidth="1"/>
    <col min="2" max="2" width="9.140625" customWidth="1"/>
    <col min="3" max="3" width="16.28515625" bestFit="1" customWidth="1"/>
    <col min="4" max="4" width="15.28515625" bestFit="1" customWidth="1"/>
    <col min="5" max="5" width="2.5703125" customWidth="1"/>
    <col min="6" max="6" width="18.140625" bestFit="1" customWidth="1"/>
    <col min="7" max="7" width="2.5703125" customWidth="1"/>
    <col min="8" max="8" width="25.140625" bestFit="1" customWidth="1"/>
    <col min="9" max="9" width="24.28515625" style="11" customWidth="1" outlineLevel="1"/>
    <col min="10" max="10" width="7.140625" style="6" bestFit="1" customWidth="1"/>
    <col min="11" max="11" width="17" style="11" bestFit="1" customWidth="1" outlineLevel="1"/>
    <col min="12" max="12" width="9.28515625" style="6" customWidth="1"/>
    <col min="13" max="13" width="19.5703125" style="11" hidden="1" customWidth="1" outlineLevel="1"/>
    <col min="14" max="14" width="10.42578125" style="6" customWidth="1" collapsed="1"/>
    <col min="15" max="15" width="17.85546875" style="11" hidden="1" customWidth="1" outlineLevel="1"/>
    <col min="16" max="16" width="8.5703125" style="6" bestFit="1" customWidth="1" collapsed="1"/>
    <col min="17" max="17" width="18" style="11" hidden="1" customWidth="1" outlineLevel="1"/>
    <col min="18" max="18" width="11.42578125" style="5" customWidth="1" collapsed="1"/>
    <col min="19" max="19" width="19.5703125" style="10" hidden="1" customWidth="1" outlineLevel="1"/>
    <col min="20" max="20" width="8.140625" style="10" bestFit="1" customWidth="1" collapsed="1"/>
    <col min="21" max="21" width="19.5703125" style="10" hidden="1" customWidth="1" outlineLevel="1"/>
    <col min="22" max="22" width="2.5703125" customWidth="1" collapsed="1"/>
    <col min="23" max="24" width="7.140625" hidden="1" customWidth="1" outlineLevel="1"/>
    <col min="25" max="25" width="17.85546875" bestFit="1" customWidth="1" collapsed="1"/>
    <col min="26" max="27" width="17.85546875" bestFit="1" customWidth="1"/>
    <col min="28" max="28" width="16.140625" bestFit="1" customWidth="1"/>
    <col min="29" max="29" width="15.140625" bestFit="1" customWidth="1"/>
    <col min="30" max="30" width="2.5703125" customWidth="1"/>
    <col min="31" max="31" width="7.85546875" bestFit="1" customWidth="1"/>
    <col min="32" max="32" width="11.140625" bestFit="1" customWidth="1"/>
    <col min="33" max="33" width="13.28515625" bestFit="1" customWidth="1"/>
    <col min="34" max="34" width="7.85546875" bestFit="1" customWidth="1"/>
    <col min="35" max="35" width="8.140625" bestFit="1" customWidth="1"/>
    <col min="36" max="36" width="2.5703125" customWidth="1"/>
    <col min="37" max="37" width="17.85546875" bestFit="1" customWidth="1"/>
    <col min="38" max="38" width="8.140625" bestFit="1" customWidth="1"/>
    <col min="39" max="39" width="2.5703125" customWidth="1"/>
    <col min="41" max="41" width="16.28515625" bestFit="1" customWidth="1"/>
  </cols>
  <sheetData>
    <row r="1" spans="1:43" ht="9" customHeight="1" x14ac:dyDescent="0.25">
      <c r="A1" t="s">
        <v>75</v>
      </c>
    </row>
    <row r="2" spans="1:43" x14ac:dyDescent="0.25">
      <c r="B2" s="1"/>
      <c r="C2" s="1" t="s">
        <v>20</v>
      </c>
      <c r="D2" s="1"/>
      <c r="H2" s="4" t="s">
        <v>1</v>
      </c>
      <c r="I2" s="9" t="s">
        <v>4</v>
      </c>
      <c r="J2" s="112" t="s">
        <v>7</v>
      </c>
      <c r="K2" s="112"/>
      <c r="L2" s="112" t="s">
        <v>8</v>
      </c>
      <c r="M2" s="112"/>
      <c r="N2" s="112" t="s">
        <v>10</v>
      </c>
      <c r="O2" s="112"/>
      <c r="P2" s="112" t="s">
        <v>9</v>
      </c>
      <c r="Q2" s="112"/>
      <c r="R2" s="112" t="s">
        <v>21</v>
      </c>
      <c r="S2" s="112"/>
      <c r="T2" s="112" t="s">
        <v>55</v>
      </c>
      <c r="U2" s="112"/>
      <c r="W2" s="1" t="s">
        <v>46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27" t="s">
        <v>49</v>
      </c>
      <c r="AF2" s="27" t="s">
        <v>50</v>
      </c>
      <c r="AG2" s="27" t="s">
        <v>51</v>
      </c>
      <c r="AH2" s="27" t="s">
        <v>52</v>
      </c>
      <c r="AI2" s="27" t="s">
        <v>53</v>
      </c>
      <c r="AK2" s="75" t="s">
        <v>60</v>
      </c>
      <c r="AL2" s="75" t="s">
        <v>61</v>
      </c>
      <c r="AN2" s="1"/>
      <c r="AO2" s="1" t="s">
        <v>20</v>
      </c>
      <c r="AP2" s="1"/>
    </row>
    <row r="3" spans="1:43" x14ac:dyDescent="0.25">
      <c r="A3" s="98"/>
      <c r="B3" t="s">
        <v>11</v>
      </c>
      <c r="C3" s="2" t="s">
        <v>10</v>
      </c>
      <c r="D3" t="s">
        <v>7</v>
      </c>
      <c r="E3" s="98"/>
      <c r="F3" s="7">
        <f>J3+L3+N3+P3+R3+T3</f>
        <v>1</v>
      </c>
      <c r="G3" s="99"/>
      <c r="H3" s="97" t="s">
        <v>5</v>
      </c>
      <c r="I3" s="80">
        <v>525271264.66000003</v>
      </c>
      <c r="J3" s="81">
        <f>47.56%+4.81%</f>
        <v>0.52370000000000005</v>
      </c>
      <c r="K3" s="80">
        <f t="shared" ref="K3:K13" si="0">+J3*$I3</f>
        <v>275084561.30244201</v>
      </c>
      <c r="L3" s="81">
        <v>0.224</v>
      </c>
      <c r="M3" s="80">
        <f t="shared" ref="M3:M13" si="1">+L3*$I3</f>
        <v>117660763.28384002</v>
      </c>
      <c r="N3" s="81">
        <v>0.22</v>
      </c>
      <c r="O3" s="80">
        <f t="shared" ref="O3:O13" si="2">+N3*$I3</f>
        <v>115559678.22520001</v>
      </c>
      <c r="P3" s="81">
        <v>3.2399999999999998E-2</v>
      </c>
      <c r="Q3" s="80">
        <f t="shared" ref="Q3:Q13" si="3">+P3*$I3</f>
        <v>17018788.974984001</v>
      </c>
      <c r="R3" s="82"/>
      <c r="S3" s="80">
        <f t="shared" ref="S3:S13" si="4">+R3*$I3</f>
        <v>0</v>
      </c>
      <c r="T3" s="81">
        <v>-1E-4</v>
      </c>
      <c r="U3" s="65">
        <f t="shared" ref="U3:U13" si="5">+T3*$I3</f>
        <v>-52527.126466000002</v>
      </c>
      <c r="V3" s="98"/>
      <c r="Y3" s="12">
        <f>K3-'Jan25'!K3</f>
        <v>0</v>
      </c>
      <c r="Z3" s="12">
        <f>M3-'Jan25'!M3</f>
        <v>0</v>
      </c>
      <c r="AA3" s="12">
        <f>O3-'Jan25'!O3</f>
        <v>0</v>
      </c>
      <c r="AB3" s="12">
        <f>Q3-'Jan25'!Q3</f>
        <v>0</v>
      </c>
      <c r="AC3" s="12">
        <f>+S3-'Jan25'!S3</f>
        <v>0</v>
      </c>
      <c r="AD3" s="98"/>
      <c r="AE3" s="28">
        <f>J3-'Jan25'!J3</f>
        <v>0</v>
      </c>
      <c r="AF3" s="28">
        <f>L3-'Jan25'!L3</f>
        <v>0</v>
      </c>
      <c r="AG3" s="28">
        <f>N3-'Jan25'!N3</f>
        <v>0</v>
      </c>
      <c r="AH3" s="28">
        <f>P3-'Jan25'!P3</f>
        <v>0</v>
      </c>
      <c r="AI3" s="28">
        <f>R3-'Jan25'!R3</f>
        <v>0</v>
      </c>
      <c r="AJ3" s="98"/>
      <c r="AK3" s="10">
        <f>I3-'Jan25'!I3</f>
        <v>0</v>
      </c>
      <c r="AL3" s="76">
        <f>I3/'Jan25'!I3-1</f>
        <v>0</v>
      </c>
      <c r="AM3" s="98"/>
      <c r="AN3" t="s">
        <v>11</v>
      </c>
      <c r="AO3" s="2" t="s">
        <v>10</v>
      </c>
      <c r="AP3" t="s">
        <v>7</v>
      </c>
      <c r="AQ3" s="98"/>
    </row>
    <row r="4" spans="1:43" x14ac:dyDescent="0.25">
      <c r="B4" t="s">
        <v>12</v>
      </c>
      <c r="C4" s="2" t="s">
        <v>16</v>
      </c>
      <c r="D4" t="s">
        <v>58</v>
      </c>
      <c r="F4" s="7">
        <f t="shared" ref="F4:F36" si="6">J4+L4+N4+P4+R4+T4</f>
        <v>1</v>
      </c>
      <c r="H4" s="3" t="s">
        <v>0</v>
      </c>
      <c r="I4" s="78">
        <v>1609619530.1800001</v>
      </c>
      <c r="J4" s="77">
        <v>0.39</v>
      </c>
      <c r="K4" s="78">
        <f t="shared" si="0"/>
        <v>627751616.77020001</v>
      </c>
      <c r="L4" s="77">
        <v>7.0000000000000007E-2</v>
      </c>
      <c r="M4" s="78">
        <f t="shared" si="1"/>
        <v>112673367.11260001</v>
      </c>
      <c r="N4" s="77">
        <v>0.34</v>
      </c>
      <c r="O4" s="78">
        <f t="shared" si="2"/>
        <v>547270640.26120007</v>
      </c>
      <c r="P4" s="77">
        <v>0.11</v>
      </c>
      <c r="Q4" s="78">
        <f t="shared" si="3"/>
        <v>177058148.31980002</v>
      </c>
      <c r="R4" s="77"/>
      <c r="S4" s="78">
        <f t="shared" si="4"/>
        <v>0</v>
      </c>
      <c r="T4" s="77">
        <v>0.09</v>
      </c>
      <c r="U4" s="57">
        <f t="shared" si="5"/>
        <v>144865757.71619999</v>
      </c>
      <c r="Y4" s="12">
        <f>K4-'Jan25'!K4</f>
        <v>0</v>
      </c>
      <c r="Z4" s="12">
        <f>M4-'Jan25'!M4</f>
        <v>0</v>
      </c>
      <c r="AA4" s="12">
        <f>O4-'Jan25'!O4</f>
        <v>0</v>
      </c>
      <c r="AB4" s="12">
        <f>Q4-'Jan25'!Q4</f>
        <v>0</v>
      </c>
      <c r="AC4" s="12">
        <f>+S4-'Jan25'!S4</f>
        <v>0</v>
      </c>
      <c r="AE4" s="28">
        <f>J4-'Jan25'!J4</f>
        <v>0</v>
      </c>
      <c r="AF4" s="28">
        <f>L4-'Jan25'!L4</f>
        <v>0</v>
      </c>
      <c r="AG4" s="28">
        <f>N4-'Jan25'!N4</f>
        <v>0</v>
      </c>
      <c r="AH4" s="28">
        <f>P4-'Jan25'!P4</f>
        <v>0</v>
      </c>
      <c r="AI4" s="28">
        <f>R4-'Jan25'!R4</f>
        <v>0</v>
      </c>
      <c r="AJ4" s="93"/>
      <c r="AK4" s="10">
        <f>I4-'Jan25'!I4</f>
        <v>0</v>
      </c>
      <c r="AL4" s="76">
        <f>I4/'Jan25'!I4-1</f>
        <v>0</v>
      </c>
      <c r="AN4" t="s">
        <v>12</v>
      </c>
      <c r="AO4" s="2" t="s">
        <v>16</v>
      </c>
      <c r="AP4" t="s">
        <v>58</v>
      </c>
    </row>
    <row r="5" spans="1:43" x14ac:dyDescent="0.25">
      <c r="B5" t="s">
        <v>13</v>
      </c>
      <c r="C5" s="2" t="s">
        <v>17</v>
      </c>
      <c r="D5" t="s">
        <v>59</v>
      </c>
      <c r="F5" s="7">
        <f>J5+L5+N5+P5+R5+T5</f>
        <v>1</v>
      </c>
      <c r="H5" s="3" t="s">
        <v>3</v>
      </c>
      <c r="I5" s="78">
        <v>373657599.88999999</v>
      </c>
      <c r="J5" s="77">
        <v>0.43</v>
      </c>
      <c r="K5" s="78">
        <f t="shared" si="0"/>
        <v>160672767.95269999</v>
      </c>
      <c r="L5" s="77"/>
      <c r="M5" s="78">
        <f t="shared" si="1"/>
        <v>0</v>
      </c>
      <c r="N5" s="77">
        <v>0.34</v>
      </c>
      <c r="O5" s="78">
        <f t="shared" si="2"/>
        <v>127043583.96260001</v>
      </c>
      <c r="P5" s="77">
        <v>0.06</v>
      </c>
      <c r="Q5" s="78">
        <f t="shared" si="3"/>
        <v>22419455.9934</v>
      </c>
      <c r="R5" s="77">
        <v>0.15</v>
      </c>
      <c r="S5" s="78">
        <f t="shared" si="4"/>
        <v>56048639.983499996</v>
      </c>
      <c r="T5" s="77">
        <v>0.02</v>
      </c>
      <c r="U5" s="57">
        <f t="shared" si="5"/>
        <v>7473151.9978</v>
      </c>
      <c r="Y5" s="12">
        <f>K5-'Jan25'!K5</f>
        <v>0</v>
      </c>
      <c r="Z5" s="12">
        <f>M5-'Jan25'!M5</f>
        <v>0</v>
      </c>
      <c r="AA5" s="12">
        <f>O5-'Jan25'!O5</f>
        <v>0</v>
      </c>
      <c r="AB5" s="12">
        <f>Q5-'Jan25'!Q5</f>
        <v>0</v>
      </c>
      <c r="AC5" s="12">
        <f>+S5-'Jan25'!S5</f>
        <v>0</v>
      </c>
      <c r="AE5" s="28">
        <f>J5-'Jan25'!J5</f>
        <v>0</v>
      </c>
      <c r="AF5" s="28">
        <f>L5-'Jan25'!L5</f>
        <v>0</v>
      </c>
      <c r="AG5" s="28">
        <f>N5-'Jan25'!N5</f>
        <v>0</v>
      </c>
      <c r="AH5" s="28">
        <f>P5-'Jan25'!P5</f>
        <v>0</v>
      </c>
      <c r="AI5" s="28">
        <f>R5-'Jan25'!R5</f>
        <v>0</v>
      </c>
      <c r="AK5" s="10">
        <f>I5-'Jan25'!I5</f>
        <v>0</v>
      </c>
      <c r="AL5" s="76">
        <f>I5/'Jan25'!I5-1</f>
        <v>0</v>
      </c>
      <c r="AN5" t="s">
        <v>13</v>
      </c>
      <c r="AO5" s="2" t="s">
        <v>17</v>
      </c>
      <c r="AP5" t="s">
        <v>59</v>
      </c>
    </row>
    <row r="6" spans="1:43" x14ac:dyDescent="0.25">
      <c r="B6" t="s">
        <v>14</v>
      </c>
      <c r="C6" s="2" t="s">
        <v>18</v>
      </c>
      <c r="F6" s="7">
        <f t="shared" si="6"/>
        <v>1</v>
      </c>
      <c r="H6" s="3" t="s">
        <v>62</v>
      </c>
      <c r="I6" s="78">
        <v>441308529.06</v>
      </c>
      <c r="J6" s="77">
        <v>0.14899999999999999</v>
      </c>
      <c r="K6" s="78">
        <f t="shared" si="0"/>
        <v>65754970.829939999</v>
      </c>
      <c r="L6" s="77">
        <v>0.33700000000000002</v>
      </c>
      <c r="M6" s="78">
        <f t="shared" si="1"/>
        <v>148720974.29322001</v>
      </c>
      <c r="N6" s="77">
        <v>0.40899999999999997</v>
      </c>
      <c r="O6" s="78">
        <f t="shared" si="2"/>
        <v>180495188.38553998</v>
      </c>
      <c r="P6" s="77">
        <v>4.1000000000000002E-2</v>
      </c>
      <c r="Q6" s="78">
        <f t="shared" si="3"/>
        <v>18093649.691460002</v>
      </c>
      <c r="R6" s="77"/>
      <c r="S6" s="78">
        <f t="shared" si="4"/>
        <v>0</v>
      </c>
      <c r="T6" s="77">
        <f>2.9%+3.5%</f>
        <v>6.4000000000000001E-2</v>
      </c>
      <c r="U6" s="57">
        <f t="shared" si="5"/>
        <v>28243745.859840002</v>
      </c>
      <c r="Y6" s="12">
        <f>K6-'Jan25'!K6</f>
        <v>0</v>
      </c>
      <c r="Z6" s="12">
        <f>M6-'Jan25'!M6</f>
        <v>0</v>
      </c>
      <c r="AA6" s="12">
        <f>O6-'Jan25'!O6</f>
        <v>0</v>
      </c>
      <c r="AB6" s="12">
        <f>Q6-'Jan25'!Q6</f>
        <v>0</v>
      </c>
      <c r="AC6" s="12">
        <f>+S6-'Jan25'!S6</f>
        <v>0</v>
      </c>
      <c r="AE6" s="28">
        <f>J6-'Jan25'!J6</f>
        <v>0</v>
      </c>
      <c r="AF6" s="28">
        <f>L6-'Jan25'!L6</f>
        <v>0</v>
      </c>
      <c r="AG6" s="28">
        <f>N6-'Jan25'!N6</f>
        <v>0</v>
      </c>
      <c r="AH6" s="28">
        <f>P6-'Jan25'!P6</f>
        <v>0</v>
      </c>
      <c r="AI6" s="28">
        <f>R6-'Jan25'!R6</f>
        <v>0</v>
      </c>
      <c r="AK6" s="10">
        <f>I6-'Jan25'!I6</f>
        <v>0</v>
      </c>
      <c r="AL6" s="76">
        <f>I6/'Jan25'!I6-1</f>
        <v>0</v>
      </c>
      <c r="AN6" t="s">
        <v>14</v>
      </c>
      <c r="AO6" s="2" t="s">
        <v>18</v>
      </c>
    </row>
    <row r="7" spans="1:43" x14ac:dyDescent="0.25">
      <c r="B7" t="s">
        <v>15</v>
      </c>
      <c r="C7" s="2" t="s">
        <v>19</v>
      </c>
      <c r="F7" s="7">
        <f t="shared" si="6"/>
        <v>1</v>
      </c>
      <c r="H7" s="3" t="s">
        <v>22</v>
      </c>
      <c r="I7" s="78">
        <v>2646543313.9200001</v>
      </c>
      <c r="J7" s="77">
        <v>0.27</v>
      </c>
      <c r="K7" s="78">
        <f t="shared" si="0"/>
        <v>714566694.75840008</v>
      </c>
      <c r="L7" s="77">
        <v>0.28399999999999997</v>
      </c>
      <c r="M7" s="78">
        <f t="shared" si="1"/>
        <v>751618301.1532799</v>
      </c>
      <c r="N7" s="77">
        <v>0.41399999999999998</v>
      </c>
      <c r="O7" s="78">
        <f t="shared" si="2"/>
        <v>1095668931.9628799</v>
      </c>
      <c r="P7" s="77">
        <v>3.2000000000000001E-2</v>
      </c>
      <c r="Q7" s="78">
        <f t="shared" si="3"/>
        <v>84689386.045440003</v>
      </c>
      <c r="R7" s="77"/>
      <c r="S7" s="78">
        <f t="shared" si="4"/>
        <v>0</v>
      </c>
      <c r="T7" s="77"/>
      <c r="U7" s="57">
        <f t="shared" si="5"/>
        <v>0</v>
      </c>
      <c r="Y7" s="12">
        <f>K7-'Jan25'!K7</f>
        <v>0</v>
      </c>
      <c r="Z7" s="12">
        <f>M7-'Jan25'!M7</f>
        <v>0</v>
      </c>
      <c r="AA7" s="12">
        <f>O7-'Jan25'!O7</f>
        <v>0</v>
      </c>
      <c r="AB7" s="12">
        <f>Q7-'Jan25'!Q7</f>
        <v>0</v>
      </c>
      <c r="AC7" s="12">
        <f>+S7-'Jan25'!S7</f>
        <v>0</v>
      </c>
      <c r="AE7" s="28">
        <f>J7-'Jan25'!J7</f>
        <v>0</v>
      </c>
      <c r="AF7" s="28">
        <f>L7-'Jan25'!L7</f>
        <v>0</v>
      </c>
      <c r="AG7" s="28">
        <f>N7-'Jan25'!N7</f>
        <v>0</v>
      </c>
      <c r="AH7" s="28">
        <f>P7-'Jan25'!P7</f>
        <v>0</v>
      </c>
      <c r="AI7" s="28">
        <f>R7-'Jan25'!R7</f>
        <v>0</v>
      </c>
      <c r="AK7" s="10">
        <f>I7-'Jan25'!I7</f>
        <v>0</v>
      </c>
      <c r="AL7" s="76">
        <f>I7/'Jan25'!I7-1</f>
        <v>0</v>
      </c>
      <c r="AN7" t="s">
        <v>15</v>
      </c>
      <c r="AO7" s="2" t="s">
        <v>19</v>
      </c>
    </row>
    <row r="8" spans="1:43" x14ac:dyDescent="0.25">
      <c r="B8" t="s">
        <v>57</v>
      </c>
      <c r="F8" s="7">
        <f t="shared" si="6"/>
        <v>1</v>
      </c>
      <c r="H8" s="3" t="s">
        <v>23</v>
      </c>
      <c r="I8" s="78">
        <v>67001166.770000003</v>
      </c>
      <c r="J8" s="77">
        <v>0.25</v>
      </c>
      <c r="K8" s="78">
        <f t="shared" si="0"/>
        <v>16750291.692500001</v>
      </c>
      <c r="L8" s="77">
        <v>0.4</v>
      </c>
      <c r="M8" s="78">
        <f t="shared" si="1"/>
        <v>26800466.708000004</v>
      </c>
      <c r="N8" s="77">
        <v>0.2</v>
      </c>
      <c r="O8" s="78">
        <f t="shared" si="2"/>
        <v>13400233.354000002</v>
      </c>
      <c r="P8" s="77">
        <v>0.1</v>
      </c>
      <c r="Q8" s="78">
        <f t="shared" si="3"/>
        <v>6700116.6770000011</v>
      </c>
      <c r="R8" s="77"/>
      <c r="S8" s="78">
        <f t="shared" si="4"/>
        <v>0</v>
      </c>
      <c r="T8" s="77">
        <v>0.05</v>
      </c>
      <c r="U8" s="57">
        <f t="shared" si="5"/>
        <v>3350058.3385000005</v>
      </c>
      <c r="Y8" s="12">
        <f>K8-'Jan25'!K8</f>
        <v>0</v>
      </c>
      <c r="Z8" s="12">
        <f>M8-'Jan25'!M8</f>
        <v>0</v>
      </c>
      <c r="AA8" s="12">
        <f>O8-'Jan25'!O8</f>
        <v>0</v>
      </c>
      <c r="AB8" s="12">
        <f>Q8-'Jan25'!Q8</f>
        <v>0</v>
      </c>
      <c r="AC8" s="12">
        <f>+S8-'Jan25'!S8</f>
        <v>0</v>
      </c>
      <c r="AE8" s="28">
        <f>J8-'Jan25'!J8</f>
        <v>0</v>
      </c>
      <c r="AF8" s="28">
        <f>L8-'Jan25'!L8</f>
        <v>0</v>
      </c>
      <c r="AG8" s="28">
        <f>N8-'Jan25'!N8</f>
        <v>0</v>
      </c>
      <c r="AH8" s="28">
        <f>P8-'Jan25'!P8</f>
        <v>0</v>
      </c>
      <c r="AI8" s="28">
        <f>R8-'Jan25'!R8</f>
        <v>0</v>
      </c>
      <c r="AK8" s="10">
        <f>I8-'Jan25'!I8</f>
        <v>0</v>
      </c>
      <c r="AL8" s="76">
        <f>I8/'Jan25'!I8-1</f>
        <v>0</v>
      </c>
      <c r="AN8" t="s">
        <v>57</v>
      </c>
    </row>
    <row r="9" spans="1:43" x14ac:dyDescent="0.25">
      <c r="F9" s="7">
        <f t="shared" si="6"/>
        <v>1</v>
      </c>
      <c r="H9" s="3" t="s">
        <v>24</v>
      </c>
      <c r="I9" s="78">
        <v>1653154978</v>
      </c>
      <c r="J9" s="77">
        <v>0.56240000000000001</v>
      </c>
      <c r="K9" s="78">
        <f t="shared" si="0"/>
        <v>929734359.62720001</v>
      </c>
      <c r="L9" s="77">
        <v>0.13700000000000001</v>
      </c>
      <c r="M9" s="78">
        <f t="shared" si="1"/>
        <v>226482231.98600003</v>
      </c>
      <c r="N9" s="77">
        <v>0.25009999999999999</v>
      </c>
      <c r="O9" s="78">
        <f t="shared" si="2"/>
        <v>413454059.99779999</v>
      </c>
      <c r="P9" s="77">
        <v>4.65E-2</v>
      </c>
      <c r="Q9" s="78">
        <f t="shared" si="3"/>
        <v>76871706.476999998</v>
      </c>
      <c r="R9" s="77"/>
      <c r="S9" s="78">
        <f t="shared" si="4"/>
        <v>0</v>
      </c>
      <c r="T9" s="77">
        <v>4.0000000000000001E-3</v>
      </c>
      <c r="U9" s="57">
        <f t="shared" si="5"/>
        <v>6612619.9120000005</v>
      </c>
      <c r="Y9" s="12">
        <f>K9-'Jan25'!K9</f>
        <v>0</v>
      </c>
      <c r="Z9" s="12">
        <f>M9-'Jan25'!M9</f>
        <v>0</v>
      </c>
      <c r="AA9" s="12">
        <f>O9-'Jan25'!O9</f>
        <v>0</v>
      </c>
      <c r="AB9" s="12">
        <f>Q9-'Jan25'!Q9</f>
        <v>0</v>
      </c>
      <c r="AC9" s="12">
        <f>+S9-'Jan25'!S9</f>
        <v>0</v>
      </c>
      <c r="AE9" s="28">
        <f>J9-'Jan25'!J9</f>
        <v>0</v>
      </c>
      <c r="AF9" s="28">
        <f>L9-'Jan25'!L9</f>
        <v>0</v>
      </c>
      <c r="AG9" s="28">
        <f>N9-'Jan25'!N9</f>
        <v>0</v>
      </c>
      <c r="AH9" s="28">
        <f>P9-'Jan25'!P9</f>
        <v>0</v>
      </c>
      <c r="AI9" s="28">
        <f>R9-'Jan25'!R9</f>
        <v>0</v>
      </c>
      <c r="AK9" s="10">
        <f>I9-'Jan25'!I9</f>
        <v>0</v>
      </c>
      <c r="AL9" s="76">
        <f>I9/'Jan25'!I9-1</f>
        <v>0</v>
      </c>
    </row>
    <row r="10" spans="1:43" x14ac:dyDescent="0.25">
      <c r="F10" s="7">
        <f t="shared" si="6"/>
        <v>0.99999999999999989</v>
      </c>
      <c r="H10" s="3" t="s">
        <v>73</v>
      </c>
      <c r="I10" s="78">
        <v>7679567985.8299999</v>
      </c>
      <c r="J10" s="77">
        <v>0.39600000000000002</v>
      </c>
      <c r="K10" s="78">
        <f t="shared" si="0"/>
        <v>3041108922.38868</v>
      </c>
      <c r="L10" s="77">
        <v>0.35</v>
      </c>
      <c r="M10" s="78">
        <f t="shared" si="1"/>
        <v>2687848795.0404997</v>
      </c>
      <c r="N10" s="77">
        <v>0.17199999999999999</v>
      </c>
      <c r="O10" s="78">
        <f t="shared" si="2"/>
        <v>1320885693.5627599</v>
      </c>
      <c r="P10" s="77">
        <v>8.2000000000000003E-2</v>
      </c>
      <c r="Q10" s="78">
        <f t="shared" si="3"/>
        <v>629724574.83806002</v>
      </c>
      <c r="R10" s="77"/>
      <c r="S10" s="78">
        <f t="shared" si="4"/>
        <v>0</v>
      </c>
      <c r="T10" s="77"/>
      <c r="U10" s="57">
        <f t="shared" si="5"/>
        <v>0</v>
      </c>
      <c r="Y10" s="12">
        <f>K10-'Jan25'!K10</f>
        <v>0</v>
      </c>
      <c r="Z10" s="12">
        <f>M10-'Jan25'!M10</f>
        <v>0</v>
      </c>
      <c r="AA10" s="12">
        <f>O10-'Jan25'!O10</f>
        <v>0</v>
      </c>
      <c r="AB10" s="12">
        <f>Q10-'Jan25'!Q10</f>
        <v>0</v>
      </c>
      <c r="AC10" s="12">
        <f>+S10-'Jan25'!S10</f>
        <v>0</v>
      </c>
      <c r="AE10" s="28">
        <f>J10-'Jan25'!J10</f>
        <v>0</v>
      </c>
      <c r="AF10" s="28">
        <f>L10-'Jan25'!L10</f>
        <v>0</v>
      </c>
      <c r="AG10" s="28">
        <f>N10-'Jan25'!N10</f>
        <v>0</v>
      </c>
      <c r="AH10" s="28">
        <f>P10-'Jan25'!P10</f>
        <v>0</v>
      </c>
      <c r="AI10" s="28">
        <f>R10-'Jan25'!R10</f>
        <v>0</v>
      </c>
      <c r="AJ10" s="93"/>
      <c r="AK10" s="10">
        <f>I10-'Jan25'!I10</f>
        <v>0</v>
      </c>
      <c r="AL10" s="76">
        <f>I10/'Jan25'!I10-1</f>
        <v>0</v>
      </c>
    </row>
    <row r="11" spans="1:43" x14ac:dyDescent="0.25">
      <c r="F11" s="7">
        <f t="shared" si="6"/>
        <v>1</v>
      </c>
      <c r="H11" s="3" t="s">
        <v>47</v>
      </c>
      <c r="I11" s="78">
        <v>2818655223.8800001</v>
      </c>
      <c r="J11" s="77">
        <v>0.7833</v>
      </c>
      <c r="K11" s="78">
        <f t="shared" si="0"/>
        <v>2207852636.8652039</v>
      </c>
      <c r="L11" s="77">
        <v>6.54E-2</v>
      </c>
      <c r="M11" s="78">
        <f t="shared" si="1"/>
        <v>184340051.641752</v>
      </c>
      <c r="N11" s="77">
        <v>9.0499999999999997E-2</v>
      </c>
      <c r="O11" s="78">
        <f t="shared" si="2"/>
        <v>255088297.76113999</v>
      </c>
      <c r="P11" s="77"/>
      <c r="Q11" s="78">
        <f t="shared" si="3"/>
        <v>0</v>
      </c>
      <c r="R11" s="77"/>
      <c r="S11" s="78">
        <f t="shared" si="4"/>
        <v>0</v>
      </c>
      <c r="T11" s="77">
        <v>6.08E-2</v>
      </c>
      <c r="U11" s="57">
        <f t="shared" si="5"/>
        <v>171374237.611904</v>
      </c>
      <c r="Y11" s="12">
        <f>K11-'Jan25'!K11</f>
        <v>0</v>
      </c>
      <c r="Z11" s="12">
        <f>M11-'Jan25'!M11</f>
        <v>0</v>
      </c>
      <c r="AA11" s="12">
        <f>O11-'Jan25'!O11</f>
        <v>0</v>
      </c>
      <c r="AB11" s="12">
        <f>Q11-'Jan25'!Q11</f>
        <v>0</v>
      </c>
      <c r="AC11" s="12">
        <f>+S11-'Jan25'!S12</f>
        <v>0</v>
      </c>
      <c r="AE11" s="28">
        <f>J11-'Jan25'!J11</f>
        <v>0</v>
      </c>
      <c r="AF11" s="28">
        <f>L11-'Jan25'!L11</f>
        <v>0</v>
      </c>
      <c r="AG11" s="28">
        <f>N11-'Jan25'!N11</f>
        <v>0</v>
      </c>
      <c r="AH11" s="28">
        <f>P11-'Jan25'!P11</f>
        <v>0</v>
      </c>
      <c r="AI11" s="28">
        <f>R11-'Jan25'!R11</f>
        <v>0</v>
      </c>
      <c r="AK11" s="10">
        <f>I11-'Jan25'!I11</f>
        <v>0</v>
      </c>
      <c r="AL11" s="76">
        <f>I11/'Jan25'!I11-1</f>
        <v>0</v>
      </c>
    </row>
    <row r="12" spans="1:43" x14ac:dyDescent="0.25">
      <c r="B12" t="s">
        <v>70</v>
      </c>
      <c r="F12" s="7">
        <f t="shared" si="6"/>
        <v>1</v>
      </c>
      <c r="H12" s="3" t="s">
        <v>30</v>
      </c>
      <c r="I12" s="101">
        <v>1384110000</v>
      </c>
      <c r="J12" s="77">
        <v>0.41799999999999998</v>
      </c>
      <c r="K12" s="78">
        <f t="shared" si="0"/>
        <v>578557980</v>
      </c>
      <c r="L12" s="77">
        <v>0.309</v>
      </c>
      <c r="M12" s="78">
        <f t="shared" si="1"/>
        <v>427689990</v>
      </c>
      <c r="N12" s="77">
        <v>0.25700000000000001</v>
      </c>
      <c r="O12" s="78">
        <f t="shared" si="2"/>
        <v>355716270</v>
      </c>
      <c r="P12" s="77">
        <v>1.6E-2</v>
      </c>
      <c r="Q12" s="78">
        <f t="shared" si="3"/>
        <v>22145760</v>
      </c>
      <c r="R12" s="77"/>
      <c r="S12" s="78">
        <f t="shared" si="4"/>
        <v>0</v>
      </c>
      <c r="T12" s="77"/>
      <c r="U12" s="57">
        <f t="shared" si="5"/>
        <v>0</v>
      </c>
      <c r="Y12" s="12">
        <f>K12-'Jan25'!K12</f>
        <v>0</v>
      </c>
      <c r="Z12" s="12">
        <f>M12-'Jan25'!M12</f>
        <v>0</v>
      </c>
      <c r="AA12" s="12">
        <f>O12-'Jan25'!O12</f>
        <v>0</v>
      </c>
      <c r="AB12" s="12">
        <f>Q12-'Jan25'!Q12</f>
        <v>0</v>
      </c>
      <c r="AC12" s="12">
        <f>+S12-'Jan25'!S12</f>
        <v>0</v>
      </c>
      <c r="AE12" s="28">
        <f>J12-'Jan25'!J12</f>
        <v>0</v>
      </c>
      <c r="AF12" s="28">
        <f>L12-'Jan25'!L12</f>
        <v>0</v>
      </c>
      <c r="AG12" s="28">
        <f>N12-'Jan25'!N12</f>
        <v>0</v>
      </c>
      <c r="AH12" s="28">
        <f>P12-'Jan25'!P12</f>
        <v>0</v>
      </c>
      <c r="AI12" s="28">
        <f>R12-'Jan25'!R12</f>
        <v>0</v>
      </c>
      <c r="AJ12" s="93"/>
      <c r="AK12" s="10">
        <f>I12-'Jan25'!I12</f>
        <v>0</v>
      </c>
      <c r="AL12" s="76">
        <f>I12/'Jan25'!I12-1</f>
        <v>0</v>
      </c>
    </row>
    <row r="13" spans="1:43" x14ac:dyDescent="0.25">
      <c r="B13" t="s">
        <v>74</v>
      </c>
      <c r="F13" s="7">
        <f t="shared" si="6"/>
        <v>1</v>
      </c>
      <c r="H13" s="3" t="s">
        <v>64</v>
      </c>
      <c r="I13" s="102">
        <v>460461684.16000003</v>
      </c>
      <c r="J13" s="77">
        <v>0.51</v>
      </c>
      <c r="K13" s="78">
        <f t="shared" si="0"/>
        <v>234835458.92160001</v>
      </c>
      <c r="L13" s="77">
        <v>0.23</v>
      </c>
      <c r="M13" s="78">
        <f t="shared" si="1"/>
        <v>105906187.3568</v>
      </c>
      <c r="N13" s="77">
        <v>0.23</v>
      </c>
      <c r="O13" s="78">
        <f t="shared" si="2"/>
        <v>105906187.3568</v>
      </c>
      <c r="P13" s="77">
        <v>0.03</v>
      </c>
      <c r="Q13" s="78">
        <f t="shared" si="3"/>
        <v>13813850.524800001</v>
      </c>
      <c r="R13" s="77"/>
      <c r="S13" s="78">
        <f t="shared" si="4"/>
        <v>0</v>
      </c>
      <c r="T13" s="77"/>
      <c r="U13" s="57">
        <f t="shared" si="5"/>
        <v>0</v>
      </c>
      <c r="Y13" s="12">
        <f>K13-'Jan25'!K13</f>
        <v>0</v>
      </c>
      <c r="Z13" s="12">
        <f>M13-'Jan25'!M13</f>
        <v>0</v>
      </c>
      <c r="AA13" s="12">
        <f>O13-'Jan25'!O13</f>
        <v>0</v>
      </c>
      <c r="AB13" s="12">
        <f>Q13-'Jan25'!Q13</f>
        <v>0</v>
      </c>
      <c r="AC13" s="12">
        <f>+S13-'Jan25'!S13</f>
        <v>0</v>
      </c>
      <c r="AE13" s="28">
        <f>J13-'Jan25'!J13</f>
        <v>0</v>
      </c>
      <c r="AF13" s="28">
        <f>L13-'Jan25'!L13</f>
        <v>0</v>
      </c>
      <c r="AG13" s="28">
        <f>N13-'Jan25'!N13</f>
        <v>0</v>
      </c>
      <c r="AH13" s="28">
        <f>P13-'Jan25'!P13</f>
        <v>0</v>
      </c>
      <c r="AI13" s="28">
        <f>R13-'Jan25'!R13</f>
        <v>0</v>
      </c>
      <c r="AK13" s="10">
        <f>I13-'Jan25'!I13</f>
        <v>0</v>
      </c>
      <c r="AL13" s="76">
        <f>I13/'Jan25'!I13-1</f>
        <v>0</v>
      </c>
    </row>
    <row r="14" spans="1:43" s="8" customFormat="1" x14ac:dyDescent="0.25">
      <c r="B14" t="s">
        <v>72</v>
      </c>
      <c r="F14" s="7">
        <f>J14+L14+N14+P14+R14+T14</f>
        <v>0.99999999999999989</v>
      </c>
      <c r="H14" s="21" t="s">
        <v>45</v>
      </c>
      <c r="I14" s="20">
        <f>SUM(I3:I13)</f>
        <v>19659351276.350002</v>
      </c>
      <c r="J14" s="15">
        <f>K14/$I$14</f>
        <v>0.45030327484704641</v>
      </c>
      <c r="K14" s="17">
        <f>SUM(K3:K13)</f>
        <v>8852670261.1088676</v>
      </c>
      <c r="L14" s="15">
        <f>M14/$I$14</f>
        <v>0.24363678441098924</v>
      </c>
      <c r="M14" s="20">
        <f>SUM(M3:M13)</f>
        <v>4789741128.5759916</v>
      </c>
      <c r="N14" s="15">
        <f>O14/$I$14</f>
        <v>0.2304495555903745</v>
      </c>
      <c r="O14" s="17">
        <f>SUM(O3:O13)</f>
        <v>4530488764.8299198</v>
      </c>
      <c r="P14" s="15">
        <f>Q14/$I$14</f>
        <v>5.4352527838870304E-2</v>
      </c>
      <c r="Q14" s="17">
        <f>SUM(Q3:Q13)</f>
        <v>1068535437.5419439</v>
      </c>
      <c r="R14" s="15">
        <f>S14/$I$14</f>
        <v>2.8509913270091439E-3</v>
      </c>
      <c r="S14" s="17">
        <f>SUM(S3:S13)</f>
        <v>56048639.983499996</v>
      </c>
      <c r="T14" s="15">
        <f>U14/$I$14</f>
        <v>1.8406865985710338E-2</v>
      </c>
      <c r="U14" s="63">
        <f>SUM(U3:U13)</f>
        <v>361867044.30977798</v>
      </c>
      <c r="Y14" s="12">
        <f>K14-'Jan25'!K14</f>
        <v>0</v>
      </c>
      <c r="Z14" s="12">
        <f>M14-'Jan25'!M14</f>
        <v>0</v>
      </c>
      <c r="AA14" s="12">
        <f>O14-'Jan25'!O14</f>
        <v>0</v>
      </c>
      <c r="AB14" s="12">
        <f>Q14-'Jan25'!Q14</f>
        <v>0</v>
      </c>
      <c r="AC14" s="12">
        <f>+S14-'Jan25'!S14</f>
        <v>0</v>
      </c>
      <c r="AE14" s="28">
        <f>J14-'Jan25'!J14</f>
        <v>0</v>
      </c>
      <c r="AF14" s="28">
        <f>L14-'Jan25'!L14</f>
        <v>0</v>
      </c>
      <c r="AG14" s="28">
        <f>N14-'Jan25'!N14</f>
        <v>0</v>
      </c>
      <c r="AH14" s="28">
        <f>P14-'Jan25'!P14</f>
        <v>0</v>
      </c>
      <c r="AI14" s="28">
        <f>R14-'Jan25'!R14</f>
        <v>0</v>
      </c>
      <c r="AK14" s="92">
        <f>I14-'Jan25'!I14</f>
        <v>0</v>
      </c>
      <c r="AL14" s="76">
        <f>I14/'Jan25'!I14-1</f>
        <v>0</v>
      </c>
    </row>
    <row r="15" spans="1:43" x14ac:dyDescent="0.25">
      <c r="B15" t="s">
        <v>76</v>
      </c>
      <c r="F15" s="7"/>
      <c r="I15" s="10"/>
      <c r="J15" s="10"/>
      <c r="K15" s="10"/>
      <c r="L15" s="5"/>
      <c r="M15" s="10"/>
      <c r="N15" s="10"/>
      <c r="O15" s="10"/>
      <c r="P15" s="5"/>
      <c r="Q15" s="10"/>
    </row>
    <row r="16" spans="1:43" x14ac:dyDescent="0.25">
      <c r="B16" t="s">
        <v>42</v>
      </c>
      <c r="F16" s="7"/>
      <c r="H16" s="4" t="s">
        <v>2</v>
      </c>
      <c r="I16" s="9" t="s">
        <v>4</v>
      </c>
      <c r="J16" s="112" t="s">
        <v>7</v>
      </c>
      <c r="K16" s="112"/>
      <c r="L16" s="112" t="s">
        <v>8</v>
      </c>
      <c r="M16" s="112"/>
      <c r="N16" s="112" t="s">
        <v>10</v>
      </c>
      <c r="O16" s="112"/>
      <c r="P16" s="112" t="s">
        <v>9</v>
      </c>
      <c r="Q16" s="112"/>
      <c r="R16" s="112" t="s">
        <v>21</v>
      </c>
      <c r="S16" s="112"/>
      <c r="T16" s="112" t="s">
        <v>55</v>
      </c>
      <c r="U16" s="112"/>
      <c r="Y16" s="27" t="s">
        <v>49</v>
      </c>
      <c r="Z16" s="27" t="s">
        <v>50</v>
      </c>
      <c r="AA16" s="27" t="s">
        <v>51</v>
      </c>
      <c r="AB16" s="27" t="s">
        <v>52</v>
      </c>
      <c r="AC16" s="27" t="s">
        <v>53</v>
      </c>
      <c r="AE16" s="27" t="s">
        <v>49</v>
      </c>
      <c r="AF16" s="27" t="s">
        <v>50</v>
      </c>
      <c r="AG16" s="27" t="s">
        <v>51</v>
      </c>
      <c r="AH16" s="27" t="s">
        <v>52</v>
      </c>
      <c r="AI16" s="27" t="s">
        <v>53</v>
      </c>
    </row>
    <row r="17" spans="2:39" x14ac:dyDescent="0.25">
      <c r="B17" t="s">
        <v>66</v>
      </c>
      <c r="E17" s="98"/>
      <c r="F17" s="7">
        <f t="shared" si="6"/>
        <v>0.99999999999999989</v>
      </c>
      <c r="G17" s="99"/>
      <c r="H17" s="21" t="s">
        <v>6</v>
      </c>
      <c r="I17" s="80">
        <v>277466204.58999997</v>
      </c>
      <c r="J17" s="81">
        <v>0.2437</v>
      </c>
      <c r="K17" s="80">
        <f t="shared" ref="K17:K26" si="7">+J17*$I17</f>
        <v>67618514.058582991</v>
      </c>
      <c r="L17" s="81">
        <v>0.27279999999999999</v>
      </c>
      <c r="M17" s="80">
        <f t="shared" ref="M17:M26" si="8">+L17*$I17</f>
        <v>75692780.612151995</v>
      </c>
      <c r="N17" s="81">
        <v>0.36149999999999999</v>
      </c>
      <c r="O17" s="80">
        <f t="shared" ref="O17:O26" si="9">+N17*$I17</f>
        <v>100304032.95928499</v>
      </c>
      <c r="P17" s="81">
        <v>6.0400000000000002E-2</v>
      </c>
      <c r="Q17" s="80">
        <f t="shared" ref="Q17:Q26" si="10">+P17*$I17</f>
        <v>16758958.757235998</v>
      </c>
      <c r="R17" s="81"/>
      <c r="S17" s="80">
        <f t="shared" ref="S17:S26" si="11">+R17*$I17</f>
        <v>0</v>
      </c>
      <c r="T17" s="81">
        <v>6.1600000000000002E-2</v>
      </c>
      <c r="U17" s="79">
        <f t="shared" ref="U17:U26" si="12">+T17*$I17</f>
        <v>17091918.202744</v>
      </c>
      <c r="V17" s="98"/>
      <c r="Y17" s="12">
        <f>K17-'Jan25'!K17</f>
        <v>0</v>
      </c>
      <c r="Z17" s="12">
        <f>M17-'Jan25'!M17</f>
        <v>0</v>
      </c>
      <c r="AA17" s="12">
        <f>O17-'Jan25'!O17</f>
        <v>0</v>
      </c>
      <c r="AB17" s="12">
        <f>Q17-'Jan25'!Q17</f>
        <v>0</v>
      </c>
      <c r="AC17" s="12">
        <f>+S17-'Jan25'!S17</f>
        <v>0</v>
      </c>
      <c r="AD17" s="98"/>
      <c r="AE17" s="28">
        <f>J17-'Jan25'!J17</f>
        <v>0</v>
      </c>
      <c r="AF17" s="28">
        <f>L17-'Jan25'!L17</f>
        <v>0</v>
      </c>
      <c r="AG17" s="28">
        <f>N17-'Jan25'!N17</f>
        <v>0</v>
      </c>
      <c r="AH17" s="28">
        <f>P17-'Jan25'!P17</f>
        <v>0</v>
      </c>
      <c r="AI17" s="28">
        <f>R17-'Jan25'!R17</f>
        <v>0</v>
      </c>
      <c r="AJ17" s="98"/>
      <c r="AK17" s="10">
        <f>I17-'Jan25'!I17</f>
        <v>0</v>
      </c>
      <c r="AL17" s="76">
        <f>I17/'Jan25'!I17-1</f>
        <v>0</v>
      </c>
      <c r="AM17" s="98"/>
    </row>
    <row r="18" spans="2:39" x14ac:dyDescent="0.25">
      <c r="F18" s="7">
        <f t="shared" si="6"/>
        <v>1</v>
      </c>
      <c r="H18" s="3" t="s">
        <v>26</v>
      </c>
      <c r="I18" s="78">
        <v>790457504.87</v>
      </c>
      <c r="J18" s="77">
        <v>0.2</v>
      </c>
      <c r="K18" s="78">
        <f t="shared" si="7"/>
        <v>158091500.97400001</v>
      </c>
      <c r="L18" s="77">
        <v>0.2</v>
      </c>
      <c r="M18" s="78">
        <f t="shared" si="8"/>
        <v>158091500.97400001</v>
      </c>
      <c r="N18" s="77">
        <v>0.4</v>
      </c>
      <c r="O18" s="78">
        <f t="shared" si="9"/>
        <v>316183001.94800001</v>
      </c>
      <c r="P18" s="77">
        <v>0.1</v>
      </c>
      <c r="Q18" s="78">
        <f t="shared" si="10"/>
        <v>79045750.487000003</v>
      </c>
      <c r="R18" s="77"/>
      <c r="S18" s="78">
        <f t="shared" si="11"/>
        <v>0</v>
      </c>
      <c r="T18" s="77">
        <v>0.1</v>
      </c>
      <c r="U18" s="57">
        <f t="shared" si="12"/>
        <v>79045750.487000003</v>
      </c>
      <c r="Y18" s="12">
        <f>K18-'Jan25'!K18</f>
        <v>0</v>
      </c>
      <c r="Z18" s="12">
        <f>M18-'Jan25'!M18</f>
        <v>0</v>
      </c>
      <c r="AA18" s="12">
        <f>O18-'Jan25'!O18</f>
        <v>0</v>
      </c>
      <c r="AB18" s="12">
        <f>Q18-'Jan25'!Q18</f>
        <v>0</v>
      </c>
      <c r="AC18" s="12">
        <f>+S18-'Jan25'!S18</f>
        <v>0</v>
      </c>
      <c r="AE18" s="28">
        <f>J18-'Jan25'!J18</f>
        <v>0</v>
      </c>
      <c r="AF18" s="28">
        <f>L18-'Jan25'!L18</f>
        <v>0</v>
      </c>
      <c r="AG18" s="28">
        <f>N18-'Jan25'!N18</f>
        <v>0</v>
      </c>
      <c r="AH18" s="28">
        <f>P18-'Jan25'!P18</f>
        <v>0</v>
      </c>
      <c r="AI18" s="28">
        <f>R18-'Jan25'!R18</f>
        <v>0</v>
      </c>
      <c r="AK18" s="10">
        <f>I18-'Jan25'!I18</f>
        <v>0</v>
      </c>
      <c r="AL18" s="76">
        <f>I18/'Jan25'!I18-1</f>
        <v>0</v>
      </c>
    </row>
    <row r="19" spans="2:39" x14ac:dyDescent="0.25">
      <c r="F19" s="7">
        <f t="shared" si="6"/>
        <v>1</v>
      </c>
      <c r="H19" s="3" t="s">
        <v>27</v>
      </c>
      <c r="I19" s="78">
        <v>441308529.06</v>
      </c>
      <c r="J19" s="77">
        <v>0.157</v>
      </c>
      <c r="K19" s="78">
        <f t="shared" si="7"/>
        <v>69285439.062419996</v>
      </c>
      <c r="L19" s="77">
        <v>0.23699999999999999</v>
      </c>
      <c r="M19" s="78">
        <f t="shared" si="8"/>
        <v>104590121.38722</v>
      </c>
      <c r="N19" s="77">
        <v>0.53600000000000003</v>
      </c>
      <c r="O19" s="78">
        <f t="shared" si="9"/>
        <v>236541371.57616001</v>
      </c>
      <c r="P19" s="77">
        <v>4.1000000000000002E-2</v>
      </c>
      <c r="Q19" s="78">
        <f t="shared" si="10"/>
        <v>18093649.691460002</v>
      </c>
      <c r="R19" s="77"/>
      <c r="S19" s="78">
        <f t="shared" si="11"/>
        <v>0</v>
      </c>
      <c r="T19" s="77">
        <v>2.9000000000000001E-2</v>
      </c>
      <c r="U19" s="57">
        <f t="shared" si="12"/>
        <v>12797947.342740001</v>
      </c>
      <c r="Y19" s="12">
        <f>K19-'Jan25'!K19</f>
        <v>0</v>
      </c>
      <c r="Z19" s="12">
        <f>M19-'Jan25'!M19</f>
        <v>0</v>
      </c>
      <c r="AA19" s="12">
        <f>O19-'Jan25'!O19</f>
        <v>0</v>
      </c>
      <c r="AB19" s="12">
        <f>Q19-'Jan25'!Q19</f>
        <v>0</v>
      </c>
      <c r="AC19" s="12">
        <f>+S19-'Jan25'!S19</f>
        <v>0</v>
      </c>
      <c r="AE19" s="28">
        <f>J19-'Jan25'!J19</f>
        <v>0</v>
      </c>
      <c r="AF19" s="28">
        <f>L19-'Jan25'!L19</f>
        <v>0</v>
      </c>
      <c r="AG19" s="28">
        <f>N19-'Jan25'!N19</f>
        <v>0</v>
      </c>
      <c r="AH19" s="28">
        <f>P19-'Jan25'!P19</f>
        <v>0</v>
      </c>
      <c r="AI19" s="28">
        <f>R19-'Jan25'!R19</f>
        <v>0</v>
      </c>
      <c r="AJ19" s="93"/>
      <c r="AK19" s="10">
        <f>I19-'Jan25'!I19</f>
        <v>0</v>
      </c>
      <c r="AL19" s="76">
        <f>I19/'Jan25'!I19-1</f>
        <v>0</v>
      </c>
    </row>
    <row r="20" spans="2:39" x14ac:dyDescent="0.25">
      <c r="B20" s="1"/>
      <c r="C20" s="1" t="s">
        <v>20</v>
      </c>
      <c r="D20" s="1"/>
      <c r="F20" s="7">
        <f t="shared" si="6"/>
        <v>1</v>
      </c>
      <c r="G20" t="s">
        <v>75</v>
      </c>
      <c r="H20" s="3" t="s">
        <v>67</v>
      </c>
      <c r="I20" s="78">
        <v>1160361143.78</v>
      </c>
      <c r="J20" s="77">
        <v>0.16</v>
      </c>
      <c r="K20" s="78">
        <f t="shared" si="7"/>
        <v>185657783.00479999</v>
      </c>
      <c r="L20" s="77">
        <v>0.2</v>
      </c>
      <c r="M20" s="78">
        <f t="shared" si="8"/>
        <v>232072228.75600001</v>
      </c>
      <c r="N20" s="77">
        <v>0.49</v>
      </c>
      <c r="O20" s="78">
        <f t="shared" si="9"/>
        <v>568576960.45219994</v>
      </c>
      <c r="P20" s="77">
        <v>0.16</v>
      </c>
      <c r="Q20" s="78">
        <f t="shared" si="10"/>
        <v>185657783.00479999</v>
      </c>
      <c r="R20" s="77"/>
      <c r="S20" s="78">
        <f t="shared" si="11"/>
        <v>0</v>
      </c>
      <c r="T20" s="77">
        <v>-0.01</v>
      </c>
      <c r="U20" s="57">
        <f t="shared" si="12"/>
        <v>-11603611.437799999</v>
      </c>
      <c r="Y20" s="12">
        <f>K20-'Jan25'!K20</f>
        <v>0</v>
      </c>
      <c r="Z20" s="12">
        <f>M20-'Jan25'!M20</f>
        <v>0</v>
      </c>
      <c r="AA20" s="12">
        <f>O20-'Jan25'!O20</f>
        <v>0</v>
      </c>
      <c r="AB20" s="12">
        <f>Q20-'Jan25'!Q20</f>
        <v>0</v>
      </c>
      <c r="AC20" s="12">
        <f>+S20-'Jan25'!S20</f>
        <v>0</v>
      </c>
      <c r="AE20" s="28">
        <f>J20-'Jan25'!J20</f>
        <v>0</v>
      </c>
      <c r="AF20" s="28">
        <f>L20-'Jan25'!L20</f>
        <v>0</v>
      </c>
      <c r="AG20" s="28">
        <f>N20-'Jan25'!N20</f>
        <v>0</v>
      </c>
      <c r="AH20" s="28">
        <f>P20-'Jan25'!P20</f>
        <v>0</v>
      </c>
      <c r="AI20" s="28">
        <f>R20-'Jan25'!R20</f>
        <v>0</v>
      </c>
      <c r="AJ20" s="93"/>
      <c r="AK20" s="10">
        <f>I20-'Jan25'!I20</f>
        <v>0</v>
      </c>
      <c r="AL20" s="76">
        <f>I20/'Jan25'!I20-1</f>
        <v>0</v>
      </c>
    </row>
    <row r="21" spans="2:39" x14ac:dyDescent="0.25">
      <c r="B21" t="s">
        <v>11</v>
      </c>
      <c r="C21" s="2" t="s">
        <v>10</v>
      </c>
      <c r="D21" t="s">
        <v>7</v>
      </c>
      <c r="F21" s="7">
        <f t="shared" si="6"/>
        <v>1</v>
      </c>
      <c r="H21" s="3" t="s">
        <v>32</v>
      </c>
      <c r="I21" s="78">
        <v>211573378.80000001</v>
      </c>
      <c r="J21" s="77">
        <v>0.19</v>
      </c>
      <c r="K21" s="78">
        <f t="shared" si="7"/>
        <v>40198941.972000003</v>
      </c>
      <c r="L21" s="77">
        <v>0.12</v>
      </c>
      <c r="M21" s="78">
        <f t="shared" si="8"/>
        <v>25388805.456</v>
      </c>
      <c r="N21" s="77">
        <f>52%+3%</f>
        <v>0.55000000000000004</v>
      </c>
      <c r="O21" s="78">
        <f t="shared" si="9"/>
        <v>116365358.34000002</v>
      </c>
      <c r="P21" s="77">
        <v>0.14000000000000001</v>
      </c>
      <c r="Q21" s="78">
        <f t="shared" si="10"/>
        <v>29620273.032000005</v>
      </c>
      <c r="R21" s="77"/>
      <c r="S21" s="78">
        <f t="shared" si="11"/>
        <v>0</v>
      </c>
      <c r="T21" s="77"/>
      <c r="U21" s="57">
        <f t="shared" si="12"/>
        <v>0</v>
      </c>
      <c r="Y21" s="12">
        <f>K21-'Jan25'!K21</f>
        <v>0</v>
      </c>
      <c r="Z21" s="12">
        <f>M21-'Jan25'!M21</f>
        <v>0</v>
      </c>
      <c r="AA21" s="12">
        <f>O21-'Jan25'!O21</f>
        <v>0</v>
      </c>
      <c r="AB21" s="12">
        <f>Q21-'Jan25'!Q21</f>
        <v>0</v>
      </c>
      <c r="AC21" s="12">
        <f>+S21-'Jan25'!S21</f>
        <v>0</v>
      </c>
      <c r="AE21" s="28">
        <f>J21-'Jan25'!J21</f>
        <v>0</v>
      </c>
      <c r="AF21" s="28">
        <f>L21-'Jan25'!L21</f>
        <v>0</v>
      </c>
      <c r="AG21" s="28">
        <f>N21-'Jan25'!N21</f>
        <v>0</v>
      </c>
      <c r="AH21" s="28">
        <f>P21-'Jan25'!P21</f>
        <v>0</v>
      </c>
      <c r="AI21" s="28">
        <f>R21-'Jan25'!R21</f>
        <v>0</v>
      </c>
      <c r="AK21" s="10">
        <f>I21-'Jan25'!I21</f>
        <v>0</v>
      </c>
      <c r="AL21" s="76">
        <f>I21/'Jan25'!I21-1</f>
        <v>0</v>
      </c>
    </row>
    <row r="22" spans="2:39" x14ac:dyDescent="0.25">
      <c r="B22" t="s">
        <v>12</v>
      </c>
      <c r="C22" s="2" t="s">
        <v>16</v>
      </c>
      <c r="D22" t="s">
        <v>58</v>
      </c>
      <c r="F22" s="7">
        <f t="shared" si="6"/>
        <v>1</v>
      </c>
      <c r="H22" s="3" t="s">
        <v>33</v>
      </c>
      <c r="I22" s="78">
        <v>1040634499.01</v>
      </c>
      <c r="J22" s="77">
        <v>0.28999999999999998</v>
      </c>
      <c r="K22" s="78">
        <f t="shared" si="7"/>
        <v>301784004.71289998</v>
      </c>
      <c r="L22" s="77">
        <v>0.15</v>
      </c>
      <c r="M22" s="78">
        <f t="shared" si="8"/>
        <v>156095174.8515</v>
      </c>
      <c r="N22" s="77">
        <v>0.53</v>
      </c>
      <c r="O22" s="78">
        <f t="shared" si="9"/>
        <v>551536284.47530007</v>
      </c>
      <c r="P22" s="77">
        <v>0.02</v>
      </c>
      <c r="Q22" s="78">
        <f t="shared" si="10"/>
        <v>20812689.9802</v>
      </c>
      <c r="R22" s="77"/>
      <c r="S22" s="78">
        <f t="shared" si="11"/>
        <v>0</v>
      </c>
      <c r="T22" s="77">
        <v>0.01</v>
      </c>
      <c r="U22" s="57">
        <f t="shared" si="12"/>
        <v>10406344.9901</v>
      </c>
      <c r="Y22" s="12">
        <f>K22-'Jan25'!K22</f>
        <v>0</v>
      </c>
      <c r="Z22" s="12">
        <f>M22-'Jan25'!M22</f>
        <v>0</v>
      </c>
      <c r="AA22" s="12">
        <f>O22-'Jan25'!O22</f>
        <v>0</v>
      </c>
      <c r="AB22" s="12">
        <f>Q22-'Jan25'!Q22</f>
        <v>0</v>
      </c>
      <c r="AC22" s="12">
        <f>+S22-'Jan25'!S22</f>
        <v>0</v>
      </c>
      <c r="AE22" s="28">
        <f>J22-'Jan25'!J22</f>
        <v>0</v>
      </c>
      <c r="AF22" s="28">
        <f>L22-'Jan25'!L22</f>
        <v>0</v>
      </c>
      <c r="AG22" s="28">
        <f>N22-'Jan25'!N22</f>
        <v>0</v>
      </c>
      <c r="AH22" s="28">
        <f>P22-'Jan25'!P22</f>
        <v>0</v>
      </c>
      <c r="AI22" s="28">
        <f>R22-'Jan25'!R22</f>
        <v>0</v>
      </c>
      <c r="AK22" s="10">
        <f>I22-'Jan25'!I22</f>
        <v>0</v>
      </c>
      <c r="AL22" s="76">
        <f>I22/'Jan25'!I22-1</f>
        <v>0</v>
      </c>
    </row>
    <row r="23" spans="2:39" x14ac:dyDescent="0.25">
      <c r="B23" t="s">
        <v>13</v>
      </c>
      <c r="C23" s="2" t="s">
        <v>17</v>
      </c>
      <c r="D23" t="s">
        <v>59</v>
      </c>
      <c r="F23" s="7">
        <f t="shared" si="6"/>
        <v>1</v>
      </c>
      <c r="H23" s="3" t="s">
        <v>68</v>
      </c>
      <c r="I23" s="78">
        <v>219841382.28999999</v>
      </c>
      <c r="J23" s="77">
        <v>0.42080000000000001</v>
      </c>
      <c r="K23" s="78">
        <f t="shared" si="7"/>
        <v>92509253.667631999</v>
      </c>
      <c r="L23" s="77">
        <v>0.1198</v>
      </c>
      <c r="M23" s="78">
        <f t="shared" si="8"/>
        <v>26336997.598342001</v>
      </c>
      <c r="N23" s="77">
        <v>0.36120000000000002</v>
      </c>
      <c r="O23" s="78">
        <f t="shared" si="9"/>
        <v>79406707.283148006</v>
      </c>
      <c r="P23" s="77">
        <v>9.6600000000000005E-2</v>
      </c>
      <c r="Q23" s="78">
        <f t="shared" si="10"/>
        <v>21236677.529214002</v>
      </c>
      <c r="R23" s="77"/>
      <c r="S23" s="78">
        <f t="shared" si="11"/>
        <v>0</v>
      </c>
      <c r="T23" s="77">
        <v>1.6000000000000001E-3</v>
      </c>
      <c r="U23" s="57">
        <f t="shared" si="12"/>
        <v>351746.211664</v>
      </c>
      <c r="Y23" s="12">
        <f>K23-'Jan25'!K23</f>
        <v>0</v>
      </c>
      <c r="Z23" s="12">
        <f>M23-'Jan25'!M23</f>
        <v>0</v>
      </c>
      <c r="AA23" s="12">
        <f>O23-'Jan25'!O23</f>
        <v>0</v>
      </c>
      <c r="AB23" s="12">
        <f>Q23-'Jan25'!Q23</f>
        <v>0</v>
      </c>
      <c r="AC23" s="12">
        <f>+S23-'Jan25'!S23</f>
        <v>0</v>
      </c>
      <c r="AE23" s="28">
        <f>J23-'Jan25'!J23</f>
        <v>0</v>
      </c>
      <c r="AF23" s="28">
        <f>L23-'Jan25'!L23</f>
        <v>0</v>
      </c>
      <c r="AG23" s="28">
        <f>N23-'Jan25'!N23</f>
        <v>0</v>
      </c>
      <c r="AH23" s="28">
        <f>P23-'Jan25'!P23</f>
        <v>0</v>
      </c>
      <c r="AI23" s="28">
        <f>R23-'Jan25'!R23</f>
        <v>0</v>
      </c>
      <c r="AJ23" s="93"/>
      <c r="AK23" s="10">
        <f>I23-'Jan25'!I23</f>
        <v>0</v>
      </c>
      <c r="AL23" s="76">
        <f>I23/'Jan25'!I23-1</f>
        <v>0</v>
      </c>
    </row>
    <row r="24" spans="2:39" x14ac:dyDescent="0.25">
      <c r="B24" t="s">
        <v>14</v>
      </c>
      <c r="C24" s="2" t="s">
        <v>18</v>
      </c>
      <c r="F24" s="7">
        <f t="shared" si="6"/>
        <v>1</v>
      </c>
      <c r="H24" s="3" t="s">
        <v>35</v>
      </c>
      <c r="I24" s="78">
        <v>409111906.73000002</v>
      </c>
      <c r="J24" s="77">
        <v>0.127</v>
      </c>
      <c r="K24" s="78">
        <f t="shared" si="7"/>
        <v>51957212.154710002</v>
      </c>
      <c r="L24" s="77">
        <v>0.43099999999999999</v>
      </c>
      <c r="M24" s="78">
        <f t="shared" si="8"/>
        <v>176327231.80063</v>
      </c>
      <c r="N24" s="77">
        <v>0.35799999999999998</v>
      </c>
      <c r="O24" s="78">
        <f t="shared" si="9"/>
        <v>146462062.60934001</v>
      </c>
      <c r="P24" s="77">
        <v>8.4000000000000005E-2</v>
      </c>
      <c r="Q24" s="78">
        <f t="shared" si="10"/>
        <v>34365400.165320002</v>
      </c>
      <c r="R24" s="77"/>
      <c r="S24" s="78">
        <f t="shared" si="11"/>
        <v>0</v>
      </c>
      <c r="T24" s="77"/>
      <c r="U24" s="57">
        <f t="shared" si="12"/>
        <v>0</v>
      </c>
      <c r="Y24" s="12">
        <f>K24-'Jan25'!K24</f>
        <v>0</v>
      </c>
      <c r="Z24" s="12">
        <f>M24-'Jan25'!M24</f>
        <v>0</v>
      </c>
      <c r="AA24" s="12">
        <f>O24-'Jan25'!O24</f>
        <v>0</v>
      </c>
      <c r="AB24" s="12">
        <f>Q24-'Jan25'!Q24</f>
        <v>0</v>
      </c>
      <c r="AC24" s="12">
        <f>+S24-'Jan25'!S24</f>
        <v>0</v>
      </c>
      <c r="AE24" s="28">
        <f>J24-'Jan25'!J24</f>
        <v>0</v>
      </c>
      <c r="AF24" s="28">
        <f>L24-'Jan25'!L24</f>
        <v>0</v>
      </c>
      <c r="AG24" s="28">
        <f>N24-'Jan25'!N24</f>
        <v>0</v>
      </c>
      <c r="AH24" s="28">
        <f>P24-'Jan25'!P24</f>
        <v>0</v>
      </c>
      <c r="AI24" s="28">
        <f>R24-'Jan25'!R24</f>
        <v>0</v>
      </c>
      <c r="AJ24" s="93"/>
      <c r="AK24" s="10">
        <f>I24-'Jan25'!I24</f>
        <v>0</v>
      </c>
      <c r="AL24" s="76">
        <f>I24/'Jan25'!I24-1</f>
        <v>0</v>
      </c>
    </row>
    <row r="25" spans="2:39" x14ac:dyDescent="0.25">
      <c r="B25" t="s">
        <v>15</v>
      </c>
      <c r="C25" s="2" t="s">
        <v>19</v>
      </c>
      <c r="F25" s="7">
        <f t="shared" si="6"/>
        <v>1</v>
      </c>
      <c r="H25" s="3" t="s">
        <v>36</v>
      </c>
      <c r="I25" s="78">
        <v>780897099.32000005</v>
      </c>
      <c r="J25" s="77">
        <v>0.17</v>
      </c>
      <c r="K25" s="78">
        <f t="shared" si="7"/>
        <v>132752506.88440003</v>
      </c>
      <c r="L25" s="77">
        <v>0.2</v>
      </c>
      <c r="M25" s="78">
        <f t="shared" si="8"/>
        <v>156179419.86400002</v>
      </c>
      <c r="N25" s="77">
        <v>0.5</v>
      </c>
      <c r="O25" s="78">
        <f t="shared" si="9"/>
        <v>390448549.66000003</v>
      </c>
      <c r="P25" s="77">
        <v>0.08</v>
      </c>
      <c r="Q25" s="78">
        <f t="shared" si="10"/>
        <v>62471767.945600003</v>
      </c>
      <c r="R25" s="77"/>
      <c r="S25" s="78">
        <f t="shared" si="11"/>
        <v>0</v>
      </c>
      <c r="T25" s="77">
        <v>0.05</v>
      </c>
      <c r="U25" s="57">
        <f t="shared" si="12"/>
        <v>39044854.966000006</v>
      </c>
      <c r="Y25" s="12">
        <f>K25-'Jan25'!K25</f>
        <v>0</v>
      </c>
      <c r="Z25" s="12">
        <f>M25-'Jan25'!M25</f>
        <v>0</v>
      </c>
      <c r="AA25" s="12">
        <f>O25-'Jan25'!O25</f>
        <v>0</v>
      </c>
      <c r="AB25" s="12">
        <f>Q25-'Jan25'!Q25</f>
        <v>0</v>
      </c>
      <c r="AC25" s="12">
        <f>+S25-'Jan25'!S25</f>
        <v>0</v>
      </c>
      <c r="AE25" s="28">
        <f>J25-'Jan25'!J25</f>
        <v>0</v>
      </c>
      <c r="AF25" s="28">
        <f>L25-'Jan25'!L25</f>
        <v>0</v>
      </c>
      <c r="AG25" s="28">
        <f>N25-'Jan25'!N25</f>
        <v>0</v>
      </c>
      <c r="AH25" s="28">
        <f>P25-'Jan25'!P25</f>
        <v>0</v>
      </c>
      <c r="AI25" s="28">
        <f>R25-'Jan25'!R25</f>
        <v>0</v>
      </c>
      <c r="AJ25" s="93"/>
      <c r="AK25" s="10">
        <f>I25-'Jan25'!I25</f>
        <v>0</v>
      </c>
      <c r="AL25" s="76">
        <f>I25/'Jan25'!I25-1</f>
        <v>0</v>
      </c>
    </row>
    <row r="26" spans="2:39" x14ac:dyDescent="0.25">
      <c r="B26" t="s">
        <v>57</v>
      </c>
      <c r="F26" s="7">
        <f>J26+L26+N26+P26+R26+T26</f>
        <v>1</v>
      </c>
      <c r="H26" s="3" t="s">
        <v>65</v>
      </c>
      <c r="I26" s="78">
        <v>978178583.54999995</v>
      </c>
      <c r="J26" s="77">
        <v>0.26</v>
      </c>
      <c r="K26" s="78">
        <f t="shared" si="7"/>
        <v>254326431.72299999</v>
      </c>
      <c r="L26" s="77">
        <v>0.15</v>
      </c>
      <c r="M26" s="78">
        <f t="shared" si="8"/>
        <v>146726787.5325</v>
      </c>
      <c r="N26" s="77">
        <v>0.5</v>
      </c>
      <c r="O26" s="78">
        <f t="shared" si="9"/>
        <v>489089291.77499998</v>
      </c>
      <c r="P26" s="77">
        <v>0.09</v>
      </c>
      <c r="Q26" s="78">
        <f t="shared" si="10"/>
        <v>88036072.519499987</v>
      </c>
      <c r="R26" s="77"/>
      <c r="S26" s="78">
        <f t="shared" si="11"/>
        <v>0</v>
      </c>
      <c r="T26" s="77"/>
      <c r="U26" s="57">
        <f t="shared" si="12"/>
        <v>0</v>
      </c>
      <c r="Y26" s="12">
        <f>K26-'Jan25'!K26</f>
        <v>0</v>
      </c>
      <c r="Z26" s="12">
        <f>M26-'Jan25'!M26</f>
        <v>0</v>
      </c>
      <c r="AA26" s="12">
        <f>O26-'Jan25'!O26</f>
        <v>0</v>
      </c>
      <c r="AB26" s="12">
        <f>Q26-'Jan25'!Q26</f>
        <v>0</v>
      </c>
      <c r="AC26" s="12">
        <f>+S26-'Jan25'!S26</f>
        <v>0</v>
      </c>
      <c r="AE26" s="28">
        <f>J26-'Jan25'!J26</f>
        <v>0</v>
      </c>
      <c r="AF26" s="28">
        <f>L26-'Jan25'!L26</f>
        <v>0</v>
      </c>
      <c r="AG26" s="28">
        <f>N26-'Jan25'!N26</f>
        <v>0</v>
      </c>
      <c r="AH26" s="28">
        <f>P26-'Jan25'!P26</f>
        <v>0</v>
      </c>
      <c r="AI26" s="28">
        <f>R26-'Jan25'!R26</f>
        <v>0</v>
      </c>
      <c r="AK26" s="10">
        <f>I26-'Jan25'!I26</f>
        <v>0</v>
      </c>
      <c r="AL26" s="76">
        <f>I26/'Jan25'!I26-1</f>
        <v>0</v>
      </c>
    </row>
    <row r="27" spans="2:39" s="8" customFormat="1" x14ac:dyDescent="0.25">
      <c r="B27"/>
      <c r="C27"/>
      <c r="D27" s="8" t="s">
        <v>75</v>
      </c>
      <c r="F27" s="7">
        <f t="shared" si="6"/>
        <v>0.99999999999999989</v>
      </c>
      <c r="H27" s="21" t="s">
        <v>45</v>
      </c>
      <c r="I27" s="20">
        <f>SUM(I17:I26)</f>
        <v>6309830232.000001</v>
      </c>
      <c r="J27" s="15">
        <f>K27/$I$27</f>
        <v>0.21461458366134453</v>
      </c>
      <c r="K27" s="63">
        <f>SUM(K17:K26)</f>
        <v>1354181588.2144451</v>
      </c>
      <c r="L27" s="15">
        <f>M27/$I$27</f>
        <v>0.19929237437403433</v>
      </c>
      <c r="M27" s="62">
        <f>SUM(M17:M26)</f>
        <v>1257501048.8323441</v>
      </c>
      <c r="N27" s="15">
        <f>O27/$I$27</f>
        <v>0.47464250399160862</v>
      </c>
      <c r="O27" s="63">
        <f>SUM(O17:O26)</f>
        <v>2994913621.078433</v>
      </c>
      <c r="P27" s="15">
        <f>Q27/$I$27</f>
        <v>8.8132168801008381E-2</v>
      </c>
      <c r="Q27" s="63">
        <f>SUM(Q17:Q26)</f>
        <v>556099023.11232996</v>
      </c>
      <c r="R27" s="15">
        <f>S27/$I$27</f>
        <v>0</v>
      </c>
      <c r="S27" s="63">
        <f>SUM(S17:S26)</f>
        <v>0</v>
      </c>
      <c r="T27" s="15">
        <f>U27/$I$27</f>
        <v>2.3318369172004055E-2</v>
      </c>
      <c r="U27" s="17">
        <f>SUM(U17:U26)</f>
        <v>147134950.76244801</v>
      </c>
      <c r="Y27" s="12">
        <f>K27-'Jan25'!K27</f>
        <v>0</v>
      </c>
      <c r="Z27" s="12">
        <f>M27-'Jan25'!M27</f>
        <v>0</v>
      </c>
      <c r="AA27" s="12">
        <f>O27-'Jan25'!O27</f>
        <v>0</v>
      </c>
      <c r="AB27" s="12">
        <f>Q27-'Jan25'!Q27</f>
        <v>0</v>
      </c>
      <c r="AC27" s="12">
        <f>+S27-'Jan25'!S27</f>
        <v>0</v>
      </c>
      <c r="AE27" s="28">
        <f>J27-'Jan25'!J27</f>
        <v>0</v>
      </c>
      <c r="AF27" s="28">
        <f>L27-'Jan25'!L27</f>
        <v>0</v>
      </c>
      <c r="AG27" s="28">
        <f>N27-'Jan25'!N27</f>
        <v>0</v>
      </c>
      <c r="AH27" s="28">
        <f>P27-'Jan25'!P27</f>
        <v>0</v>
      </c>
      <c r="AI27" s="28">
        <f>R27-'Jan25'!R27</f>
        <v>0</v>
      </c>
      <c r="AK27" s="92">
        <f>I27-'Jan25'!I27</f>
        <v>0</v>
      </c>
      <c r="AL27" s="76">
        <f>I27/'Jan25'!I27-1</f>
        <v>0</v>
      </c>
    </row>
    <row r="28" spans="2:39" x14ac:dyDescent="0.25">
      <c r="F28" s="7"/>
      <c r="I28" s="10"/>
      <c r="J28" s="10"/>
      <c r="K28" s="10"/>
      <c r="L28" s="5"/>
      <c r="M28" s="10"/>
      <c r="N28" s="10"/>
      <c r="O28" s="10"/>
      <c r="P28" s="5"/>
      <c r="Q28" s="10"/>
    </row>
    <row r="29" spans="2:39" x14ac:dyDescent="0.25">
      <c r="F29" s="7"/>
      <c r="H29" s="4" t="s">
        <v>38</v>
      </c>
      <c r="I29" s="9" t="s">
        <v>4</v>
      </c>
      <c r="J29" s="113" t="s">
        <v>7</v>
      </c>
      <c r="K29" s="113"/>
      <c r="L29" s="112" t="s">
        <v>8</v>
      </c>
      <c r="M29" s="112"/>
      <c r="N29" s="112" t="s">
        <v>10</v>
      </c>
      <c r="O29" s="112"/>
      <c r="P29" s="112" t="s">
        <v>9</v>
      </c>
      <c r="Q29" s="112"/>
      <c r="R29" s="112" t="s">
        <v>40</v>
      </c>
      <c r="S29" s="112"/>
      <c r="T29" s="112" t="s">
        <v>55</v>
      </c>
      <c r="U29" s="112"/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  <c r="AE29" s="27" t="s">
        <v>49</v>
      </c>
      <c r="AF29" s="27" t="s">
        <v>50</v>
      </c>
      <c r="AG29" s="27" t="s">
        <v>51</v>
      </c>
      <c r="AH29" s="27" t="s">
        <v>52</v>
      </c>
      <c r="AI29" s="27" t="s">
        <v>54</v>
      </c>
    </row>
    <row r="30" spans="2:39" x14ac:dyDescent="0.25">
      <c r="E30" s="98"/>
      <c r="F30" s="7">
        <f>J30+L30+N30+P30+R30+T30</f>
        <v>1</v>
      </c>
      <c r="G30" s="98"/>
      <c r="H30" s="21" t="s">
        <v>39</v>
      </c>
      <c r="I30" s="87">
        <v>242541373.16999999</v>
      </c>
      <c r="J30" s="81">
        <f>0.39%+9.44%</f>
        <v>9.8299999999999998E-2</v>
      </c>
      <c r="K30" s="80">
        <f t="shared" ref="K30:K35" si="13">+J30*$I30</f>
        <v>23841816.982610997</v>
      </c>
      <c r="L30" s="81">
        <v>0.21920000000000001</v>
      </c>
      <c r="M30" s="80">
        <f t="shared" ref="M30:M35" si="14">+L30*$I30</f>
        <v>53165068.998863995</v>
      </c>
      <c r="N30" s="81">
        <v>0.50890000000000002</v>
      </c>
      <c r="O30" s="80">
        <f t="shared" ref="O30:O35" si="15">+N30*$I30</f>
        <v>123429304.80621299</v>
      </c>
      <c r="P30" s="81">
        <v>9.7500000000000003E-2</v>
      </c>
      <c r="Q30" s="80">
        <f t="shared" ref="Q30:Q35" si="16">+P30*$I30</f>
        <v>23647783.884075001</v>
      </c>
      <c r="R30" s="88">
        <v>3.7100000000000001E-2</v>
      </c>
      <c r="S30" s="80">
        <f t="shared" ref="S30:S35" si="17">+R30*$I30</f>
        <v>8998284.9446069989</v>
      </c>
      <c r="T30" s="81">
        <v>3.9E-2</v>
      </c>
      <c r="U30" s="65">
        <f t="shared" ref="U30:U35" si="18">+T30*$I30</f>
        <v>9459113.55363</v>
      </c>
      <c r="V30" s="98"/>
      <c r="Y30" s="12">
        <f>K30-'Jan25'!K30</f>
        <v>0</v>
      </c>
      <c r="Z30" s="12">
        <f>M30-'Jan25'!M30</f>
        <v>0</v>
      </c>
      <c r="AA30" s="12">
        <f>O30-'Jan25'!O30</f>
        <v>0</v>
      </c>
      <c r="AB30" s="12">
        <f>Q30-'Jan25'!Q30</f>
        <v>0</v>
      </c>
      <c r="AC30" s="12">
        <f>+S30-'Jan25'!S30</f>
        <v>0</v>
      </c>
      <c r="AD30" s="98"/>
      <c r="AE30" s="28">
        <f>J30-'Jan25'!J30</f>
        <v>0</v>
      </c>
      <c r="AF30" s="28">
        <f>L30-'Jan25'!L30</f>
        <v>0</v>
      </c>
      <c r="AG30" s="28">
        <f>N30-'Jan25'!N30</f>
        <v>0</v>
      </c>
      <c r="AH30" s="28">
        <f>P30-'Jan25'!P30</f>
        <v>0</v>
      </c>
      <c r="AI30" s="28">
        <f>R30-'Jan25'!R30</f>
        <v>0</v>
      </c>
      <c r="AJ30" s="98"/>
      <c r="AK30" s="10">
        <f>I30-'Jan25'!I30</f>
        <v>0</v>
      </c>
      <c r="AL30" s="76">
        <f>I30/'Jan25'!I30-1</f>
        <v>0</v>
      </c>
      <c r="AM30" s="98"/>
    </row>
    <row r="31" spans="2:39" hidden="1" outlineLevel="1" x14ac:dyDescent="0.25">
      <c r="F31" s="7">
        <f t="shared" si="6"/>
        <v>0</v>
      </c>
      <c r="H31" s="3" t="s">
        <v>56</v>
      </c>
      <c r="I31" s="78"/>
      <c r="J31" s="77"/>
      <c r="K31" s="78">
        <f t="shared" si="13"/>
        <v>0</v>
      </c>
      <c r="L31" s="77"/>
      <c r="M31" s="78">
        <f t="shared" si="14"/>
        <v>0</v>
      </c>
      <c r="N31" s="77"/>
      <c r="O31" s="78">
        <f t="shared" si="15"/>
        <v>0</v>
      </c>
      <c r="P31" s="77"/>
      <c r="Q31" s="78">
        <f t="shared" si="16"/>
        <v>0</v>
      </c>
      <c r="R31" s="77"/>
      <c r="S31" s="78">
        <f t="shared" si="17"/>
        <v>0</v>
      </c>
      <c r="T31" s="77"/>
      <c r="U31" s="72">
        <f t="shared" si="18"/>
        <v>0</v>
      </c>
      <c r="Y31" s="12">
        <f>K31-'Jan25'!K31</f>
        <v>0</v>
      </c>
      <c r="Z31" s="12">
        <f>M31-'Jan25'!M31</f>
        <v>0</v>
      </c>
      <c r="AA31" s="12">
        <f>O31-'Jan25'!O31</f>
        <v>0</v>
      </c>
      <c r="AB31" s="12">
        <f>Q31-'Jan25'!Q31</f>
        <v>0</v>
      </c>
      <c r="AC31" s="12">
        <f>+S31-'Jan25'!S31</f>
        <v>0</v>
      </c>
      <c r="AE31" s="28">
        <f>J31-'Jan25'!J31</f>
        <v>0</v>
      </c>
      <c r="AF31" s="28">
        <f>L31-'Jan25'!L31</f>
        <v>0</v>
      </c>
      <c r="AG31" s="28">
        <f>N31-'Jan25'!N31</f>
        <v>0</v>
      </c>
      <c r="AH31" s="28">
        <f>P31-'Jan25'!P31</f>
        <v>0</v>
      </c>
      <c r="AI31" s="28">
        <f>R31-'Jan25'!R31</f>
        <v>0</v>
      </c>
      <c r="AK31" s="10">
        <f>I31-'Jan25'!I31</f>
        <v>0</v>
      </c>
      <c r="AL31" s="76" t="e">
        <f>I31/'Jan25'!I31-1</f>
        <v>#DIV/0!</v>
      </c>
    </row>
    <row r="32" spans="2:39" collapsed="1" x14ac:dyDescent="0.25">
      <c r="F32" s="7">
        <f t="shared" si="6"/>
        <v>1</v>
      </c>
      <c r="H32" s="3" t="s">
        <v>42</v>
      </c>
      <c r="I32" s="84">
        <v>259184499</v>
      </c>
      <c r="J32" s="77">
        <v>0.05</v>
      </c>
      <c r="K32" s="78">
        <f t="shared" si="13"/>
        <v>12959224.950000001</v>
      </c>
      <c r="L32" s="77">
        <v>0.12</v>
      </c>
      <c r="M32" s="78">
        <f t="shared" si="14"/>
        <v>31102139.879999999</v>
      </c>
      <c r="N32" s="77">
        <v>0.78</v>
      </c>
      <c r="O32" s="78">
        <f t="shared" si="15"/>
        <v>202163909.22</v>
      </c>
      <c r="P32" s="77">
        <v>0.05</v>
      </c>
      <c r="Q32" s="78">
        <f t="shared" si="16"/>
        <v>12959224.950000001</v>
      </c>
      <c r="R32" s="77"/>
      <c r="S32" s="78">
        <f t="shared" si="17"/>
        <v>0</v>
      </c>
      <c r="T32" s="77"/>
      <c r="U32" s="72">
        <f t="shared" si="18"/>
        <v>0</v>
      </c>
      <c r="Y32" s="12">
        <f>K32-'Jan25'!K32</f>
        <v>0</v>
      </c>
      <c r="Z32" s="12">
        <f>M32-'Jan25'!M32</f>
        <v>0</v>
      </c>
      <c r="AA32" s="12">
        <f>O32-'Jan25'!O32</f>
        <v>0</v>
      </c>
      <c r="AB32" s="12">
        <f>Q32-'Jan25'!Q32</f>
        <v>0</v>
      </c>
      <c r="AC32" s="12">
        <f>+S32-'Jan25'!S32</f>
        <v>0</v>
      </c>
      <c r="AE32" s="28">
        <f>J32-'Jan25'!J32</f>
        <v>0</v>
      </c>
      <c r="AF32" s="28">
        <f>L32-'Jan25'!L32</f>
        <v>0</v>
      </c>
      <c r="AG32" s="28">
        <f>N32-'Jan25'!N32</f>
        <v>0</v>
      </c>
      <c r="AH32" s="28">
        <f>P32-'Jan25'!P32</f>
        <v>0</v>
      </c>
      <c r="AI32" s="28">
        <f>R32-'Jan25'!R32</f>
        <v>0</v>
      </c>
      <c r="AK32" s="10">
        <f>I32-'Jan25'!I32</f>
        <v>0</v>
      </c>
      <c r="AL32" s="76">
        <f>I32/'Jan25'!I32-1</f>
        <v>0</v>
      </c>
    </row>
    <row r="33" spans="6:38" x14ac:dyDescent="0.25">
      <c r="F33" s="7">
        <f t="shared" si="6"/>
        <v>1</v>
      </c>
      <c r="H33" s="3" t="s">
        <v>69</v>
      </c>
      <c r="I33" s="84">
        <v>492686547.75</v>
      </c>
      <c r="J33" s="77">
        <v>0.16</v>
      </c>
      <c r="K33" s="78">
        <f t="shared" si="13"/>
        <v>78829847.640000001</v>
      </c>
      <c r="L33" s="77">
        <v>0.06</v>
      </c>
      <c r="M33" s="78">
        <f t="shared" si="14"/>
        <v>29561192.864999998</v>
      </c>
      <c r="N33" s="77">
        <v>0.62</v>
      </c>
      <c r="O33" s="78">
        <f t="shared" si="15"/>
        <v>305465659.60500002</v>
      </c>
      <c r="P33" s="77">
        <v>0.16</v>
      </c>
      <c r="Q33" s="78">
        <f t="shared" si="16"/>
        <v>78829847.640000001</v>
      </c>
      <c r="R33" s="77"/>
      <c r="S33" s="78">
        <f t="shared" si="17"/>
        <v>0</v>
      </c>
      <c r="T33" s="77"/>
      <c r="U33" s="72">
        <f t="shared" si="18"/>
        <v>0</v>
      </c>
      <c r="Y33" s="12">
        <f>K33-'Jan25'!K33</f>
        <v>0</v>
      </c>
      <c r="Z33" s="12">
        <f>M33-'Jan25'!M33</f>
        <v>0</v>
      </c>
      <c r="AA33" s="12">
        <f>O33-'Jan25'!O33</f>
        <v>0</v>
      </c>
      <c r="AB33" s="12">
        <f>Q33-'Jan25'!Q33</f>
        <v>0</v>
      </c>
      <c r="AC33" s="12">
        <f>+S33-'Jan25'!S33</f>
        <v>0</v>
      </c>
      <c r="AE33" s="28">
        <f>J33-'Jan25'!J33</f>
        <v>0</v>
      </c>
      <c r="AF33" s="28">
        <f>L33-'Jan25'!L33</f>
        <v>0</v>
      </c>
      <c r="AG33" s="28">
        <f>N33-'Jan25'!N33</f>
        <v>0</v>
      </c>
      <c r="AH33" s="28">
        <f>P33-'Jan25'!P33</f>
        <v>0</v>
      </c>
      <c r="AI33" s="28">
        <f>R33-'Jan25'!R33</f>
        <v>0</v>
      </c>
      <c r="AK33" s="10">
        <f>I33-'Jan25'!I33</f>
        <v>0</v>
      </c>
      <c r="AL33" s="76">
        <f>I33/'Jan25'!I33-1</f>
        <v>0</v>
      </c>
    </row>
    <row r="34" spans="6:38" x14ac:dyDescent="0.25">
      <c r="F34" s="7">
        <f t="shared" si="6"/>
        <v>1</v>
      </c>
      <c r="H34" s="3" t="s">
        <v>44</v>
      </c>
      <c r="I34" s="84">
        <v>65479959.030000001</v>
      </c>
      <c r="J34" s="77">
        <v>0.1</v>
      </c>
      <c r="K34" s="78">
        <f t="shared" si="13"/>
        <v>6547995.9030000009</v>
      </c>
      <c r="L34" s="77">
        <v>0.05</v>
      </c>
      <c r="M34" s="78">
        <f t="shared" si="14"/>
        <v>3273997.9515000004</v>
      </c>
      <c r="N34" s="77">
        <v>0.6</v>
      </c>
      <c r="O34" s="78">
        <f t="shared" si="15"/>
        <v>39287975.417999998</v>
      </c>
      <c r="P34" s="77">
        <v>0.05</v>
      </c>
      <c r="Q34" s="78">
        <f t="shared" si="16"/>
        <v>3273997.9515000004</v>
      </c>
      <c r="R34" s="77">
        <v>0.1</v>
      </c>
      <c r="S34" s="78">
        <f t="shared" si="17"/>
        <v>6547995.9030000009</v>
      </c>
      <c r="T34" s="77">
        <v>0.1</v>
      </c>
      <c r="U34" s="72">
        <f t="shared" si="18"/>
        <v>6547995.9030000009</v>
      </c>
      <c r="Y34" s="12">
        <f>K34-'Jan25'!K34</f>
        <v>0</v>
      </c>
      <c r="Z34" s="12">
        <f>M34-'Jan25'!M34</f>
        <v>0</v>
      </c>
      <c r="AA34" s="12">
        <f>O34-'Jan25'!O34</f>
        <v>0</v>
      </c>
      <c r="AB34" s="12">
        <f>Q34-'Jan25'!Q34</f>
        <v>0</v>
      </c>
      <c r="AC34" s="12">
        <f>+S34-'Jan25'!S34</f>
        <v>0</v>
      </c>
      <c r="AE34" s="28">
        <f>J34-'Jan25'!J34</f>
        <v>0</v>
      </c>
      <c r="AF34" s="28">
        <f>L34-'Jan25'!L34</f>
        <v>0</v>
      </c>
      <c r="AG34" s="28">
        <f>N34-'Jan25'!N34</f>
        <v>0</v>
      </c>
      <c r="AH34" s="28">
        <f>P34-'Jan25'!P34</f>
        <v>0</v>
      </c>
      <c r="AI34" s="28">
        <f>R34-'Jan25'!R34</f>
        <v>0</v>
      </c>
      <c r="AK34" s="10">
        <f>I34-'Jan25'!I34</f>
        <v>0</v>
      </c>
      <c r="AL34" s="76">
        <f>I34/'Jan25'!I34-1</f>
        <v>0</v>
      </c>
    </row>
    <row r="35" spans="6:38" x14ac:dyDescent="0.25">
      <c r="F35" s="7">
        <f t="shared" si="6"/>
        <v>1</v>
      </c>
      <c r="H35" s="3" t="s">
        <v>66</v>
      </c>
      <c r="I35" s="84">
        <v>295406917</v>
      </c>
      <c r="J35" s="77">
        <v>0.08</v>
      </c>
      <c r="K35" s="78">
        <f t="shared" si="13"/>
        <v>23632553.359999999</v>
      </c>
      <c r="L35" s="77"/>
      <c r="M35" s="78">
        <f t="shared" si="14"/>
        <v>0</v>
      </c>
      <c r="N35" s="77">
        <v>0.52</v>
      </c>
      <c r="O35" s="78">
        <f t="shared" si="15"/>
        <v>153611596.84</v>
      </c>
      <c r="P35" s="77">
        <v>0.28000000000000003</v>
      </c>
      <c r="Q35" s="78">
        <f t="shared" si="16"/>
        <v>82713936.760000005</v>
      </c>
      <c r="R35" s="77"/>
      <c r="S35" s="78">
        <f t="shared" si="17"/>
        <v>0</v>
      </c>
      <c r="T35" s="77">
        <v>0.12</v>
      </c>
      <c r="U35" s="72">
        <f t="shared" si="18"/>
        <v>35448830.039999999</v>
      </c>
      <c r="Y35" s="12">
        <f>K35-'Jan25'!K35</f>
        <v>0</v>
      </c>
      <c r="Z35" s="12">
        <f>M35-'Jan25'!M35</f>
        <v>0</v>
      </c>
      <c r="AA35" s="12">
        <f>O35-'Jan25'!O35</f>
        <v>0</v>
      </c>
      <c r="AB35" s="12">
        <f>Q35-'Jan25'!Q35</f>
        <v>0</v>
      </c>
      <c r="AC35" s="12">
        <f>+S35-'Jan25'!S35</f>
        <v>0</v>
      </c>
      <c r="AE35" s="28">
        <f>J35-'Jan25'!J35</f>
        <v>0</v>
      </c>
      <c r="AF35" s="28">
        <f>L35-'Jan25'!L35</f>
        <v>0</v>
      </c>
      <c r="AG35" s="28">
        <f>N35-'Jan25'!N35</f>
        <v>0</v>
      </c>
      <c r="AH35" s="28">
        <f>P35-'Jan25'!P35</f>
        <v>0</v>
      </c>
      <c r="AI35" s="28">
        <f>R35-'Jan25'!R35</f>
        <v>0</v>
      </c>
      <c r="AK35" s="10">
        <f>I35-'Jan25'!I35</f>
        <v>0</v>
      </c>
      <c r="AL35" s="76">
        <f>I35/'Jan25'!I35-1</f>
        <v>0</v>
      </c>
    </row>
    <row r="36" spans="6:38" s="8" customFormat="1" x14ac:dyDescent="0.25">
      <c r="F36" s="7">
        <f t="shared" si="6"/>
        <v>1</v>
      </c>
      <c r="H36" s="3" t="s">
        <v>45</v>
      </c>
      <c r="I36" s="17">
        <f>SUM(I30:I35)</f>
        <v>1355299295.9499998</v>
      </c>
      <c r="J36" s="15">
        <f>+K36/$I$36</f>
        <v>0.10758615404828656</v>
      </c>
      <c r="K36" s="17">
        <f>SUM(K30:K35)</f>
        <v>145811438.83561099</v>
      </c>
      <c r="L36" s="15">
        <f>+M36/$I$36</f>
        <v>8.6403350201167795E-2</v>
      </c>
      <c r="M36" s="17">
        <f>SUM(M30:M35)</f>
        <v>117102399.69536398</v>
      </c>
      <c r="N36" s="15">
        <f>+O36/$I$36</f>
        <v>0.6079531276607486</v>
      </c>
      <c r="O36" s="17">
        <f>SUM(O30:O35)</f>
        <v>823958445.88921297</v>
      </c>
      <c r="P36" s="15">
        <f>+Q36/$I$36</f>
        <v>0.14862015481560911</v>
      </c>
      <c r="Q36" s="17">
        <f>SUM(Q30:Q35)</f>
        <v>201424791.18557501</v>
      </c>
      <c r="R36" s="15">
        <f>+S36/$I$36</f>
        <v>1.1470736311944885E-2</v>
      </c>
      <c r="S36" s="17">
        <f>SUM(S30:S35)</f>
        <v>15546280.847607</v>
      </c>
      <c r="T36" s="15">
        <f>+U36/$I$36</f>
        <v>3.7966476962243124E-2</v>
      </c>
      <c r="U36" s="63">
        <f>SUM(U30:U35)</f>
        <v>51455939.496629998</v>
      </c>
      <c r="Y36" s="12">
        <f>K36-'Jan25'!K36</f>
        <v>0</v>
      </c>
      <c r="Z36" s="12">
        <f>M36-'Jan25'!M36</f>
        <v>0</v>
      </c>
      <c r="AA36" s="12">
        <f>O36-'Jan25'!O36</f>
        <v>0</v>
      </c>
      <c r="AB36" s="12">
        <f>Q36-'Jan25'!Q36</f>
        <v>0</v>
      </c>
      <c r="AC36" s="12">
        <f>+S36-'Jan25'!S36</f>
        <v>0</v>
      </c>
      <c r="AE36" s="28">
        <f>J36-'Jan25'!J36</f>
        <v>0</v>
      </c>
      <c r="AF36" s="28">
        <f>L36-'Jan25'!L36</f>
        <v>0</v>
      </c>
      <c r="AG36" s="28">
        <f>N36-'Jan25'!N36</f>
        <v>0</v>
      </c>
      <c r="AH36" s="28">
        <f>P36-'Jan25'!P36</f>
        <v>0</v>
      </c>
      <c r="AI36" s="28">
        <f>R36-'Jan25'!R36</f>
        <v>0</v>
      </c>
      <c r="AK36" s="92">
        <f>I36-'Jan25'!I36</f>
        <v>0</v>
      </c>
      <c r="AL36" s="76">
        <f>I36/'Jan25'!I36-1</f>
        <v>0</v>
      </c>
    </row>
    <row r="37" spans="6:38" x14ac:dyDescent="0.25">
      <c r="F37" s="7"/>
    </row>
    <row r="38" spans="6:38" x14ac:dyDescent="0.25">
      <c r="F38" s="7"/>
      <c r="K38"/>
    </row>
    <row r="39" spans="6:38" x14ac:dyDescent="0.25">
      <c r="F39" s="7"/>
      <c r="J39" s="38"/>
    </row>
    <row r="40" spans="6:38" x14ac:dyDescent="0.25">
      <c r="F40" s="7"/>
      <c r="I40" s="30"/>
      <c r="J40" s="35"/>
    </row>
    <row r="41" spans="6:38" x14ac:dyDescent="0.25">
      <c r="F41" s="7"/>
      <c r="I41" s="37"/>
      <c r="J41" s="35"/>
    </row>
    <row r="42" spans="6:38" x14ac:dyDescent="0.25">
      <c r="F42" s="7"/>
      <c r="I42" s="37"/>
      <c r="J42" s="35"/>
    </row>
    <row r="43" spans="6:38" x14ac:dyDescent="0.25">
      <c r="F43" s="7"/>
      <c r="I43" s="37"/>
      <c r="J43" s="35"/>
    </row>
    <row r="44" spans="6:38" x14ac:dyDescent="0.25">
      <c r="F44" s="7"/>
      <c r="I44" s="37"/>
      <c r="J44" s="35"/>
    </row>
    <row r="45" spans="6:38" x14ac:dyDescent="0.25">
      <c r="F45" s="7"/>
      <c r="I45" s="37"/>
      <c r="J45" s="35"/>
      <c r="K45" s="37"/>
    </row>
    <row r="46" spans="6:38" x14ac:dyDescent="0.25">
      <c r="F46" s="7"/>
      <c r="I46" s="37"/>
      <c r="J46" s="35"/>
    </row>
    <row r="47" spans="6:38" x14ac:dyDescent="0.25">
      <c r="F47" s="7"/>
      <c r="I47" s="37"/>
      <c r="J47" s="35"/>
    </row>
    <row r="48" spans="6:38" x14ac:dyDescent="0.25">
      <c r="F48" s="7"/>
      <c r="I48" s="37"/>
      <c r="J48" s="35"/>
    </row>
    <row r="49" spans="9:10" x14ac:dyDescent="0.25">
      <c r="I49" s="37"/>
      <c r="J49" s="35"/>
    </row>
    <row r="50" spans="9:10" x14ac:dyDescent="0.25">
      <c r="I50" s="37"/>
      <c r="J50" s="35"/>
    </row>
    <row r="51" spans="9:10" x14ac:dyDescent="0.25">
      <c r="I51" s="37"/>
      <c r="J51" s="35"/>
    </row>
    <row r="52" spans="9:10" x14ac:dyDescent="0.25">
      <c r="I52" s="37"/>
      <c r="J52" s="35"/>
    </row>
    <row r="53" spans="9:10" x14ac:dyDescent="0.25">
      <c r="I53" s="37"/>
      <c r="J53" s="35"/>
    </row>
    <row r="54" spans="9:10" x14ac:dyDescent="0.25">
      <c r="I54" s="37"/>
      <c r="J54" s="35"/>
    </row>
    <row r="55" spans="9:10" x14ac:dyDescent="0.25">
      <c r="I55" s="37"/>
      <c r="J55" s="35"/>
    </row>
    <row r="56" spans="9:10" x14ac:dyDescent="0.25">
      <c r="I56" s="37"/>
      <c r="J56" s="35"/>
    </row>
    <row r="57" spans="9:10" x14ac:dyDescent="0.25">
      <c r="I57" s="37"/>
      <c r="J57" s="35"/>
    </row>
    <row r="58" spans="9:10" x14ac:dyDescent="0.25">
      <c r="I58" s="37"/>
      <c r="J58" s="35"/>
    </row>
    <row r="59" spans="9:10" x14ac:dyDescent="0.25">
      <c r="I59" s="37"/>
      <c r="J59" s="35"/>
    </row>
    <row r="60" spans="9:10" x14ac:dyDescent="0.25">
      <c r="I60" s="37"/>
      <c r="J60" s="35"/>
    </row>
    <row r="61" spans="9:10" x14ac:dyDescent="0.25">
      <c r="I61" s="37"/>
      <c r="J61" s="35"/>
    </row>
    <row r="62" spans="9:10" x14ac:dyDescent="0.25">
      <c r="I62" s="37"/>
      <c r="J62" s="35"/>
    </row>
    <row r="63" spans="9:10" x14ac:dyDescent="0.25">
      <c r="I63" s="37"/>
      <c r="J63" s="35"/>
    </row>
    <row r="64" spans="9:10" x14ac:dyDescent="0.25">
      <c r="I64" s="37"/>
      <c r="J64" s="35"/>
    </row>
    <row r="65" spans="9:10" x14ac:dyDescent="0.25">
      <c r="I65" s="37"/>
      <c r="J65" s="35"/>
    </row>
    <row r="66" spans="9:10" x14ac:dyDescent="0.25">
      <c r="I66" s="37"/>
      <c r="J66" s="35"/>
    </row>
    <row r="67" spans="9:10" x14ac:dyDescent="0.25">
      <c r="I67" s="37"/>
      <c r="J67" s="35"/>
    </row>
    <row r="68" spans="9:10" x14ac:dyDescent="0.25">
      <c r="I68" s="37"/>
      <c r="J68" s="35"/>
    </row>
    <row r="69" spans="9:10" x14ac:dyDescent="0.25">
      <c r="I69" s="37"/>
      <c r="J69" s="35"/>
    </row>
    <row r="70" spans="9:10" x14ac:dyDescent="0.25">
      <c r="I70" s="37"/>
      <c r="J70" s="35"/>
    </row>
    <row r="71" spans="9:10" x14ac:dyDescent="0.25">
      <c r="I71" s="37"/>
      <c r="J71" s="35"/>
    </row>
    <row r="72" spans="9:10" x14ac:dyDescent="0.25">
      <c r="I72" s="37"/>
      <c r="J72" s="35"/>
    </row>
    <row r="73" spans="9:10" x14ac:dyDescent="0.25">
      <c r="I73" s="37"/>
      <c r="J73" s="35"/>
    </row>
    <row r="74" spans="9:10" x14ac:dyDescent="0.25">
      <c r="I74" s="37"/>
      <c r="J74" s="35"/>
    </row>
    <row r="75" spans="9:10" x14ac:dyDescent="0.25">
      <c r="I75" s="37"/>
      <c r="J75" s="35"/>
    </row>
    <row r="76" spans="9:10" x14ac:dyDescent="0.25">
      <c r="I76" s="37"/>
      <c r="J76" s="35"/>
    </row>
    <row r="77" spans="9:10" x14ac:dyDescent="0.25">
      <c r="I77" s="37"/>
      <c r="J77" s="35"/>
    </row>
    <row r="78" spans="9:10" x14ac:dyDescent="0.25">
      <c r="I78" s="37"/>
      <c r="J78" s="35"/>
    </row>
    <row r="79" spans="9:10" x14ac:dyDescent="0.25">
      <c r="I79" s="37"/>
      <c r="J79" s="35"/>
    </row>
    <row r="80" spans="9:10" x14ac:dyDescent="0.25">
      <c r="I80" s="37"/>
      <c r="J80" s="35"/>
    </row>
    <row r="81" spans="9:10" x14ac:dyDescent="0.25">
      <c r="I81" s="37"/>
      <c r="J81" s="35"/>
    </row>
    <row r="82" spans="9:10" x14ac:dyDescent="0.25">
      <c r="I82" s="37"/>
      <c r="J82" s="35"/>
    </row>
    <row r="83" spans="9:10" x14ac:dyDescent="0.25">
      <c r="I83" s="37"/>
      <c r="J83" s="35"/>
    </row>
    <row r="84" spans="9:10" x14ac:dyDescent="0.25">
      <c r="I84" s="37"/>
      <c r="J84" s="35"/>
    </row>
    <row r="85" spans="9:10" x14ac:dyDescent="0.25">
      <c r="I85" s="37"/>
      <c r="J85" s="35"/>
    </row>
    <row r="86" spans="9:10" x14ac:dyDescent="0.25">
      <c r="I86" s="37"/>
      <c r="J86" s="35"/>
    </row>
    <row r="87" spans="9:10" x14ac:dyDescent="0.25">
      <c r="I87" s="37"/>
      <c r="J87" s="35"/>
    </row>
    <row r="88" spans="9:10" x14ac:dyDescent="0.25">
      <c r="I88" s="37"/>
      <c r="J88" s="35"/>
    </row>
    <row r="89" spans="9:10" x14ac:dyDescent="0.25">
      <c r="I89" s="37"/>
      <c r="J89" s="35"/>
    </row>
    <row r="90" spans="9:10" x14ac:dyDescent="0.25">
      <c r="I90" s="37"/>
      <c r="J90" s="35"/>
    </row>
    <row r="91" spans="9:10" x14ac:dyDescent="0.25">
      <c r="I91" s="37"/>
      <c r="J91" s="35"/>
    </row>
    <row r="92" spans="9:10" x14ac:dyDescent="0.25">
      <c r="I92" s="37"/>
      <c r="J92" s="35"/>
    </row>
    <row r="93" spans="9:10" x14ac:dyDescent="0.25">
      <c r="I93" s="37"/>
      <c r="J93" s="35"/>
    </row>
    <row r="94" spans="9:10" x14ac:dyDescent="0.25">
      <c r="I94" s="37"/>
      <c r="J94" s="35"/>
    </row>
    <row r="95" spans="9:10" x14ac:dyDescent="0.25">
      <c r="I95" s="37"/>
      <c r="J95" s="35"/>
    </row>
    <row r="96" spans="9:10" x14ac:dyDescent="0.25">
      <c r="I96" s="37"/>
      <c r="J96" s="35"/>
    </row>
    <row r="97" spans="9:10" x14ac:dyDescent="0.25">
      <c r="I97" s="37"/>
      <c r="J97" s="35"/>
    </row>
    <row r="98" spans="9:10" x14ac:dyDescent="0.25">
      <c r="I98" s="37"/>
      <c r="J98" s="35"/>
    </row>
    <row r="99" spans="9:10" x14ac:dyDescent="0.25">
      <c r="I99" s="37"/>
      <c r="J99" s="35"/>
    </row>
    <row r="100" spans="9:10" x14ac:dyDescent="0.25">
      <c r="I100" s="37"/>
      <c r="J100" s="35"/>
    </row>
    <row r="101" spans="9:10" x14ac:dyDescent="0.25">
      <c r="I101" s="37"/>
      <c r="J101" s="35"/>
    </row>
    <row r="102" spans="9:10" x14ac:dyDescent="0.25">
      <c r="I102" s="37"/>
      <c r="J102" s="35"/>
    </row>
    <row r="103" spans="9:10" x14ac:dyDescent="0.25">
      <c r="I103" s="37"/>
      <c r="J103" s="35"/>
    </row>
    <row r="104" spans="9:10" x14ac:dyDescent="0.25">
      <c r="I104" s="37"/>
      <c r="J104" s="35"/>
    </row>
    <row r="105" spans="9:10" x14ac:dyDescent="0.25">
      <c r="I105" s="37"/>
      <c r="J105" s="35"/>
    </row>
    <row r="106" spans="9:10" x14ac:dyDescent="0.25">
      <c r="I106" s="37"/>
      <c r="J106" s="35"/>
    </row>
    <row r="107" spans="9:10" x14ac:dyDescent="0.25">
      <c r="I107" s="37"/>
      <c r="J107" s="35"/>
    </row>
    <row r="108" spans="9:10" x14ac:dyDescent="0.25">
      <c r="I108" s="37"/>
      <c r="J108" s="35"/>
    </row>
    <row r="109" spans="9:10" x14ac:dyDescent="0.25">
      <c r="I109" s="37"/>
      <c r="J109" s="35"/>
    </row>
    <row r="110" spans="9:10" x14ac:dyDescent="0.25">
      <c r="I110" s="37"/>
      <c r="J110" s="35"/>
    </row>
    <row r="111" spans="9:10" x14ac:dyDescent="0.25">
      <c r="I111" s="37"/>
      <c r="J111" s="35"/>
    </row>
    <row r="112" spans="9:10" x14ac:dyDescent="0.25">
      <c r="I112" s="37"/>
      <c r="J112" s="35"/>
    </row>
    <row r="113" spans="9:10" x14ac:dyDescent="0.25">
      <c r="I113" s="37"/>
      <c r="J113" s="35"/>
    </row>
    <row r="114" spans="9:10" x14ac:dyDescent="0.25">
      <c r="I114" s="37"/>
      <c r="J114" s="35"/>
    </row>
    <row r="115" spans="9:10" x14ac:dyDescent="0.25">
      <c r="I115" s="37"/>
      <c r="J115" s="35"/>
    </row>
    <row r="116" spans="9:10" x14ac:dyDescent="0.25">
      <c r="I116" s="37"/>
      <c r="J116" s="35"/>
    </row>
    <row r="117" spans="9:10" x14ac:dyDescent="0.25">
      <c r="I117" s="37"/>
      <c r="J117" s="35"/>
    </row>
    <row r="118" spans="9:10" x14ac:dyDescent="0.25">
      <c r="I118" s="37"/>
      <c r="J118" s="35"/>
    </row>
    <row r="119" spans="9:10" x14ac:dyDescent="0.25">
      <c r="I119" s="37"/>
      <c r="J119" s="35"/>
    </row>
    <row r="120" spans="9:10" x14ac:dyDescent="0.25">
      <c r="I120" s="37"/>
      <c r="J120" s="35"/>
    </row>
    <row r="121" spans="9:10" x14ac:dyDescent="0.25">
      <c r="I121" s="37"/>
      <c r="J121" s="35"/>
    </row>
    <row r="122" spans="9:10" x14ac:dyDescent="0.25">
      <c r="I122" s="37"/>
      <c r="J122" s="35"/>
    </row>
    <row r="123" spans="9:10" x14ac:dyDescent="0.25">
      <c r="I123" s="37"/>
      <c r="J123" s="35"/>
    </row>
    <row r="124" spans="9:10" x14ac:dyDescent="0.25">
      <c r="I124" s="37"/>
      <c r="J124" s="35"/>
    </row>
    <row r="125" spans="9:10" x14ac:dyDescent="0.25">
      <c r="I125" s="37"/>
      <c r="J125" s="35"/>
    </row>
    <row r="126" spans="9:10" x14ac:dyDescent="0.25">
      <c r="I126" s="37"/>
      <c r="J126" s="35"/>
    </row>
    <row r="127" spans="9:10" x14ac:dyDescent="0.25">
      <c r="I127" s="37"/>
      <c r="J127" s="35"/>
    </row>
    <row r="128" spans="9:10" x14ac:dyDescent="0.25">
      <c r="I128" s="37"/>
      <c r="J128" s="35"/>
    </row>
    <row r="129" spans="9:10" x14ac:dyDescent="0.25">
      <c r="I129" s="37"/>
      <c r="J129" s="35"/>
    </row>
    <row r="130" spans="9:10" x14ac:dyDescent="0.25">
      <c r="I130" s="37"/>
      <c r="J130" s="35"/>
    </row>
    <row r="131" spans="9:10" x14ac:dyDescent="0.25">
      <c r="I131" s="37"/>
      <c r="J131" s="35"/>
    </row>
    <row r="132" spans="9:10" x14ac:dyDescent="0.25">
      <c r="I132" s="37"/>
      <c r="J132" s="35"/>
    </row>
    <row r="133" spans="9:10" x14ac:dyDescent="0.25">
      <c r="I133" s="37"/>
      <c r="J133" s="35"/>
    </row>
    <row r="134" spans="9:10" x14ac:dyDescent="0.25">
      <c r="I134" s="37"/>
      <c r="J134" s="35"/>
    </row>
    <row r="135" spans="9:10" x14ac:dyDescent="0.25">
      <c r="I135" s="37"/>
      <c r="J135" s="35"/>
    </row>
    <row r="136" spans="9:10" x14ac:dyDescent="0.25">
      <c r="I136" s="37"/>
      <c r="J136" s="35"/>
    </row>
    <row r="137" spans="9:10" x14ac:dyDescent="0.25">
      <c r="I137" s="37"/>
      <c r="J137" s="35"/>
    </row>
    <row r="138" spans="9:10" x14ac:dyDescent="0.25">
      <c r="I138" s="37"/>
      <c r="J138" s="35"/>
    </row>
    <row r="139" spans="9:10" x14ac:dyDescent="0.25">
      <c r="I139" s="37"/>
      <c r="J139" s="35"/>
    </row>
    <row r="140" spans="9:10" x14ac:dyDescent="0.25">
      <c r="I140" s="37"/>
      <c r="J140" s="35"/>
    </row>
    <row r="141" spans="9:10" x14ac:dyDescent="0.25">
      <c r="I141" s="37"/>
      <c r="J141" s="35"/>
    </row>
    <row r="142" spans="9:10" x14ac:dyDescent="0.25">
      <c r="I142" s="37"/>
      <c r="J142" s="35"/>
    </row>
    <row r="143" spans="9:10" x14ac:dyDescent="0.25">
      <c r="I143" s="37"/>
      <c r="J143" s="35"/>
    </row>
    <row r="144" spans="9:10" x14ac:dyDescent="0.25">
      <c r="I144" s="37"/>
      <c r="J144" s="35"/>
    </row>
    <row r="145" spans="9:10" x14ac:dyDescent="0.25">
      <c r="I145" s="37"/>
      <c r="J145" s="35"/>
    </row>
    <row r="146" spans="9:10" x14ac:dyDescent="0.25">
      <c r="I146" s="37"/>
      <c r="J146" s="35"/>
    </row>
    <row r="147" spans="9:10" x14ac:dyDescent="0.25">
      <c r="I147" s="37"/>
      <c r="J147" s="35"/>
    </row>
    <row r="148" spans="9:10" x14ac:dyDescent="0.25">
      <c r="I148" s="37"/>
      <c r="J148" s="35"/>
    </row>
    <row r="149" spans="9:10" x14ac:dyDescent="0.25">
      <c r="I149" s="37"/>
      <c r="J149" s="35"/>
    </row>
    <row r="150" spans="9:10" x14ac:dyDescent="0.25">
      <c r="I150" s="37"/>
      <c r="J150" s="35"/>
    </row>
    <row r="151" spans="9:10" x14ac:dyDescent="0.25">
      <c r="I151" s="37"/>
      <c r="J151" s="35"/>
    </row>
    <row r="152" spans="9:10" x14ac:dyDescent="0.25">
      <c r="I152" s="37"/>
      <c r="J152" s="35"/>
    </row>
    <row r="153" spans="9:10" x14ac:dyDescent="0.25">
      <c r="I153" s="37"/>
      <c r="J153" s="35"/>
    </row>
    <row r="154" spans="9:10" x14ac:dyDescent="0.25">
      <c r="I154" s="37"/>
      <c r="J154" s="35"/>
    </row>
    <row r="155" spans="9:10" x14ac:dyDescent="0.25">
      <c r="I155" s="37"/>
      <c r="J155" s="35"/>
    </row>
    <row r="156" spans="9:10" x14ac:dyDescent="0.25">
      <c r="I156" s="37"/>
      <c r="J156" s="35"/>
    </row>
    <row r="157" spans="9:10" x14ac:dyDescent="0.25">
      <c r="I157" s="37"/>
      <c r="J157" s="35"/>
    </row>
    <row r="158" spans="9:10" x14ac:dyDescent="0.25">
      <c r="I158" s="37"/>
      <c r="J158" s="35"/>
    </row>
    <row r="159" spans="9:10" x14ac:dyDescent="0.25">
      <c r="I159" s="37"/>
      <c r="J159" s="35"/>
    </row>
    <row r="160" spans="9:10" x14ac:dyDescent="0.25">
      <c r="I160" s="37"/>
      <c r="J160" s="35"/>
    </row>
    <row r="161" spans="9:10" x14ac:dyDescent="0.25">
      <c r="I161" s="37"/>
      <c r="J161" s="35"/>
    </row>
    <row r="162" spans="9:10" x14ac:dyDescent="0.25">
      <c r="I162" s="37"/>
      <c r="J162" s="35"/>
    </row>
    <row r="163" spans="9:10" x14ac:dyDescent="0.25">
      <c r="I163" s="37"/>
      <c r="J163" s="35"/>
    </row>
    <row r="164" spans="9:10" x14ac:dyDescent="0.25">
      <c r="I164" s="37"/>
      <c r="J164" s="35"/>
    </row>
    <row r="165" spans="9:10" x14ac:dyDescent="0.25">
      <c r="I165" s="37"/>
      <c r="J165" s="35"/>
    </row>
    <row r="166" spans="9:10" x14ac:dyDescent="0.25">
      <c r="I166" s="37"/>
      <c r="J166" s="35"/>
    </row>
    <row r="167" spans="9:10" x14ac:dyDescent="0.25">
      <c r="I167" s="37"/>
      <c r="J167" s="35"/>
    </row>
    <row r="168" spans="9:10" x14ac:dyDescent="0.25">
      <c r="I168" s="37"/>
      <c r="J168" s="35"/>
    </row>
    <row r="169" spans="9:10" x14ac:dyDescent="0.25">
      <c r="I169" s="37"/>
      <c r="J169" s="35"/>
    </row>
    <row r="170" spans="9:10" x14ac:dyDescent="0.25">
      <c r="I170" s="37"/>
      <c r="J170" s="35"/>
    </row>
    <row r="171" spans="9:10" x14ac:dyDescent="0.25">
      <c r="I171" s="37"/>
      <c r="J171" s="35"/>
    </row>
    <row r="172" spans="9:10" x14ac:dyDescent="0.25">
      <c r="I172" s="37"/>
      <c r="J172" s="35"/>
    </row>
    <row r="173" spans="9:10" x14ac:dyDescent="0.25">
      <c r="I173" s="37"/>
      <c r="J173" s="35"/>
    </row>
    <row r="174" spans="9:10" x14ac:dyDescent="0.25">
      <c r="I174" s="37"/>
      <c r="J174" s="35"/>
    </row>
    <row r="175" spans="9:10" x14ac:dyDescent="0.25">
      <c r="I175" s="37"/>
      <c r="J175" s="35"/>
    </row>
    <row r="176" spans="9:10" x14ac:dyDescent="0.25">
      <c r="I176" s="37"/>
      <c r="J176" s="35"/>
    </row>
    <row r="177" spans="9:10" x14ac:dyDescent="0.25">
      <c r="I177" s="37"/>
      <c r="J177" s="35"/>
    </row>
    <row r="178" spans="9:10" x14ac:dyDescent="0.25">
      <c r="I178" s="37"/>
      <c r="J178" s="35"/>
    </row>
    <row r="179" spans="9:10" x14ac:dyDescent="0.25">
      <c r="I179" s="37"/>
      <c r="J179" s="35"/>
    </row>
    <row r="180" spans="9:10" x14ac:dyDescent="0.25">
      <c r="I180" s="37"/>
      <c r="J180" s="35"/>
    </row>
    <row r="181" spans="9:10" x14ac:dyDescent="0.25">
      <c r="I181" s="37"/>
      <c r="J181" s="35"/>
    </row>
    <row r="182" spans="9:10" x14ac:dyDescent="0.25">
      <c r="I182" s="37"/>
      <c r="J182" s="35"/>
    </row>
    <row r="183" spans="9:10" x14ac:dyDescent="0.25">
      <c r="I183" s="37"/>
      <c r="J183" s="35"/>
    </row>
    <row r="184" spans="9:10" x14ac:dyDescent="0.25">
      <c r="I184" s="37"/>
      <c r="J184" s="35"/>
    </row>
    <row r="185" spans="9:10" x14ac:dyDescent="0.25">
      <c r="I185" s="37"/>
      <c r="J185" s="35"/>
    </row>
    <row r="186" spans="9:10" x14ac:dyDescent="0.25">
      <c r="I186" s="37"/>
      <c r="J186" s="35"/>
    </row>
    <row r="187" spans="9:10" x14ac:dyDescent="0.25">
      <c r="I187" s="37"/>
      <c r="J187" s="35"/>
    </row>
    <row r="188" spans="9:10" x14ac:dyDescent="0.25">
      <c r="I188" s="37"/>
      <c r="J188" s="35"/>
    </row>
    <row r="189" spans="9:10" x14ac:dyDescent="0.25">
      <c r="I189" s="37"/>
      <c r="J189" s="35"/>
    </row>
    <row r="190" spans="9:10" x14ac:dyDescent="0.25">
      <c r="I190" s="37"/>
      <c r="J190" s="35"/>
    </row>
    <row r="191" spans="9:10" x14ac:dyDescent="0.25">
      <c r="I191" s="37"/>
      <c r="J191" s="35"/>
    </row>
    <row r="192" spans="9:10" x14ac:dyDescent="0.25">
      <c r="I192" s="37"/>
      <c r="J192" s="35"/>
    </row>
    <row r="193" spans="9:10" x14ac:dyDescent="0.25">
      <c r="I193" s="37"/>
      <c r="J193" s="35"/>
    </row>
    <row r="194" spans="9:10" x14ac:dyDescent="0.25">
      <c r="I194" s="37"/>
      <c r="J194" s="35"/>
    </row>
    <row r="195" spans="9:10" x14ac:dyDescent="0.25">
      <c r="I195" s="37"/>
      <c r="J195" s="35"/>
    </row>
    <row r="196" spans="9:10" x14ac:dyDescent="0.25">
      <c r="I196" s="37"/>
      <c r="J196" s="35"/>
    </row>
    <row r="197" spans="9:10" x14ac:dyDescent="0.25">
      <c r="I197" s="37"/>
      <c r="J197" s="35"/>
    </row>
    <row r="198" spans="9:10" x14ac:dyDescent="0.25">
      <c r="I198" s="37"/>
      <c r="J198" s="35"/>
    </row>
    <row r="199" spans="9:10" x14ac:dyDescent="0.25">
      <c r="I199" s="37"/>
      <c r="J199" s="35"/>
    </row>
    <row r="200" spans="9:10" x14ac:dyDescent="0.25">
      <c r="I200" s="37"/>
      <c r="J200" s="35"/>
    </row>
    <row r="201" spans="9:10" x14ac:dyDescent="0.25">
      <c r="I201" s="37"/>
      <c r="J201" s="35"/>
    </row>
    <row r="202" spans="9:10" x14ac:dyDescent="0.25">
      <c r="I202" s="37"/>
      <c r="J202" s="35"/>
    </row>
    <row r="203" spans="9:10" x14ac:dyDescent="0.25">
      <c r="I203" s="37"/>
      <c r="J203" s="35"/>
    </row>
    <row r="204" spans="9:10" x14ac:dyDescent="0.25">
      <c r="I204" s="37"/>
      <c r="J204" s="35"/>
    </row>
    <row r="205" spans="9:10" x14ac:dyDescent="0.25">
      <c r="I205" s="37"/>
      <c r="J205" s="35"/>
    </row>
    <row r="206" spans="9:10" x14ac:dyDescent="0.25">
      <c r="I206" s="37"/>
      <c r="J206" s="35"/>
    </row>
    <row r="207" spans="9:10" x14ac:dyDescent="0.25">
      <c r="I207" s="37"/>
      <c r="J207" s="35"/>
    </row>
    <row r="208" spans="9:10" x14ac:dyDescent="0.25">
      <c r="I208" s="37"/>
      <c r="J208" s="35"/>
    </row>
    <row r="209" spans="9:10" x14ac:dyDescent="0.25">
      <c r="I209" s="37"/>
      <c r="J209" s="35"/>
    </row>
    <row r="210" spans="9:10" x14ac:dyDescent="0.25">
      <c r="I210" s="37"/>
      <c r="J210" s="35"/>
    </row>
    <row r="211" spans="9:10" x14ac:dyDescent="0.25">
      <c r="I211" s="37"/>
      <c r="J211" s="35"/>
    </row>
    <row r="212" spans="9:10" x14ac:dyDescent="0.25">
      <c r="I212" s="37"/>
      <c r="J212" s="35"/>
    </row>
    <row r="213" spans="9:10" x14ac:dyDescent="0.25">
      <c r="I213" s="37"/>
      <c r="J213" s="35"/>
    </row>
    <row r="214" spans="9:10" x14ac:dyDescent="0.25">
      <c r="I214" s="37"/>
      <c r="J214" s="35"/>
    </row>
    <row r="215" spans="9:10" x14ac:dyDescent="0.25">
      <c r="I215" s="37"/>
      <c r="J215" s="35"/>
    </row>
    <row r="216" spans="9:10" x14ac:dyDescent="0.25">
      <c r="I216" s="37"/>
      <c r="J216" s="35"/>
    </row>
    <row r="217" spans="9:10" x14ac:dyDescent="0.25">
      <c r="I217" s="37"/>
      <c r="J217" s="35"/>
    </row>
    <row r="218" spans="9:10" x14ac:dyDescent="0.25">
      <c r="I218" s="37"/>
      <c r="J218" s="35"/>
    </row>
    <row r="219" spans="9:10" x14ac:dyDescent="0.25">
      <c r="I219" s="37"/>
      <c r="J219" s="35"/>
    </row>
    <row r="220" spans="9:10" x14ac:dyDescent="0.25">
      <c r="I220" s="37"/>
      <c r="J220" s="35"/>
    </row>
    <row r="221" spans="9:10" x14ac:dyDescent="0.25">
      <c r="I221" s="37"/>
      <c r="J221" s="35"/>
    </row>
    <row r="222" spans="9:10" x14ac:dyDescent="0.25">
      <c r="I222" s="37"/>
      <c r="J222" s="35"/>
    </row>
    <row r="223" spans="9:10" x14ac:dyDescent="0.25">
      <c r="I223" s="37"/>
      <c r="J223" s="35"/>
    </row>
    <row r="224" spans="9:10" x14ac:dyDescent="0.25">
      <c r="I224" s="37"/>
      <c r="J224" s="35"/>
    </row>
    <row r="225" spans="9:10" x14ac:dyDescent="0.25">
      <c r="I225" s="37"/>
      <c r="J225" s="35"/>
    </row>
    <row r="226" spans="9:10" x14ac:dyDescent="0.25">
      <c r="I226" s="37"/>
      <c r="J226" s="35"/>
    </row>
    <row r="227" spans="9:10" x14ac:dyDescent="0.25">
      <c r="I227" s="37"/>
      <c r="J227" s="35"/>
    </row>
    <row r="228" spans="9:10" x14ac:dyDescent="0.25">
      <c r="I228" s="37"/>
      <c r="J228" s="35"/>
    </row>
    <row r="229" spans="9:10" x14ac:dyDescent="0.25">
      <c r="I229" s="37"/>
      <c r="J229" s="35"/>
    </row>
    <row r="230" spans="9:10" x14ac:dyDescent="0.25">
      <c r="I230" s="37"/>
      <c r="J230" s="35"/>
    </row>
    <row r="231" spans="9:10" x14ac:dyDescent="0.25">
      <c r="I231" s="37"/>
      <c r="J231" s="35"/>
    </row>
    <row r="232" spans="9:10" x14ac:dyDescent="0.25">
      <c r="I232" s="37"/>
      <c r="J232" s="35"/>
    </row>
    <row r="233" spans="9:10" x14ac:dyDescent="0.25">
      <c r="I233" s="37"/>
      <c r="J233" s="35"/>
    </row>
    <row r="234" spans="9:10" x14ac:dyDescent="0.25">
      <c r="I234" s="37"/>
      <c r="J234" s="35"/>
    </row>
    <row r="235" spans="9:10" x14ac:dyDescent="0.25">
      <c r="I235" s="37"/>
      <c r="J235" s="35"/>
    </row>
    <row r="236" spans="9:10" x14ac:dyDescent="0.25">
      <c r="I236" s="37"/>
      <c r="J236" s="35"/>
    </row>
    <row r="237" spans="9:10" x14ac:dyDescent="0.25">
      <c r="I237" s="37"/>
      <c r="J237" s="35"/>
    </row>
    <row r="238" spans="9:10" x14ac:dyDescent="0.25">
      <c r="I238" s="37"/>
      <c r="J238" s="35"/>
    </row>
    <row r="239" spans="9:10" x14ac:dyDescent="0.25">
      <c r="I239" s="37"/>
      <c r="J239" s="35"/>
    </row>
    <row r="240" spans="9:10" x14ac:dyDescent="0.25">
      <c r="I240" s="37"/>
      <c r="J240" s="35"/>
    </row>
    <row r="241" spans="9:10" x14ac:dyDescent="0.25">
      <c r="I241" s="37"/>
      <c r="J241" s="35"/>
    </row>
    <row r="242" spans="9:10" x14ac:dyDescent="0.25">
      <c r="I242" s="37"/>
      <c r="J242" s="35"/>
    </row>
    <row r="243" spans="9:10" x14ac:dyDescent="0.25">
      <c r="I243" s="37"/>
      <c r="J243" s="35"/>
    </row>
    <row r="244" spans="9:10" x14ac:dyDescent="0.25">
      <c r="I244" s="37"/>
      <c r="J244" s="35"/>
    </row>
    <row r="245" spans="9:10" x14ac:dyDescent="0.25">
      <c r="I245" s="37"/>
      <c r="J245" s="35"/>
    </row>
    <row r="246" spans="9:10" x14ac:dyDescent="0.25">
      <c r="I246" s="37"/>
      <c r="J246" s="35"/>
    </row>
    <row r="247" spans="9:10" x14ac:dyDescent="0.25">
      <c r="I247" s="37"/>
      <c r="J247" s="35"/>
    </row>
    <row r="248" spans="9:10" x14ac:dyDescent="0.25">
      <c r="I248" s="37"/>
      <c r="J248" s="35"/>
    </row>
    <row r="249" spans="9:10" x14ac:dyDescent="0.25">
      <c r="I249" s="37"/>
      <c r="J249" s="35"/>
    </row>
    <row r="250" spans="9:10" x14ac:dyDescent="0.25">
      <c r="I250" s="37"/>
      <c r="J250" s="35"/>
    </row>
    <row r="251" spans="9:10" x14ac:dyDescent="0.25">
      <c r="I251" s="37"/>
      <c r="J251" s="35"/>
    </row>
    <row r="252" spans="9:10" x14ac:dyDescent="0.25">
      <c r="I252" s="37"/>
      <c r="J252" s="35"/>
    </row>
    <row r="253" spans="9:10" x14ac:dyDescent="0.25">
      <c r="I253" s="37"/>
      <c r="J253" s="35"/>
    </row>
    <row r="254" spans="9:10" x14ac:dyDescent="0.25">
      <c r="I254" s="37"/>
      <c r="J254" s="35"/>
    </row>
    <row r="255" spans="9:10" x14ac:dyDescent="0.25">
      <c r="I255" s="37"/>
      <c r="J255" s="35"/>
    </row>
    <row r="256" spans="9:10" x14ac:dyDescent="0.25">
      <c r="I256" s="37"/>
      <c r="J256" s="35"/>
    </row>
    <row r="257" spans="9:10" x14ac:dyDescent="0.25">
      <c r="I257" s="37"/>
      <c r="J257" s="35"/>
    </row>
    <row r="258" spans="9:10" x14ac:dyDescent="0.25">
      <c r="I258" s="37"/>
      <c r="J258" s="35"/>
    </row>
    <row r="259" spans="9:10" x14ac:dyDescent="0.25">
      <c r="I259" s="37"/>
      <c r="J259" s="35"/>
    </row>
    <row r="260" spans="9:10" x14ac:dyDescent="0.25">
      <c r="I260" s="37"/>
      <c r="J260" s="35"/>
    </row>
    <row r="261" spans="9:10" x14ac:dyDescent="0.25">
      <c r="I261" s="37"/>
      <c r="J261" s="35"/>
    </row>
    <row r="262" spans="9:10" x14ac:dyDescent="0.25">
      <c r="I262" s="37"/>
      <c r="J262" s="35"/>
    </row>
    <row r="263" spans="9:10" x14ac:dyDescent="0.25">
      <c r="I263" s="37"/>
      <c r="J263" s="35"/>
    </row>
    <row r="264" spans="9:10" x14ac:dyDescent="0.25">
      <c r="I264" s="37"/>
      <c r="J264" s="35"/>
    </row>
    <row r="265" spans="9:10" x14ac:dyDescent="0.25">
      <c r="I265" s="37"/>
      <c r="J265" s="35"/>
    </row>
    <row r="266" spans="9:10" x14ac:dyDescent="0.25">
      <c r="I266" s="37"/>
      <c r="J266" s="35"/>
    </row>
    <row r="267" spans="9:10" x14ac:dyDescent="0.25">
      <c r="I267" s="37"/>
      <c r="J267" s="35"/>
    </row>
    <row r="268" spans="9:10" x14ac:dyDescent="0.25">
      <c r="I268" s="37"/>
      <c r="J268" s="35"/>
    </row>
    <row r="269" spans="9:10" x14ac:dyDescent="0.25">
      <c r="I269" s="37"/>
      <c r="J269" s="35"/>
    </row>
    <row r="270" spans="9:10" x14ac:dyDescent="0.25">
      <c r="I270" s="37"/>
      <c r="J270" s="35"/>
    </row>
    <row r="271" spans="9:10" x14ac:dyDescent="0.25">
      <c r="I271" s="37"/>
      <c r="J271" s="35"/>
    </row>
    <row r="272" spans="9:10" x14ac:dyDescent="0.25">
      <c r="I272" s="37"/>
      <c r="J272" s="35"/>
    </row>
    <row r="273" spans="9:10" x14ac:dyDescent="0.25">
      <c r="I273" s="37"/>
      <c r="J273" s="35"/>
    </row>
    <row r="274" spans="9:10" x14ac:dyDescent="0.25">
      <c r="I274" s="37"/>
      <c r="J274" s="35"/>
    </row>
    <row r="275" spans="9:10" x14ac:dyDescent="0.25">
      <c r="I275" s="37"/>
      <c r="J275" s="35"/>
    </row>
    <row r="276" spans="9:10" x14ac:dyDescent="0.25">
      <c r="I276" s="37"/>
      <c r="J276" s="35"/>
    </row>
    <row r="277" spans="9:10" x14ac:dyDescent="0.25">
      <c r="I277" s="37"/>
      <c r="J277" s="35"/>
    </row>
    <row r="278" spans="9:10" x14ac:dyDescent="0.25">
      <c r="I278" s="37"/>
      <c r="J278" s="35"/>
    </row>
    <row r="279" spans="9:10" x14ac:dyDescent="0.25">
      <c r="I279" s="37"/>
      <c r="J279" s="35"/>
    </row>
    <row r="280" spans="9:10" x14ac:dyDescent="0.25">
      <c r="I280" s="37"/>
      <c r="J280" s="35"/>
    </row>
    <row r="281" spans="9:10" x14ac:dyDescent="0.25">
      <c r="I281" s="37"/>
      <c r="J281" s="35"/>
    </row>
    <row r="282" spans="9:10" x14ac:dyDescent="0.25">
      <c r="I282" s="37"/>
      <c r="J282" s="35"/>
    </row>
    <row r="283" spans="9:10" x14ac:dyDescent="0.25">
      <c r="I283" s="37"/>
      <c r="J283" s="35"/>
    </row>
    <row r="284" spans="9:10" x14ac:dyDescent="0.25">
      <c r="I284" s="37"/>
      <c r="J284" s="35"/>
    </row>
    <row r="285" spans="9:10" x14ac:dyDescent="0.25">
      <c r="I285" s="37"/>
      <c r="J285" s="35"/>
    </row>
    <row r="286" spans="9:10" x14ac:dyDescent="0.25">
      <c r="I286" s="37"/>
      <c r="J286" s="35"/>
    </row>
    <row r="287" spans="9:10" x14ac:dyDescent="0.25">
      <c r="I287" s="37"/>
      <c r="J287" s="35"/>
    </row>
    <row r="288" spans="9:10" x14ac:dyDescent="0.25">
      <c r="I288" s="37"/>
      <c r="J288" s="35"/>
    </row>
    <row r="289" spans="9:10" x14ac:dyDescent="0.25">
      <c r="I289" s="37"/>
      <c r="J289" s="35"/>
    </row>
    <row r="290" spans="9:10" x14ac:dyDescent="0.25">
      <c r="I290" s="37"/>
      <c r="J290" s="35"/>
    </row>
    <row r="291" spans="9:10" x14ac:dyDescent="0.25">
      <c r="I291" s="37"/>
      <c r="J291" s="35"/>
    </row>
    <row r="292" spans="9:10" x14ac:dyDescent="0.25">
      <c r="I292" s="37"/>
      <c r="J292" s="35"/>
    </row>
    <row r="293" spans="9:10" x14ac:dyDescent="0.25">
      <c r="I293" s="37"/>
      <c r="J293" s="35"/>
    </row>
    <row r="294" spans="9:10" x14ac:dyDescent="0.25">
      <c r="I294" s="37"/>
      <c r="J294" s="35"/>
    </row>
    <row r="295" spans="9:10" x14ac:dyDescent="0.25">
      <c r="I295" s="37"/>
      <c r="J295" s="35"/>
    </row>
    <row r="296" spans="9:10" x14ac:dyDescent="0.25">
      <c r="I296" s="37"/>
      <c r="J296" s="35"/>
    </row>
    <row r="297" spans="9:10" x14ac:dyDescent="0.25">
      <c r="I297" s="37"/>
      <c r="J297" s="35"/>
    </row>
    <row r="298" spans="9:10" x14ac:dyDescent="0.25">
      <c r="I298" s="37"/>
      <c r="J298" s="35"/>
    </row>
    <row r="299" spans="9:10" x14ac:dyDescent="0.25">
      <c r="I299" s="37"/>
      <c r="J299" s="35"/>
    </row>
    <row r="300" spans="9:10" x14ac:dyDescent="0.25">
      <c r="I300" s="37"/>
      <c r="J300" s="35"/>
    </row>
    <row r="301" spans="9:10" x14ac:dyDescent="0.25">
      <c r="I301" s="37"/>
      <c r="J301" s="35"/>
    </row>
    <row r="302" spans="9:10" x14ac:dyDescent="0.25">
      <c r="I302" s="37"/>
      <c r="J302" s="35"/>
    </row>
    <row r="303" spans="9:10" x14ac:dyDescent="0.25">
      <c r="I303" s="37"/>
      <c r="J303" s="35"/>
    </row>
    <row r="304" spans="9:10" x14ac:dyDescent="0.25">
      <c r="I304" s="37"/>
      <c r="J304" s="35"/>
    </row>
    <row r="305" spans="9:12" x14ac:dyDescent="0.25">
      <c r="I305" s="37"/>
      <c r="J305" s="35"/>
    </row>
    <row r="306" spans="9:12" x14ac:dyDescent="0.25">
      <c r="I306" s="37"/>
      <c r="J306" s="35"/>
    </row>
    <row r="307" spans="9:12" x14ac:dyDescent="0.25">
      <c r="I307" s="37"/>
      <c r="J307" s="35"/>
    </row>
    <row r="308" spans="9:12" x14ac:dyDescent="0.25">
      <c r="I308" s="37"/>
      <c r="J308" s="35"/>
    </row>
    <row r="309" spans="9:12" x14ac:dyDescent="0.25">
      <c r="I309" s="37"/>
      <c r="J309" s="35"/>
    </row>
    <row r="310" spans="9:12" x14ac:dyDescent="0.25">
      <c r="I310" s="37"/>
      <c r="J310" s="35"/>
    </row>
    <row r="311" spans="9:12" x14ac:dyDescent="0.25">
      <c r="I311" s="37"/>
      <c r="J311" s="35"/>
    </row>
    <row r="312" spans="9:12" x14ac:dyDescent="0.25">
      <c r="I312" s="37"/>
      <c r="J312" s="35"/>
      <c r="L312" s="36"/>
    </row>
    <row r="313" spans="9:12" x14ac:dyDescent="0.25">
      <c r="I313" s="37"/>
      <c r="J313" s="35"/>
    </row>
    <row r="314" spans="9:12" x14ac:dyDescent="0.25">
      <c r="I314" s="37"/>
      <c r="J314" s="35"/>
    </row>
    <row r="315" spans="9:12" x14ac:dyDescent="0.25">
      <c r="I315" s="37"/>
      <c r="J315" s="35"/>
    </row>
    <row r="316" spans="9:12" x14ac:dyDescent="0.25">
      <c r="I316" s="37"/>
      <c r="J316" s="35"/>
    </row>
    <row r="317" spans="9:12" x14ac:dyDescent="0.25">
      <c r="I317" s="37"/>
      <c r="J317" s="35"/>
    </row>
    <row r="318" spans="9:12" x14ac:dyDescent="0.25">
      <c r="I318" s="37"/>
      <c r="J318" s="35"/>
    </row>
    <row r="319" spans="9:12" x14ac:dyDescent="0.25">
      <c r="I319" s="37"/>
      <c r="J319" s="35"/>
    </row>
    <row r="320" spans="9:12" x14ac:dyDescent="0.25">
      <c r="I320" s="37"/>
      <c r="J320" s="35"/>
    </row>
    <row r="321" spans="9:10" x14ac:dyDescent="0.25">
      <c r="I321" s="37"/>
      <c r="J321" s="35"/>
    </row>
    <row r="322" spans="9:10" x14ac:dyDescent="0.25">
      <c r="I322" s="37"/>
      <c r="J322" s="35"/>
    </row>
    <row r="323" spans="9:10" x14ac:dyDescent="0.25">
      <c r="I323" s="37"/>
      <c r="J323" s="35"/>
    </row>
    <row r="324" spans="9:10" x14ac:dyDescent="0.25">
      <c r="I324" s="37"/>
      <c r="J324" s="35"/>
    </row>
    <row r="325" spans="9:10" x14ac:dyDescent="0.25">
      <c r="I325" s="37"/>
      <c r="J325" s="35"/>
    </row>
    <row r="326" spans="9:10" x14ac:dyDescent="0.25">
      <c r="I326" s="37"/>
      <c r="J326" s="35"/>
    </row>
    <row r="327" spans="9:10" x14ac:dyDescent="0.25">
      <c r="I327" s="37"/>
      <c r="J327" s="35"/>
    </row>
    <row r="328" spans="9:10" x14ac:dyDescent="0.25">
      <c r="I328" s="37"/>
      <c r="J328" s="35"/>
    </row>
    <row r="329" spans="9:10" x14ac:dyDescent="0.25">
      <c r="I329" s="37"/>
      <c r="J329" s="35"/>
    </row>
    <row r="330" spans="9:10" x14ac:dyDescent="0.25">
      <c r="I330" s="37"/>
      <c r="J330" s="35"/>
    </row>
    <row r="331" spans="9:10" x14ac:dyDescent="0.25">
      <c r="I331" s="37"/>
      <c r="J331" s="35"/>
    </row>
    <row r="332" spans="9:10" x14ac:dyDescent="0.25">
      <c r="I332" s="37"/>
      <c r="J332" s="35"/>
    </row>
    <row r="333" spans="9:10" x14ac:dyDescent="0.25">
      <c r="I333" s="37"/>
      <c r="J333" s="35"/>
    </row>
    <row r="334" spans="9:10" x14ac:dyDescent="0.25">
      <c r="I334" s="37"/>
      <c r="J334" s="35"/>
    </row>
    <row r="335" spans="9:10" x14ac:dyDescent="0.25">
      <c r="I335" s="37"/>
      <c r="J335" s="35"/>
    </row>
    <row r="336" spans="9:10" x14ac:dyDescent="0.25">
      <c r="I336" s="37"/>
      <c r="J336" s="35"/>
    </row>
    <row r="337" spans="9:10" x14ac:dyDescent="0.25">
      <c r="I337" s="37"/>
      <c r="J337" s="35"/>
    </row>
    <row r="338" spans="9:10" x14ac:dyDescent="0.25">
      <c r="I338" s="37"/>
      <c r="J338" s="35"/>
    </row>
    <row r="339" spans="9:10" x14ac:dyDescent="0.25">
      <c r="I339" s="37"/>
      <c r="J339" s="35"/>
    </row>
    <row r="340" spans="9:10" x14ac:dyDescent="0.25">
      <c r="I340" s="37"/>
      <c r="J340" s="35"/>
    </row>
    <row r="341" spans="9:10" x14ac:dyDescent="0.25">
      <c r="I341" s="37"/>
      <c r="J341" s="35"/>
    </row>
    <row r="342" spans="9:10" x14ac:dyDescent="0.25">
      <c r="I342" s="37"/>
      <c r="J342" s="35"/>
    </row>
    <row r="343" spans="9:10" x14ac:dyDescent="0.25">
      <c r="I343" s="37"/>
      <c r="J343" s="35"/>
    </row>
    <row r="344" spans="9:10" x14ac:dyDescent="0.25">
      <c r="I344" s="37"/>
      <c r="J344" s="35"/>
    </row>
    <row r="345" spans="9:10" x14ac:dyDescent="0.25">
      <c r="I345" s="37"/>
      <c r="J345" s="35"/>
    </row>
    <row r="346" spans="9:10" x14ac:dyDescent="0.25">
      <c r="I346" s="37"/>
      <c r="J346" s="35"/>
    </row>
    <row r="347" spans="9:10" x14ac:dyDescent="0.25">
      <c r="I347" s="37"/>
      <c r="J347" s="35"/>
    </row>
    <row r="348" spans="9:10" x14ac:dyDescent="0.25">
      <c r="I348" s="37"/>
      <c r="J348" s="35"/>
    </row>
    <row r="349" spans="9:10" x14ac:dyDescent="0.25">
      <c r="I349" s="37"/>
      <c r="J349" s="35"/>
    </row>
    <row r="350" spans="9:10" x14ac:dyDescent="0.25">
      <c r="I350" s="37"/>
      <c r="J350" s="35"/>
    </row>
    <row r="351" spans="9:10" x14ac:dyDescent="0.25">
      <c r="I351" s="37"/>
      <c r="J351" s="35"/>
    </row>
    <row r="352" spans="9:10" x14ac:dyDescent="0.25">
      <c r="I352" s="37"/>
      <c r="J352" s="35"/>
    </row>
    <row r="353" spans="9:10" x14ac:dyDescent="0.25">
      <c r="I353" s="37"/>
      <c r="J353" s="35"/>
    </row>
    <row r="354" spans="9:10" x14ac:dyDescent="0.25">
      <c r="I354" s="37"/>
      <c r="J354" s="35"/>
    </row>
    <row r="355" spans="9:10" x14ac:dyDescent="0.25">
      <c r="I355" s="37"/>
      <c r="J355" s="35"/>
    </row>
    <row r="356" spans="9:10" x14ac:dyDescent="0.25">
      <c r="I356" s="37"/>
      <c r="J356" s="35"/>
    </row>
    <row r="357" spans="9:10" x14ac:dyDescent="0.25">
      <c r="I357" s="37"/>
      <c r="J357" s="35"/>
    </row>
    <row r="358" spans="9:10" x14ac:dyDescent="0.25">
      <c r="I358" s="37"/>
      <c r="J358" s="35"/>
    </row>
    <row r="359" spans="9:10" x14ac:dyDescent="0.25">
      <c r="I359" s="37"/>
      <c r="J359" s="35"/>
    </row>
    <row r="360" spans="9:10" x14ac:dyDescent="0.25">
      <c r="I360" s="37"/>
      <c r="J360" s="35"/>
    </row>
    <row r="361" spans="9:10" x14ac:dyDescent="0.25">
      <c r="I361" s="37"/>
      <c r="J361" s="35"/>
    </row>
    <row r="362" spans="9:10" x14ac:dyDescent="0.25">
      <c r="I362" s="37"/>
      <c r="J362" s="35"/>
    </row>
    <row r="363" spans="9:10" x14ac:dyDescent="0.25">
      <c r="I363" s="37"/>
      <c r="J363" s="35"/>
    </row>
    <row r="364" spans="9:10" x14ac:dyDescent="0.25">
      <c r="I364" s="37"/>
      <c r="J364" s="35"/>
    </row>
    <row r="365" spans="9:10" x14ac:dyDescent="0.25">
      <c r="I365" s="37"/>
      <c r="J365" s="35"/>
    </row>
    <row r="366" spans="9:10" x14ac:dyDescent="0.25">
      <c r="I366" s="37"/>
      <c r="J366" s="35"/>
    </row>
    <row r="367" spans="9:10" x14ac:dyDescent="0.25">
      <c r="I367" s="37"/>
      <c r="J367" s="35"/>
    </row>
    <row r="368" spans="9:10" x14ac:dyDescent="0.25">
      <c r="I368" s="37"/>
      <c r="J368" s="35"/>
    </row>
    <row r="369" spans="9:10" x14ac:dyDescent="0.25">
      <c r="I369" s="37"/>
      <c r="J369" s="35"/>
    </row>
    <row r="370" spans="9:10" x14ac:dyDescent="0.25">
      <c r="I370" s="37"/>
      <c r="J370" s="35"/>
    </row>
    <row r="371" spans="9:10" x14ac:dyDescent="0.25">
      <c r="I371" s="37"/>
      <c r="J371" s="35"/>
    </row>
    <row r="372" spans="9:10" x14ac:dyDescent="0.25">
      <c r="I372" s="37"/>
      <c r="J372" s="35"/>
    </row>
    <row r="373" spans="9:10" x14ac:dyDescent="0.25">
      <c r="I373" s="37"/>
      <c r="J373" s="35"/>
    </row>
    <row r="374" spans="9:10" x14ac:dyDescent="0.25">
      <c r="I374" s="37"/>
      <c r="J374" s="35"/>
    </row>
    <row r="375" spans="9:10" x14ac:dyDescent="0.25">
      <c r="I375" s="37"/>
      <c r="J375" s="35"/>
    </row>
    <row r="376" spans="9:10" x14ac:dyDescent="0.25">
      <c r="I376" s="37"/>
      <c r="J376" s="35"/>
    </row>
    <row r="377" spans="9:10" x14ac:dyDescent="0.25">
      <c r="I377" s="37"/>
      <c r="J377" s="35"/>
    </row>
    <row r="378" spans="9:10" x14ac:dyDescent="0.25">
      <c r="I378" s="37"/>
      <c r="J378" s="35"/>
    </row>
    <row r="379" spans="9:10" x14ac:dyDescent="0.25">
      <c r="I379" s="37"/>
      <c r="J379" s="35"/>
    </row>
    <row r="380" spans="9:10" x14ac:dyDescent="0.25">
      <c r="I380" s="37"/>
      <c r="J380" s="35"/>
    </row>
    <row r="381" spans="9:10" x14ac:dyDescent="0.25">
      <c r="I381" s="37"/>
      <c r="J381" s="35"/>
    </row>
    <row r="382" spans="9:10" x14ac:dyDescent="0.25">
      <c r="I382" s="37"/>
      <c r="J382" s="35"/>
    </row>
    <row r="383" spans="9:10" x14ac:dyDescent="0.25">
      <c r="I383" s="37"/>
      <c r="J383" s="35"/>
    </row>
    <row r="384" spans="9:10" x14ac:dyDescent="0.25">
      <c r="I384" s="37"/>
      <c r="J384" s="35"/>
    </row>
    <row r="385" spans="9:10" x14ac:dyDescent="0.25">
      <c r="I385" s="37"/>
      <c r="J385" s="35"/>
    </row>
    <row r="386" spans="9:10" x14ac:dyDescent="0.25">
      <c r="I386" s="37"/>
      <c r="J386" s="35"/>
    </row>
    <row r="387" spans="9:10" x14ac:dyDescent="0.25">
      <c r="I387" s="37"/>
      <c r="J387" s="35"/>
    </row>
    <row r="388" spans="9:10" x14ac:dyDescent="0.25">
      <c r="I388" s="37"/>
      <c r="J388" s="35"/>
    </row>
    <row r="389" spans="9:10" x14ac:dyDescent="0.25">
      <c r="I389" s="37"/>
      <c r="J389" s="35"/>
    </row>
    <row r="390" spans="9:10" x14ac:dyDescent="0.25">
      <c r="I390" s="37"/>
      <c r="J390" s="35"/>
    </row>
    <row r="391" spans="9:10" x14ac:dyDescent="0.25">
      <c r="I391" s="37"/>
      <c r="J391" s="35"/>
    </row>
    <row r="392" spans="9:10" x14ac:dyDescent="0.25">
      <c r="I392" s="37"/>
      <c r="J392" s="35"/>
    </row>
    <row r="393" spans="9:10" x14ac:dyDescent="0.25">
      <c r="I393" s="37"/>
      <c r="J393" s="35"/>
    </row>
    <row r="394" spans="9:10" x14ac:dyDescent="0.25">
      <c r="I394" s="37"/>
      <c r="J394" s="35"/>
    </row>
    <row r="395" spans="9:10" x14ac:dyDescent="0.25">
      <c r="I395" s="37"/>
      <c r="J395" s="35"/>
    </row>
    <row r="396" spans="9:10" x14ac:dyDescent="0.25">
      <c r="I396" s="37"/>
      <c r="J396" s="35"/>
    </row>
    <row r="397" spans="9:10" x14ac:dyDescent="0.25">
      <c r="I397" s="37"/>
      <c r="J397" s="35"/>
    </row>
    <row r="398" spans="9:10" x14ac:dyDescent="0.25">
      <c r="I398" s="37"/>
      <c r="J398" s="35"/>
    </row>
    <row r="399" spans="9:10" x14ac:dyDescent="0.25">
      <c r="I399" s="37"/>
      <c r="J399" s="35"/>
    </row>
    <row r="400" spans="9:10" x14ac:dyDescent="0.25">
      <c r="I400" s="37"/>
      <c r="J400" s="35"/>
    </row>
    <row r="401" spans="9:10" x14ac:dyDescent="0.25">
      <c r="I401" s="37"/>
      <c r="J401" s="35"/>
    </row>
    <row r="402" spans="9:10" x14ac:dyDescent="0.25">
      <c r="I402" s="37"/>
      <c r="J402" s="35"/>
    </row>
    <row r="403" spans="9:10" x14ac:dyDescent="0.25">
      <c r="I403" s="37"/>
      <c r="J403" s="35"/>
    </row>
    <row r="404" spans="9:10" x14ac:dyDescent="0.25">
      <c r="I404" s="37"/>
      <c r="J404" s="35"/>
    </row>
    <row r="405" spans="9:10" x14ac:dyDescent="0.25">
      <c r="I405" s="37"/>
      <c r="J405" s="35"/>
    </row>
    <row r="406" spans="9:10" x14ac:dyDescent="0.25">
      <c r="I406" s="37"/>
      <c r="J406" s="35"/>
    </row>
    <row r="407" spans="9:10" x14ac:dyDescent="0.25">
      <c r="I407" s="37"/>
      <c r="J407" s="35"/>
    </row>
    <row r="408" spans="9:10" x14ac:dyDescent="0.25">
      <c r="I408" s="37"/>
      <c r="J408" s="35"/>
    </row>
    <row r="409" spans="9:10" x14ac:dyDescent="0.25">
      <c r="I409" s="37"/>
      <c r="J409" s="35"/>
    </row>
    <row r="410" spans="9:10" x14ac:dyDescent="0.25">
      <c r="I410" s="37"/>
      <c r="J410" s="35"/>
    </row>
    <row r="411" spans="9:10" x14ac:dyDescent="0.25">
      <c r="I411" s="37"/>
      <c r="J411" s="35"/>
    </row>
    <row r="412" spans="9:10" x14ac:dyDescent="0.25">
      <c r="I412" s="37"/>
      <c r="J412" s="35"/>
    </row>
    <row r="413" spans="9:10" x14ac:dyDescent="0.25">
      <c r="I413" s="37"/>
      <c r="J413" s="35"/>
    </row>
    <row r="414" spans="9:10" x14ac:dyDescent="0.25">
      <c r="I414" s="37"/>
      <c r="J414" s="35"/>
    </row>
    <row r="415" spans="9:10" x14ac:dyDescent="0.25">
      <c r="I415" s="37"/>
      <c r="J415" s="35"/>
    </row>
    <row r="416" spans="9:10" x14ac:dyDescent="0.25">
      <c r="I416" s="37"/>
      <c r="J416" s="35"/>
    </row>
    <row r="417" spans="9:10" x14ac:dyDescent="0.25">
      <c r="I417" s="37"/>
      <c r="J417" s="35"/>
    </row>
    <row r="418" spans="9:10" x14ac:dyDescent="0.25">
      <c r="I418" s="37"/>
      <c r="J418" s="35"/>
    </row>
    <row r="419" spans="9:10" x14ac:dyDescent="0.25">
      <c r="I419" s="37"/>
      <c r="J419" s="35"/>
    </row>
    <row r="420" spans="9:10" x14ac:dyDescent="0.25">
      <c r="I420" s="37"/>
      <c r="J420" s="35"/>
    </row>
    <row r="421" spans="9:10" x14ac:dyDescent="0.25">
      <c r="I421" s="37"/>
      <c r="J421" s="35"/>
    </row>
    <row r="422" spans="9:10" x14ac:dyDescent="0.25">
      <c r="I422" s="37"/>
      <c r="J422" s="35"/>
    </row>
    <row r="423" spans="9:10" x14ac:dyDescent="0.25">
      <c r="I423" s="37"/>
      <c r="J423" s="35"/>
    </row>
    <row r="424" spans="9:10" x14ac:dyDescent="0.25">
      <c r="I424" s="37"/>
      <c r="J424" s="35"/>
    </row>
    <row r="425" spans="9:10" x14ac:dyDescent="0.25">
      <c r="I425" s="37"/>
      <c r="J425" s="35"/>
    </row>
    <row r="426" spans="9:10" x14ac:dyDescent="0.25">
      <c r="I426" s="37"/>
      <c r="J426" s="35"/>
    </row>
    <row r="427" spans="9:10" x14ac:dyDescent="0.25">
      <c r="I427" s="37"/>
      <c r="J427" s="35"/>
    </row>
    <row r="428" spans="9:10" x14ac:dyDescent="0.25">
      <c r="I428" s="37"/>
      <c r="J428" s="35"/>
    </row>
    <row r="429" spans="9:10" x14ac:dyDescent="0.25">
      <c r="I429" s="37"/>
      <c r="J429" s="35"/>
    </row>
    <row r="430" spans="9:10" x14ac:dyDescent="0.25">
      <c r="I430" s="37"/>
      <c r="J430" s="35"/>
    </row>
    <row r="431" spans="9:10" x14ac:dyDescent="0.25">
      <c r="I431" s="37"/>
      <c r="J431" s="35"/>
    </row>
    <row r="432" spans="9:10" x14ac:dyDescent="0.25">
      <c r="I432" s="37"/>
      <c r="J432" s="35"/>
    </row>
    <row r="433" spans="9:10" x14ac:dyDescent="0.25">
      <c r="I433" s="37"/>
      <c r="J433" s="35"/>
    </row>
    <row r="434" spans="9:10" x14ac:dyDescent="0.25">
      <c r="I434" s="37"/>
      <c r="J434" s="35"/>
    </row>
    <row r="435" spans="9:10" x14ac:dyDescent="0.25">
      <c r="I435" s="37"/>
      <c r="J435" s="35"/>
    </row>
    <row r="436" spans="9:10" x14ac:dyDescent="0.25">
      <c r="I436" s="37"/>
      <c r="J436" s="35"/>
    </row>
    <row r="437" spans="9:10" x14ac:dyDescent="0.25">
      <c r="I437" s="37"/>
      <c r="J437" s="35"/>
    </row>
    <row r="438" spans="9:10" x14ac:dyDescent="0.25">
      <c r="I438" s="37"/>
      <c r="J438" s="35"/>
    </row>
    <row r="439" spans="9:10" x14ac:dyDescent="0.25">
      <c r="I439" s="37"/>
      <c r="J439" s="35"/>
    </row>
    <row r="440" spans="9:10" x14ac:dyDescent="0.25">
      <c r="I440" s="37"/>
      <c r="J440" s="35"/>
    </row>
    <row r="441" spans="9:10" x14ac:dyDescent="0.25">
      <c r="I441" s="37"/>
      <c r="J441" s="35"/>
    </row>
    <row r="442" spans="9:10" x14ac:dyDescent="0.25">
      <c r="I442" s="37"/>
      <c r="J442" s="35"/>
    </row>
    <row r="443" spans="9:10" x14ac:dyDescent="0.25">
      <c r="I443" s="37"/>
      <c r="J443" s="35"/>
    </row>
    <row r="444" spans="9:10" x14ac:dyDescent="0.25">
      <c r="I444" s="37"/>
      <c r="J444" s="35"/>
    </row>
    <row r="445" spans="9:10" x14ac:dyDescent="0.25">
      <c r="I445" s="37"/>
      <c r="J445" s="35"/>
    </row>
    <row r="446" spans="9:10" x14ac:dyDescent="0.25">
      <c r="I446" s="37"/>
      <c r="J446" s="35"/>
    </row>
    <row r="447" spans="9:10" x14ac:dyDescent="0.25">
      <c r="I447" s="37"/>
      <c r="J447" s="35"/>
    </row>
    <row r="448" spans="9:10" x14ac:dyDescent="0.25">
      <c r="I448" s="37"/>
      <c r="J448" s="35"/>
    </row>
    <row r="449" spans="9:10" x14ac:dyDescent="0.25">
      <c r="I449" s="37"/>
      <c r="J449" s="35"/>
    </row>
    <row r="450" spans="9:10" x14ac:dyDescent="0.25">
      <c r="I450" s="37"/>
      <c r="J450" s="35"/>
    </row>
    <row r="451" spans="9:10" x14ac:dyDescent="0.25">
      <c r="I451" s="37"/>
      <c r="J451" s="35"/>
    </row>
    <row r="452" spans="9:10" x14ac:dyDescent="0.25">
      <c r="I452" s="37"/>
      <c r="J452" s="35"/>
    </row>
    <row r="453" spans="9:10" x14ac:dyDescent="0.25">
      <c r="I453" s="37"/>
      <c r="J453" s="35"/>
    </row>
    <row r="454" spans="9:10" x14ac:dyDescent="0.25">
      <c r="I454" s="37"/>
      <c r="J454" s="35"/>
    </row>
    <row r="455" spans="9:10" x14ac:dyDescent="0.25">
      <c r="I455" s="37"/>
      <c r="J455" s="35"/>
    </row>
    <row r="456" spans="9:10" x14ac:dyDescent="0.25">
      <c r="I456" s="37"/>
      <c r="J456" s="35"/>
    </row>
    <row r="457" spans="9:10" x14ac:dyDescent="0.25">
      <c r="I457" s="37"/>
      <c r="J457" s="35"/>
    </row>
    <row r="458" spans="9:10" x14ac:dyDescent="0.25">
      <c r="I458" s="37"/>
      <c r="J458" s="35"/>
    </row>
    <row r="459" spans="9:10" x14ac:dyDescent="0.25">
      <c r="I459" s="37"/>
      <c r="J459" s="35"/>
    </row>
    <row r="460" spans="9:10" x14ac:dyDescent="0.25">
      <c r="I460" s="37"/>
      <c r="J460" s="35"/>
    </row>
    <row r="461" spans="9:10" x14ac:dyDescent="0.25">
      <c r="I461" s="37"/>
      <c r="J461" s="35"/>
    </row>
    <row r="462" spans="9:10" x14ac:dyDescent="0.25">
      <c r="I462" s="37"/>
      <c r="J462" s="35"/>
    </row>
    <row r="463" spans="9:10" x14ac:dyDescent="0.25">
      <c r="I463" s="37"/>
      <c r="J463" s="35"/>
    </row>
    <row r="464" spans="9:10" x14ac:dyDescent="0.25">
      <c r="I464" s="37"/>
      <c r="J464" s="35"/>
    </row>
    <row r="465" spans="9:10" x14ac:dyDescent="0.25">
      <c r="I465" s="37"/>
      <c r="J465" s="35"/>
    </row>
    <row r="466" spans="9:10" x14ac:dyDescent="0.25">
      <c r="I466" s="37"/>
      <c r="J466" s="35"/>
    </row>
    <row r="467" spans="9:10" x14ac:dyDescent="0.25">
      <c r="I467" s="37"/>
      <c r="J467" s="35"/>
    </row>
    <row r="468" spans="9:10" x14ac:dyDescent="0.25">
      <c r="I468" s="37"/>
      <c r="J468" s="35"/>
    </row>
    <row r="469" spans="9:10" x14ac:dyDescent="0.25">
      <c r="I469" s="37"/>
      <c r="J469" s="35"/>
    </row>
    <row r="470" spans="9:10" x14ac:dyDescent="0.25">
      <c r="I470" s="37"/>
      <c r="J470" s="35"/>
    </row>
    <row r="471" spans="9:10" x14ac:dyDescent="0.25">
      <c r="I471" s="37"/>
      <c r="J471" s="35"/>
    </row>
    <row r="472" spans="9:10" x14ac:dyDescent="0.25">
      <c r="I472" s="37"/>
      <c r="J472" s="35"/>
    </row>
    <row r="473" spans="9:10" x14ac:dyDescent="0.25">
      <c r="I473" s="37"/>
      <c r="J473" s="35"/>
    </row>
    <row r="474" spans="9:10" x14ac:dyDescent="0.25">
      <c r="I474" s="37"/>
      <c r="J474" s="35"/>
    </row>
    <row r="475" spans="9:10" x14ac:dyDescent="0.25">
      <c r="I475" s="37"/>
      <c r="J475" s="35"/>
    </row>
    <row r="476" spans="9:10" x14ac:dyDescent="0.25">
      <c r="I476" s="37"/>
      <c r="J476" s="35"/>
    </row>
    <row r="477" spans="9:10" x14ac:dyDescent="0.25">
      <c r="I477" s="37"/>
      <c r="J477" s="35"/>
    </row>
    <row r="478" spans="9:10" x14ac:dyDescent="0.25">
      <c r="I478" s="37"/>
      <c r="J478" s="35"/>
    </row>
    <row r="479" spans="9:10" x14ac:dyDescent="0.25">
      <c r="I479" s="37"/>
      <c r="J479" s="35"/>
    </row>
    <row r="480" spans="9:10" x14ac:dyDescent="0.25">
      <c r="I480" s="37"/>
      <c r="J480" s="35"/>
    </row>
    <row r="481" spans="9:10" x14ac:dyDescent="0.25">
      <c r="I481" s="37"/>
      <c r="J481" s="35"/>
    </row>
    <row r="482" spans="9:10" x14ac:dyDescent="0.25">
      <c r="I482" s="37"/>
      <c r="J482" s="35"/>
    </row>
    <row r="483" spans="9:10" x14ac:dyDescent="0.25">
      <c r="I483" s="37"/>
      <c r="J483" s="35"/>
    </row>
    <row r="484" spans="9:10" x14ac:dyDescent="0.25">
      <c r="I484" s="37"/>
      <c r="J484" s="35"/>
    </row>
    <row r="485" spans="9:10" x14ac:dyDescent="0.25">
      <c r="I485" s="37"/>
      <c r="J485" s="35"/>
    </row>
    <row r="486" spans="9:10" x14ac:dyDescent="0.25">
      <c r="I486" s="37"/>
      <c r="J486" s="35"/>
    </row>
    <row r="487" spans="9:10" x14ac:dyDescent="0.25">
      <c r="I487" s="37"/>
      <c r="J487" s="35"/>
    </row>
    <row r="488" spans="9:10" x14ac:dyDescent="0.25">
      <c r="I488" s="37"/>
      <c r="J488" s="35"/>
    </row>
    <row r="489" spans="9:10" x14ac:dyDescent="0.25">
      <c r="I489" s="37"/>
      <c r="J489" s="35"/>
    </row>
    <row r="490" spans="9:10" x14ac:dyDescent="0.25">
      <c r="I490" s="37"/>
      <c r="J490" s="35"/>
    </row>
    <row r="491" spans="9:10" x14ac:dyDescent="0.25">
      <c r="I491" s="37"/>
      <c r="J491" s="35"/>
    </row>
    <row r="492" spans="9:10" x14ac:dyDescent="0.25">
      <c r="I492" s="37"/>
      <c r="J492" s="35"/>
    </row>
    <row r="493" spans="9:10" x14ac:dyDescent="0.25">
      <c r="I493" s="37"/>
      <c r="J493" s="35"/>
    </row>
    <row r="494" spans="9:10" x14ac:dyDescent="0.25">
      <c r="I494" s="37"/>
      <c r="J494" s="35"/>
    </row>
    <row r="495" spans="9:10" x14ac:dyDescent="0.25">
      <c r="I495" s="37"/>
      <c r="J495" s="35"/>
    </row>
    <row r="496" spans="9:10" x14ac:dyDescent="0.25">
      <c r="I496" s="37"/>
      <c r="J496" s="35"/>
    </row>
    <row r="497" spans="9:10" x14ac:dyDescent="0.25">
      <c r="I497" s="37"/>
      <c r="J497" s="35"/>
    </row>
    <row r="498" spans="9:10" x14ac:dyDescent="0.25">
      <c r="I498" s="37"/>
      <c r="J498" s="35"/>
    </row>
    <row r="499" spans="9:10" x14ac:dyDescent="0.25">
      <c r="I499" s="37"/>
      <c r="J499" s="35"/>
    </row>
    <row r="500" spans="9:10" x14ac:dyDescent="0.25">
      <c r="I500" s="37"/>
      <c r="J500" s="35"/>
    </row>
    <row r="501" spans="9:10" x14ac:dyDescent="0.25">
      <c r="I501" s="37"/>
      <c r="J501" s="35"/>
    </row>
    <row r="502" spans="9:10" x14ac:dyDescent="0.25">
      <c r="I502" s="37"/>
      <c r="J502" s="35"/>
    </row>
    <row r="503" spans="9:10" x14ac:dyDescent="0.25">
      <c r="I503" s="37"/>
      <c r="J503" s="35"/>
    </row>
    <row r="504" spans="9:10" x14ac:dyDescent="0.25">
      <c r="I504" s="37"/>
      <c r="J504" s="35"/>
    </row>
    <row r="505" spans="9:10" x14ac:dyDescent="0.25">
      <c r="I505" s="37"/>
      <c r="J505" s="35"/>
    </row>
    <row r="506" spans="9:10" x14ac:dyDescent="0.25">
      <c r="I506" s="37"/>
      <c r="J506" s="35"/>
    </row>
    <row r="507" spans="9:10" x14ac:dyDescent="0.25">
      <c r="I507" s="37"/>
      <c r="J507" s="35"/>
    </row>
    <row r="508" spans="9:10" x14ac:dyDescent="0.25">
      <c r="I508" s="37"/>
      <c r="J508" s="35"/>
    </row>
    <row r="509" spans="9:10" x14ac:dyDescent="0.25">
      <c r="I509" s="37"/>
      <c r="J509" s="35"/>
    </row>
    <row r="510" spans="9:10" x14ac:dyDescent="0.25">
      <c r="I510" s="37"/>
      <c r="J510" s="35"/>
    </row>
    <row r="511" spans="9:10" x14ac:dyDescent="0.25">
      <c r="I511" s="37"/>
      <c r="J511" s="35"/>
    </row>
    <row r="512" spans="9:10" x14ac:dyDescent="0.25">
      <c r="I512" s="37"/>
      <c r="J512" s="35"/>
    </row>
    <row r="513" spans="9:10" x14ac:dyDescent="0.25">
      <c r="I513" s="37"/>
      <c r="J513" s="35"/>
    </row>
    <row r="514" spans="9:10" x14ac:dyDescent="0.25">
      <c r="I514" s="37"/>
      <c r="J514" s="35"/>
    </row>
    <row r="515" spans="9:10" x14ac:dyDescent="0.25">
      <c r="I515" s="37"/>
      <c r="J515" s="35"/>
    </row>
    <row r="516" spans="9:10" x14ac:dyDescent="0.25">
      <c r="I516" s="37"/>
      <c r="J516" s="35"/>
    </row>
    <row r="517" spans="9:10" x14ac:dyDescent="0.25">
      <c r="I517" s="37"/>
      <c r="J517" s="35"/>
    </row>
    <row r="518" spans="9:10" x14ac:dyDescent="0.25">
      <c r="I518" s="37"/>
      <c r="J518" s="35"/>
    </row>
    <row r="519" spans="9:10" x14ac:dyDescent="0.25">
      <c r="I519" s="37"/>
      <c r="J519" s="35"/>
    </row>
    <row r="520" spans="9:10" x14ac:dyDescent="0.25">
      <c r="I520" s="37"/>
      <c r="J520" s="35"/>
    </row>
    <row r="521" spans="9:10" x14ac:dyDescent="0.25">
      <c r="I521" s="37"/>
      <c r="J521" s="35"/>
    </row>
    <row r="522" spans="9:10" x14ac:dyDescent="0.25">
      <c r="I522" s="37"/>
      <c r="J522" s="35"/>
    </row>
    <row r="523" spans="9:10" x14ac:dyDescent="0.25">
      <c r="I523" s="37"/>
      <c r="J523" s="35"/>
    </row>
    <row r="524" spans="9:10" x14ac:dyDescent="0.25">
      <c r="I524" s="37"/>
      <c r="J524" s="35"/>
    </row>
    <row r="525" spans="9:10" x14ac:dyDescent="0.25">
      <c r="I525" s="37"/>
      <c r="J525" s="35"/>
    </row>
    <row r="526" spans="9:10" x14ac:dyDescent="0.25">
      <c r="I526" s="37"/>
      <c r="J526" s="35"/>
    </row>
    <row r="527" spans="9:10" x14ac:dyDescent="0.25">
      <c r="I527" s="37"/>
      <c r="J527" s="35"/>
    </row>
    <row r="528" spans="9:10" x14ac:dyDescent="0.25">
      <c r="I528" s="37"/>
      <c r="J528" s="35"/>
    </row>
    <row r="529" spans="9:10" x14ac:dyDescent="0.25">
      <c r="I529" s="37"/>
      <c r="J529" s="35"/>
    </row>
    <row r="530" spans="9:10" x14ac:dyDescent="0.25">
      <c r="I530" s="37"/>
      <c r="J530" s="35"/>
    </row>
    <row r="531" spans="9:10" x14ac:dyDescent="0.25">
      <c r="I531" s="37"/>
      <c r="J531" s="35"/>
    </row>
    <row r="532" spans="9:10" x14ac:dyDescent="0.25">
      <c r="I532" s="37"/>
      <c r="J532" s="35"/>
    </row>
    <row r="533" spans="9:10" x14ac:dyDescent="0.25">
      <c r="I533" s="37"/>
      <c r="J533" s="35"/>
    </row>
    <row r="534" spans="9:10" x14ac:dyDescent="0.25">
      <c r="I534" s="37"/>
      <c r="J534" s="35"/>
    </row>
    <row r="535" spans="9:10" x14ac:dyDescent="0.25">
      <c r="I535" s="37"/>
      <c r="J535" s="35"/>
    </row>
    <row r="536" spans="9:10" x14ac:dyDescent="0.25">
      <c r="I536" s="37"/>
      <c r="J536" s="35"/>
    </row>
    <row r="537" spans="9:10" x14ac:dyDescent="0.25">
      <c r="I537" s="37"/>
      <c r="J537" s="35"/>
    </row>
    <row r="538" spans="9:10" x14ac:dyDescent="0.25">
      <c r="I538" s="37"/>
      <c r="J538" s="35"/>
    </row>
    <row r="539" spans="9:10" x14ac:dyDescent="0.25">
      <c r="I539" s="37"/>
      <c r="J539" s="35"/>
    </row>
    <row r="540" spans="9:10" x14ac:dyDescent="0.25">
      <c r="I540" s="37"/>
      <c r="J540" s="35"/>
    </row>
    <row r="541" spans="9:10" x14ac:dyDescent="0.25">
      <c r="I541" s="37"/>
      <c r="J541" s="35"/>
    </row>
    <row r="542" spans="9:10" x14ac:dyDescent="0.25">
      <c r="I542" s="37"/>
      <c r="J542" s="35"/>
    </row>
    <row r="543" spans="9:10" x14ac:dyDescent="0.25">
      <c r="I543" s="37"/>
      <c r="J543" s="35"/>
    </row>
    <row r="544" spans="9:10" x14ac:dyDescent="0.25">
      <c r="I544" s="37"/>
      <c r="J544" s="35"/>
    </row>
    <row r="545" spans="9:10" x14ac:dyDescent="0.25">
      <c r="I545" s="37"/>
      <c r="J545" s="35"/>
    </row>
    <row r="546" spans="9:10" x14ac:dyDescent="0.25">
      <c r="I546" s="37"/>
      <c r="J546" s="35"/>
    </row>
    <row r="547" spans="9:10" x14ac:dyDescent="0.25">
      <c r="I547" s="37"/>
      <c r="J547" s="35"/>
    </row>
    <row r="548" spans="9:10" x14ac:dyDescent="0.25">
      <c r="I548" s="37"/>
      <c r="J548" s="35"/>
    </row>
    <row r="549" spans="9:10" x14ac:dyDescent="0.25">
      <c r="I549" s="37"/>
      <c r="J549" s="35"/>
    </row>
    <row r="550" spans="9:10" x14ac:dyDescent="0.25">
      <c r="I550" s="37"/>
      <c r="J550" s="35"/>
    </row>
    <row r="551" spans="9:10" x14ac:dyDescent="0.25">
      <c r="I551" s="37"/>
      <c r="J551" s="35"/>
    </row>
    <row r="552" spans="9:10" x14ac:dyDescent="0.25">
      <c r="I552" s="37"/>
      <c r="J552" s="35"/>
    </row>
    <row r="553" spans="9:10" x14ac:dyDescent="0.25">
      <c r="I553" s="37"/>
      <c r="J553" s="35"/>
    </row>
    <row r="554" spans="9:10" x14ac:dyDescent="0.25">
      <c r="I554" s="37"/>
      <c r="J554" s="35"/>
    </row>
    <row r="555" spans="9:10" x14ac:dyDescent="0.25">
      <c r="I555" s="37"/>
      <c r="J555" s="35"/>
    </row>
    <row r="556" spans="9:10" x14ac:dyDescent="0.25">
      <c r="I556" s="37"/>
      <c r="J556" s="35"/>
    </row>
    <row r="557" spans="9:10" x14ac:dyDescent="0.25">
      <c r="I557" s="37"/>
      <c r="J557" s="35"/>
    </row>
    <row r="558" spans="9:10" x14ac:dyDescent="0.25">
      <c r="I558" s="37"/>
      <c r="J558" s="35"/>
    </row>
    <row r="559" spans="9:10" x14ac:dyDescent="0.25">
      <c r="I559" s="37"/>
      <c r="J559" s="35"/>
    </row>
    <row r="560" spans="9:10" x14ac:dyDescent="0.25">
      <c r="I560" s="37"/>
      <c r="J560" s="35"/>
    </row>
    <row r="561" spans="9:10" x14ac:dyDescent="0.25">
      <c r="I561" s="37"/>
      <c r="J561" s="35"/>
    </row>
    <row r="562" spans="9:10" x14ac:dyDescent="0.25">
      <c r="I562" s="37"/>
      <c r="J562" s="35"/>
    </row>
    <row r="563" spans="9:10" x14ac:dyDescent="0.25">
      <c r="I563" s="37"/>
      <c r="J563" s="35"/>
    </row>
    <row r="564" spans="9:10" x14ac:dyDescent="0.25">
      <c r="I564" s="37"/>
      <c r="J564" s="35"/>
    </row>
    <row r="565" spans="9:10" x14ac:dyDescent="0.25">
      <c r="I565" s="37"/>
      <c r="J565" s="35"/>
    </row>
    <row r="566" spans="9:10" x14ac:dyDescent="0.25">
      <c r="I566" s="37"/>
      <c r="J566" s="35"/>
    </row>
    <row r="567" spans="9:10" x14ac:dyDescent="0.25">
      <c r="I567" s="37"/>
      <c r="J567" s="35"/>
    </row>
    <row r="568" spans="9:10" x14ac:dyDescent="0.25">
      <c r="I568" s="37"/>
      <c r="J568" s="35"/>
    </row>
    <row r="569" spans="9:10" x14ac:dyDescent="0.25">
      <c r="I569" s="37"/>
      <c r="J569" s="35"/>
    </row>
    <row r="570" spans="9:10" x14ac:dyDescent="0.25">
      <c r="I570" s="37"/>
      <c r="J570" s="35"/>
    </row>
    <row r="571" spans="9:10" x14ac:dyDescent="0.25">
      <c r="I571" s="37"/>
      <c r="J571" s="35"/>
    </row>
    <row r="572" spans="9:10" x14ac:dyDescent="0.25">
      <c r="I572" s="37"/>
      <c r="J572" s="35"/>
    </row>
    <row r="573" spans="9:10" x14ac:dyDescent="0.25">
      <c r="I573" s="37"/>
      <c r="J573" s="35"/>
    </row>
    <row r="574" spans="9:10" x14ac:dyDescent="0.25">
      <c r="I574" s="37"/>
      <c r="J574" s="35"/>
    </row>
    <row r="575" spans="9:10" x14ac:dyDescent="0.25">
      <c r="I575" s="37"/>
      <c r="J575" s="35"/>
    </row>
    <row r="576" spans="9:10" x14ac:dyDescent="0.25">
      <c r="I576" s="37"/>
      <c r="J576" s="35"/>
    </row>
    <row r="577" spans="9:10" x14ac:dyDescent="0.25">
      <c r="I577" s="37"/>
      <c r="J577" s="35"/>
    </row>
    <row r="578" spans="9:10" x14ac:dyDescent="0.25">
      <c r="I578" s="37"/>
      <c r="J578" s="35"/>
    </row>
    <row r="579" spans="9:10" x14ac:dyDescent="0.25">
      <c r="I579" s="37"/>
      <c r="J579" s="35"/>
    </row>
    <row r="580" spans="9:10" x14ac:dyDescent="0.25">
      <c r="I580" s="37"/>
      <c r="J580" s="35"/>
    </row>
    <row r="581" spans="9:10" x14ac:dyDescent="0.25">
      <c r="I581" s="37"/>
      <c r="J581" s="35"/>
    </row>
    <row r="582" spans="9:10" x14ac:dyDescent="0.25">
      <c r="I582" s="37"/>
      <c r="J582" s="35"/>
    </row>
    <row r="583" spans="9:10" x14ac:dyDescent="0.25">
      <c r="I583" s="37"/>
      <c r="J583" s="35"/>
    </row>
    <row r="584" spans="9:10" x14ac:dyDescent="0.25">
      <c r="I584" s="37"/>
      <c r="J584" s="35"/>
    </row>
    <row r="585" spans="9:10" x14ac:dyDescent="0.25">
      <c r="I585" s="37"/>
      <c r="J585" s="35"/>
    </row>
    <row r="586" spans="9:10" x14ac:dyDescent="0.25">
      <c r="I586" s="37"/>
      <c r="J586" s="35"/>
    </row>
    <row r="587" spans="9:10" x14ac:dyDescent="0.25">
      <c r="I587" s="37"/>
      <c r="J587" s="35"/>
    </row>
    <row r="588" spans="9:10" x14ac:dyDescent="0.25">
      <c r="I588" s="37"/>
      <c r="J588" s="35"/>
    </row>
    <row r="589" spans="9:10" x14ac:dyDescent="0.25">
      <c r="I589" s="37"/>
      <c r="J589" s="35"/>
    </row>
    <row r="590" spans="9:10" x14ac:dyDescent="0.25">
      <c r="I590" s="37"/>
      <c r="J590" s="35"/>
    </row>
    <row r="591" spans="9:10" x14ac:dyDescent="0.25">
      <c r="I591" s="37"/>
      <c r="J591" s="35"/>
    </row>
    <row r="592" spans="9:10" x14ac:dyDescent="0.25">
      <c r="I592" s="37"/>
      <c r="J592" s="35"/>
    </row>
    <row r="593" spans="9:10" x14ac:dyDescent="0.25">
      <c r="I593" s="37"/>
      <c r="J593" s="35"/>
    </row>
    <row r="594" spans="9:10" x14ac:dyDescent="0.25">
      <c r="I594" s="37"/>
      <c r="J594" s="35"/>
    </row>
    <row r="595" spans="9:10" x14ac:dyDescent="0.25">
      <c r="I595" s="37"/>
      <c r="J595" s="35"/>
    </row>
    <row r="596" spans="9:10" x14ac:dyDescent="0.25">
      <c r="I596" s="37"/>
      <c r="J596" s="35"/>
    </row>
    <row r="597" spans="9:10" x14ac:dyDescent="0.25">
      <c r="I597" s="37"/>
      <c r="J597" s="35"/>
    </row>
    <row r="598" spans="9:10" x14ac:dyDescent="0.25">
      <c r="I598" s="37"/>
      <c r="J598" s="35"/>
    </row>
    <row r="599" spans="9:10" x14ac:dyDescent="0.25">
      <c r="I599" s="37"/>
      <c r="J599" s="35"/>
    </row>
    <row r="600" spans="9:10" x14ac:dyDescent="0.25">
      <c r="I600" s="37"/>
      <c r="J600" s="35"/>
    </row>
    <row r="601" spans="9:10" x14ac:dyDescent="0.25">
      <c r="I601" s="37"/>
      <c r="J601" s="35"/>
    </row>
    <row r="602" spans="9:10" x14ac:dyDescent="0.25">
      <c r="I602" s="37"/>
      <c r="J602" s="35"/>
    </row>
    <row r="603" spans="9:10" x14ac:dyDescent="0.25">
      <c r="I603" s="37"/>
      <c r="J603" s="35"/>
    </row>
    <row r="604" spans="9:10" x14ac:dyDescent="0.25">
      <c r="I604" s="37"/>
      <c r="J604" s="35"/>
    </row>
    <row r="605" spans="9:10" x14ac:dyDescent="0.25">
      <c r="I605" s="37"/>
      <c r="J605" s="35"/>
    </row>
    <row r="606" spans="9:10" x14ac:dyDescent="0.25">
      <c r="I606" s="37"/>
      <c r="J606" s="35"/>
    </row>
    <row r="607" spans="9:10" x14ac:dyDescent="0.25">
      <c r="I607" s="37"/>
      <c r="J607" s="35"/>
    </row>
    <row r="608" spans="9:10" x14ac:dyDescent="0.25">
      <c r="I608" s="37"/>
      <c r="J608" s="35"/>
    </row>
    <row r="609" spans="9:10" x14ac:dyDescent="0.25">
      <c r="I609" s="37"/>
      <c r="J609" s="35"/>
    </row>
    <row r="610" spans="9:10" x14ac:dyDescent="0.25">
      <c r="I610" s="37"/>
      <c r="J610" s="35"/>
    </row>
    <row r="611" spans="9:10" x14ac:dyDescent="0.25">
      <c r="I611" s="37"/>
      <c r="J611" s="35"/>
    </row>
    <row r="612" spans="9:10" x14ac:dyDescent="0.25">
      <c r="I612" s="37"/>
      <c r="J612" s="35"/>
    </row>
    <row r="613" spans="9:10" x14ac:dyDescent="0.25">
      <c r="I613" s="37"/>
      <c r="J613" s="35"/>
    </row>
    <row r="614" spans="9:10" x14ac:dyDescent="0.25">
      <c r="I614" s="37"/>
      <c r="J614" s="35"/>
    </row>
    <row r="615" spans="9:10" x14ac:dyDescent="0.25">
      <c r="I615" s="37"/>
      <c r="J615" s="35"/>
    </row>
    <row r="616" spans="9:10" x14ac:dyDescent="0.25">
      <c r="I616" s="37"/>
      <c r="J616" s="35"/>
    </row>
    <row r="617" spans="9:10" x14ac:dyDescent="0.25">
      <c r="I617" s="37"/>
      <c r="J617" s="35"/>
    </row>
    <row r="618" spans="9:10" x14ac:dyDescent="0.25">
      <c r="I618" s="37"/>
      <c r="J618" s="35"/>
    </row>
    <row r="619" spans="9:10" x14ac:dyDescent="0.25">
      <c r="I619" s="37"/>
      <c r="J619" s="35"/>
    </row>
    <row r="620" spans="9:10" x14ac:dyDescent="0.25">
      <c r="I620" s="37"/>
      <c r="J620" s="35"/>
    </row>
    <row r="621" spans="9:10" x14ac:dyDescent="0.25">
      <c r="I621" s="37"/>
      <c r="J621" s="35"/>
    </row>
    <row r="622" spans="9:10" x14ac:dyDescent="0.25">
      <c r="I622" s="37"/>
      <c r="J622" s="35"/>
    </row>
    <row r="623" spans="9:10" x14ac:dyDescent="0.25">
      <c r="I623" s="37"/>
      <c r="J623" s="35"/>
    </row>
    <row r="624" spans="9:10" x14ac:dyDescent="0.25">
      <c r="I624" s="37"/>
      <c r="J624" s="35"/>
    </row>
    <row r="625" spans="9:10" x14ac:dyDescent="0.25">
      <c r="I625" s="37"/>
      <c r="J625" s="35"/>
    </row>
    <row r="626" spans="9:10" x14ac:dyDescent="0.25">
      <c r="I626" s="37"/>
      <c r="J626" s="35"/>
    </row>
    <row r="627" spans="9:10" x14ac:dyDescent="0.25">
      <c r="I627" s="37"/>
      <c r="J627" s="35"/>
    </row>
    <row r="628" spans="9:10" x14ac:dyDescent="0.25">
      <c r="I628" s="37"/>
      <c r="J628" s="35"/>
    </row>
    <row r="629" spans="9:10" x14ac:dyDescent="0.25">
      <c r="I629" s="37"/>
      <c r="J629" s="35"/>
    </row>
    <row r="630" spans="9:10" x14ac:dyDescent="0.25">
      <c r="I630" s="37"/>
      <c r="J630" s="35"/>
    </row>
    <row r="631" spans="9:10" x14ac:dyDescent="0.25">
      <c r="I631" s="37"/>
      <c r="J631" s="35"/>
    </row>
    <row r="632" spans="9:10" x14ac:dyDescent="0.25">
      <c r="I632" s="37"/>
      <c r="J632" s="35"/>
    </row>
    <row r="633" spans="9:10" x14ac:dyDescent="0.25">
      <c r="I633" s="37"/>
      <c r="J633" s="35"/>
    </row>
    <row r="634" spans="9:10" x14ac:dyDescent="0.25">
      <c r="I634" s="37"/>
      <c r="J634" s="35"/>
    </row>
    <row r="635" spans="9:10" x14ac:dyDescent="0.25">
      <c r="I635" s="37"/>
      <c r="J635" s="35"/>
    </row>
    <row r="636" spans="9:10" x14ac:dyDescent="0.25">
      <c r="I636" s="37"/>
      <c r="J636" s="35"/>
    </row>
    <row r="637" spans="9:10" x14ac:dyDescent="0.25">
      <c r="I637" s="37"/>
      <c r="J637" s="35"/>
    </row>
    <row r="638" spans="9:10" x14ac:dyDescent="0.25">
      <c r="I638" s="37"/>
      <c r="J638" s="35"/>
    </row>
    <row r="639" spans="9:10" x14ac:dyDescent="0.25">
      <c r="I639" s="37"/>
      <c r="J639" s="35"/>
    </row>
    <row r="640" spans="9:10" x14ac:dyDescent="0.25">
      <c r="I640" s="37"/>
      <c r="J640" s="35"/>
    </row>
    <row r="641" spans="9:10" x14ac:dyDescent="0.25">
      <c r="I641" s="37"/>
      <c r="J641" s="35"/>
    </row>
    <row r="642" spans="9:10" x14ac:dyDescent="0.25">
      <c r="I642" s="37"/>
      <c r="J642" s="35"/>
    </row>
    <row r="643" spans="9:10" x14ac:dyDescent="0.25">
      <c r="I643" s="37"/>
      <c r="J643" s="35"/>
    </row>
    <row r="644" spans="9:10" x14ac:dyDescent="0.25">
      <c r="I644" s="37"/>
      <c r="J644" s="35"/>
    </row>
    <row r="645" spans="9:10" x14ac:dyDescent="0.25">
      <c r="I645" s="37"/>
      <c r="J645" s="35"/>
    </row>
    <row r="646" spans="9:10" x14ac:dyDescent="0.25">
      <c r="I646" s="37"/>
      <c r="J646" s="35"/>
    </row>
    <row r="647" spans="9:10" x14ac:dyDescent="0.25">
      <c r="I647" s="37"/>
      <c r="J647" s="35"/>
    </row>
    <row r="648" spans="9:10" x14ac:dyDescent="0.25">
      <c r="I648" s="37"/>
      <c r="J648" s="35"/>
    </row>
    <row r="649" spans="9:10" x14ac:dyDescent="0.25">
      <c r="I649" s="37"/>
      <c r="J649" s="35"/>
    </row>
    <row r="650" spans="9:10" x14ac:dyDescent="0.25">
      <c r="I650" s="37"/>
      <c r="J650" s="35"/>
    </row>
    <row r="651" spans="9:10" x14ac:dyDescent="0.25">
      <c r="I651" s="37"/>
      <c r="J651" s="35"/>
    </row>
    <row r="652" spans="9:10" x14ac:dyDescent="0.25">
      <c r="I652" s="37"/>
      <c r="J652" s="35"/>
    </row>
    <row r="653" spans="9:10" x14ac:dyDescent="0.25">
      <c r="I653" s="37"/>
      <c r="J653" s="35"/>
    </row>
    <row r="654" spans="9:10" x14ac:dyDescent="0.25">
      <c r="I654" s="37"/>
      <c r="J654" s="35"/>
    </row>
    <row r="655" spans="9:10" x14ac:dyDescent="0.25">
      <c r="I655" s="37"/>
      <c r="J655" s="35"/>
    </row>
    <row r="656" spans="9:10" x14ac:dyDescent="0.25">
      <c r="I656" s="37"/>
      <c r="J656" s="35"/>
    </row>
    <row r="657" spans="9:10" x14ac:dyDescent="0.25">
      <c r="I657" s="37"/>
      <c r="J657" s="35"/>
    </row>
    <row r="658" spans="9:10" x14ac:dyDescent="0.25">
      <c r="I658" s="37"/>
      <c r="J658" s="35"/>
    </row>
    <row r="659" spans="9:10" x14ac:dyDescent="0.25">
      <c r="I659" s="37"/>
      <c r="J659" s="35"/>
    </row>
    <row r="660" spans="9:10" x14ac:dyDescent="0.25">
      <c r="I660" s="37"/>
      <c r="J660" s="35"/>
    </row>
    <row r="661" spans="9:10" x14ac:dyDescent="0.25">
      <c r="I661" s="37"/>
      <c r="J661" s="35"/>
    </row>
    <row r="662" spans="9:10" x14ac:dyDescent="0.25">
      <c r="I662" s="37"/>
      <c r="J662" s="35"/>
    </row>
    <row r="663" spans="9:10" x14ac:dyDescent="0.25">
      <c r="I663" s="37"/>
      <c r="J663" s="35"/>
    </row>
    <row r="664" spans="9:10" x14ac:dyDescent="0.25">
      <c r="I664" s="37"/>
      <c r="J664" s="35"/>
    </row>
    <row r="665" spans="9:10" x14ac:dyDescent="0.25">
      <c r="I665" s="37"/>
      <c r="J665" s="35"/>
    </row>
    <row r="666" spans="9:10" x14ac:dyDescent="0.25">
      <c r="I666" s="37"/>
      <c r="J666" s="35"/>
    </row>
    <row r="667" spans="9:10" x14ac:dyDescent="0.25">
      <c r="I667" s="37"/>
      <c r="J667" s="35"/>
    </row>
    <row r="668" spans="9:10" x14ac:dyDescent="0.25">
      <c r="I668" s="37"/>
      <c r="J668" s="35"/>
    </row>
    <row r="669" spans="9:10" x14ac:dyDescent="0.25">
      <c r="I669" s="37"/>
      <c r="J669" s="35"/>
    </row>
    <row r="670" spans="9:10" x14ac:dyDescent="0.25">
      <c r="I670" s="37"/>
      <c r="J670" s="35"/>
    </row>
    <row r="671" spans="9:10" x14ac:dyDescent="0.25">
      <c r="I671" s="37"/>
      <c r="J671" s="35"/>
    </row>
    <row r="672" spans="9:10" x14ac:dyDescent="0.25">
      <c r="I672" s="37"/>
      <c r="J672" s="35"/>
    </row>
    <row r="673" spans="9:10" x14ac:dyDescent="0.25">
      <c r="I673" s="37"/>
      <c r="J673" s="35"/>
    </row>
    <row r="674" spans="9:10" x14ac:dyDescent="0.25">
      <c r="I674" s="37"/>
      <c r="J674" s="35"/>
    </row>
    <row r="675" spans="9:10" x14ac:dyDescent="0.25">
      <c r="I675" s="37"/>
      <c r="J675" s="35"/>
    </row>
    <row r="676" spans="9:10" x14ac:dyDescent="0.25">
      <c r="I676" s="37"/>
      <c r="J676" s="35"/>
    </row>
    <row r="677" spans="9:10" x14ac:dyDescent="0.25">
      <c r="I677" s="37"/>
      <c r="J677" s="35"/>
    </row>
    <row r="678" spans="9:10" x14ac:dyDescent="0.25">
      <c r="I678" s="37"/>
      <c r="J678" s="35"/>
    </row>
    <row r="679" spans="9:10" x14ac:dyDescent="0.25">
      <c r="I679" s="37"/>
      <c r="J679" s="35"/>
    </row>
    <row r="680" spans="9:10" x14ac:dyDescent="0.25">
      <c r="I680" s="37"/>
      <c r="J680" s="35"/>
    </row>
    <row r="681" spans="9:10" x14ac:dyDescent="0.25">
      <c r="I681" s="37"/>
      <c r="J681" s="35"/>
    </row>
    <row r="682" spans="9:10" x14ac:dyDescent="0.25">
      <c r="I682" s="37"/>
      <c r="J682" s="35"/>
    </row>
    <row r="683" spans="9:10" x14ac:dyDescent="0.25">
      <c r="I683" s="37"/>
      <c r="J683" s="35"/>
    </row>
    <row r="684" spans="9:10" x14ac:dyDescent="0.25">
      <c r="I684" s="37"/>
      <c r="J684" s="35"/>
    </row>
    <row r="685" spans="9:10" x14ac:dyDescent="0.25">
      <c r="I685" s="37"/>
      <c r="J685" s="35"/>
    </row>
    <row r="686" spans="9:10" x14ac:dyDescent="0.25">
      <c r="I686" s="37"/>
      <c r="J686" s="35"/>
    </row>
    <row r="687" spans="9:10" x14ac:dyDescent="0.25">
      <c r="I687" s="37"/>
      <c r="J687" s="35"/>
    </row>
    <row r="688" spans="9:10" x14ac:dyDescent="0.25">
      <c r="I688" s="37"/>
      <c r="J688" s="35"/>
    </row>
    <row r="689" spans="9:10" x14ac:dyDescent="0.25">
      <c r="I689" s="37"/>
      <c r="J689" s="35"/>
    </row>
    <row r="690" spans="9:10" x14ac:dyDescent="0.25">
      <c r="I690" s="37"/>
      <c r="J690" s="35"/>
    </row>
    <row r="691" spans="9:10" x14ac:dyDescent="0.25">
      <c r="I691" s="37"/>
      <c r="J691" s="35"/>
    </row>
    <row r="692" spans="9:10" x14ac:dyDescent="0.25">
      <c r="I692" s="37"/>
      <c r="J692" s="35"/>
    </row>
    <row r="693" spans="9:10" x14ac:dyDescent="0.25">
      <c r="I693" s="37"/>
      <c r="J693" s="35"/>
    </row>
    <row r="694" spans="9:10" x14ac:dyDescent="0.25">
      <c r="I694" s="37"/>
      <c r="J694" s="35"/>
    </row>
    <row r="695" spans="9:10" x14ac:dyDescent="0.25">
      <c r="I695" s="37"/>
      <c r="J695" s="35"/>
    </row>
    <row r="696" spans="9:10" x14ac:dyDescent="0.25">
      <c r="I696" s="37"/>
      <c r="J696" s="35"/>
    </row>
    <row r="697" spans="9:10" x14ac:dyDescent="0.25">
      <c r="I697" s="37"/>
      <c r="J697" s="35"/>
    </row>
    <row r="698" spans="9:10" x14ac:dyDescent="0.25">
      <c r="I698" s="37"/>
      <c r="J698" s="35"/>
    </row>
    <row r="699" spans="9:10" x14ac:dyDescent="0.25">
      <c r="I699" s="37"/>
      <c r="J699" s="35"/>
    </row>
    <row r="700" spans="9:10" x14ac:dyDescent="0.25">
      <c r="I700" s="37"/>
      <c r="J700" s="35"/>
    </row>
    <row r="701" spans="9:10" x14ac:dyDescent="0.25">
      <c r="I701" s="37"/>
      <c r="J701" s="35"/>
    </row>
    <row r="702" spans="9:10" x14ac:dyDescent="0.25">
      <c r="I702" s="37"/>
      <c r="J702" s="35"/>
    </row>
    <row r="703" spans="9:10" x14ac:dyDescent="0.25">
      <c r="I703" s="37"/>
      <c r="J703" s="35"/>
    </row>
    <row r="704" spans="9:10" x14ac:dyDescent="0.25">
      <c r="I704" s="37"/>
      <c r="J704" s="35"/>
    </row>
    <row r="705" spans="9:10" x14ac:dyDescent="0.25">
      <c r="I705" s="37"/>
      <c r="J705" s="35"/>
    </row>
    <row r="706" spans="9:10" x14ac:dyDescent="0.25">
      <c r="I706" s="37"/>
      <c r="J706" s="35"/>
    </row>
    <row r="707" spans="9:10" x14ac:dyDescent="0.25">
      <c r="I707" s="37"/>
      <c r="J707" s="35"/>
    </row>
    <row r="708" spans="9:10" x14ac:dyDescent="0.25">
      <c r="I708" s="37"/>
      <c r="J708" s="35"/>
    </row>
    <row r="709" spans="9:10" x14ac:dyDescent="0.25">
      <c r="I709" s="37"/>
      <c r="J709" s="35"/>
    </row>
    <row r="710" spans="9:10" x14ac:dyDescent="0.25">
      <c r="I710" s="37"/>
      <c r="J710" s="35"/>
    </row>
    <row r="711" spans="9:10" x14ac:dyDescent="0.25">
      <c r="I711" s="37"/>
      <c r="J711" s="35"/>
    </row>
    <row r="712" spans="9:10" x14ac:dyDescent="0.25">
      <c r="I712" s="37"/>
      <c r="J712" s="35"/>
    </row>
    <row r="713" spans="9:10" x14ac:dyDescent="0.25">
      <c r="I713" s="37"/>
      <c r="J713" s="35"/>
    </row>
    <row r="714" spans="9:10" x14ac:dyDescent="0.25">
      <c r="I714" s="37"/>
      <c r="J714" s="35"/>
    </row>
    <row r="715" spans="9:10" x14ac:dyDescent="0.25">
      <c r="I715" s="37"/>
      <c r="J715" s="35"/>
    </row>
    <row r="716" spans="9:10" x14ac:dyDescent="0.25">
      <c r="I716" s="37"/>
      <c r="J716" s="35"/>
    </row>
    <row r="717" spans="9:10" x14ac:dyDescent="0.25">
      <c r="I717" s="37"/>
      <c r="J717" s="35"/>
    </row>
    <row r="718" spans="9:10" x14ac:dyDescent="0.25">
      <c r="I718" s="37"/>
      <c r="J718" s="35"/>
    </row>
    <row r="719" spans="9:10" x14ac:dyDescent="0.25">
      <c r="I719" s="37"/>
      <c r="J719" s="35"/>
    </row>
    <row r="720" spans="9:10" x14ac:dyDescent="0.25">
      <c r="I720" s="37"/>
      <c r="J720" s="35"/>
    </row>
    <row r="721" spans="9:10" x14ac:dyDescent="0.25">
      <c r="I721" s="37"/>
      <c r="J721" s="35"/>
    </row>
    <row r="722" spans="9:10" x14ac:dyDescent="0.25">
      <c r="I722" s="37"/>
      <c r="J722" s="35"/>
    </row>
    <row r="723" spans="9:10" x14ac:dyDescent="0.25">
      <c r="I723" s="37"/>
      <c r="J723" s="35"/>
    </row>
    <row r="724" spans="9:10" x14ac:dyDescent="0.25">
      <c r="I724" s="37"/>
      <c r="J724" s="35"/>
    </row>
    <row r="725" spans="9:10" x14ac:dyDescent="0.25">
      <c r="I725" s="37"/>
      <c r="J725" s="35"/>
    </row>
    <row r="726" spans="9:10" x14ac:dyDescent="0.25">
      <c r="I726" s="37"/>
      <c r="J726" s="35"/>
    </row>
    <row r="727" spans="9:10" x14ac:dyDescent="0.25">
      <c r="I727" s="37"/>
      <c r="J727" s="35"/>
    </row>
    <row r="728" spans="9:10" x14ac:dyDescent="0.25">
      <c r="I728" s="37"/>
      <c r="J728" s="35"/>
    </row>
    <row r="729" spans="9:10" x14ac:dyDescent="0.25">
      <c r="I729" s="37"/>
      <c r="J729" s="35"/>
    </row>
    <row r="730" spans="9:10" x14ac:dyDescent="0.25">
      <c r="I730" s="37"/>
      <c r="J730" s="35"/>
    </row>
    <row r="731" spans="9:10" x14ac:dyDescent="0.25">
      <c r="I731" s="37"/>
      <c r="J731" s="35"/>
    </row>
    <row r="732" spans="9:10" x14ac:dyDescent="0.25">
      <c r="I732" s="37"/>
      <c r="J732" s="35"/>
    </row>
    <row r="733" spans="9:10" x14ac:dyDescent="0.25">
      <c r="I733" s="37"/>
      <c r="J733" s="35"/>
    </row>
    <row r="734" spans="9:10" x14ac:dyDescent="0.25">
      <c r="I734" s="37"/>
      <c r="J734" s="35"/>
    </row>
    <row r="735" spans="9:10" x14ac:dyDescent="0.25">
      <c r="I735" s="37"/>
      <c r="J735" s="35"/>
    </row>
    <row r="736" spans="9:10" x14ac:dyDescent="0.25">
      <c r="I736" s="37"/>
      <c r="J736" s="35"/>
    </row>
    <row r="737" spans="9:10" x14ac:dyDescent="0.25">
      <c r="I737" s="37"/>
      <c r="J737" s="35"/>
    </row>
    <row r="738" spans="9:10" x14ac:dyDescent="0.25">
      <c r="I738" s="37"/>
      <c r="J738" s="35"/>
    </row>
    <row r="739" spans="9:10" x14ac:dyDescent="0.25">
      <c r="I739" s="37"/>
      <c r="J739" s="35"/>
    </row>
    <row r="740" spans="9:10" x14ac:dyDescent="0.25">
      <c r="I740" s="37"/>
      <c r="J740" s="35"/>
    </row>
    <row r="741" spans="9:10" x14ac:dyDescent="0.25">
      <c r="I741" s="37"/>
      <c r="J741" s="35"/>
    </row>
    <row r="742" spans="9:10" x14ac:dyDescent="0.25">
      <c r="I742" s="37"/>
      <c r="J742" s="35"/>
    </row>
    <row r="743" spans="9:10" x14ac:dyDescent="0.25">
      <c r="I743" s="37"/>
      <c r="J743" s="35"/>
    </row>
    <row r="744" spans="9:10" x14ac:dyDescent="0.25">
      <c r="I744" s="37"/>
      <c r="J744" s="35"/>
    </row>
    <row r="745" spans="9:10" x14ac:dyDescent="0.25">
      <c r="I745" s="37"/>
      <c r="J745" s="35"/>
    </row>
    <row r="746" spans="9:10" x14ac:dyDescent="0.25">
      <c r="I746" s="37"/>
      <c r="J746" s="35"/>
    </row>
    <row r="747" spans="9:10" x14ac:dyDescent="0.25">
      <c r="I747" s="37"/>
      <c r="J747" s="35"/>
    </row>
    <row r="748" spans="9:10" x14ac:dyDescent="0.25">
      <c r="I748" s="37"/>
      <c r="J748" s="35"/>
    </row>
    <row r="749" spans="9:10" x14ac:dyDescent="0.25">
      <c r="I749" s="37"/>
      <c r="J749" s="35"/>
    </row>
    <row r="750" spans="9:10" x14ac:dyDescent="0.25">
      <c r="I750" s="37"/>
      <c r="J750" s="35"/>
    </row>
    <row r="751" spans="9:10" x14ac:dyDescent="0.25">
      <c r="I751" s="37"/>
      <c r="J751" s="35"/>
    </row>
    <row r="752" spans="9:10" x14ac:dyDescent="0.25">
      <c r="I752" s="37"/>
      <c r="J752" s="35"/>
    </row>
    <row r="753" spans="9:10" x14ac:dyDescent="0.25">
      <c r="I753" s="37"/>
      <c r="J753" s="35"/>
    </row>
    <row r="754" spans="9:10" x14ac:dyDescent="0.25">
      <c r="I754" s="37"/>
      <c r="J754" s="35"/>
    </row>
    <row r="755" spans="9:10" x14ac:dyDescent="0.25">
      <c r="I755" s="37"/>
      <c r="J755" s="35"/>
    </row>
    <row r="756" spans="9:10" x14ac:dyDescent="0.25">
      <c r="I756" s="37"/>
      <c r="J756" s="35"/>
    </row>
    <row r="757" spans="9:10" x14ac:dyDescent="0.25">
      <c r="I757" s="37"/>
      <c r="J757" s="35"/>
    </row>
    <row r="758" spans="9:10" x14ac:dyDescent="0.25">
      <c r="I758" s="37"/>
      <c r="J758" s="35"/>
    </row>
    <row r="759" spans="9:10" x14ac:dyDescent="0.25">
      <c r="I759" s="37"/>
      <c r="J759" s="35"/>
    </row>
    <row r="760" spans="9:10" x14ac:dyDescent="0.25">
      <c r="I760" s="37"/>
      <c r="J760" s="35"/>
    </row>
    <row r="761" spans="9:10" x14ac:dyDescent="0.25">
      <c r="I761" s="37"/>
      <c r="J761" s="35"/>
    </row>
    <row r="762" spans="9:10" x14ac:dyDescent="0.25">
      <c r="I762" s="37"/>
      <c r="J762" s="35"/>
    </row>
    <row r="763" spans="9:10" x14ac:dyDescent="0.25">
      <c r="I763" s="37"/>
      <c r="J763" s="35"/>
    </row>
    <row r="764" spans="9:10" x14ac:dyDescent="0.25">
      <c r="I764" s="37"/>
      <c r="J764" s="35"/>
    </row>
    <row r="765" spans="9:10" x14ac:dyDescent="0.25">
      <c r="I765" s="37"/>
      <c r="J765" s="35"/>
    </row>
    <row r="766" spans="9:10" x14ac:dyDescent="0.25">
      <c r="I766" s="37"/>
      <c r="J766" s="35"/>
    </row>
    <row r="767" spans="9:10" x14ac:dyDescent="0.25">
      <c r="I767" s="37"/>
      <c r="J767" s="35"/>
    </row>
    <row r="768" spans="9:10" x14ac:dyDescent="0.25">
      <c r="I768" s="37"/>
      <c r="J768" s="35"/>
    </row>
    <row r="769" spans="9:10" x14ac:dyDescent="0.25">
      <c r="I769" s="37"/>
      <c r="J769" s="35"/>
    </row>
    <row r="770" spans="9:10" x14ac:dyDescent="0.25">
      <c r="I770" s="37"/>
      <c r="J770" s="35"/>
    </row>
    <row r="771" spans="9:10" x14ac:dyDescent="0.25">
      <c r="I771" s="37"/>
      <c r="J771" s="35"/>
    </row>
    <row r="772" spans="9:10" x14ac:dyDescent="0.25">
      <c r="I772" s="37"/>
      <c r="J772" s="35"/>
    </row>
    <row r="773" spans="9:10" x14ac:dyDescent="0.25">
      <c r="I773" s="37"/>
      <c r="J773" s="35"/>
    </row>
    <row r="774" spans="9:10" x14ac:dyDescent="0.25">
      <c r="I774" s="37"/>
      <c r="J774" s="35"/>
    </row>
    <row r="775" spans="9:10" x14ac:dyDescent="0.25">
      <c r="I775" s="37"/>
      <c r="J775" s="35"/>
    </row>
    <row r="776" spans="9:10" x14ac:dyDescent="0.25">
      <c r="I776" s="37"/>
      <c r="J776" s="35"/>
    </row>
    <row r="777" spans="9:10" x14ac:dyDescent="0.25">
      <c r="I777" s="37"/>
      <c r="J777" s="35"/>
    </row>
    <row r="778" spans="9:10" x14ac:dyDescent="0.25">
      <c r="I778" s="37"/>
      <c r="J778" s="35"/>
    </row>
    <row r="779" spans="9:10" x14ac:dyDescent="0.25">
      <c r="I779" s="37"/>
      <c r="J779" s="35"/>
    </row>
    <row r="780" spans="9:10" x14ac:dyDescent="0.25">
      <c r="I780" s="37"/>
      <c r="J780" s="35"/>
    </row>
    <row r="781" spans="9:10" x14ac:dyDescent="0.25">
      <c r="I781" s="37"/>
      <c r="J781" s="35"/>
    </row>
    <row r="782" spans="9:10" x14ac:dyDescent="0.25">
      <c r="I782" s="37"/>
      <c r="J782" s="35"/>
    </row>
    <row r="783" spans="9:10" x14ac:dyDescent="0.25">
      <c r="I783" s="37"/>
      <c r="J783" s="35"/>
    </row>
    <row r="784" spans="9:10" x14ac:dyDescent="0.25">
      <c r="I784" s="37"/>
      <c r="J784" s="35"/>
    </row>
    <row r="785" spans="9:10" x14ac:dyDescent="0.25">
      <c r="I785" s="37"/>
      <c r="J785" s="35"/>
    </row>
    <row r="786" spans="9:10" x14ac:dyDescent="0.25">
      <c r="I786" s="37"/>
      <c r="J786" s="35"/>
    </row>
    <row r="787" spans="9:10" x14ac:dyDescent="0.25">
      <c r="I787" s="37"/>
      <c r="J787" s="35"/>
    </row>
    <row r="788" spans="9:10" x14ac:dyDescent="0.25">
      <c r="I788" s="37"/>
      <c r="J788" s="35"/>
    </row>
    <row r="789" spans="9:10" x14ac:dyDescent="0.25">
      <c r="I789" s="37"/>
      <c r="J789" s="35"/>
    </row>
    <row r="790" spans="9:10" x14ac:dyDescent="0.25">
      <c r="I790" s="37"/>
      <c r="J790" s="35"/>
    </row>
    <row r="791" spans="9:10" x14ac:dyDescent="0.25">
      <c r="I791" s="37"/>
      <c r="J791" s="35"/>
    </row>
    <row r="792" spans="9:10" x14ac:dyDescent="0.25">
      <c r="I792" s="37"/>
      <c r="J792" s="35"/>
    </row>
    <row r="793" spans="9:10" x14ac:dyDescent="0.25">
      <c r="I793" s="37"/>
      <c r="J793" s="35"/>
    </row>
    <row r="794" spans="9:10" x14ac:dyDescent="0.25">
      <c r="I794" s="37"/>
      <c r="J794" s="35"/>
    </row>
    <row r="795" spans="9:10" x14ac:dyDescent="0.25">
      <c r="I795" s="37"/>
      <c r="J795" s="35"/>
    </row>
    <row r="796" spans="9:10" x14ac:dyDescent="0.25">
      <c r="I796" s="37"/>
      <c r="J796" s="35"/>
    </row>
    <row r="797" spans="9:10" x14ac:dyDescent="0.25">
      <c r="I797" s="37"/>
      <c r="J797" s="35"/>
    </row>
    <row r="798" spans="9:10" x14ac:dyDescent="0.25">
      <c r="I798" s="37"/>
      <c r="J798" s="35"/>
    </row>
    <row r="799" spans="9:10" x14ac:dyDescent="0.25">
      <c r="I799" s="37"/>
      <c r="J799" s="35"/>
    </row>
    <row r="800" spans="9:10" x14ac:dyDescent="0.25">
      <c r="I800" s="37"/>
      <c r="J800" s="35"/>
    </row>
    <row r="801" spans="9:10" x14ac:dyDescent="0.25">
      <c r="I801" s="37"/>
      <c r="J801" s="35"/>
    </row>
    <row r="802" spans="9:10" x14ac:dyDescent="0.25">
      <c r="I802" s="37"/>
      <c r="J802" s="35"/>
    </row>
    <row r="803" spans="9:10" x14ac:dyDescent="0.25">
      <c r="I803" s="37"/>
      <c r="J803" s="35"/>
    </row>
    <row r="804" spans="9:10" x14ac:dyDescent="0.25">
      <c r="I804" s="37"/>
      <c r="J804" s="35"/>
    </row>
    <row r="805" spans="9:10" x14ac:dyDescent="0.25">
      <c r="I805" s="37"/>
      <c r="J805" s="35"/>
    </row>
    <row r="806" spans="9:10" x14ac:dyDescent="0.25">
      <c r="I806" s="37"/>
      <c r="J806" s="35"/>
    </row>
    <row r="807" spans="9:10" x14ac:dyDescent="0.25">
      <c r="I807" s="37"/>
      <c r="J807" s="35"/>
    </row>
    <row r="808" spans="9:10" x14ac:dyDescent="0.25">
      <c r="I808" s="37"/>
      <c r="J808" s="35"/>
    </row>
    <row r="809" spans="9:10" x14ac:dyDescent="0.25">
      <c r="I809" s="37"/>
      <c r="J809" s="35"/>
    </row>
    <row r="810" spans="9:10" x14ac:dyDescent="0.25">
      <c r="I810" s="37"/>
      <c r="J810" s="35"/>
    </row>
    <row r="811" spans="9:10" x14ac:dyDescent="0.25">
      <c r="I811" s="37"/>
      <c r="J811" s="35"/>
    </row>
    <row r="812" spans="9:10" x14ac:dyDescent="0.25">
      <c r="I812" s="37"/>
      <c r="J812" s="35"/>
    </row>
    <row r="813" spans="9:10" x14ac:dyDescent="0.25">
      <c r="I813" s="37"/>
      <c r="J813" s="35"/>
    </row>
    <row r="814" spans="9:10" x14ac:dyDescent="0.25">
      <c r="I814" s="37"/>
      <c r="J814" s="35"/>
    </row>
    <row r="815" spans="9:10" x14ac:dyDescent="0.25">
      <c r="I815" s="37"/>
      <c r="J815" s="35"/>
    </row>
    <row r="816" spans="9:10" x14ac:dyDescent="0.25">
      <c r="I816" s="37"/>
      <c r="J816" s="35"/>
    </row>
    <row r="817" spans="9:10" x14ac:dyDescent="0.25">
      <c r="I817" s="37"/>
      <c r="J817" s="35"/>
    </row>
    <row r="818" spans="9:10" x14ac:dyDescent="0.25">
      <c r="I818" s="37"/>
      <c r="J818" s="35"/>
    </row>
    <row r="819" spans="9:10" x14ac:dyDescent="0.25">
      <c r="I819" s="37"/>
      <c r="J819" s="35"/>
    </row>
    <row r="820" spans="9:10" x14ac:dyDescent="0.25">
      <c r="I820" s="37"/>
      <c r="J820" s="35"/>
    </row>
    <row r="821" spans="9:10" x14ac:dyDescent="0.25">
      <c r="I821" s="37"/>
      <c r="J821" s="35"/>
    </row>
    <row r="822" spans="9:10" x14ac:dyDescent="0.25">
      <c r="I822" s="37"/>
      <c r="J822" s="35"/>
    </row>
    <row r="823" spans="9:10" x14ac:dyDescent="0.25">
      <c r="I823" s="37"/>
      <c r="J823" s="35"/>
    </row>
    <row r="824" spans="9:10" x14ac:dyDescent="0.25">
      <c r="I824" s="37"/>
      <c r="J824" s="35"/>
    </row>
    <row r="825" spans="9:10" x14ac:dyDescent="0.25">
      <c r="I825" s="37"/>
      <c r="J825" s="35"/>
    </row>
    <row r="826" spans="9:10" x14ac:dyDescent="0.25">
      <c r="I826" s="37"/>
      <c r="J826" s="35"/>
    </row>
    <row r="827" spans="9:10" x14ac:dyDescent="0.25">
      <c r="I827" s="37"/>
      <c r="J827" s="35"/>
    </row>
    <row r="828" spans="9:10" x14ac:dyDescent="0.25">
      <c r="I828" s="37"/>
      <c r="J828" s="35"/>
    </row>
    <row r="829" spans="9:10" x14ac:dyDescent="0.25">
      <c r="I829" s="37"/>
      <c r="J829" s="35"/>
    </row>
    <row r="830" spans="9:10" x14ac:dyDescent="0.25">
      <c r="I830" s="37"/>
      <c r="J830" s="35"/>
    </row>
    <row r="831" spans="9:10" x14ac:dyDescent="0.25">
      <c r="I831" s="37"/>
      <c r="J831" s="35"/>
    </row>
    <row r="832" spans="9:10" x14ac:dyDescent="0.25">
      <c r="I832" s="37"/>
      <c r="J832" s="35"/>
    </row>
    <row r="833" spans="9:10" x14ac:dyDescent="0.25">
      <c r="I833" s="37"/>
      <c r="J833" s="35"/>
    </row>
    <row r="834" spans="9:10" x14ac:dyDescent="0.25">
      <c r="I834" s="37"/>
      <c r="J834" s="35"/>
    </row>
    <row r="835" spans="9:10" x14ac:dyDescent="0.25">
      <c r="I835" s="37"/>
      <c r="J835" s="35"/>
    </row>
    <row r="836" spans="9:10" x14ac:dyDescent="0.25">
      <c r="I836" s="37"/>
      <c r="J836" s="35"/>
    </row>
    <row r="837" spans="9:10" x14ac:dyDescent="0.25">
      <c r="I837" s="37"/>
      <c r="J837" s="35"/>
    </row>
    <row r="838" spans="9:10" x14ac:dyDescent="0.25">
      <c r="I838" s="37"/>
      <c r="J838" s="35"/>
    </row>
    <row r="839" spans="9:10" x14ac:dyDescent="0.25">
      <c r="I839" s="37"/>
      <c r="J839" s="35"/>
    </row>
    <row r="840" spans="9:10" x14ac:dyDescent="0.25">
      <c r="I840" s="37"/>
      <c r="J840" s="35"/>
    </row>
    <row r="841" spans="9:10" x14ac:dyDescent="0.25">
      <c r="I841" s="37"/>
      <c r="J841" s="35"/>
    </row>
    <row r="842" spans="9:10" x14ac:dyDescent="0.25">
      <c r="I842" s="37"/>
      <c r="J842" s="35"/>
    </row>
    <row r="843" spans="9:10" x14ac:dyDescent="0.25">
      <c r="I843" s="37"/>
      <c r="J843" s="35"/>
    </row>
    <row r="844" spans="9:10" x14ac:dyDescent="0.25">
      <c r="I844" s="37"/>
      <c r="J844" s="35"/>
    </row>
    <row r="845" spans="9:10" x14ac:dyDescent="0.25">
      <c r="I845" s="37"/>
      <c r="J845" s="35"/>
    </row>
    <row r="846" spans="9:10" x14ac:dyDescent="0.25">
      <c r="I846" s="37"/>
      <c r="J846" s="35"/>
    </row>
    <row r="847" spans="9:10" x14ac:dyDescent="0.25">
      <c r="I847" s="37"/>
      <c r="J847" s="35"/>
    </row>
    <row r="848" spans="9:10" x14ac:dyDescent="0.25">
      <c r="I848" s="37"/>
      <c r="J848" s="35"/>
    </row>
    <row r="849" spans="9:10" x14ac:dyDescent="0.25">
      <c r="I849" s="37"/>
      <c r="J849" s="35"/>
    </row>
    <row r="850" spans="9:10" x14ac:dyDescent="0.25">
      <c r="I850" s="37"/>
      <c r="J850" s="35"/>
    </row>
    <row r="851" spans="9:10" x14ac:dyDescent="0.25">
      <c r="I851" s="37"/>
      <c r="J851" s="35"/>
    </row>
    <row r="852" spans="9:10" x14ac:dyDescent="0.25">
      <c r="I852" s="37"/>
      <c r="J852" s="35"/>
    </row>
    <row r="853" spans="9:10" x14ac:dyDescent="0.25">
      <c r="I853" s="37"/>
      <c r="J853" s="35"/>
    </row>
    <row r="854" spans="9:10" x14ac:dyDescent="0.25">
      <c r="I854" s="37"/>
      <c r="J854" s="35"/>
    </row>
    <row r="855" spans="9:10" x14ac:dyDescent="0.25">
      <c r="I855" s="37"/>
      <c r="J855" s="35"/>
    </row>
    <row r="856" spans="9:10" x14ac:dyDescent="0.25">
      <c r="I856" s="37"/>
      <c r="J856" s="35"/>
    </row>
    <row r="857" spans="9:10" x14ac:dyDescent="0.25">
      <c r="I857" s="37"/>
      <c r="J857" s="35"/>
    </row>
    <row r="858" spans="9:10" x14ac:dyDescent="0.25">
      <c r="I858" s="37"/>
      <c r="J858" s="35"/>
    </row>
    <row r="859" spans="9:10" x14ac:dyDescent="0.25">
      <c r="I859" s="37"/>
      <c r="J859" s="35"/>
    </row>
    <row r="860" spans="9:10" x14ac:dyDescent="0.25">
      <c r="I860" s="37"/>
      <c r="J860" s="35"/>
    </row>
    <row r="861" spans="9:10" x14ac:dyDescent="0.25">
      <c r="I861" s="37"/>
      <c r="J861" s="35"/>
    </row>
    <row r="862" spans="9:10" x14ac:dyDescent="0.25">
      <c r="I862" s="37"/>
      <c r="J862" s="35"/>
    </row>
    <row r="863" spans="9:10" x14ac:dyDescent="0.25">
      <c r="I863" s="37"/>
      <c r="J863" s="35"/>
    </row>
    <row r="864" spans="9:10" x14ac:dyDescent="0.25">
      <c r="I864" s="37"/>
      <c r="J864" s="35"/>
    </row>
    <row r="865" spans="9:10" x14ac:dyDescent="0.25">
      <c r="I865" s="37"/>
      <c r="J865" s="35"/>
    </row>
    <row r="866" spans="9:10" x14ac:dyDescent="0.25">
      <c r="I866" s="37"/>
      <c r="J866" s="35"/>
    </row>
    <row r="867" spans="9:10" x14ac:dyDescent="0.25">
      <c r="I867" s="37"/>
      <c r="J867" s="35"/>
    </row>
    <row r="868" spans="9:10" x14ac:dyDescent="0.25">
      <c r="I868" s="37"/>
      <c r="J868" s="35"/>
    </row>
    <row r="869" spans="9:10" x14ac:dyDescent="0.25">
      <c r="I869" s="37"/>
      <c r="J869" s="35"/>
    </row>
    <row r="870" spans="9:10" x14ac:dyDescent="0.25">
      <c r="I870" s="37"/>
      <c r="J870" s="35"/>
    </row>
    <row r="871" spans="9:10" x14ac:dyDescent="0.25">
      <c r="I871" s="37"/>
      <c r="J871" s="35"/>
    </row>
    <row r="872" spans="9:10" x14ac:dyDescent="0.25">
      <c r="I872" s="37"/>
      <c r="J872" s="35"/>
    </row>
    <row r="873" spans="9:10" x14ac:dyDescent="0.25">
      <c r="I873" s="37"/>
      <c r="J873" s="35"/>
    </row>
    <row r="874" spans="9:10" x14ac:dyDescent="0.25">
      <c r="I874" s="37"/>
      <c r="J874" s="35"/>
    </row>
    <row r="875" spans="9:10" x14ac:dyDescent="0.25">
      <c r="I875" s="37"/>
      <c r="J875" s="35"/>
    </row>
    <row r="876" spans="9:10" x14ac:dyDescent="0.25">
      <c r="I876" s="37"/>
      <c r="J876" s="35"/>
    </row>
    <row r="877" spans="9:10" x14ac:dyDescent="0.25">
      <c r="I877" s="37"/>
      <c r="J877" s="35"/>
    </row>
    <row r="878" spans="9:10" x14ac:dyDescent="0.25">
      <c r="I878" s="37"/>
      <c r="J878" s="35"/>
    </row>
    <row r="879" spans="9:10" x14ac:dyDescent="0.25">
      <c r="I879" s="37"/>
      <c r="J879" s="35"/>
    </row>
    <row r="880" spans="9:10" x14ac:dyDescent="0.25">
      <c r="I880" s="37"/>
      <c r="J880" s="35"/>
    </row>
    <row r="881" spans="9:10" x14ac:dyDescent="0.25">
      <c r="I881" s="37"/>
      <c r="J881" s="35"/>
    </row>
    <row r="882" spans="9:10" x14ac:dyDescent="0.25">
      <c r="I882" s="37"/>
      <c r="J882" s="35"/>
    </row>
    <row r="883" spans="9:10" x14ac:dyDescent="0.25">
      <c r="I883" s="37"/>
      <c r="J883" s="35"/>
    </row>
    <row r="884" spans="9:10" x14ac:dyDescent="0.25">
      <c r="I884" s="37"/>
      <c r="J884" s="35"/>
    </row>
    <row r="885" spans="9:10" x14ac:dyDescent="0.25">
      <c r="I885" s="37"/>
      <c r="J885" s="35"/>
    </row>
    <row r="886" spans="9:10" x14ac:dyDescent="0.25">
      <c r="I886" s="37"/>
      <c r="J886" s="35"/>
    </row>
    <row r="887" spans="9:10" x14ac:dyDescent="0.25">
      <c r="I887" s="37"/>
      <c r="J887" s="35"/>
    </row>
    <row r="888" spans="9:10" x14ac:dyDescent="0.25">
      <c r="I888" s="37"/>
      <c r="J888" s="35"/>
    </row>
    <row r="889" spans="9:10" x14ac:dyDescent="0.25">
      <c r="I889" s="37"/>
      <c r="J889" s="35"/>
    </row>
    <row r="890" spans="9:10" x14ac:dyDescent="0.25">
      <c r="I890" s="37"/>
      <c r="J890" s="35"/>
    </row>
    <row r="891" spans="9:10" x14ac:dyDescent="0.25">
      <c r="I891" s="37"/>
      <c r="J891" s="35"/>
    </row>
    <row r="892" spans="9:10" x14ac:dyDescent="0.25">
      <c r="I892" s="37"/>
      <c r="J892" s="35"/>
    </row>
    <row r="893" spans="9:10" x14ac:dyDescent="0.25">
      <c r="I893" s="37"/>
      <c r="J893" s="35"/>
    </row>
    <row r="894" spans="9:10" x14ac:dyDescent="0.25">
      <c r="I894" s="37"/>
      <c r="J894" s="35"/>
    </row>
    <row r="895" spans="9:10" x14ac:dyDescent="0.25">
      <c r="I895" s="37"/>
      <c r="J895" s="35"/>
    </row>
    <row r="896" spans="9:10" x14ac:dyDescent="0.25">
      <c r="I896" s="37"/>
      <c r="J896" s="35"/>
    </row>
    <row r="897" spans="9:10" x14ac:dyDescent="0.25">
      <c r="I897" s="37"/>
      <c r="J897" s="35"/>
    </row>
    <row r="898" spans="9:10" x14ac:dyDescent="0.25">
      <c r="I898" s="37"/>
      <c r="J898" s="35"/>
    </row>
    <row r="899" spans="9:10" x14ac:dyDescent="0.25">
      <c r="I899" s="37"/>
      <c r="J899" s="35"/>
    </row>
    <row r="900" spans="9:10" x14ac:dyDescent="0.25">
      <c r="I900" s="37"/>
      <c r="J900" s="35"/>
    </row>
    <row r="901" spans="9:10" x14ac:dyDescent="0.25">
      <c r="I901" s="37"/>
      <c r="J901" s="35"/>
    </row>
    <row r="902" spans="9:10" x14ac:dyDescent="0.25">
      <c r="I902" s="37"/>
      <c r="J902" s="35"/>
    </row>
    <row r="903" spans="9:10" x14ac:dyDescent="0.25">
      <c r="I903" s="37"/>
      <c r="J903" s="35"/>
    </row>
    <row r="904" spans="9:10" x14ac:dyDescent="0.25">
      <c r="I904" s="37"/>
      <c r="J904" s="35"/>
    </row>
    <row r="905" spans="9:10" x14ac:dyDescent="0.25">
      <c r="I905" s="37"/>
      <c r="J905" s="35"/>
    </row>
    <row r="906" spans="9:10" x14ac:dyDescent="0.25">
      <c r="I906" s="37"/>
      <c r="J906" s="35"/>
    </row>
    <row r="907" spans="9:10" x14ac:dyDescent="0.25">
      <c r="I907" s="37"/>
      <c r="J907" s="35"/>
    </row>
    <row r="908" spans="9:10" x14ac:dyDescent="0.25">
      <c r="I908" s="37"/>
      <c r="J908" s="35"/>
    </row>
    <row r="909" spans="9:10" x14ac:dyDescent="0.25">
      <c r="I909" s="37"/>
      <c r="J909" s="35"/>
    </row>
    <row r="910" spans="9:10" x14ac:dyDescent="0.25">
      <c r="I910" s="37"/>
      <c r="J910" s="35"/>
    </row>
    <row r="911" spans="9:10" x14ac:dyDescent="0.25">
      <c r="I911" s="37"/>
      <c r="J911" s="35"/>
    </row>
    <row r="912" spans="9:10" x14ac:dyDescent="0.25">
      <c r="I912" s="37"/>
      <c r="J912" s="35"/>
    </row>
    <row r="913" spans="9:10" x14ac:dyDescent="0.25">
      <c r="I913" s="37"/>
      <c r="J913" s="35"/>
    </row>
    <row r="914" spans="9:10" x14ac:dyDescent="0.25">
      <c r="I914" s="37"/>
      <c r="J914" s="35"/>
    </row>
    <row r="915" spans="9:10" x14ac:dyDescent="0.25">
      <c r="I915" s="37"/>
      <c r="J915" s="35"/>
    </row>
    <row r="916" spans="9:10" x14ac:dyDescent="0.25">
      <c r="I916" s="37"/>
      <c r="J916" s="35"/>
    </row>
    <row r="917" spans="9:10" x14ac:dyDescent="0.25">
      <c r="I917" s="37"/>
      <c r="J917" s="35"/>
    </row>
    <row r="918" spans="9:10" x14ac:dyDescent="0.25">
      <c r="I918" s="37"/>
      <c r="J918" s="35"/>
    </row>
    <row r="919" spans="9:10" x14ac:dyDescent="0.25">
      <c r="I919" s="37"/>
      <c r="J919" s="35"/>
    </row>
    <row r="920" spans="9:10" x14ac:dyDescent="0.25">
      <c r="I920" s="37"/>
      <c r="J920" s="35"/>
    </row>
    <row r="921" spans="9:10" x14ac:dyDescent="0.25">
      <c r="I921" s="37"/>
      <c r="J921" s="35"/>
    </row>
    <row r="922" spans="9:10" x14ac:dyDescent="0.25">
      <c r="I922" s="37"/>
      <c r="J922" s="35"/>
    </row>
    <row r="923" spans="9:10" x14ac:dyDescent="0.25">
      <c r="I923" s="37"/>
      <c r="J923" s="35"/>
    </row>
    <row r="924" spans="9:10" x14ac:dyDescent="0.25">
      <c r="I924" s="37"/>
      <c r="J924" s="35"/>
    </row>
    <row r="925" spans="9:10" x14ac:dyDescent="0.25">
      <c r="I925" s="37"/>
      <c r="J925" s="35"/>
    </row>
    <row r="926" spans="9:10" x14ac:dyDescent="0.25">
      <c r="I926" s="37"/>
      <c r="J926" s="35"/>
    </row>
    <row r="927" spans="9:10" x14ac:dyDescent="0.25">
      <c r="I927" s="37"/>
      <c r="J927" s="35"/>
    </row>
    <row r="928" spans="9:10" x14ac:dyDescent="0.25">
      <c r="I928" s="37"/>
      <c r="J928" s="35"/>
    </row>
    <row r="929" spans="9:10" x14ac:dyDescent="0.25">
      <c r="I929" s="37"/>
      <c r="J929" s="35"/>
    </row>
    <row r="930" spans="9:10" x14ac:dyDescent="0.25">
      <c r="I930" s="37"/>
      <c r="J930" s="35"/>
    </row>
    <row r="931" spans="9:10" x14ac:dyDescent="0.25">
      <c r="I931" s="37"/>
      <c r="J931" s="35"/>
    </row>
    <row r="932" spans="9:10" x14ac:dyDescent="0.25">
      <c r="I932" s="37"/>
      <c r="J932" s="35"/>
    </row>
    <row r="933" spans="9:10" x14ac:dyDescent="0.25">
      <c r="I933" s="37"/>
      <c r="J933" s="35"/>
    </row>
    <row r="934" spans="9:10" x14ac:dyDescent="0.25">
      <c r="I934" s="37"/>
      <c r="J934" s="35"/>
    </row>
    <row r="935" spans="9:10" x14ac:dyDescent="0.25">
      <c r="I935" s="37"/>
      <c r="J935" s="35"/>
    </row>
    <row r="936" spans="9:10" x14ac:dyDescent="0.25">
      <c r="I936" s="37"/>
      <c r="J936" s="35"/>
    </row>
    <row r="937" spans="9:10" x14ac:dyDescent="0.25">
      <c r="I937" s="37"/>
      <c r="J937" s="35"/>
    </row>
    <row r="938" spans="9:10" x14ac:dyDescent="0.25">
      <c r="I938" s="37"/>
      <c r="J938" s="35"/>
    </row>
    <row r="939" spans="9:10" x14ac:dyDescent="0.25">
      <c r="I939" s="37"/>
      <c r="J939" s="35"/>
    </row>
    <row r="940" spans="9:10" x14ac:dyDescent="0.25">
      <c r="I940" s="37"/>
      <c r="J940" s="35"/>
    </row>
    <row r="941" spans="9:10" x14ac:dyDescent="0.25">
      <c r="I941" s="37"/>
      <c r="J941" s="35"/>
    </row>
    <row r="942" spans="9:10" x14ac:dyDescent="0.25">
      <c r="I942" s="37"/>
      <c r="J942" s="35"/>
    </row>
    <row r="943" spans="9:10" x14ac:dyDescent="0.25">
      <c r="I943" s="37"/>
      <c r="J943" s="35"/>
    </row>
    <row r="944" spans="9:10" x14ac:dyDescent="0.25">
      <c r="I944" s="37"/>
      <c r="J944" s="35"/>
    </row>
    <row r="945" spans="9:10" x14ac:dyDescent="0.25">
      <c r="I945" s="37"/>
      <c r="J945" s="35"/>
    </row>
    <row r="946" spans="9:10" x14ac:dyDescent="0.25">
      <c r="I946" s="37"/>
      <c r="J946" s="35"/>
    </row>
    <row r="947" spans="9:10" x14ac:dyDescent="0.25">
      <c r="I947" s="37"/>
      <c r="J947" s="35"/>
    </row>
    <row r="948" spans="9:10" x14ac:dyDescent="0.25">
      <c r="I948" s="37"/>
      <c r="J948" s="35"/>
    </row>
    <row r="949" spans="9:10" x14ac:dyDescent="0.25">
      <c r="I949" s="37"/>
      <c r="J949" s="35"/>
    </row>
    <row r="950" spans="9:10" x14ac:dyDescent="0.25">
      <c r="I950" s="37"/>
      <c r="J950" s="35"/>
    </row>
    <row r="951" spans="9:10" x14ac:dyDescent="0.25">
      <c r="I951" s="37"/>
      <c r="J951" s="35"/>
    </row>
    <row r="952" spans="9:10" x14ac:dyDescent="0.25">
      <c r="I952" s="37"/>
      <c r="J952" s="35"/>
    </row>
    <row r="953" spans="9:10" x14ac:dyDescent="0.25">
      <c r="I953" s="37"/>
      <c r="J953" s="35"/>
    </row>
    <row r="954" spans="9:10" x14ac:dyDescent="0.25">
      <c r="I954" s="37"/>
      <c r="J954" s="35"/>
    </row>
    <row r="955" spans="9:10" x14ac:dyDescent="0.25">
      <c r="I955" s="37"/>
      <c r="J955" s="35"/>
    </row>
    <row r="956" spans="9:10" x14ac:dyDescent="0.25">
      <c r="I956" s="37"/>
      <c r="J956" s="35"/>
    </row>
    <row r="957" spans="9:10" x14ac:dyDescent="0.25">
      <c r="I957" s="37"/>
      <c r="J957" s="35"/>
    </row>
    <row r="958" spans="9:10" x14ac:dyDescent="0.25">
      <c r="I958" s="37"/>
      <c r="J958" s="35"/>
    </row>
    <row r="959" spans="9:10" x14ac:dyDescent="0.25">
      <c r="I959" s="37"/>
      <c r="J959" s="35"/>
    </row>
    <row r="960" spans="9:10" x14ac:dyDescent="0.25">
      <c r="I960" s="37"/>
      <c r="J960" s="35"/>
    </row>
    <row r="961" spans="9:10" x14ac:dyDescent="0.25">
      <c r="I961" s="37"/>
      <c r="J961" s="35"/>
    </row>
    <row r="962" spans="9:10" x14ac:dyDescent="0.25">
      <c r="I962" s="37"/>
      <c r="J962" s="35"/>
    </row>
    <row r="963" spans="9:10" x14ac:dyDescent="0.25">
      <c r="I963" s="37"/>
      <c r="J963" s="35"/>
    </row>
    <row r="964" spans="9:10" x14ac:dyDescent="0.25">
      <c r="I964" s="37"/>
      <c r="J964" s="35"/>
    </row>
    <row r="965" spans="9:10" x14ac:dyDescent="0.25">
      <c r="I965" s="37"/>
      <c r="J965" s="35"/>
    </row>
    <row r="966" spans="9:10" x14ac:dyDescent="0.25">
      <c r="I966" s="37"/>
      <c r="J966" s="35"/>
    </row>
    <row r="967" spans="9:10" x14ac:dyDescent="0.25">
      <c r="I967" s="37"/>
      <c r="J967" s="35"/>
    </row>
    <row r="968" spans="9:10" x14ac:dyDescent="0.25">
      <c r="I968" s="37"/>
      <c r="J968" s="35"/>
    </row>
    <row r="969" spans="9:10" x14ac:dyDescent="0.25">
      <c r="I969" s="37"/>
      <c r="J969" s="35"/>
    </row>
    <row r="970" spans="9:10" x14ac:dyDescent="0.25">
      <c r="I970" s="37"/>
      <c r="J970" s="35"/>
    </row>
    <row r="971" spans="9:10" x14ac:dyDescent="0.25">
      <c r="I971" s="37"/>
      <c r="J971" s="35"/>
    </row>
    <row r="972" spans="9:10" x14ac:dyDescent="0.25">
      <c r="I972" s="37"/>
      <c r="J972" s="35"/>
    </row>
    <row r="973" spans="9:10" x14ac:dyDescent="0.25">
      <c r="I973" s="37"/>
      <c r="J973" s="35"/>
    </row>
    <row r="974" spans="9:10" x14ac:dyDescent="0.25">
      <c r="I974" s="37"/>
      <c r="J974" s="35"/>
    </row>
    <row r="975" spans="9:10" x14ac:dyDescent="0.25">
      <c r="I975" s="37"/>
      <c r="J975" s="35"/>
    </row>
    <row r="976" spans="9:10" x14ac:dyDescent="0.25">
      <c r="I976" s="37"/>
      <c r="J976" s="35"/>
    </row>
    <row r="977" spans="9:10" x14ac:dyDescent="0.25">
      <c r="I977" s="37"/>
      <c r="J977" s="35"/>
    </row>
    <row r="978" spans="9:10" x14ac:dyDescent="0.25">
      <c r="I978" s="37"/>
      <c r="J978" s="35"/>
    </row>
    <row r="979" spans="9:10" x14ac:dyDescent="0.25">
      <c r="I979" s="37"/>
      <c r="J979" s="35"/>
    </row>
    <row r="980" spans="9:10" x14ac:dyDescent="0.25">
      <c r="I980" s="37"/>
      <c r="J980" s="35"/>
    </row>
    <row r="981" spans="9:10" x14ac:dyDescent="0.25">
      <c r="I981" s="37"/>
      <c r="J981" s="35"/>
    </row>
    <row r="982" spans="9:10" x14ac:dyDescent="0.25">
      <c r="I982" s="37"/>
      <c r="J982" s="35"/>
    </row>
    <row r="983" spans="9:10" x14ac:dyDescent="0.25">
      <c r="I983" s="37"/>
      <c r="J983" s="35"/>
    </row>
    <row r="984" spans="9:10" x14ac:dyDescent="0.25">
      <c r="I984" s="37"/>
      <c r="J984" s="35"/>
    </row>
    <row r="985" spans="9:10" x14ac:dyDescent="0.25">
      <c r="I985" s="37"/>
      <c r="J985" s="35"/>
    </row>
    <row r="986" spans="9:10" x14ac:dyDescent="0.25">
      <c r="I986" s="37"/>
      <c r="J986" s="35"/>
    </row>
    <row r="987" spans="9:10" x14ac:dyDescent="0.25">
      <c r="I987" s="37"/>
      <c r="J987" s="35"/>
    </row>
    <row r="988" spans="9:10" x14ac:dyDescent="0.25">
      <c r="I988" s="37"/>
      <c r="J988" s="35"/>
    </row>
    <row r="989" spans="9:10" x14ac:dyDescent="0.25">
      <c r="I989" s="37"/>
      <c r="J989" s="35"/>
    </row>
    <row r="990" spans="9:10" x14ac:dyDescent="0.25">
      <c r="I990" s="37"/>
      <c r="J990" s="35"/>
    </row>
    <row r="991" spans="9:10" x14ac:dyDescent="0.25">
      <c r="I991" s="37"/>
      <c r="J991" s="35"/>
    </row>
    <row r="992" spans="9:10" x14ac:dyDescent="0.25">
      <c r="I992" s="37"/>
      <c r="J992" s="35"/>
    </row>
    <row r="993" spans="9:10" x14ac:dyDescent="0.25">
      <c r="I993" s="37"/>
      <c r="J993" s="35"/>
    </row>
    <row r="994" spans="9:10" x14ac:dyDescent="0.25">
      <c r="I994" s="37"/>
      <c r="J994" s="35"/>
    </row>
    <row r="995" spans="9:10" x14ac:dyDescent="0.25">
      <c r="I995" s="37"/>
      <c r="J995" s="35"/>
    </row>
    <row r="996" spans="9:10" x14ac:dyDescent="0.25">
      <c r="I996" s="37"/>
      <c r="J996" s="35"/>
    </row>
    <row r="997" spans="9:10" x14ac:dyDescent="0.25">
      <c r="I997" s="37"/>
      <c r="J997" s="35"/>
    </row>
    <row r="998" spans="9:10" x14ac:dyDescent="0.25">
      <c r="I998" s="37"/>
      <c r="J998" s="35"/>
    </row>
    <row r="999" spans="9:10" x14ac:dyDescent="0.25">
      <c r="I999" s="37"/>
      <c r="J999" s="35"/>
    </row>
    <row r="1000" spans="9:10" x14ac:dyDescent="0.25">
      <c r="I1000" s="37"/>
      <c r="J1000" s="35"/>
    </row>
    <row r="1001" spans="9:10" x14ac:dyDescent="0.25">
      <c r="I1001" s="37"/>
      <c r="J1001" s="35"/>
    </row>
    <row r="1002" spans="9:10" x14ac:dyDescent="0.25">
      <c r="I1002" s="37"/>
      <c r="J1002" s="35"/>
    </row>
    <row r="1003" spans="9:10" x14ac:dyDescent="0.25">
      <c r="I1003" s="37"/>
      <c r="J1003" s="35"/>
    </row>
    <row r="1004" spans="9:10" x14ac:dyDescent="0.25">
      <c r="I1004" s="37"/>
      <c r="J1004" s="35"/>
    </row>
    <row r="1005" spans="9:10" x14ac:dyDescent="0.25">
      <c r="I1005" s="37"/>
      <c r="J1005" s="35"/>
    </row>
    <row r="1006" spans="9:10" x14ac:dyDescent="0.25">
      <c r="I1006" s="37"/>
      <c r="J1006" s="35"/>
    </row>
    <row r="1007" spans="9:10" x14ac:dyDescent="0.25">
      <c r="I1007" s="37"/>
      <c r="J1007" s="35"/>
    </row>
    <row r="1008" spans="9:10" x14ac:dyDescent="0.25">
      <c r="I1008" s="37"/>
      <c r="J1008" s="35"/>
    </row>
    <row r="1009" spans="9:10" x14ac:dyDescent="0.25">
      <c r="I1009" s="37"/>
      <c r="J1009" s="35"/>
    </row>
    <row r="1010" spans="9:10" x14ac:dyDescent="0.25">
      <c r="I1010" s="37"/>
      <c r="J1010" s="35"/>
    </row>
    <row r="1011" spans="9:10" x14ac:dyDescent="0.25">
      <c r="I1011" s="37"/>
      <c r="J1011" s="35"/>
    </row>
    <row r="1012" spans="9:10" x14ac:dyDescent="0.25">
      <c r="I1012" s="37"/>
      <c r="J1012" s="35"/>
    </row>
    <row r="1013" spans="9:10" x14ac:dyDescent="0.25">
      <c r="I1013" s="37"/>
      <c r="J1013" s="35"/>
    </row>
    <row r="1014" spans="9:10" x14ac:dyDescent="0.25">
      <c r="I1014" s="37"/>
      <c r="J1014" s="35"/>
    </row>
    <row r="1015" spans="9:10" x14ac:dyDescent="0.25">
      <c r="I1015" s="37"/>
      <c r="J1015" s="35"/>
    </row>
    <row r="1016" spans="9:10" x14ac:dyDescent="0.25">
      <c r="I1016" s="37"/>
      <c r="J1016" s="35"/>
    </row>
    <row r="1017" spans="9:10" x14ac:dyDescent="0.25">
      <c r="I1017" s="37"/>
      <c r="J1017" s="35"/>
    </row>
    <row r="1018" spans="9:10" x14ac:dyDescent="0.25">
      <c r="I1018" s="37"/>
      <c r="J1018" s="35"/>
    </row>
    <row r="1019" spans="9:10" x14ac:dyDescent="0.25">
      <c r="I1019" s="37"/>
      <c r="J1019" s="35"/>
    </row>
    <row r="1020" spans="9:10" x14ac:dyDescent="0.25">
      <c r="I1020" s="37"/>
      <c r="J1020" s="35"/>
    </row>
    <row r="1021" spans="9:10" x14ac:dyDescent="0.25">
      <c r="I1021" s="37"/>
      <c r="J1021" s="35"/>
    </row>
    <row r="1022" spans="9:10" x14ac:dyDescent="0.25">
      <c r="I1022" s="37"/>
      <c r="J1022" s="35"/>
    </row>
    <row r="1023" spans="9:10" x14ac:dyDescent="0.25">
      <c r="I1023" s="37"/>
      <c r="J1023" s="35"/>
    </row>
    <row r="1024" spans="9:10" x14ac:dyDescent="0.25">
      <c r="I1024" s="37"/>
      <c r="J1024" s="35"/>
    </row>
    <row r="1025" spans="9:10" x14ac:dyDescent="0.25">
      <c r="I1025" s="37"/>
      <c r="J1025" s="35"/>
    </row>
    <row r="1026" spans="9:10" x14ac:dyDescent="0.25">
      <c r="I1026" s="37"/>
      <c r="J1026" s="35"/>
    </row>
    <row r="1027" spans="9:10" x14ac:dyDescent="0.25">
      <c r="I1027" s="37"/>
      <c r="J1027" s="35"/>
    </row>
    <row r="1028" spans="9:10" x14ac:dyDescent="0.25">
      <c r="I1028" s="37"/>
      <c r="J1028" s="35"/>
    </row>
    <row r="1029" spans="9:10" x14ac:dyDescent="0.25">
      <c r="I1029" s="37"/>
      <c r="J1029" s="35"/>
    </row>
    <row r="1030" spans="9:10" x14ac:dyDescent="0.25">
      <c r="I1030" s="37"/>
      <c r="J1030" s="35"/>
    </row>
    <row r="1031" spans="9:10" x14ac:dyDescent="0.25">
      <c r="I1031" s="37"/>
      <c r="J1031" s="35"/>
    </row>
    <row r="1032" spans="9:10" x14ac:dyDescent="0.25">
      <c r="I1032" s="37"/>
      <c r="J1032" s="35"/>
    </row>
    <row r="1033" spans="9:10" x14ac:dyDescent="0.25">
      <c r="I1033" s="37"/>
      <c r="J1033" s="35"/>
    </row>
    <row r="1034" spans="9:10" x14ac:dyDescent="0.25">
      <c r="I1034" s="37"/>
      <c r="J1034" s="35"/>
    </row>
    <row r="1035" spans="9:10" x14ac:dyDescent="0.25">
      <c r="I1035" s="37"/>
      <c r="J1035" s="35"/>
    </row>
    <row r="1036" spans="9:10" x14ac:dyDescent="0.25">
      <c r="I1036" s="37"/>
      <c r="J1036" s="35"/>
    </row>
    <row r="1037" spans="9:10" x14ac:dyDescent="0.25">
      <c r="I1037" s="37"/>
      <c r="J1037" s="35"/>
    </row>
    <row r="1038" spans="9:10" x14ac:dyDescent="0.25">
      <c r="I1038" s="37"/>
      <c r="J1038" s="35"/>
    </row>
    <row r="1039" spans="9:10" x14ac:dyDescent="0.25">
      <c r="I1039" s="37"/>
      <c r="J1039" s="35"/>
    </row>
    <row r="1040" spans="9:10" x14ac:dyDescent="0.25">
      <c r="I1040" s="37"/>
      <c r="J1040" s="35"/>
    </row>
    <row r="1041" spans="9:10" x14ac:dyDescent="0.25">
      <c r="I1041" s="37"/>
      <c r="J1041" s="35"/>
    </row>
    <row r="1042" spans="9:10" x14ac:dyDescent="0.25">
      <c r="I1042" s="37"/>
      <c r="J1042" s="35"/>
    </row>
    <row r="1043" spans="9:10" x14ac:dyDescent="0.25">
      <c r="I1043" s="37"/>
      <c r="J1043" s="35"/>
    </row>
    <row r="1044" spans="9:10" x14ac:dyDescent="0.25">
      <c r="I1044" s="37"/>
      <c r="J1044" s="35"/>
    </row>
    <row r="1045" spans="9:10" x14ac:dyDescent="0.25">
      <c r="I1045" s="37"/>
      <c r="J1045" s="35"/>
    </row>
    <row r="1046" spans="9:10" x14ac:dyDescent="0.25">
      <c r="I1046" s="37"/>
      <c r="J1046" s="35"/>
    </row>
    <row r="1047" spans="9:10" x14ac:dyDescent="0.25">
      <c r="I1047" s="37"/>
      <c r="J1047" s="35"/>
    </row>
    <row r="1048" spans="9:10" x14ac:dyDescent="0.25">
      <c r="I1048" s="37"/>
      <c r="J1048" s="35"/>
    </row>
    <row r="1049" spans="9:10" x14ac:dyDescent="0.25">
      <c r="I1049" s="37"/>
      <c r="J1049" s="35"/>
    </row>
    <row r="1050" spans="9:10" x14ac:dyDescent="0.25">
      <c r="I1050" s="37"/>
      <c r="J1050" s="35"/>
    </row>
    <row r="1051" spans="9:10" x14ac:dyDescent="0.25">
      <c r="I1051" s="37"/>
      <c r="J1051" s="35"/>
    </row>
    <row r="1052" spans="9:10" x14ac:dyDescent="0.25">
      <c r="I1052" s="37"/>
      <c r="J1052" s="35"/>
    </row>
    <row r="1053" spans="9:10" x14ac:dyDescent="0.25">
      <c r="I1053" s="37"/>
      <c r="J1053" s="35"/>
    </row>
    <row r="1054" spans="9:10" x14ac:dyDescent="0.25">
      <c r="I1054" s="37"/>
      <c r="J1054" s="35"/>
    </row>
    <row r="1055" spans="9:10" x14ac:dyDescent="0.25">
      <c r="I1055" s="37"/>
      <c r="J1055" s="35"/>
    </row>
    <row r="1056" spans="9:10" x14ac:dyDescent="0.25">
      <c r="I1056" s="37"/>
      <c r="J1056" s="35"/>
    </row>
    <row r="1057" spans="9:10" x14ac:dyDescent="0.25">
      <c r="I1057" s="37"/>
      <c r="J1057" s="35"/>
    </row>
    <row r="1058" spans="9:10" x14ac:dyDescent="0.25">
      <c r="I1058" s="37"/>
      <c r="J1058" s="35"/>
    </row>
    <row r="1059" spans="9:10" x14ac:dyDescent="0.25">
      <c r="I1059" s="37"/>
      <c r="J1059" s="35"/>
    </row>
    <row r="1060" spans="9:10" x14ac:dyDescent="0.25">
      <c r="I1060" s="37"/>
      <c r="J1060" s="35"/>
    </row>
    <row r="1061" spans="9:10" x14ac:dyDescent="0.25">
      <c r="I1061" s="37"/>
      <c r="J1061" s="35"/>
    </row>
    <row r="1062" spans="9:10" x14ac:dyDescent="0.25">
      <c r="I1062" s="37"/>
      <c r="J1062" s="35"/>
    </row>
    <row r="1063" spans="9:10" x14ac:dyDescent="0.25">
      <c r="I1063" s="37"/>
      <c r="J1063" s="35"/>
    </row>
    <row r="1064" spans="9:10" x14ac:dyDescent="0.25">
      <c r="I1064" s="37"/>
      <c r="J1064" s="35"/>
    </row>
    <row r="1065" spans="9:10" x14ac:dyDescent="0.25">
      <c r="I1065" s="37"/>
      <c r="J1065" s="35"/>
    </row>
    <row r="1066" spans="9:10" x14ac:dyDescent="0.25">
      <c r="I1066" s="37"/>
      <c r="J1066" s="35"/>
    </row>
    <row r="1067" spans="9:10" x14ac:dyDescent="0.25">
      <c r="I1067" s="37"/>
      <c r="J1067" s="35"/>
    </row>
    <row r="1068" spans="9:10" x14ac:dyDescent="0.25">
      <c r="I1068" s="37"/>
      <c r="J1068" s="35"/>
    </row>
    <row r="1069" spans="9:10" x14ac:dyDescent="0.25">
      <c r="I1069" s="37"/>
      <c r="J1069" s="35"/>
    </row>
    <row r="1070" spans="9:10" x14ac:dyDescent="0.25">
      <c r="I1070" s="37"/>
      <c r="J1070" s="35"/>
    </row>
    <row r="1071" spans="9:10" x14ac:dyDescent="0.25">
      <c r="I1071" s="37"/>
      <c r="J1071" s="35"/>
    </row>
    <row r="1072" spans="9:10" x14ac:dyDescent="0.25">
      <c r="I1072" s="37"/>
      <c r="J1072" s="35"/>
    </row>
    <row r="1073" spans="9:10" x14ac:dyDescent="0.25">
      <c r="I1073" s="37"/>
      <c r="J1073" s="35"/>
    </row>
    <row r="1074" spans="9:10" x14ac:dyDescent="0.25">
      <c r="I1074" s="37"/>
      <c r="J1074" s="35"/>
    </row>
    <row r="1075" spans="9:10" x14ac:dyDescent="0.25">
      <c r="I1075" s="37"/>
      <c r="J1075" s="35"/>
    </row>
    <row r="1076" spans="9:10" x14ac:dyDescent="0.25">
      <c r="I1076" s="37"/>
      <c r="J1076" s="35"/>
    </row>
    <row r="1077" spans="9:10" x14ac:dyDescent="0.25">
      <c r="I1077" s="37"/>
      <c r="J1077" s="35"/>
    </row>
    <row r="1078" spans="9:10" x14ac:dyDescent="0.25">
      <c r="I1078" s="37"/>
      <c r="J1078" s="35"/>
    </row>
    <row r="1079" spans="9:10" x14ac:dyDescent="0.25">
      <c r="I1079" s="37"/>
      <c r="J1079" s="35"/>
    </row>
    <row r="1080" spans="9:10" x14ac:dyDescent="0.25">
      <c r="I1080" s="37"/>
      <c r="J1080" s="35"/>
    </row>
    <row r="1081" spans="9:10" x14ac:dyDescent="0.25">
      <c r="I1081" s="37"/>
      <c r="J1081" s="35"/>
    </row>
    <row r="1082" spans="9:10" x14ac:dyDescent="0.25">
      <c r="I1082" s="37"/>
      <c r="J1082" s="35"/>
    </row>
    <row r="1083" spans="9:10" x14ac:dyDescent="0.25">
      <c r="I1083" s="37"/>
      <c r="J1083" s="35"/>
    </row>
    <row r="1084" spans="9:10" x14ac:dyDescent="0.25">
      <c r="I1084" s="37"/>
      <c r="J1084" s="35"/>
    </row>
    <row r="1085" spans="9:10" x14ac:dyDescent="0.25">
      <c r="I1085" s="37"/>
      <c r="J1085" s="35"/>
    </row>
    <row r="1086" spans="9:10" x14ac:dyDescent="0.25">
      <c r="I1086" s="37"/>
      <c r="J1086" s="35"/>
    </row>
    <row r="1087" spans="9:10" x14ac:dyDescent="0.25">
      <c r="I1087" s="37"/>
      <c r="J1087" s="35"/>
    </row>
    <row r="1088" spans="9:10" x14ac:dyDescent="0.25">
      <c r="I1088" s="37"/>
      <c r="J1088" s="35"/>
    </row>
    <row r="1089" spans="9:10" x14ac:dyDescent="0.25">
      <c r="I1089" s="37"/>
      <c r="J1089" s="35"/>
    </row>
    <row r="1090" spans="9:10" x14ac:dyDescent="0.25">
      <c r="I1090" s="37"/>
      <c r="J1090" s="35"/>
    </row>
    <row r="1091" spans="9:10" x14ac:dyDescent="0.25">
      <c r="I1091" s="37"/>
      <c r="J1091" s="35"/>
    </row>
    <row r="1092" spans="9:10" x14ac:dyDescent="0.25">
      <c r="I1092" s="37"/>
      <c r="J1092" s="35"/>
    </row>
    <row r="1093" spans="9:10" x14ac:dyDescent="0.25">
      <c r="I1093" s="37"/>
      <c r="J1093" s="35"/>
    </row>
    <row r="1094" spans="9:10" x14ac:dyDescent="0.25">
      <c r="I1094" s="37"/>
      <c r="J1094" s="35"/>
    </row>
    <row r="1095" spans="9:10" x14ac:dyDescent="0.25">
      <c r="I1095" s="37"/>
      <c r="J1095" s="35"/>
    </row>
    <row r="1096" spans="9:10" x14ac:dyDescent="0.25">
      <c r="I1096" s="37"/>
      <c r="J1096" s="35"/>
    </row>
    <row r="1097" spans="9:10" x14ac:dyDescent="0.25">
      <c r="I1097" s="37"/>
      <c r="J1097" s="35"/>
    </row>
    <row r="1098" spans="9:10" x14ac:dyDescent="0.25">
      <c r="I1098" s="37"/>
      <c r="J1098" s="35"/>
    </row>
    <row r="1099" spans="9:10" x14ac:dyDescent="0.25">
      <c r="I1099" s="37"/>
      <c r="J1099" s="35"/>
    </row>
    <row r="1100" spans="9:10" x14ac:dyDescent="0.25">
      <c r="I1100" s="37"/>
      <c r="J1100" s="35"/>
    </row>
    <row r="1101" spans="9:10" x14ac:dyDescent="0.25">
      <c r="I1101" s="37"/>
      <c r="J1101" s="35"/>
    </row>
    <row r="1102" spans="9:10" x14ac:dyDescent="0.25">
      <c r="I1102" s="37"/>
      <c r="J1102" s="35"/>
    </row>
    <row r="1103" spans="9:10" x14ac:dyDescent="0.25">
      <c r="I1103" s="37"/>
      <c r="J1103" s="35"/>
    </row>
    <row r="1104" spans="9:10" x14ac:dyDescent="0.25">
      <c r="I1104" s="37"/>
      <c r="J1104" s="35"/>
    </row>
    <row r="1105" spans="9:10" x14ac:dyDescent="0.25">
      <c r="I1105" s="37"/>
      <c r="J1105" s="35"/>
    </row>
    <row r="1106" spans="9:10" x14ac:dyDescent="0.25">
      <c r="I1106" s="37"/>
      <c r="J1106" s="35"/>
    </row>
    <row r="1107" spans="9:10" x14ac:dyDescent="0.25">
      <c r="I1107" s="37"/>
      <c r="J1107" s="35"/>
    </row>
    <row r="1108" spans="9:10" x14ac:dyDescent="0.25">
      <c r="I1108" s="37"/>
      <c r="J1108" s="35"/>
    </row>
    <row r="1109" spans="9:10" x14ac:dyDescent="0.25">
      <c r="I1109" s="37"/>
      <c r="J1109" s="35"/>
    </row>
    <row r="1110" spans="9:10" x14ac:dyDescent="0.25">
      <c r="I1110" s="37"/>
      <c r="J1110" s="35"/>
    </row>
    <row r="1111" spans="9:10" x14ac:dyDescent="0.25">
      <c r="I1111" s="37"/>
      <c r="J1111" s="35"/>
    </row>
    <row r="1112" spans="9:10" x14ac:dyDescent="0.25">
      <c r="I1112" s="37"/>
      <c r="J1112" s="35"/>
    </row>
    <row r="1113" spans="9:10" x14ac:dyDescent="0.25">
      <c r="I1113" s="37"/>
      <c r="J1113" s="35"/>
    </row>
    <row r="1114" spans="9:10" x14ac:dyDescent="0.25">
      <c r="I1114" s="37"/>
      <c r="J1114" s="35"/>
    </row>
    <row r="1115" spans="9:10" x14ac:dyDescent="0.25">
      <c r="I1115" s="37"/>
      <c r="J1115" s="35"/>
    </row>
    <row r="1116" spans="9:10" x14ac:dyDescent="0.25">
      <c r="I1116" s="37"/>
      <c r="J1116" s="35"/>
    </row>
    <row r="1117" spans="9:10" x14ac:dyDescent="0.25">
      <c r="I1117" s="37"/>
      <c r="J1117" s="35"/>
    </row>
    <row r="1118" spans="9:10" x14ac:dyDescent="0.25">
      <c r="I1118" s="37"/>
      <c r="J1118" s="35"/>
    </row>
    <row r="1119" spans="9:10" x14ac:dyDescent="0.25">
      <c r="I1119" s="37"/>
      <c r="J1119" s="35"/>
    </row>
    <row r="1120" spans="9:10" x14ac:dyDescent="0.25">
      <c r="I1120" s="37"/>
      <c r="J1120" s="35"/>
    </row>
    <row r="1121" spans="9:10" x14ac:dyDescent="0.25">
      <c r="I1121" s="37"/>
      <c r="J1121" s="35"/>
    </row>
    <row r="1122" spans="9:10" x14ac:dyDescent="0.25">
      <c r="I1122" s="37"/>
      <c r="J1122" s="35"/>
    </row>
    <row r="1123" spans="9:10" x14ac:dyDescent="0.25">
      <c r="I1123" s="37"/>
      <c r="J1123" s="35"/>
    </row>
    <row r="1124" spans="9:10" x14ac:dyDescent="0.25">
      <c r="I1124" s="37"/>
      <c r="J1124" s="35"/>
    </row>
    <row r="1125" spans="9:10" x14ac:dyDescent="0.25">
      <c r="I1125" s="37"/>
      <c r="J1125" s="35"/>
    </row>
    <row r="1126" spans="9:10" x14ac:dyDescent="0.25">
      <c r="I1126" s="37"/>
      <c r="J1126" s="35"/>
    </row>
    <row r="1127" spans="9:10" x14ac:dyDescent="0.25">
      <c r="I1127" s="37"/>
      <c r="J1127" s="35"/>
    </row>
    <row r="1128" spans="9:10" x14ac:dyDescent="0.25">
      <c r="I1128" s="37"/>
      <c r="J1128" s="35"/>
    </row>
    <row r="1129" spans="9:10" x14ac:dyDescent="0.25">
      <c r="I1129" s="37"/>
      <c r="J1129" s="35"/>
    </row>
    <row r="1130" spans="9:10" x14ac:dyDescent="0.25">
      <c r="I1130" s="37"/>
      <c r="J1130" s="35"/>
    </row>
    <row r="1131" spans="9:10" x14ac:dyDescent="0.25">
      <c r="I1131" s="37"/>
      <c r="J1131" s="35"/>
    </row>
    <row r="1132" spans="9:10" x14ac:dyDescent="0.25">
      <c r="I1132" s="37"/>
      <c r="J1132" s="35"/>
    </row>
    <row r="1133" spans="9:10" x14ac:dyDescent="0.25">
      <c r="I1133" s="37"/>
      <c r="J1133" s="35"/>
    </row>
    <row r="1134" spans="9:10" x14ac:dyDescent="0.25">
      <c r="I1134" s="37"/>
      <c r="J1134" s="35"/>
    </row>
    <row r="1135" spans="9:10" x14ac:dyDescent="0.25">
      <c r="I1135" s="37"/>
      <c r="J1135" s="35"/>
    </row>
    <row r="1136" spans="9:10" x14ac:dyDescent="0.25">
      <c r="I1136" s="37"/>
      <c r="J1136" s="35"/>
    </row>
    <row r="1137" spans="9:10" x14ac:dyDescent="0.25">
      <c r="I1137" s="37"/>
      <c r="J1137" s="35"/>
    </row>
    <row r="1138" spans="9:10" x14ac:dyDescent="0.25">
      <c r="I1138" s="37"/>
      <c r="J1138" s="35"/>
    </row>
    <row r="1139" spans="9:10" x14ac:dyDescent="0.25">
      <c r="I1139" s="37"/>
      <c r="J1139" s="35"/>
    </row>
    <row r="1140" spans="9:10" x14ac:dyDescent="0.25">
      <c r="I1140" s="37"/>
      <c r="J1140" s="35"/>
    </row>
    <row r="1141" spans="9:10" x14ac:dyDescent="0.25">
      <c r="I1141" s="37"/>
      <c r="J1141" s="35"/>
    </row>
    <row r="1142" spans="9:10" x14ac:dyDescent="0.25">
      <c r="I1142" s="37"/>
      <c r="J1142" s="35"/>
    </row>
    <row r="1143" spans="9:10" x14ac:dyDescent="0.25">
      <c r="I1143" s="37"/>
      <c r="J1143" s="35"/>
    </row>
    <row r="1144" spans="9:10" x14ac:dyDescent="0.25">
      <c r="I1144" s="37"/>
      <c r="J1144" s="35"/>
    </row>
    <row r="1145" spans="9:10" x14ac:dyDescent="0.25">
      <c r="I1145" s="37"/>
      <c r="J1145" s="35"/>
    </row>
    <row r="1146" spans="9:10" x14ac:dyDescent="0.25">
      <c r="I1146" s="37"/>
      <c r="J1146" s="35"/>
    </row>
    <row r="1147" spans="9:10" x14ac:dyDescent="0.25">
      <c r="I1147" s="37"/>
      <c r="J1147" s="35"/>
    </row>
    <row r="1148" spans="9:10" x14ac:dyDescent="0.25">
      <c r="I1148" s="37"/>
      <c r="J1148" s="35"/>
    </row>
    <row r="1149" spans="9:10" x14ac:dyDescent="0.25">
      <c r="I1149" s="37"/>
      <c r="J1149" s="35"/>
    </row>
    <row r="1150" spans="9:10" x14ac:dyDescent="0.25">
      <c r="I1150" s="37"/>
      <c r="J1150" s="35"/>
    </row>
    <row r="1151" spans="9:10" x14ac:dyDescent="0.25">
      <c r="I1151" s="37"/>
      <c r="J1151" s="35"/>
    </row>
    <row r="1152" spans="9:10" x14ac:dyDescent="0.25">
      <c r="I1152" s="37"/>
      <c r="J1152" s="35"/>
    </row>
    <row r="1153" spans="9:10" x14ac:dyDescent="0.25">
      <c r="I1153" s="37"/>
      <c r="J1153" s="35"/>
    </row>
    <row r="1154" spans="9:10" x14ac:dyDescent="0.25">
      <c r="I1154" s="37"/>
      <c r="J1154" s="35"/>
    </row>
    <row r="1155" spans="9:10" x14ac:dyDescent="0.25">
      <c r="I1155" s="37"/>
      <c r="J1155" s="35"/>
    </row>
    <row r="1156" spans="9:10" x14ac:dyDescent="0.25">
      <c r="I1156" s="37"/>
      <c r="J1156" s="35"/>
    </row>
    <row r="1157" spans="9:10" x14ac:dyDescent="0.25">
      <c r="I1157" s="37"/>
      <c r="J1157" s="35"/>
    </row>
    <row r="1158" spans="9:10" x14ac:dyDescent="0.25">
      <c r="I1158" s="37"/>
      <c r="J1158" s="35"/>
    </row>
    <row r="1159" spans="9:10" x14ac:dyDescent="0.25">
      <c r="I1159" s="37"/>
      <c r="J1159" s="35"/>
    </row>
    <row r="1160" spans="9:10" x14ac:dyDescent="0.25">
      <c r="I1160" s="37"/>
      <c r="J1160" s="35"/>
    </row>
    <row r="1161" spans="9:10" x14ac:dyDescent="0.25">
      <c r="I1161" s="37"/>
      <c r="J1161" s="35"/>
    </row>
    <row r="1162" spans="9:10" x14ac:dyDescent="0.25">
      <c r="I1162" s="37"/>
      <c r="J1162" s="35"/>
    </row>
    <row r="1163" spans="9:10" x14ac:dyDescent="0.25">
      <c r="I1163" s="37"/>
      <c r="J1163" s="35"/>
    </row>
    <row r="1164" spans="9:10" x14ac:dyDescent="0.25">
      <c r="I1164" s="37"/>
      <c r="J1164" s="35"/>
    </row>
    <row r="1165" spans="9:10" x14ac:dyDescent="0.25">
      <c r="I1165" s="37"/>
      <c r="J1165" s="35"/>
    </row>
    <row r="1166" spans="9:10" x14ac:dyDescent="0.25">
      <c r="I1166" s="37"/>
      <c r="J1166" s="35"/>
    </row>
    <row r="1167" spans="9:10" x14ac:dyDescent="0.25">
      <c r="I1167" s="37"/>
      <c r="J1167" s="35"/>
    </row>
    <row r="1168" spans="9:10" x14ac:dyDescent="0.25">
      <c r="I1168" s="37"/>
      <c r="J1168" s="35"/>
    </row>
    <row r="1169" spans="9:10" x14ac:dyDescent="0.25">
      <c r="I1169" s="37"/>
      <c r="J1169" s="35"/>
    </row>
    <row r="1170" spans="9:10" x14ac:dyDescent="0.25">
      <c r="I1170" s="37"/>
      <c r="J1170" s="35"/>
    </row>
    <row r="1171" spans="9:10" x14ac:dyDescent="0.25">
      <c r="I1171" s="37"/>
      <c r="J1171" s="35"/>
    </row>
    <row r="1172" spans="9:10" x14ac:dyDescent="0.25">
      <c r="I1172" s="37"/>
      <c r="J1172" s="35"/>
    </row>
    <row r="1173" spans="9:10" x14ac:dyDescent="0.25">
      <c r="I1173" s="37"/>
      <c r="J1173" s="35"/>
    </row>
    <row r="1174" spans="9:10" x14ac:dyDescent="0.25">
      <c r="I1174" s="37"/>
      <c r="J1174" s="35"/>
    </row>
    <row r="1175" spans="9:10" x14ac:dyDescent="0.25">
      <c r="I1175" s="37"/>
      <c r="J1175" s="35"/>
    </row>
    <row r="1176" spans="9:10" x14ac:dyDescent="0.25">
      <c r="I1176" s="37"/>
      <c r="J1176" s="35"/>
    </row>
    <row r="1177" spans="9:10" x14ac:dyDescent="0.25">
      <c r="I1177" s="37"/>
      <c r="J1177" s="35"/>
    </row>
    <row r="1178" spans="9:10" x14ac:dyDescent="0.25">
      <c r="I1178" s="37"/>
      <c r="J1178" s="35"/>
    </row>
    <row r="1179" spans="9:10" x14ac:dyDescent="0.25">
      <c r="I1179" s="37"/>
      <c r="J1179" s="35"/>
    </row>
    <row r="1180" spans="9:10" x14ac:dyDescent="0.25">
      <c r="I1180" s="37"/>
      <c r="J1180" s="35"/>
    </row>
    <row r="1181" spans="9:10" x14ac:dyDescent="0.25">
      <c r="I1181" s="37"/>
      <c r="J1181" s="35"/>
    </row>
    <row r="1182" spans="9:10" x14ac:dyDescent="0.25">
      <c r="I1182" s="37"/>
      <c r="J1182" s="35"/>
    </row>
    <row r="1183" spans="9:10" x14ac:dyDescent="0.25">
      <c r="I1183" s="37"/>
      <c r="J1183" s="35"/>
    </row>
    <row r="1184" spans="9:10" x14ac:dyDescent="0.25">
      <c r="I1184" s="37"/>
      <c r="J1184" s="35"/>
    </row>
    <row r="1185" spans="9:10" x14ac:dyDescent="0.25">
      <c r="I1185" s="37"/>
      <c r="J1185" s="35"/>
    </row>
    <row r="1186" spans="9:10" x14ac:dyDescent="0.25">
      <c r="I1186" s="37"/>
      <c r="J1186" s="35"/>
    </row>
    <row r="1187" spans="9:10" x14ac:dyDescent="0.25">
      <c r="I1187" s="37"/>
      <c r="J1187" s="35"/>
    </row>
    <row r="1188" spans="9:10" x14ac:dyDescent="0.25">
      <c r="I1188" s="37"/>
      <c r="J1188" s="35"/>
    </row>
    <row r="1189" spans="9:10" x14ac:dyDescent="0.25">
      <c r="I1189" s="37"/>
      <c r="J1189" s="35"/>
    </row>
    <row r="1190" spans="9:10" x14ac:dyDescent="0.25">
      <c r="I1190" s="37"/>
      <c r="J1190" s="35"/>
    </row>
    <row r="1191" spans="9:10" x14ac:dyDescent="0.25">
      <c r="I1191" s="37"/>
      <c r="J1191" s="35"/>
    </row>
    <row r="1192" spans="9:10" x14ac:dyDescent="0.25">
      <c r="I1192" s="37"/>
      <c r="J1192" s="35"/>
    </row>
    <row r="1193" spans="9:10" x14ac:dyDescent="0.25">
      <c r="I1193" s="37"/>
      <c r="J1193" s="35"/>
    </row>
    <row r="1194" spans="9:10" x14ac:dyDescent="0.25">
      <c r="I1194" s="37"/>
      <c r="J1194" s="35"/>
    </row>
    <row r="1195" spans="9:10" x14ac:dyDescent="0.25">
      <c r="I1195" s="37"/>
      <c r="J1195" s="35"/>
    </row>
    <row r="1196" spans="9:10" x14ac:dyDescent="0.25">
      <c r="I1196" s="37"/>
      <c r="J1196" s="35"/>
    </row>
    <row r="1197" spans="9:10" x14ac:dyDescent="0.25">
      <c r="I1197" s="37"/>
      <c r="J1197" s="35"/>
    </row>
    <row r="1198" spans="9:10" x14ac:dyDescent="0.25">
      <c r="I1198" s="37"/>
      <c r="J1198" s="35"/>
    </row>
    <row r="1199" spans="9:10" x14ac:dyDescent="0.25">
      <c r="I1199" s="37"/>
      <c r="J1199" s="35"/>
    </row>
    <row r="1200" spans="9:10" x14ac:dyDescent="0.25">
      <c r="I1200" s="37"/>
      <c r="J1200" s="35"/>
    </row>
    <row r="1201" spans="9:10" x14ac:dyDescent="0.25">
      <c r="I1201" s="37"/>
      <c r="J1201" s="35"/>
    </row>
    <row r="1202" spans="9:10" x14ac:dyDescent="0.25">
      <c r="I1202" s="37"/>
      <c r="J1202" s="35"/>
    </row>
    <row r="1203" spans="9:10" x14ac:dyDescent="0.25">
      <c r="I1203" s="37"/>
      <c r="J1203" s="35"/>
    </row>
    <row r="1204" spans="9:10" x14ac:dyDescent="0.25">
      <c r="I1204" s="37"/>
      <c r="J1204" s="35"/>
    </row>
    <row r="1205" spans="9:10" x14ac:dyDescent="0.25">
      <c r="I1205" s="37"/>
      <c r="J1205" s="35"/>
    </row>
    <row r="1206" spans="9:10" x14ac:dyDescent="0.25">
      <c r="I1206" s="37"/>
      <c r="J1206" s="35"/>
    </row>
    <row r="1207" spans="9:10" x14ac:dyDescent="0.25">
      <c r="I1207" s="37"/>
      <c r="J1207" s="35"/>
    </row>
    <row r="1208" spans="9:10" x14ac:dyDescent="0.25">
      <c r="I1208" s="37"/>
      <c r="J1208" s="35"/>
    </row>
    <row r="1209" spans="9:10" x14ac:dyDescent="0.25">
      <c r="I1209" s="37"/>
      <c r="J1209" s="35"/>
    </row>
    <row r="1210" spans="9:10" x14ac:dyDescent="0.25">
      <c r="I1210" s="37"/>
      <c r="J1210" s="35"/>
    </row>
    <row r="1211" spans="9:10" x14ac:dyDescent="0.25">
      <c r="I1211" s="37"/>
      <c r="J1211" s="35"/>
    </row>
    <row r="1212" spans="9:10" x14ac:dyDescent="0.25">
      <c r="I1212" s="37"/>
      <c r="J1212" s="35"/>
    </row>
    <row r="1213" spans="9:10" x14ac:dyDescent="0.25">
      <c r="I1213" s="37"/>
      <c r="J1213" s="35"/>
    </row>
    <row r="1214" spans="9:10" x14ac:dyDescent="0.25">
      <c r="I1214" s="37"/>
      <c r="J1214" s="35"/>
    </row>
    <row r="1215" spans="9:10" x14ac:dyDescent="0.25">
      <c r="I1215" s="37"/>
      <c r="J1215" s="35"/>
    </row>
    <row r="1216" spans="9:10" x14ac:dyDescent="0.25">
      <c r="I1216" s="37"/>
      <c r="J1216" s="35"/>
    </row>
    <row r="1217" spans="9:10" x14ac:dyDescent="0.25">
      <c r="I1217" s="37"/>
      <c r="J1217" s="35"/>
    </row>
    <row r="1218" spans="9:10" x14ac:dyDescent="0.25">
      <c r="I1218" s="37"/>
      <c r="J1218" s="35"/>
    </row>
    <row r="1219" spans="9:10" x14ac:dyDescent="0.25">
      <c r="I1219" s="37"/>
      <c r="J1219" s="35"/>
    </row>
    <row r="1220" spans="9:10" x14ac:dyDescent="0.25">
      <c r="I1220" s="37"/>
      <c r="J1220" s="35"/>
    </row>
    <row r="1221" spans="9:10" x14ac:dyDescent="0.25">
      <c r="I1221" s="37"/>
      <c r="J1221" s="35"/>
    </row>
    <row r="1222" spans="9:10" x14ac:dyDescent="0.25">
      <c r="I1222" s="37"/>
      <c r="J1222" s="35"/>
    </row>
    <row r="1223" spans="9:10" x14ac:dyDescent="0.25">
      <c r="I1223" s="37"/>
      <c r="J1223" s="35"/>
    </row>
    <row r="1224" spans="9:10" x14ac:dyDescent="0.25">
      <c r="I1224" s="37"/>
      <c r="J1224" s="35"/>
    </row>
    <row r="1225" spans="9:10" x14ac:dyDescent="0.25">
      <c r="I1225" s="37"/>
      <c r="J1225" s="35"/>
    </row>
    <row r="1226" spans="9:10" x14ac:dyDescent="0.25">
      <c r="I1226" s="37"/>
      <c r="J1226" s="35"/>
    </row>
    <row r="1227" spans="9:10" x14ac:dyDescent="0.25">
      <c r="I1227" s="37"/>
      <c r="J1227" s="35"/>
    </row>
    <row r="1228" spans="9:10" x14ac:dyDescent="0.25">
      <c r="I1228" s="37"/>
      <c r="J1228" s="35"/>
    </row>
    <row r="1229" spans="9:10" x14ac:dyDescent="0.25">
      <c r="I1229" s="37"/>
      <c r="J1229" s="35"/>
    </row>
    <row r="1230" spans="9:10" x14ac:dyDescent="0.25">
      <c r="I1230" s="37"/>
      <c r="J1230" s="35"/>
    </row>
    <row r="1231" spans="9:10" x14ac:dyDescent="0.25">
      <c r="I1231" s="37"/>
      <c r="J1231" s="35"/>
    </row>
    <row r="1232" spans="9:10" x14ac:dyDescent="0.25">
      <c r="I1232" s="37"/>
      <c r="J1232" s="35"/>
    </row>
    <row r="1233" spans="9:10" x14ac:dyDescent="0.25">
      <c r="I1233" s="37"/>
      <c r="J1233" s="35"/>
    </row>
    <row r="1234" spans="9:10" x14ac:dyDescent="0.25">
      <c r="I1234" s="37"/>
      <c r="J1234" s="35"/>
    </row>
    <row r="1235" spans="9:10" x14ac:dyDescent="0.25">
      <c r="I1235" s="37"/>
      <c r="J1235" s="35"/>
    </row>
    <row r="1236" spans="9:10" x14ac:dyDescent="0.25">
      <c r="I1236" s="37"/>
      <c r="J1236" s="35"/>
    </row>
    <row r="1237" spans="9:10" x14ac:dyDescent="0.25">
      <c r="I1237" s="37"/>
      <c r="J1237" s="35"/>
    </row>
    <row r="1238" spans="9:10" x14ac:dyDescent="0.25">
      <c r="I1238" s="37"/>
      <c r="J1238" s="35"/>
    </row>
    <row r="1239" spans="9:10" x14ac:dyDescent="0.25">
      <c r="I1239" s="37"/>
      <c r="J1239" s="35"/>
    </row>
    <row r="1240" spans="9:10" x14ac:dyDescent="0.25">
      <c r="I1240" s="37"/>
      <c r="J1240" s="35"/>
    </row>
    <row r="1241" spans="9:10" x14ac:dyDescent="0.25">
      <c r="I1241" s="37"/>
      <c r="J1241" s="35"/>
    </row>
    <row r="1242" spans="9:10" x14ac:dyDescent="0.25">
      <c r="I1242" s="37"/>
      <c r="J1242" s="35"/>
    </row>
    <row r="1243" spans="9:10" x14ac:dyDescent="0.25">
      <c r="I1243" s="37"/>
      <c r="J1243" s="35"/>
    </row>
    <row r="1244" spans="9:10" x14ac:dyDescent="0.25">
      <c r="I1244" s="37"/>
      <c r="J1244" s="35"/>
    </row>
    <row r="1245" spans="9:10" x14ac:dyDescent="0.25">
      <c r="I1245" s="37"/>
      <c r="J1245" s="35"/>
    </row>
    <row r="1246" spans="9:10" x14ac:dyDescent="0.25">
      <c r="I1246" s="37"/>
      <c r="J1246" s="35"/>
    </row>
    <row r="1247" spans="9:10" x14ac:dyDescent="0.25">
      <c r="I1247" s="37"/>
      <c r="J1247" s="35"/>
    </row>
    <row r="1248" spans="9:10" x14ac:dyDescent="0.25">
      <c r="I1248" s="37"/>
      <c r="J1248" s="35"/>
    </row>
    <row r="1249" spans="9:10" x14ac:dyDescent="0.25">
      <c r="I1249" s="37"/>
      <c r="J1249" s="35"/>
    </row>
    <row r="1250" spans="9:10" x14ac:dyDescent="0.25">
      <c r="I1250" s="37"/>
      <c r="J1250" s="35"/>
    </row>
    <row r="1251" spans="9:10" x14ac:dyDescent="0.25">
      <c r="I1251" s="37"/>
      <c r="J1251" s="35"/>
    </row>
    <row r="1252" spans="9:10" x14ac:dyDescent="0.25">
      <c r="I1252" s="37"/>
      <c r="J1252" s="35"/>
    </row>
    <row r="1253" spans="9:10" x14ac:dyDescent="0.25">
      <c r="I1253" s="37"/>
      <c r="J1253" s="35"/>
    </row>
    <row r="1254" spans="9:10" x14ac:dyDescent="0.25">
      <c r="I1254" s="37"/>
      <c r="J1254" s="35"/>
    </row>
    <row r="1255" spans="9:10" x14ac:dyDescent="0.25">
      <c r="I1255" s="37"/>
      <c r="J1255" s="35"/>
    </row>
    <row r="1256" spans="9:10" x14ac:dyDescent="0.25">
      <c r="I1256" s="37"/>
      <c r="J1256" s="35"/>
    </row>
    <row r="1257" spans="9:10" x14ac:dyDescent="0.25">
      <c r="I1257" s="37"/>
      <c r="J1257" s="35"/>
    </row>
    <row r="1258" spans="9:10" x14ac:dyDescent="0.25">
      <c r="I1258" s="37"/>
      <c r="J1258" s="35"/>
    </row>
    <row r="1259" spans="9:10" x14ac:dyDescent="0.25">
      <c r="I1259" s="37"/>
      <c r="J1259" s="35"/>
    </row>
    <row r="1260" spans="9:10" x14ac:dyDescent="0.25">
      <c r="I1260" s="37"/>
      <c r="J1260" s="35"/>
    </row>
    <row r="1261" spans="9:10" x14ac:dyDescent="0.25">
      <c r="I1261" s="37"/>
      <c r="J1261" s="35"/>
    </row>
    <row r="1262" spans="9:10" x14ac:dyDescent="0.25">
      <c r="I1262" s="37"/>
      <c r="J1262" s="35"/>
    </row>
    <row r="1263" spans="9:10" x14ac:dyDescent="0.25">
      <c r="I1263" s="37"/>
      <c r="J1263" s="35"/>
    </row>
    <row r="1264" spans="9:10" x14ac:dyDescent="0.25">
      <c r="I1264" s="37"/>
      <c r="J1264" s="35"/>
    </row>
    <row r="1265" spans="9:10" x14ac:dyDescent="0.25">
      <c r="I1265" s="37"/>
      <c r="J1265" s="35"/>
    </row>
    <row r="1266" spans="9:10" x14ac:dyDescent="0.25">
      <c r="I1266" s="37"/>
      <c r="J1266" s="35"/>
    </row>
    <row r="1267" spans="9:10" x14ac:dyDescent="0.25">
      <c r="I1267" s="37"/>
      <c r="J1267" s="35"/>
    </row>
    <row r="1268" spans="9:10" x14ac:dyDescent="0.25">
      <c r="I1268" s="37"/>
      <c r="J1268" s="35"/>
    </row>
    <row r="1269" spans="9:10" x14ac:dyDescent="0.25">
      <c r="I1269" s="37"/>
      <c r="J1269" s="35"/>
    </row>
    <row r="1270" spans="9:10" x14ac:dyDescent="0.25">
      <c r="I1270" s="37"/>
      <c r="J1270" s="35"/>
    </row>
    <row r="1271" spans="9:10" x14ac:dyDescent="0.25">
      <c r="I1271" s="37"/>
      <c r="J1271" s="35"/>
    </row>
    <row r="1272" spans="9:10" x14ac:dyDescent="0.25">
      <c r="I1272" s="37"/>
      <c r="J1272" s="35"/>
    </row>
    <row r="1273" spans="9:10" x14ac:dyDescent="0.25">
      <c r="I1273" s="37"/>
      <c r="J1273" s="35"/>
    </row>
    <row r="1274" spans="9:10" x14ac:dyDescent="0.25">
      <c r="I1274" s="37"/>
      <c r="J1274" s="35"/>
    </row>
    <row r="1275" spans="9:10" x14ac:dyDescent="0.25">
      <c r="I1275" s="37"/>
      <c r="J1275" s="35"/>
    </row>
    <row r="1276" spans="9:10" x14ac:dyDescent="0.25">
      <c r="I1276" s="37"/>
      <c r="J1276" s="35"/>
    </row>
    <row r="1277" spans="9:10" x14ac:dyDescent="0.25">
      <c r="I1277" s="37"/>
      <c r="J1277" s="35"/>
    </row>
    <row r="1278" spans="9:10" x14ac:dyDescent="0.25">
      <c r="I1278" s="37"/>
      <c r="J1278" s="35"/>
    </row>
    <row r="1279" spans="9:10" x14ac:dyDescent="0.25">
      <c r="I1279" s="37"/>
      <c r="J1279" s="35"/>
    </row>
    <row r="1280" spans="9:10" x14ac:dyDescent="0.25">
      <c r="I1280" s="37"/>
      <c r="J1280" s="35"/>
    </row>
    <row r="1281" spans="9:10" x14ac:dyDescent="0.25">
      <c r="I1281" s="37"/>
      <c r="J1281" s="35"/>
    </row>
    <row r="1282" spans="9:10" x14ac:dyDescent="0.25">
      <c r="I1282" s="37"/>
      <c r="J1282" s="35"/>
    </row>
    <row r="1283" spans="9:10" x14ac:dyDescent="0.25">
      <c r="I1283" s="37"/>
      <c r="J1283" s="35"/>
    </row>
    <row r="1284" spans="9:10" x14ac:dyDescent="0.25">
      <c r="I1284" s="37"/>
      <c r="J1284" s="35"/>
    </row>
    <row r="1285" spans="9:10" x14ac:dyDescent="0.25">
      <c r="I1285" s="37"/>
      <c r="J1285" s="35"/>
    </row>
    <row r="1286" spans="9:10" x14ac:dyDescent="0.25">
      <c r="I1286" s="37"/>
      <c r="J1286" s="35"/>
    </row>
    <row r="1287" spans="9:10" x14ac:dyDescent="0.25">
      <c r="I1287" s="37"/>
      <c r="J1287" s="35"/>
    </row>
    <row r="1288" spans="9:10" x14ac:dyDescent="0.25">
      <c r="I1288" s="37"/>
      <c r="J1288" s="35"/>
    </row>
    <row r="1289" spans="9:10" x14ac:dyDescent="0.25">
      <c r="I1289" s="37"/>
      <c r="J1289" s="35"/>
    </row>
    <row r="1290" spans="9:10" x14ac:dyDescent="0.25">
      <c r="I1290" s="37"/>
      <c r="J1290" s="35"/>
    </row>
    <row r="1291" spans="9:10" x14ac:dyDescent="0.25">
      <c r="I1291" s="37"/>
      <c r="J1291" s="35"/>
    </row>
    <row r="1292" spans="9:10" x14ac:dyDescent="0.25">
      <c r="I1292" s="37"/>
      <c r="J1292" s="35"/>
    </row>
    <row r="1293" spans="9:10" x14ac:dyDescent="0.25">
      <c r="I1293" s="37"/>
      <c r="J1293" s="35"/>
    </row>
    <row r="1294" spans="9:10" x14ac:dyDescent="0.25">
      <c r="I1294" s="37"/>
      <c r="J1294" s="35"/>
    </row>
    <row r="1295" spans="9:10" x14ac:dyDescent="0.25">
      <c r="I1295" s="37"/>
      <c r="J1295" s="35"/>
    </row>
    <row r="1296" spans="9:10" x14ac:dyDescent="0.25">
      <c r="I1296" s="37"/>
      <c r="J1296" s="35"/>
    </row>
    <row r="1297" spans="9:10" x14ac:dyDescent="0.25">
      <c r="I1297" s="37"/>
      <c r="J1297" s="35"/>
    </row>
    <row r="1298" spans="9:10" x14ac:dyDescent="0.25">
      <c r="I1298" s="37"/>
      <c r="J1298" s="35"/>
    </row>
    <row r="1299" spans="9:10" x14ac:dyDescent="0.25">
      <c r="I1299" s="37"/>
      <c r="J1299" s="35"/>
    </row>
    <row r="1300" spans="9:10" x14ac:dyDescent="0.25">
      <c r="I1300" s="37"/>
      <c r="J1300" s="35"/>
    </row>
    <row r="1301" spans="9:10" x14ac:dyDescent="0.25">
      <c r="I1301" s="37"/>
      <c r="J1301" s="35"/>
    </row>
    <row r="1302" spans="9:10" x14ac:dyDescent="0.25">
      <c r="I1302" s="37"/>
      <c r="J1302" s="35"/>
    </row>
    <row r="1303" spans="9:10" x14ac:dyDescent="0.25">
      <c r="I1303" s="37"/>
      <c r="J1303" s="35"/>
    </row>
    <row r="1304" spans="9:10" x14ac:dyDescent="0.25">
      <c r="I1304" s="37"/>
      <c r="J1304" s="35"/>
    </row>
    <row r="1305" spans="9:10" x14ac:dyDescent="0.25">
      <c r="I1305" s="37"/>
      <c r="J1305" s="35"/>
    </row>
    <row r="1306" spans="9:10" x14ac:dyDescent="0.25">
      <c r="I1306" s="37"/>
      <c r="J1306" s="35"/>
    </row>
    <row r="1307" spans="9:10" x14ac:dyDescent="0.25">
      <c r="I1307" s="37"/>
      <c r="J1307" s="35"/>
    </row>
    <row r="1308" spans="9:10" x14ac:dyDescent="0.25">
      <c r="I1308" s="37"/>
      <c r="J1308" s="35"/>
    </row>
    <row r="1309" spans="9:10" x14ac:dyDescent="0.25">
      <c r="I1309" s="37"/>
      <c r="J1309" s="35"/>
    </row>
    <row r="1310" spans="9:10" x14ac:dyDescent="0.25">
      <c r="I1310" s="37"/>
      <c r="J1310" s="35"/>
    </row>
    <row r="1311" spans="9:10" x14ac:dyDescent="0.25">
      <c r="I1311" s="37"/>
      <c r="J1311" s="35"/>
    </row>
    <row r="1312" spans="9:10" x14ac:dyDescent="0.25">
      <c r="I1312" s="37"/>
      <c r="J1312" s="35"/>
    </row>
    <row r="1313" spans="9:10" x14ac:dyDescent="0.25">
      <c r="I1313" s="37"/>
      <c r="J1313" s="35"/>
    </row>
    <row r="1314" spans="9:10" x14ac:dyDescent="0.25">
      <c r="I1314" s="37"/>
      <c r="J1314" s="35"/>
    </row>
    <row r="1315" spans="9:10" x14ac:dyDescent="0.25">
      <c r="I1315" s="37"/>
      <c r="J1315" s="35"/>
    </row>
    <row r="1316" spans="9:10" x14ac:dyDescent="0.25">
      <c r="I1316" s="37"/>
      <c r="J1316" s="35"/>
    </row>
    <row r="1317" spans="9:10" x14ac:dyDescent="0.25">
      <c r="I1317" s="37"/>
      <c r="J1317" s="35"/>
    </row>
    <row r="1318" spans="9:10" x14ac:dyDescent="0.25">
      <c r="I1318" s="37"/>
      <c r="J1318" s="35"/>
    </row>
    <row r="1319" spans="9:10" x14ac:dyDescent="0.25">
      <c r="I1319" s="37"/>
      <c r="J1319" s="35"/>
    </row>
    <row r="1320" spans="9:10" x14ac:dyDescent="0.25">
      <c r="I1320" s="37"/>
      <c r="J1320" s="35"/>
    </row>
    <row r="1321" spans="9:10" x14ac:dyDescent="0.25">
      <c r="I1321" s="37"/>
      <c r="J1321" s="35"/>
    </row>
    <row r="1322" spans="9:10" x14ac:dyDescent="0.25">
      <c r="I1322" s="37"/>
      <c r="J1322" s="35"/>
    </row>
    <row r="1323" spans="9:10" x14ac:dyDescent="0.25">
      <c r="I1323" s="37"/>
      <c r="J1323" s="35"/>
    </row>
    <row r="1324" spans="9:10" x14ac:dyDescent="0.25">
      <c r="I1324" s="37"/>
      <c r="J1324" s="35"/>
    </row>
    <row r="1325" spans="9:10" x14ac:dyDescent="0.25">
      <c r="I1325" s="37"/>
      <c r="J1325" s="35"/>
    </row>
    <row r="1326" spans="9:10" x14ac:dyDescent="0.25">
      <c r="I1326" s="37"/>
      <c r="J1326" s="35"/>
    </row>
    <row r="1327" spans="9:10" x14ac:dyDescent="0.25">
      <c r="I1327" s="37"/>
      <c r="J1327" s="35"/>
    </row>
    <row r="1328" spans="9:10" x14ac:dyDescent="0.25">
      <c r="I1328" s="37"/>
      <c r="J1328" s="35"/>
    </row>
    <row r="1329" spans="9:10" x14ac:dyDescent="0.25">
      <c r="I1329" s="37"/>
      <c r="J1329" s="35"/>
    </row>
    <row r="1330" spans="9:10" x14ac:dyDescent="0.25">
      <c r="I1330" s="37"/>
      <c r="J1330" s="35"/>
    </row>
    <row r="1331" spans="9:10" x14ac:dyDescent="0.25">
      <c r="I1331" s="37"/>
      <c r="J1331" s="35"/>
    </row>
    <row r="1332" spans="9:10" x14ac:dyDescent="0.25">
      <c r="I1332" s="37"/>
      <c r="J1332" s="35"/>
    </row>
    <row r="1333" spans="9:10" x14ac:dyDescent="0.25">
      <c r="I1333" s="37"/>
      <c r="J1333" s="35"/>
    </row>
    <row r="1334" spans="9:10" x14ac:dyDescent="0.25">
      <c r="I1334" s="37"/>
      <c r="J1334" s="35"/>
    </row>
  </sheetData>
  <mergeCells count="18">
    <mergeCell ref="T29:U29"/>
    <mergeCell ref="J16:K16"/>
    <mergeCell ref="L16:M16"/>
    <mergeCell ref="N16:O16"/>
    <mergeCell ref="P16:Q16"/>
    <mergeCell ref="R16:S16"/>
    <mergeCell ref="T16:U16"/>
    <mergeCell ref="J29:K29"/>
    <mergeCell ref="L29:M29"/>
    <mergeCell ref="N29:O29"/>
    <mergeCell ref="P29:Q29"/>
    <mergeCell ref="R29:S29"/>
    <mergeCell ref="T2:U2"/>
    <mergeCell ref="J2:K2"/>
    <mergeCell ref="L2:M2"/>
    <mergeCell ref="N2:O2"/>
    <mergeCell ref="P2:Q2"/>
    <mergeCell ref="R2:S2"/>
  </mergeCells>
  <conditionalFormatting sqref="AE3:AI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:AI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0:AI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5DF9-4E70-455C-9DFC-B92E195E4AA9}">
  <dimension ref="A1:AQ1334"/>
  <sheetViews>
    <sheetView showGridLines="0" zoomScale="85" zoomScaleNormal="85" workbookViewId="0">
      <selection activeCell="AF24" sqref="AF24"/>
    </sheetView>
  </sheetViews>
  <sheetFormatPr defaultRowHeight="15" outlineLevelRow="1" outlineLevelCol="1" x14ac:dyDescent="0.25"/>
  <cols>
    <col min="1" max="1" width="2.5703125" customWidth="1"/>
    <col min="2" max="2" width="9.140625" customWidth="1"/>
    <col min="3" max="3" width="16.28515625" bestFit="1" customWidth="1"/>
    <col min="4" max="4" width="15.28515625" bestFit="1" customWidth="1"/>
    <col min="5" max="5" width="2.5703125" customWidth="1"/>
    <col min="6" max="6" width="18.140625" bestFit="1" customWidth="1"/>
    <col min="7" max="7" width="2.5703125" customWidth="1"/>
    <col min="8" max="8" width="25.140625" bestFit="1" customWidth="1"/>
    <col min="9" max="9" width="24.28515625" style="11" customWidth="1" outlineLevel="1"/>
    <col min="10" max="10" width="9.42578125" style="6" customWidth="1"/>
    <col min="11" max="11" width="17" style="11" bestFit="1" customWidth="1" outlineLevel="1"/>
    <col min="12" max="12" width="9.28515625" style="6" customWidth="1"/>
    <col min="13" max="13" width="19.5703125" style="11" hidden="1" customWidth="1" outlineLevel="1"/>
    <col min="14" max="14" width="10.42578125" style="6" customWidth="1" collapsed="1"/>
    <col min="15" max="15" width="17.85546875" style="11" hidden="1" customWidth="1" outlineLevel="1"/>
    <col min="16" max="16" width="8.5703125" style="6" bestFit="1" customWidth="1" collapsed="1"/>
    <col min="17" max="17" width="18" style="11" hidden="1" customWidth="1" outlineLevel="1"/>
    <col min="18" max="18" width="11.42578125" style="5" customWidth="1" collapsed="1"/>
    <col min="19" max="19" width="19.5703125" style="10" hidden="1" customWidth="1" outlineLevel="1"/>
    <col min="20" max="20" width="8.140625" style="10" bestFit="1" customWidth="1" collapsed="1"/>
    <col min="21" max="21" width="19.5703125" style="10" hidden="1" customWidth="1" outlineLevel="1"/>
    <col min="22" max="22" width="2.5703125" customWidth="1" collapsed="1"/>
    <col min="23" max="24" width="7.140625" hidden="1" customWidth="1" outlineLevel="1"/>
    <col min="25" max="25" width="17.85546875" bestFit="1" customWidth="1" collapsed="1"/>
    <col min="26" max="27" width="17.85546875" bestFit="1" customWidth="1"/>
    <col min="28" max="28" width="16.140625" bestFit="1" customWidth="1"/>
    <col min="29" max="29" width="15.140625" bestFit="1" customWidth="1"/>
    <col min="30" max="30" width="2.5703125" customWidth="1"/>
    <col min="31" max="31" width="7.85546875" bestFit="1" customWidth="1"/>
    <col min="32" max="32" width="11.140625" bestFit="1" customWidth="1"/>
    <col min="33" max="33" width="13.28515625" bestFit="1" customWidth="1"/>
    <col min="34" max="34" width="7.85546875" bestFit="1" customWidth="1"/>
    <col min="35" max="35" width="8.140625" bestFit="1" customWidth="1"/>
    <col min="36" max="36" width="2.5703125" customWidth="1"/>
    <col min="37" max="37" width="17.85546875" bestFit="1" customWidth="1"/>
    <col min="38" max="38" width="8.140625" bestFit="1" customWidth="1"/>
    <col min="39" max="39" width="2.5703125" customWidth="1"/>
    <col min="41" max="41" width="16.28515625" bestFit="1" customWidth="1"/>
  </cols>
  <sheetData>
    <row r="1" spans="1:43" ht="9" customHeight="1" x14ac:dyDescent="0.25">
      <c r="A1" t="s">
        <v>75</v>
      </c>
    </row>
    <row r="2" spans="1:43" x14ac:dyDescent="0.25">
      <c r="B2" s="1"/>
      <c r="C2" s="1" t="s">
        <v>20</v>
      </c>
      <c r="D2" s="1"/>
      <c r="H2" s="4" t="s">
        <v>1</v>
      </c>
      <c r="I2" s="9" t="s">
        <v>4</v>
      </c>
      <c r="J2" s="112" t="s">
        <v>7</v>
      </c>
      <c r="K2" s="112"/>
      <c r="L2" s="112" t="s">
        <v>8</v>
      </c>
      <c r="M2" s="112"/>
      <c r="N2" s="112" t="s">
        <v>10</v>
      </c>
      <c r="O2" s="112"/>
      <c r="P2" s="112" t="s">
        <v>9</v>
      </c>
      <c r="Q2" s="112"/>
      <c r="R2" s="112" t="s">
        <v>21</v>
      </c>
      <c r="S2" s="112"/>
      <c r="T2" s="112" t="s">
        <v>55</v>
      </c>
      <c r="U2" s="112"/>
      <c r="W2" s="1" t="s">
        <v>46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27" t="s">
        <v>49</v>
      </c>
      <c r="AF2" s="27" t="s">
        <v>50</v>
      </c>
      <c r="AG2" s="27" t="s">
        <v>51</v>
      </c>
      <c r="AH2" s="27" t="s">
        <v>52</v>
      </c>
      <c r="AI2" s="27" t="s">
        <v>53</v>
      </c>
      <c r="AK2" s="75" t="s">
        <v>60</v>
      </c>
      <c r="AL2" s="75" t="s">
        <v>61</v>
      </c>
      <c r="AN2" s="1"/>
      <c r="AO2" s="1" t="s">
        <v>20</v>
      </c>
      <c r="AP2" s="1"/>
    </row>
    <row r="3" spans="1:43" x14ac:dyDescent="0.25">
      <c r="A3" s="98"/>
      <c r="B3" t="s">
        <v>11</v>
      </c>
      <c r="C3" s="2" t="s">
        <v>10</v>
      </c>
      <c r="D3" t="s">
        <v>7</v>
      </c>
      <c r="E3" s="98"/>
      <c r="F3" s="7">
        <f>J3+L3+N3+P3+R3+T3</f>
        <v>1</v>
      </c>
      <c r="G3" s="99"/>
      <c r="H3" s="97" t="s">
        <v>5</v>
      </c>
      <c r="I3" s="80">
        <v>525271264.66000003</v>
      </c>
      <c r="J3" s="81">
        <f>47.56%+4.81%</f>
        <v>0.52370000000000005</v>
      </c>
      <c r="K3" s="80">
        <f t="shared" ref="K3:K13" si="0">+J3*$I3</f>
        <v>275084561.30244201</v>
      </c>
      <c r="L3" s="81">
        <v>0.224</v>
      </c>
      <c r="M3" s="80">
        <f t="shared" ref="M3:M13" si="1">+L3*$I3</f>
        <v>117660763.28384002</v>
      </c>
      <c r="N3" s="81">
        <v>0.22</v>
      </c>
      <c r="O3" s="80">
        <f t="shared" ref="O3:O13" si="2">+N3*$I3</f>
        <v>115559678.22520001</v>
      </c>
      <c r="P3" s="81">
        <v>3.2399999999999998E-2</v>
      </c>
      <c r="Q3" s="80">
        <f t="shared" ref="Q3:Q13" si="3">+P3*$I3</f>
        <v>17018788.974984001</v>
      </c>
      <c r="R3" s="82"/>
      <c r="S3" s="80">
        <f t="shared" ref="S3:S13" si="4">+R3*$I3</f>
        <v>0</v>
      </c>
      <c r="T3" s="81">
        <v>-1E-4</v>
      </c>
      <c r="U3" s="65">
        <f t="shared" ref="U3:U13" si="5">+T3*$I3</f>
        <v>-52527.126466000002</v>
      </c>
      <c r="V3" s="98"/>
      <c r="Y3" s="12">
        <f>K3-'Dez24'!K3</f>
        <v>-2360054.5334479809</v>
      </c>
      <c r="Z3" s="12">
        <f>M3-'Dez24'!M3</f>
        <v>-2672222.9510699958</v>
      </c>
      <c r="AA3" s="12">
        <f>O3-'Dez24'!O3</f>
        <v>3697881.6640200168</v>
      </c>
      <c r="AB3" s="12">
        <f>Q3-'Dez24'!Q3</f>
        <v>-134054.7121959962</v>
      </c>
      <c r="AC3" s="12">
        <f>+S3-'Dez24'!S3</f>
        <v>0</v>
      </c>
      <c r="AD3" s="98"/>
      <c r="AE3" s="28">
        <f>J3-'Dez24'!J3</f>
        <v>-3.5999999999999366E-3</v>
      </c>
      <c r="AF3" s="28">
        <f>L3-'Dez24'!L3</f>
        <v>-4.7000000000000097E-3</v>
      </c>
      <c r="AG3" s="28">
        <f>N3-'Dez24'!N3</f>
        <v>7.4000000000000177E-3</v>
      </c>
      <c r="AH3" s="28">
        <f>P3-'Dez24'!P3</f>
        <v>-1.9999999999999879E-4</v>
      </c>
      <c r="AI3" s="28">
        <f>R3-'Dez24'!R3</f>
        <v>0</v>
      </c>
      <c r="AJ3" s="98"/>
      <c r="AK3" s="10">
        <f>I3-'Dez24'!I3</f>
        <v>-889584.63999998569</v>
      </c>
      <c r="AL3" s="76">
        <f>I3/'Dez24'!I3-1</f>
        <v>-1.6907085374814335E-3</v>
      </c>
      <c r="AM3" s="98"/>
      <c r="AN3" t="s">
        <v>11</v>
      </c>
      <c r="AO3" s="2" t="s">
        <v>10</v>
      </c>
      <c r="AP3" t="s">
        <v>7</v>
      </c>
      <c r="AQ3" s="98"/>
    </row>
    <row r="4" spans="1:43" x14ac:dyDescent="0.25">
      <c r="B4" t="s">
        <v>12</v>
      </c>
      <c r="C4" s="2" t="s">
        <v>16</v>
      </c>
      <c r="D4" t="s">
        <v>58</v>
      </c>
      <c r="F4" s="7">
        <f t="shared" ref="F4:F36" si="6">J4+L4+N4+P4+R4+T4</f>
        <v>1</v>
      </c>
      <c r="H4" s="3" t="s">
        <v>0</v>
      </c>
      <c r="I4" s="78">
        <v>1609619530.1800001</v>
      </c>
      <c r="J4" s="77">
        <v>0.39</v>
      </c>
      <c r="K4" s="78">
        <f t="shared" si="0"/>
        <v>627751616.77020001</v>
      </c>
      <c r="L4" s="77">
        <v>7.0000000000000007E-2</v>
      </c>
      <c r="M4" s="78">
        <f t="shared" si="1"/>
        <v>112673367.11260001</v>
      </c>
      <c r="N4" s="77">
        <v>0.34</v>
      </c>
      <c r="O4" s="78">
        <f t="shared" si="2"/>
        <v>547270640.26120007</v>
      </c>
      <c r="P4" s="77">
        <v>0.11</v>
      </c>
      <c r="Q4" s="78">
        <f t="shared" si="3"/>
        <v>177058148.31980002</v>
      </c>
      <c r="R4" s="77"/>
      <c r="S4" s="78">
        <f t="shared" si="4"/>
        <v>0</v>
      </c>
      <c r="T4" s="77">
        <v>0.09</v>
      </c>
      <c r="U4" s="57">
        <f t="shared" si="5"/>
        <v>144865757.71619999</v>
      </c>
      <c r="Y4" s="12">
        <f>K4-'Dez24'!K4</f>
        <v>9163940.6625000238</v>
      </c>
      <c r="Z4" s="12">
        <f>M4-'Dez24'!M4</f>
        <v>-172828637.24479997</v>
      </c>
      <c r="AA4" s="12">
        <f>O4-'Dez24'!O4</f>
        <v>39711521.403600037</v>
      </c>
      <c r="AB4" s="12">
        <f>Q4-'Dez24'!Q4</f>
        <v>2584701.212500006</v>
      </c>
      <c r="AC4" s="12">
        <f>+S4-'Dez24'!S4</f>
        <v>0</v>
      </c>
      <c r="AE4" s="28">
        <f>J4-'Dez24'!J4</f>
        <v>0</v>
      </c>
      <c r="AF4" s="28">
        <f>L4-'Dez24'!L4</f>
        <v>-0.10999999999999999</v>
      </c>
      <c r="AG4" s="28">
        <f>N4-'Dez24'!N4</f>
        <v>2.0000000000000018E-2</v>
      </c>
      <c r="AH4" s="28">
        <f>P4-'Dez24'!P4</f>
        <v>0</v>
      </c>
      <c r="AI4" s="28">
        <f>R4-'Dez24'!R4</f>
        <v>0</v>
      </c>
      <c r="AJ4" s="93"/>
      <c r="AK4" s="10">
        <f>I4-'Dez24'!I4</f>
        <v>23497283.75</v>
      </c>
      <c r="AL4" s="76">
        <f>I4/'Dez24'!I4-1</f>
        <v>1.4814295558168489E-2</v>
      </c>
      <c r="AN4" t="s">
        <v>12</v>
      </c>
      <c r="AO4" s="2" t="s">
        <v>16</v>
      </c>
      <c r="AP4" t="s">
        <v>58</v>
      </c>
    </row>
    <row r="5" spans="1:43" x14ac:dyDescent="0.25">
      <c r="B5" t="s">
        <v>13</v>
      </c>
      <c r="C5" s="2" t="s">
        <v>17</v>
      </c>
      <c r="D5" t="s">
        <v>59</v>
      </c>
      <c r="F5" s="7">
        <f>J5+L5+N5+P5+R5+T5</f>
        <v>1</v>
      </c>
      <c r="H5" s="3" t="s">
        <v>3</v>
      </c>
      <c r="I5" s="78">
        <v>373657599.88999999</v>
      </c>
      <c r="J5" s="77">
        <v>0.43</v>
      </c>
      <c r="K5" s="78">
        <f t="shared" si="0"/>
        <v>160672767.95269999</v>
      </c>
      <c r="L5" s="77"/>
      <c r="M5" s="78">
        <f t="shared" si="1"/>
        <v>0</v>
      </c>
      <c r="N5" s="77">
        <v>0.34</v>
      </c>
      <c r="O5" s="78">
        <f t="shared" si="2"/>
        <v>127043583.96260001</v>
      </c>
      <c r="P5" s="77">
        <v>0.06</v>
      </c>
      <c r="Q5" s="78">
        <f t="shared" si="3"/>
        <v>22419455.9934</v>
      </c>
      <c r="R5" s="77">
        <v>0.15</v>
      </c>
      <c r="S5" s="78">
        <f t="shared" si="4"/>
        <v>56048639.983499996</v>
      </c>
      <c r="T5" s="77">
        <v>0.02</v>
      </c>
      <c r="U5" s="57">
        <f t="shared" si="5"/>
        <v>7473151.9978</v>
      </c>
      <c r="Y5" s="12">
        <f>K5-'Dez24'!K5</f>
        <v>-49681637.612500012</v>
      </c>
      <c r="Z5" s="12">
        <f>M5-'Dez24'!M5</f>
        <v>-8090554.0602000002</v>
      </c>
      <c r="AA5" s="12">
        <f>O5-'Dez24'!O5</f>
        <v>17821104.149900004</v>
      </c>
      <c r="AB5" s="12">
        <f>Q5-'Dez24'!Q5</f>
        <v>18374178.963300001</v>
      </c>
      <c r="AC5" s="12">
        <f>+S5-'Dez24'!S5</f>
        <v>-16766346.558299996</v>
      </c>
      <c r="AE5" s="28">
        <f>J5-'Dez24'!J5</f>
        <v>-9.0000000000000024E-2</v>
      </c>
      <c r="AF5" s="28">
        <f>L5-'Dez24'!L5</f>
        <v>-0.02</v>
      </c>
      <c r="AG5" s="28">
        <f>N5-'Dez24'!N5</f>
        <v>7.0000000000000007E-2</v>
      </c>
      <c r="AH5" s="28">
        <f>P5-'Dez24'!P5</f>
        <v>4.9999999999999996E-2</v>
      </c>
      <c r="AI5" s="28">
        <f>R5-'Dez24'!R5</f>
        <v>-0.03</v>
      </c>
      <c r="AK5" s="10">
        <f>I5-'Dez24'!I5</f>
        <v>-30870103.120000005</v>
      </c>
      <c r="AL5" s="76">
        <f>I5/'Dez24'!I5-1</f>
        <v>-7.6311468634416069E-2</v>
      </c>
      <c r="AN5" t="s">
        <v>13</v>
      </c>
      <c r="AO5" s="2" t="s">
        <v>17</v>
      </c>
      <c r="AP5" t="s">
        <v>59</v>
      </c>
    </row>
    <row r="6" spans="1:43" x14ac:dyDescent="0.25">
      <c r="B6" t="s">
        <v>14</v>
      </c>
      <c r="C6" s="2" t="s">
        <v>18</v>
      </c>
      <c r="F6" s="7">
        <f t="shared" si="6"/>
        <v>1</v>
      </c>
      <c r="H6" s="3" t="s">
        <v>62</v>
      </c>
      <c r="I6" s="78">
        <v>441308529.06</v>
      </c>
      <c r="J6" s="77">
        <v>0.14899999999999999</v>
      </c>
      <c r="K6" s="78">
        <f t="shared" si="0"/>
        <v>65754970.829939999</v>
      </c>
      <c r="L6" s="77">
        <v>0.33700000000000002</v>
      </c>
      <c r="M6" s="78">
        <f t="shared" si="1"/>
        <v>148720974.29322001</v>
      </c>
      <c r="N6" s="77">
        <v>0.40899999999999997</v>
      </c>
      <c r="O6" s="78">
        <f t="shared" si="2"/>
        <v>180495188.38553998</v>
      </c>
      <c r="P6" s="77">
        <v>4.1000000000000002E-2</v>
      </c>
      <c r="Q6" s="78">
        <f t="shared" si="3"/>
        <v>18093649.691460002</v>
      </c>
      <c r="R6" s="77"/>
      <c r="S6" s="78">
        <f t="shared" si="4"/>
        <v>0</v>
      </c>
      <c r="T6" s="77">
        <f>2.9%+3.5%</f>
        <v>6.4000000000000001E-2</v>
      </c>
      <c r="U6" s="57">
        <f t="shared" si="5"/>
        <v>28243745.859840002</v>
      </c>
      <c r="Y6" s="12">
        <f>K6-'Dez24'!K6</f>
        <v>-1456536208.1373596</v>
      </c>
      <c r="Z6" s="12">
        <f>M6-'Dez24'!M6</f>
        <v>-790470367.11642992</v>
      </c>
      <c r="AA6" s="12">
        <f>O6-'Dez24'!O6</f>
        <v>-1586608899.48001</v>
      </c>
      <c r="AB6" s="12">
        <f>Q6-'Dez24'!Q6</f>
        <v>18093649.691460002</v>
      </c>
      <c r="AC6" s="12">
        <f>+S6-'Dez24'!S6</f>
        <v>0</v>
      </c>
      <c r="AE6" s="28">
        <f>J6-'Dez24'!J6</f>
        <v>-0.19299999999999998</v>
      </c>
      <c r="AF6" s="28">
        <f>L6-'Dez24'!L6</f>
        <v>0.126</v>
      </c>
      <c r="AG6" s="28">
        <f>N6-'Dez24'!N6</f>
        <v>1.1999999999999955E-2</v>
      </c>
      <c r="AH6" s="28">
        <f>P6-'Dez24'!P6</f>
        <v>4.1000000000000002E-2</v>
      </c>
      <c r="AI6" s="28">
        <f>R6-'Dez24'!R6</f>
        <v>0</v>
      </c>
      <c r="AK6" s="10">
        <f>I6-'Dez24'!I6</f>
        <v>-4009835269.0899997</v>
      </c>
      <c r="AL6" s="76">
        <f>I6/'Dez24'!I6-1</f>
        <v>-0.90085502759011782</v>
      </c>
      <c r="AN6" t="s">
        <v>14</v>
      </c>
      <c r="AO6" s="2" t="s">
        <v>18</v>
      </c>
    </row>
    <row r="7" spans="1:43" x14ac:dyDescent="0.25">
      <c r="B7" t="s">
        <v>15</v>
      </c>
      <c r="C7" s="2" t="s">
        <v>19</v>
      </c>
      <c r="F7" s="7">
        <f t="shared" si="6"/>
        <v>1</v>
      </c>
      <c r="H7" s="3" t="s">
        <v>22</v>
      </c>
      <c r="I7" s="78">
        <v>2646543313.9200001</v>
      </c>
      <c r="J7" s="77">
        <v>0.27</v>
      </c>
      <c r="K7" s="78">
        <f t="shared" si="0"/>
        <v>714566694.75840008</v>
      </c>
      <c r="L7" s="77">
        <v>0.28399999999999997</v>
      </c>
      <c r="M7" s="78">
        <f t="shared" si="1"/>
        <v>751618301.1532799</v>
      </c>
      <c r="N7" s="77">
        <v>0.41399999999999998</v>
      </c>
      <c r="O7" s="78">
        <f t="shared" si="2"/>
        <v>1095668931.9628799</v>
      </c>
      <c r="P7" s="77">
        <v>3.2000000000000001E-2</v>
      </c>
      <c r="Q7" s="78">
        <f t="shared" si="3"/>
        <v>84689386.045440003</v>
      </c>
      <c r="R7" s="77"/>
      <c r="S7" s="78">
        <f t="shared" si="4"/>
        <v>0</v>
      </c>
      <c r="T7" s="77"/>
      <c r="U7" s="57">
        <f t="shared" si="5"/>
        <v>0</v>
      </c>
      <c r="Y7" s="12">
        <f>K7-'Dez24'!K7</f>
        <v>-22509440.814399958</v>
      </c>
      <c r="Z7" s="12">
        <f>M7-'Dez24'!M7</f>
        <v>-85588932.082240105</v>
      </c>
      <c r="AA7" s="12">
        <f>O7-'Dez24'!O7</f>
        <v>-22461658.60416007</v>
      </c>
      <c r="AB7" s="12">
        <f>Q7-'Dez24'!Q7</f>
        <v>1246804.6598400027</v>
      </c>
      <c r="AC7" s="12">
        <f>+S7-'Dez24'!S7</f>
        <v>0</v>
      </c>
      <c r="AE7" s="28">
        <f>J7-'Dez24'!J7</f>
        <v>5.0000000000000044E-3</v>
      </c>
      <c r="AF7" s="28">
        <f>L7-'Dez24'!L7</f>
        <v>-1.7000000000000015E-2</v>
      </c>
      <c r="AG7" s="28">
        <f>N7-'Dez24'!N7</f>
        <v>1.1999999999999955E-2</v>
      </c>
      <c r="AH7" s="28">
        <f>P7-'Dez24'!P7</f>
        <v>2.0000000000000018E-3</v>
      </c>
      <c r="AI7" s="28">
        <f>R7-'Dez24'!R7</f>
        <v>0</v>
      </c>
      <c r="AK7" s="10">
        <f>I7-'Dez24'!I7</f>
        <v>-134876065.5999999</v>
      </c>
      <c r="AL7" s="76">
        <f>I7/'Dez24'!I7-1</f>
        <v>-4.849181198387853E-2</v>
      </c>
      <c r="AN7" t="s">
        <v>15</v>
      </c>
      <c r="AO7" s="2" t="s">
        <v>19</v>
      </c>
    </row>
    <row r="8" spans="1:43" x14ac:dyDescent="0.25">
      <c r="B8" t="s">
        <v>57</v>
      </c>
      <c r="F8" s="7">
        <f t="shared" si="6"/>
        <v>1</v>
      </c>
      <c r="H8" s="3" t="s">
        <v>23</v>
      </c>
      <c r="I8" s="78">
        <v>67001166.770000003</v>
      </c>
      <c r="J8" s="77">
        <v>0.25</v>
      </c>
      <c r="K8" s="78">
        <f t="shared" si="0"/>
        <v>16750291.692500001</v>
      </c>
      <c r="L8" s="77">
        <v>0.4</v>
      </c>
      <c r="M8" s="78">
        <f t="shared" si="1"/>
        <v>26800466.708000004</v>
      </c>
      <c r="N8" s="77">
        <v>0.2</v>
      </c>
      <c r="O8" s="78">
        <f t="shared" si="2"/>
        <v>13400233.354000002</v>
      </c>
      <c r="P8" s="77">
        <v>0.1</v>
      </c>
      <c r="Q8" s="78">
        <f t="shared" si="3"/>
        <v>6700116.6770000011</v>
      </c>
      <c r="R8" s="77"/>
      <c r="S8" s="78">
        <f t="shared" si="4"/>
        <v>0</v>
      </c>
      <c r="T8" s="77">
        <v>0.05</v>
      </c>
      <c r="U8" s="57">
        <f t="shared" si="5"/>
        <v>3350058.3385000005</v>
      </c>
      <c r="Y8" s="12">
        <f>K8-'Dez24'!K8</f>
        <v>-836240692.64350009</v>
      </c>
      <c r="Z8" s="12">
        <f>M8-'Dez24'!M8</f>
        <v>-826190517.62800002</v>
      </c>
      <c r="AA8" s="12">
        <f>O8-'Dez24'!O8</f>
        <v>-652998973.15850008</v>
      </c>
      <c r="AB8" s="12">
        <f>Q8-'Dez24'!Q8</f>
        <v>-179891661.14650005</v>
      </c>
      <c r="AC8" s="12">
        <f>+S8-'Dez24'!S8</f>
        <v>0</v>
      </c>
      <c r="AE8" s="28">
        <f>J8-'Dez24'!J8</f>
        <v>-7.0000000000000007E-2</v>
      </c>
      <c r="AF8" s="28">
        <f>L8-'Dez24'!L8</f>
        <v>8.0000000000000016E-2</v>
      </c>
      <c r="AG8" s="28">
        <f>N8-'Dez24'!N8</f>
        <v>-4.9999999999999989E-2</v>
      </c>
      <c r="AH8" s="28">
        <f>P8-'Dez24'!P8</f>
        <v>0.03</v>
      </c>
      <c r="AI8" s="28">
        <f>R8-'Dez24'!R8</f>
        <v>0</v>
      </c>
      <c r="AK8" s="10">
        <f>I8-'Dez24'!I8</f>
        <v>-2598595659.2800002</v>
      </c>
      <c r="AL8" s="76">
        <f>I8/'Dez24'!I8-1</f>
        <v>-0.97486447833550083</v>
      </c>
      <c r="AN8" t="s">
        <v>57</v>
      </c>
    </row>
    <row r="9" spans="1:43" x14ac:dyDescent="0.25">
      <c r="F9" s="7">
        <f t="shared" si="6"/>
        <v>1</v>
      </c>
      <c r="H9" s="3" t="s">
        <v>24</v>
      </c>
      <c r="I9" s="78">
        <v>1653154978</v>
      </c>
      <c r="J9" s="77">
        <v>0.56240000000000001</v>
      </c>
      <c r="K9" s="78">
        <f t="shared" si="0"/>
        <v>929734359.62720001</v>
      </c>
      <c r="L9" s="77">
        <v>0.13700000000000001</v>
      </c>
      <c r="M9" s="78">
        <f t="shared" si="1"/>
        <v>226482231.98600003</v>
      </c>
      <c r="N9" s="77">
        <v>0.25009999999999999</v>
      </c>
      <c r="O9" s="78">
        <f t="shared" si="2"/>
        <v>413454059.99779999</v>
      </c>
      <c r="P9" s="77">
        <v>4.65E-2</v>
      </c>
      <c r="Q9" s="78">
        <f t="shared" si="3"/>
        <v>76871706.476999998</v>
      </c>
      <c r="R9" s="77"/>
      <c r="S9" s="78">
        <f t="shared" si="4"/>
        <v>0</v>
      </c>
      <c r="T9" s="77">
        <v>4.0000000000000001E-3</v>
      </c>
      <c r="U9" s="57">
        <f t="shared" si="5"/>
        <v>6612619.9120000005</v>
      </c>
      <c r="Y9" s="12">
        <f>K9-'Dez24'!K9</f>
        <v>-102213827.7808001</v>
      </c>
      <c r="Z9" s="12">
        <f>M9-'Dez24'!M9</f>
        <v>2319573.8180000484</v>
      </c>
      <c r="AA9" s="12">
        <f>O9-'Dez24'!O9</f>
        <v>14691472.581799984</v>
      </c>
      <c r="AB9" s="12">
        <f>Q9-'Dez24'!Q9</f>
        <v>-515712.36300000548</v>
      </c>
      <c r="AC9" s="12">
        <f>+S9-'Dez24'!S9</f>
        <v>0</v>
      </c>
      <c r="AE9" s="28">
        <f>J9-'Dez24'!J9</f>
        <v>-3.1000000000000028E-2</v>
      </c>
      <c r="AF9" s="28">
        <f>L9-'Dez24'!L9</f>
        <v>8.1000000000000238E-3</v>
      </c>
      <c r="AG9" s="28">
        <f>N9-'Dez24'!N9</f>
        <v>2.0799999999999985E-2</v>
      </c>
      <c r="AH9" s="28">
        <f>P9-'Dez24'!P9</f>
        <v>2.0000000000000018E-3</v>
      </c>
      <c r="AI9" s="28">
        <f>R9-'Dez24'!R9</f>
        <v>0</v>
      </c>
      <c r="AK9" s="10">
        <f>I9-'Dez24'!I9</f>
        <v>-85888142</v>
      </c>
      <c r="AL9" s="76">
        <f>I9/'Dez24'!I9-1</f>
        <v>-4.9388161232022831E-2</v>
      </c>
    </row>
    <row r="10" spans="1:43" x14ac:dyDescent="0.25">
      <c r="F10" s="7">
        <f t="shared" si="6"/>
        <v>0.99999999999999989</v>
      </c>
      <c r="H10" s="3" t="s">
        <v>73</v>
      </c>
      <c r="I10" s="78">
        <v>7679567985.8299999</v>
      </c>
      <c r="J10" s="77">
        <v>0.39600000000000002</v>
      </c>
      <c r="K10" s="78">
        <f t="shared" si="0"/>
        <v>3041108922.38868</v>
      </c>
      <c r="L10" s="77">
        <v>0.35</v>
      </c>
      <c r="M10" s="78">
        <f t="shared" si="1"/>
        <v>2687848795.0404997</v>
      </c>
      <c r="N10" s="77">
        <v>0.17199999999999999</v>
      </c>
      <c r="O10" s="78">
        <f t="shared" si="2"/>
        <v>1320885693.5627599</v>
      </c>
      <c r="P10" s="77">
        <v>8.2000000000000003E-2</v>
      </c>
      <c r="Q10" s="78">
        <f t="shared" si="3"/>
        <v>629724574.83806002</v>
      </c>
      <c r="R10" s="77"/>
      <c r="S10" s="78">
        <f t="shared" si="4"/>
        <v>0</v>
      </c>
      <c r="T10" s="77"/>
      <c r="U10" s="57">
        <f t="shared" si="5"/>
        <v>0</v>
      </c>
      <c r="Y10" s="12">
        <f>K10-'Dez24'!K10</f>
        <v>-6922582.4315104485</v>
      </c>
      <c r="Z10" s="12">
        <f>M10-'Dez24'!M10</f>
        <v>-230316705.81492043</v>
      </c>
      <c r="AA10" s="12">
        <f>O10-'Dez24'!O10</f>
        <v>-313898121.05258012</v>
      </c>
      <c r="AB10" s="12">
        <f>Q10-'Dez24'!Q10</f>
        <v>629724574.83806002</v>
      </c>
      <c r="AC10" s="12">
        <f>+S10-'Dez24'!S10</f>
        <v>0</v>
      </c>
      <c r="AE10" s="28">
        <f>J10-'Dez24'!J10</f>
        <v>-3.0000000000000027E-3</v>
      </c>
      <c r="AF10" s="28">
        <f>L10-'Dez24'!L10</f>
        <v>-3.2000000000000028E-2</v>
      </c>
      <c r="AG10" s="28">
        <f>N10-'Dez24'!N10</f>
        <v>-4.200000000000001E-2</v>
      </c>
      <c r="AH10" s="28">
        <f>P10-'Dez24'!P10</f>
        <v>8.2000000000000003E-2</v>
      </c>
      <c r="AI10" s="28">
        <f>R10-'Dez24'!R10</f>
        <v>0</v>
      </c>
      <c r="AJ10" s="93"/>
      <c r="AK10" s="10">
        <f>I10-'Dez24'!I10</f>
        <v>40391282.019999504</v>
      </c>
      <c r="AL10" s="76">
        <f>I10/'Dez24'!I10-1</f>
        <v>5.287386793900728E-3</v>
      </c>
    </row>
    <row r="11" spans="1:43" x14ac:dyDescent="0.25">
      <c r="F11" s="7">
        <f t="shared" si="6"/>
        <v>1</v>
      </c>
      <c r="H11" s="3" t="s">
        <v>47</v>
      </c>
      <c r="I11" s="78">
        <v>2818655223.8800001</v>
      </c>
      <c r="J11" s="77">
        <v>0.7833</v>
      </c>
      <c r="K11" s="78">
        <f t="shared" si="0"/>
        <v>2207852636.8652039</v>
      </c>
      <c r="L11" s="77">
        <v>6.54E-2</v>
      </c>
      <c r="M11" s="78">
        <f t="shared" si="1"/>
        <v>184340051.641752</v>
      </c>
      <c r="N11" s="77">
        <v>9.0499999999999997E-2</v>
      </c>
      <c r="O11" s="78">
        <f t="shared" si="2"/>
        <v>255088297.76113999</v>
      </c>
      <c r="P11" s="77"/>
      <c r="Q11" s="78">
        <f t="shared" si="3"/>
        <v>0</v>
      </c>
      <c r="R11" s="77"/>
      <c r="S11" s="78">
        <f t="shared" si="4"/>
        <v>0</v>
      </c>
      <c r="T11" s="77">
        <v>6.08E-2</v>
      </c>
      <c r="U11" s="57">
        <f t="shared" si="5"/>
        <v>171374237.611904</v>
      </c>
      <c r="Y11" s="12">
        <f>K11-'Dez24'!K11</f>
        <v>-31547445.349055767</v>
      </c>
      <c r="Z11" s="12">
        <f>M11-'Dez24'!M11</f>
        <v>-2633988.1601279676</v>
      </c>
      <c r="AA11" s="12">
        <f>O11-'Dez24'!O11</f>
        <v>-3644891.8729599714</v>
      </c>
      <c r="AB11" s="12">
        <f>Q11-'Dez24'!Q11</f>
        <v>0</v>
      </c>
      <c r="AC11" s="12">
        <f>+S11-'Dez24'!S12</f>
        <v>0</v>
      </c>
      <c r="AE11" s="28">
        <f>J11-'Dez24'!J11</f>
        <v>0</v>
      </c>
      <c r="AF11" s="28">
        <f>L11-'Dez24'!L11</f>
        <v>0</v>
      </c>
      <c r="AG11" s="28">
        <f>N11-'Dez24'!N11</f>
        <v>0</v>
      </c>
      <c r="AH11" s="28">
        <f>P11-'Dez24'!P11</f>
        <v>0</v>
      </c>
      <c r="AI11" s="28">
        <f>R11-'Dez24'!R11</f>
        <v>0</v>
      </c>
      <c r="AK11" s="10">
        <f>I11-'Dez24'!I11</f>
        <v>-40275048.319999695</v>
      </c>
      <c r="AL11" s="76">
        <f>I11/'Dez24'!I11-1</f>
        <v>-1.4087453867493993E-2</v>
      </c>
    </row>
    <row r="12" spans="1:43" x14ac:dyDescent="0.25">
      <c r="B12" t="s">
        <v>70</v>
      </c>
      <c r="F12" s="7">
        <f t="shared" si="6"/>
        <v>1</v>
      </c>
      <c r="H12" s="3" t="s">
        <v>30</v>
      </c>
      <c r="I12" s="101">
        <v>1384110000</v>
      </c>
      <c r="J12" s="77">
        <v>0.41799999999999998</v>
      </c>
      <c r="K12" s="78">
        <f t="shared" si="0"/>
        <v>578557980</v>
      </c>
      <c r="L12" s="77">
        <v>0.309</v>
      </c>
      <c r="M12" s="78">
        <f t="shared" si="1"/>
        <v>427689990</v>
      </c>
      <c r="N12" s="77">
        <v>0.25700000000000001</v>
      </c>
      <c r="O12" s="78">
        <f t="shared" si="2"/>
        <v>355716270</v>
      </c>
      <c r="P12" s="77">
        <v>1.6E-2</v>
      </c>
      <c r="Q12" s="78">
        <f t="shared" si="3"/>
        <v>22145760</v>
      </c>
      <c r="R12" s="77"/>
      <c r="S12" s="78">
        <f t="shared" si="4"/>
        <v>0</v>
      </c>
      <c r="T12" s="77"/>
      <c r="U12" s="57">
        <f t="shared" si="5"/>
        <v>0</v>
      </c>
      <c r="Y12" s="12">
        <f>K12-'Dez24'!K12</f>
        <v>-112631019.15251994</v>
      </c>
      <c r="Z12" s="12">
        <f>M12-'Dez24'!M12</f>
        <v>112085095.75887001</v>
      </c>
      <c r="AA12" s="12">
        <f>O12-'Dez24'!O12</f>
        <v>-54141669.580109954</v>
      </c>
      <c r="AB12" s="12">
        <f>Q12-'Dez24'!Q12</f>
        <v>22145760</v>
      </c>
      <c r="AC12" s="12">
        <f>+S12-'Dez24'!S12</f>
        <v>0</v>
      </c>
      <c r="AE12" s="28">
        <f>J12-'Dez24'!J12</f>
        <v>-6.6000000000000003E-2</v>
      </c>
      <c r="AF12" s="28">
        <f>L12-'Dez24'!L12</f>
        <v>8.7999999999999995E-2</v>
      </c>
      <c r="AG12" s="28">
        <f>N12-'Dez24'!N12</f>
        <v>-2.9999999999999971E-2</v>
      </c>
      <c r="AH12" s="28">
        <f>P12-'Dez24'!P12</f>
        <v>1.6E-2</v>
      </c>
      <c r="AI12" s="28">
        <f>R12-'Dez24'!R12</f>
        <v>0</v>
      </c>
      <c r="AJ12" s="93"/>
      <c r="AK12" s="10">
        <f>I12-'Dez24'!I12</f>
        <v>-43966444.529999971</v>
      </c>
      <c r="AL12" s="76">
        <f>I12/'Dez24'!I12-1</f>
        <v>-3.0787178584455899E-2</v>
      </c>
    </row>
    <row r="13" spans="1:43" x14ac:dyDescent="0.25">
      <c r="B13" t="s">
        <v>74</v>
      </c>
      <c r="F13" s="7">
        <f t="shared" si="6"/>
        <v>1</v>
      </c>
      <c r="H13" s="3" t="s">
        <v>64</v>
      </c>
      <c r="I13" s="102">
        <v>460461684.16000003</v>
      </c>
      <c r="J13" s="77">
        <v>0.51</v>
      </c>
      <c r="K13" s="78">
        <f t="shared" si="0"/>
        <v>234835458.92160001</v>
      </c>
      <c r="L13" s="77">
        <v>0.23</v>
      </c>
      <c r="M13" s="78">
        <f t="shared" si="1"/>
        <v>105906187.3568</v>
      </c>
      <c r="N13" s="77">
        <v>0.23</v>
      </c>
      <c r="O13" s="78">
        <f t="shared" si="2"/>
        <v>105906187.3568</v>
      </c>
      <c r="P13" s="77">
        <v>0.03</v>
      </c>
      <c r="Q13" s="78">
        <f t="shared" si="3"/>
        <v>13813850.524800001</v>
      </c>
      <c r="R13" s="77"/>
      <c r="S13" s="78">
        <f t="shared" si="4"/>
        <v>0</v>
      </c>
      <c r="T13" s="77"/>
      <c r="U13" s="57">
        <f t="shared" si="5"/>
        <v>0</v>
      </c>
      <c r="Y13" s="12">
        <f>K13-'Dez24'!K13</f>
        <v>10100567.275999993</v>
      </c>
      <c r="Z13" s="12">
        <f>M13-'Dez24'!M13</f>
        <v>17617479.924600005</v>
      </c>
      <c r="AA13" s="12">
        <f>O13-'Dez24'!O13</f>
        <v>29656849.119900003</v>
      </c>
      <c r="AB13" s="12">
        <f>Q13-'Dez24'!Q13</f>
        <v>1774481.3295000009</v>
      </c>
      <c r="AC13" s="12">
        <f>+S13-'Dez24'!S13</f>
        <v>0</v>
      </c>
      <c r="AE13" s="28">
        <f>J13-'Dez24'!J13</f>
        <v>-5.0000000000000044E-2</v>
      </c>
      <c r="AF13" s="28">
        <f>L13-'Dez24'!L13</f>
        <v>1.0000000000000009E-2</v>
      </c>
      <c r="AG13" s="28">
        <f>N13-'Dez24'!N13</f>
        <v>4.0000000000000008E-2</v>
      </c>
      <c r="AH13" s="28">
        <f>P13-'Dez24'!P13</f>
        <v>0</v>
      </c>
      <c r="AI13" s="28">
        <f>R13-'Dez24'!R13</f>
        <v>0</v>
      </c>
      <c r="AK13" s="10">
        <f>I13-'Dez24'!I13</f>
        <v>59149377.650000036</v>
      </c>
      <c r="AL13" s="76">
        <f>I13/'Dez24'!I13-1</f>
        <v>0.14738989233694522</v>
      </c>
    </row>
    <row r="14" spans="1:43" s="8" customFormat="1" x14ac:dyDescent="0.25">
      <c r="B14" t="s">
        <v>72</v>
      </c>
      <c r="F14" s="7">
        <f>J14+L14+N14+P14+R14+T14</f>
        <v>0.99999999999999989</v>
      </c>
      <c r="H14" s="21" t="s">
        <v>45</v>
      </c>
      <c r="I14" s="20">
        <f>SUM(I3:I13)</f>
        <v>19659351276.350002</v>
      </c>
      <c r="J14" s="15">
        <f>K14/$I$14</f>
        <v>0.45030327484704641</v>
      </c>
      <c r="K14" s="17">
        <f>SUM(K3:K13)</f>
        <v>8852670261.1088676</v>
      </c>
      <c r="L14" s="15">
        <f>M14/$I$14</f>
        <v>0.24363678441098924</v>
      </c>
      <c r="M14" s="20">
        <f>SUM(M3:M13)</f>
        <v>4789741128.5759916</v>
      </c>
      <c r="N14" s="15">
        <f>O14/$I$14</f>
        <v>0.2304495555903745</v>
      </c>
      <c r="O14" s="17">
        <f>SUM(O3:O13)</f>
        <v>4530488764.8299198</v>
      </c>
      <c r="P14" s="15">
        <f>Q14/$I$14</f>
        <v>5.4352527838870304E-2</v>
      </c>
      <c r="Q14" s="17">
        <f>SUM(Q3:Q13)</f>
        <v>1068535437.5419439</v>
      </c>
      <c r="R14" s="15">
        <f>S14/$I$14</f>
        <v>2.8509913270091439E-3</v>
      </c>
      <c r="S14" s="17">
        <f>SUM(S3:S13)</f>
        <v>56048639.983499996</v>
      </c>
      <c r="T14" s="15">
        <f>U14/$I$14</f>
        <v>1.8406865985710338E-2</v>
      </c>
      <c r="U14" s="63">
        <f>SUM(U3:U13)</f>
        <v>361867044.30977798</v>
      </c>
      <c r="Y14" s="12">
        <f>K14-'Dez24'!K14</f>
        <v>-2601378400.5165901</v>
      </c>
      <c r="Z14" s="12">
        <f>M14-'Dez24'!M14</f>
        <v>-1986769775.5563183</v>
      </c>
      <c r="AA14" s="12">
        <f>O14-'Dez24'!O14</f>
        <v>-2528175384.8291006</v>
      </c>
      <c r="AB14" s="12">
        <f>Q14-'Dez24'!Q14</f>
        <v>513402722.47296381</v>
      </c>
      <c r="AC14" s="12">
        <f>+S14-'Dez24'!S14</f>
        <v>-16766346.558299996</v>
      </c>
      <c r="AE14" s="28">
        <f>J14-'Dez24'!J14</f>
        <v>1.777322602343645E-2</v>
      </c>
      <c r="AF14" s="28">
        <f>L14-'Dez24'!L14</f>
        <v>-1.2259159355860916E-2</v>
      </c>
      <c r="AG14" s="28">
        <f>N14-'Dez24'!N14</f>
        <v>-3.6101114786139754E-2</v>
      </c>
      <c r="AH14" s="28">
        <f>P14-'Dez24'!P14</f>
        <v>3.3389496560959304E-2</v>
      </c>
      <c r="AI14" s="28">
        <f>R14-'Dez24'!R14</f>
        <v>1.0133741733684082E-4</v>
      </c>
      <c r="AK14" s="92">
        <f>I14-'Dez24'!I14</f>
        <v>-6822158373.159996</v>
      </c>
      <c r="AL14" s="76">
        <f>I14/'Dez24'!I14-1</f>
        <v>-0.25761969251198746</v>
      </c>
    </row>
    <row r="15" spans="1:43" x14ac:dyDescent="0.25">
      <c r="B15" t="s">
        <v>76</v>
      </c>
      <c r="F15" s="7"/>
      <c r="I15" s="10"/>
      <c r="J15" s="10"/>
      <c r="K15" s="10"/>
      <c r="L15" s="5"/>
      <c r="M15" s="10"/>
      <c r="N15" s="10"/>
      <c r="O15" s="10"/>
      <c r="P15" s="5"/>
      <c r="Q15" s="10"/>
    </row>
    <row r="16" spans="1:43" x14ac:dyDescent="0.25">
      <c r="B16" t="s">
        <v>42</v>
      </c>
      <c r="F16" s="7"/>
      <c r="H16" s="4" t="s">
        <v>2</v>
      </c>
      <c r="I16" s="9" t="s">
        <v>4</v>
      </c>
      <c r="J16" s="112" t="s">
        <v>7</v>
      </c>
      <c r="K16" s="112"/>
      <c r="L16" s="112" t="s">
        <v>8</v>
      </c>
      <c r="M16" s="112"/>
      <c r="N16" s="112" t="s">
        <v>10</v>
      </c>
      <c r="O16" s="112"/>
      <c r="P16" s="112" t="s">
        <v>9</v>
      </c>
      <c r="Q16" s="112"/>
      <c r="R16" s="112" t="s">
        <v>21</v>
      </c>
      <c r="S16" s="112"/>
      <c r="T16" s="112" t="s">
        <v>55</v>
      </c>
      <c r="U16" s="112"/>
      <c r="Y16" s="27" t="s">
        <v>49</v>
      </c>
      <c r="Z16" s="27" t="s">
        <v>50</v>
      </c>
      <c r="AA16" s="27" t="s">
        <v>51</v>
      </c>
      <c r="AB16" s="27" t="s">
        <v>52</v>
      </c>
      <c r="AC16" s="27" t="s">
        <v>53</v>
      </c>
      <c r="AE16" s="27" t="s">
        <v>49</v>
      </c>
      <c r="AF16" s="27" t="s">
        <v>50</v>
      </c>
      <c r="AG16" s="27" t="s">
        <v>51</v>
      </c>
      <c r="AH16" s="27" t="s">
        <v>52</v>
      </c>
      <c r="AI16" s="27" t="s">
        <v>53</v>
      </c>
    </row>
    <row r="17" spans="2:39" x14ac:dyDescent="0.25">
      <c r="B17" t="s">
        <v>66</v>
      </c>
      <c r="E17" s="98"/>
      <c r="F17" s="7">
        <f t="shared" si="6"/>
        <v>0.99999999999999989</v>
      </c>
      <c r="G17" s="99"/>
      <c r="H17" s="21" t="s">
        <v>6</v>
      </c>
      <c r="I17" s="80">
        <v>277466204.58999997</v>
      </c>
      <c r="J17" s="81">
        <v>0.2437</v>
      </c>
      <c r="K17" s="80">
        <f t="shared" ref="K17:K26" si="7">+J17*$I17</f>
        <v>67618514.058582991</v>
      </c>
      <c r="L17" s="81">
        <v>0.27279999999999999</v>
      </c>
      <c r="M17" s="80">
        <f t="shared" ref="M17:M26" si="8">+L17*$I17</f>
        <v>75692780.612151995</v>
      </c>
      <c r="N17" s="81">
        <v>0.36149999999999999</v>
      </c>
      <c r="O17" s="80">
        <f t="shared" ref="O17:O26" si="9">+N17*$I17</f>
        <v>100304032.95928499</v>
      </c>
      <c r="P17" s="81">
        <v>6.0400000000000002E-2</v>
      </c>
      <c r="Q17" s="80">
        <f t="shared" ref="Q17:Q26" si="10">+P17*$I17</f>
        <v>16758958.757235998</v>
      </c>
      <c r="R17" s="81"/>
      <c r="S17" s="80">
        <f t="shared" ref="S17:S26" si="11">+R17*$I17</f>
        <v>0</v>
      </c>
      <c r="T17" s="81">
        <v>6.1600000000000002E-2</v>
      </c>
      <c r="U17" s="79">
        <f t="shared" ref="U17:U26" si="12">+T17*$I17</f>
        <v>17091918.202744</v>
      </c>
      <c r="V17" s="98"/>
      <c r="Y17" s="12">
        <f>K17-'Dez24'!K17</f>
        <v>-3359899.7289950103</v>
      </c>
      <c r="Z17" s="12">
        <f>M17-'Dez24'!M17</f>
        <v>-5351870.7472340018</v>
      </c>
      <c r="AA17" s="12">
        <f>O17-'Dez24'!O17</f>
        <v>327991.62110096216</v>
      </c>
      <c r="AB17" s="12">
        <f>Q17-'Dez24'!Q17</f>
        <v>-170622.61353200488</v>
      </c>
      <c r="AC17" s="12">
        <f>+S17-'Dez24'!S17</f>
        <v>0</v>
      </c>
      <c r="AD17" s="98"/>
      <c r="AE17" s="28">
        <f>J17-'Dez24'!J17</f>
        <v>-4.500000000000004E-3</v>
      </c>
      <c r="AF17" s="28">
        <f>L17-'Dez24'!L17</f>
        <v>-1.0599999999999998E-2</v>
      </c>
      <c r="AG17" s="28">
        <f>N17-'Dez24'!N17</f>
        <v>1.1899999999999911E-2</v>
      </c>
      <c r="AH17" s="28">
        <f>P17-'Dez24'!P17</f>
        <v>1.1999999999999997E-3</v>
      </c>
      <c r="AI17" s="28">
        <f>R17-'Dez24'!R17</f>
        <v>0</v>
      </c>
      <c r="AJ17" s="98"/>
      <c r="AK17" s="10">
        <f>I17-'Dez24'!I17</f>
        <v>-8506453.7000000477</v>
      </c>
      <c r="AL17" s="76">
        <f>I17/'Dez24'!I17-1</f>
        <v>-2.9745688804185599E-2</v>
      </c>
      <c r="AM17" s="98"/>
    </row>
    <row r="18" spans="2:39" x14ac:dyDescent="0.25">
      <c r="F18" s="7">
        <f t="shared" si="6"/>
        <v>1</v>
      </c>
      <c r="H18" s="3" t="s">
        <v>26</v>
      </c>
      <c r="I18" s="78">
        <v>790457504.87</v>
      </c>
      <c r="J18" s="77">
        <v>0.2</v>
      </c>
      <c r="K18" s="78">
        <f t="shared" si="7"/>
        <v>158091500.97400001</v>
      </c>
      <c r="L18" s="77">
        <v>0.2</v>
      </c>
      <c r="M18" s="78">
        <f t="shared" si="8"/>
        <v>158091500.97400001</v>
      </c>
      <c r="N18" s="77">
        <v>0.4</v>
      </c>
      <c r="O18" s="78">
        <f t="shared" si="9"/>
        <v>316183001.94800001</v>
      </c>
      <c r="P18" s="77">
        <v>0.1</v>
      </c>
      <c r="Q18" s="78">
        <f t="shared" si="10"/>
        <v>79045750.487000003</v>
      </c>
      <c r="R18" s="77"/>
      <c r="S18" s="78">
        <f t="shared" si="11"/>
        <v>0</v>
      </c>
      <c r="T18" s="77">
        <v>0.1</v>
      </c>
      <c r="U18" s="57">
        <f t="shared" si="12"/>
        <v>79045750.487000003</v>
      </c>
      <c r="Y18" s="12">
        <f>K18-'Dez24'!K18</f>
        <v>-80807310.662</v>
      </c>
      <c r="Z18" s="12">
        <f>M18-'Dez24'!M18</f>
        <v>38642095.156000003</v>
      </c>
      <c r="AA18" s="12">
        <f>O18-'Dez24'!O18</f>
        <v>-26238628.063600004</v>
      </c>
      <c r="AB18" s="12">
        <f>Q18-'Dez24'!Q18</f>
        <v>-587186.72499999404</v>
      </c>
      <c r="AC18" s="12">
        <f>+S18-'Dez24'!S18</f>
        <v>0</v>
      </c>
      <c r="AE18" s="28">
        <f>J18-'Dez24'!J18</f>
        <v>-9.9999999999999978E-2</v>
      </c>
      <c r="AF18" s="28">
        <f>L18-'Dez24'!L18</f>
        <v>5.0000000000000017E-2</v>
      </c>
      <c r="AG18" s="28">
        <f>N18-'Dez24'!N18</f>
        <v>-2.9999999999999971E-2</v>
      </c>
      <c r="AH18" s="28">
        <f>P18-'Dez24'!P18</f>
        <v>0</v>
      </c>
      <c r="AI18" s="28">
        <f>R18-'Dez24'!R18</f>
        <v>0</v>
      </c>
      <c r="AK18" s="10">
        <f>I18-'Dez24'!I18</f>
        <v>-5871867.25</v>
      </c>
      <c r="AL18" s="76">
        <f>I18/'Dez24'!I18-1</f>
        <v>-7.3736665449973815E-3</v>
      </c>
    </row>
    <row r="19" spans="2:39" x14ac:dyDescent="0.25">
      <c r="F19" s="7">
        <f t="shared" si="6"/>
        <v>1</v>
      </c>
      <c r="H19" s="3" t="s">
        <v>27</v>
      </c>
      <c r="I19" s="78">
        <v>441308529.06</v>
      </c>
      <c r="J19" s="77">
        <v>0.157</v>
      </c>
      <c r="K19" s="78">
        <f t="shared" si="7"/>
        <v>69285439.062419996</v>
      </c>
      <c r="L19" s="77">
        <v>0.23699999999999999</v>
      </c>
      <c r="M19" s="78">
        <f t="shared" si="8"/>
        <v>104590121.38722</v>
      </c>
      <c r="N19" s="77">
        <v>0.53600000000000003</v>
      </c>
      <c r="O19" s="78">
        <f t="shared" si="9"/>
        <v>236541371.57616001</v>
      </c>
      <c r="P19" s="77">
        <v>4.1000000000000002E-2</v>
      </c>
      <c r="Q19" s="78">
        <f t="shared" si="10"/>
        <v>18093649.691460002</v>
      </c>
      <c r="R19" s="77"/>
      <c r="S19" s="78">
        <f t="shared" si="11"/>
        <v>0</v>
      </c>
      <c r="T19" s="77">
        <v>2.9000000000000001E-2</v>
      </c>
      <c r="U19" s="57">
        <f t="shared" si="12"/>
        <v>12797947.342740001</v>
      </c>
      <c r="Y19" s="12">
        <f>K19-'Dez24'!K19</f>
        <v>-7786496.0050200075</v>
      </c>
      <c r="Z19" s="12">
        <f>M19-'Dez24'!M19</f>
        <v>29732897.097579986</v>
      </c>
      <c r="AA19" s="12">
        <f>O19-'Dez24'!O19</f>
        <v>-46941607.982240021</v>
      </c>
      <c r="AB19" s="12">
        <f>Q19-'Dez24'!Q19</f>
        <v>18093649.691460002</v>
      </c>
      <c r="AC19" s="12">
        <f>+S19-'Dez24'!S19</f>
        <v>0</v>
      </c>
      <c r="AE19" s="28">
        <f>J19-'Dez24'!J19</f>
        <v>-1.7000000000000015E-2</v>
      </c>
      <c r="AF19" s="28">
        <f>L19-'Dez24'!L19</f>
        <v>6.7999999999999977E-2</v>
      </c>
      <c r="AG19" s="28">
        <f>N19-'Dez24'!N19</f>
        <v>-0.10399999999999998</v>
      </c>
      <c r="AH19" s="28">
        <f>P19-'Dez24'!P19</f>
        <v>4.1000000000000002E-2</v>
      </c>
      <c r="AI19" s="28">
        <f>R19-'Dez24'!R19</f>
        <v>0</v>
      </c>
      <c r="AJ19" s="93"/>
      <c r="AK19" s="10">
        <f>I19-'Dez24'!I19</f>
        <v>-1633626.5</v>
      </c>
      <c r="AL19" s="76">
        <f>I19/'Dez24'!I19-1</f>
        <v>-3.6881260442114261E-3</v>
      </c>
    </row>
    <row r="20" spans="2:39" x14ac:dyDescent="0.25">
      <c r="B20" s="1"/>
      <c r="C20" s="1" t="s">
        <v>20</v>
      </c>
      <c r="D20" s="1"/>
      <c r="F20" s="7">
        <f t="shared" si="6"/>
        <v>1</v>
      </c>
      <c r="G20" t="s">
        <v>75</v>
      </c>
      <c r="H20" s="3" t="s">
        <v>67</v>
      </c>
      <c r="I20" s="78">
        <v>1160361143.78</v>
      </c>
      <c r="J20" s="77">
        <v>0.16</v>
      </c>
      <c r="K20" s="78">
        <f t="shared" si="7"/>
        <v>185657783.00479999</v>
      </c>
      <c r="L20" s="77">
        <v>0.2</v>
      </c>
      <c r="M20" s="78">
        <f t="shared" si="8"/>
        <v>232072228.75600001</v>
      </c>
      <c r="N20" s="77">
        <v>0.49</v>
      </c>
      <c r="O20" s="78">
        <f t="shared" si="9"/>
        <v>568576960.45219994</v>
      </c>
      <c r="P20" s="77">
        <v>0.16</v>
      </c>
      <c r="Q20" s="78">
        <f t="shared" si="10"/>
        <v>185657783.00479999</v>
      </c>
      <c r="R20" s="77"/>
      <c r="S20" s="78">
        <f t="shared" si="11"/>
        <v>0</v>
      </c>
      <c r="T20" s="77">
        <v>-0.01</v>
      </c>
      <c r="U20" s="57">
        <f t="shared" si="12"/>
        <v>-11603611.437799999</v>
      </c>
      <c r="Y20" s="12">
        <f>K20-'Dez24'!K20</f>
        <v>908339.41919997334</v>
      </c>
      <c r="Z20" s="12">
        <f>M20-'Dez24'!M20</f>
        <v>1135424.273999989</v>
      </c>
      <c r="AA20" s="12">
        <f>O20-'Dez24'!O20</f>
        <v>2781789.4712998867</v>
      </c>
      <c r="AB20" s="12">
        <f>Q20-'Dez24'!Q20</f>
        <v>12455179.643299997</v>
      </c>
      <c r="AC20" s="12">
        <f>+S20-'Dez24'!S20</f>
        <v>0</v>
      </c>
      <c r="AE20" s="28">
        <f>J20-'Dez24'!J20</f>
        <v>0</v>
      </c>
      <c r="AF20" s="28">
        <f>L20-'Dez24'!L20</f>
        <v>0</v>
      </c>
      <c r="AG20" s="28">
        <f>N20-'Dez24'!N20</f>
        <v>0</v>
      </c>
      <c r="AH20" s="28">
        <f>P20-'Dez24'!P20</f>
        <v>1.0000000000000009E-2</v>
      </c>
      <c r="AI20" s="28">
        <f>R20-'Dez24'!R20</f>
        <v>0</v>
      </c>
      <c r="AJ20" s="93"/>
      <c r="AK20" s="10">
        <f>I20-'Dez24'!I20</f>
        <v>5677121.3699998856</v>
      </c>
      <c r="AL20" s="76">
        <f>I20/'Dez24'!I20-1</f>
        <v>4.9166016501647203E-3</v>
      </c>
    </row>
    <row r="21" spans="2:39" x14ac:dyDescent="0.25">
      <c r="B21" t="s">
        <v>11</v>
      </c>
      <c r="C21" s="2" t="s">
        <v>10</v>
      </c>
      <c r="D21" t="s">
        <v>7</v>
      </c>
      <c r="F21" s="7">
        <f t="shared" si="6"/>
        <v>1</v>
      </c>
      <c r="H21" s="3" t="s">
        <v>32</v>
      </c>
      <c r="I21" s="78">
        <v>211573378.80000001</v>
      </c>
      <c r="J21" s="77">
        <v>0.19</v>
      </c>
      <c r="K21" s="78">
        <f t="shared" si="7"/>
        <v>40198941.972000003</v>
      </c>
      <c r="L21" s="77">
        <v>0.12</v>
      </c>
      <c r="M21" s="78">
        <f t="shared" si="8"/>
        <v>25388805.456</v>
      </c>
      <c r="N21" s="77">
        <f>52%+3%</f>
        <v>0.55000000000000004</v>
      </c>
      <c r="O21" s="78">
        <f t="shared" si="9"/>
        <v>116365358.34000002</v>
      </c>
      <c r="P21" s="77">
        <v>0.14000000000000001</v>
      </c>
      <c r="Q21" s="78">
        <f t="shared" si="10"/>
        <v>29620273.032000005</v>
      </c>
      <c r="R21" s="77"/>
      <c r="S21" s="78">
        <f t="shared" si="11"/>
        <v>0</v>
      </c>
      <c r="T21" s="77"/>
      <c r="U21" s="57">
        <f t="shared" si="12"/>
        <v>0</v>
      </c>
      <c r="Y21" s="12">
        <f>K21-'Dez24'!K21</f>
        <v>5704849.1480000019</v>
      </c>
      <c r="Z21" s="12">
        <f>M21-'Dez24'!M21</f>
        <v>-481764.16200000048</v>
      </c>
      <c r="AA21" s="12">
        <f>O21-'Dez24'!O21</f>
        <v>-8675728.1469999701</v>
      </c>
      <c r="AB21" s="12">
        <f>Q21-'Dez24'!Q21</f>
        <v>-562058.18899999931</v>
      </c>
      <c r="AC21" s="12">
        <f>+S21-'Dez24'!S21</f>
        <v>0</v>
      </c>
      <c r="AE21" s="28">
        <f>J21-'Dez24'!J21</f>
        <v>0.03</v>
      </c>
      <c r="AF21" s="28">
        <f>L21-'Dez24'!L21</f>
        <v>0</v>
      </c>
      <c r="AG21" s="28">
        <f>N21-'Dez24'!N21</f>
        <v>-2.9999999999999916E-2</v>
      </c>
      <c r="AH21" s="28">
        <f>P21-'Dez24'!P21</f>
        <v>0</v>
      </c>
      <c r="AI21" s="28">
        <f>R21-'Dez24'!R21</f>
        <v>0</v>
      </c>
      <c r="AK21" s="10">
        <f>I21-'Dez24'!I21</f>
        <v>-4014701.349999994</v>
      </c>
      <c r="AL21" s="76">
        <f>I21/'Dez24'!I21-1</f>
        <v>-1.8622093332834933E-2</v>
      </c>
    </row>
    <row r="22" spans="2:39" x14ac:dyDescent="0.25">
      <c r="B22" t="s">
        <v>12</v>
      </c>
      <c r="C22" s="2" t="s">
        <v>16</v>
      </c>
      <c r="D22" t="s">
        <v>58</v>
      </c>
      <c r="F22" s="7">
        <f t="shared" si="6"/>
        <v>1</v>
      </c>
      <c r="H22" s="3" t="s">
        <v>33</v>
      </c>
      <c r="I22" s="78">
        <v>1040634499.01</v>
      </c>
      <c r="J22" s="77">
        <v>0.28999999999999998</v>
      </c>
      <c r="K22" s="78">
        <f t="shared" si="7"/>
        <v>301784004.71289998</v>
      </c>
      <c r="L22" s="77">
        <v>0.15</v>
      </c>
      <c r="M22" s="78">
        <f t="shared" si="8"/>
        <v>156095174.8515</v>
      </c>
      <c r="N22" s="77">
        <v>0.53</v>
      </c>
      <c r="O22" s="78">
        <f t="shared" si="9"/>
        <v>551536284.47530007</v>
      </c>
      <c r="P22" s="77">
        <v>0.02</v>
      </c>
      <c r="Q22" s="78">
        <f t="shared" si="10"/>
        <v>20812689.9802</v>
      </c>
      <c r="R22" s="77"/>
      <c r="S22" s="78">
        <f t="shared" si="11"/>
        <v>0</v>
      </c>
      <c r="T22" s="77">
        <v>0.01</v>
      </c>
      <c r="U22" s="57">
        <f t="shared" si="12"/>
        <v>10406344.9901</v>
      </c>
      <c r="Y22" s="12">
        <f>K22-'Dez24'!K22</f>
        <v>-3230590.2357000113</v>
      </c>
      <c r="Z22" s="12">
        <f>M22-'Dez24'!M22</f>
        <v>-1670994.9494999945</v>
      </c>
      <c r="AA22" s="12">
        <f>O22-'Dez24'!O22</f>
        <v>-5904182.1548999548</v>
      </c>
      <c r="AB22" s="12">
        <f>Q22-'Dez24'!Q22</f>
        <v>-222799.32660000026</v>
      </c>
      <c r="AC22" s="12">
        <f>+S22-'Dez24'!S22</f>
        <v>0</v>
      </c>
      <c r="AE22" s="28">
        <f>J22-'Dez24'!J22</f>
        <v>0</v>
      </c>
      <c r="AF22" s="28">
        <f>L22-'Dez24'!L22</f>
        <v>0</v>
      </c>
      <c r="AG22" s="28">
        <f>N22-'Dez24'!N22</f>
        <v>0</v>
      </c>
      <c r="AH22" s="28">
        <f>P22-'Dez24'!P22</f>
        <v>0</v>
      </c>
      <c r="AI22" s="28">
        <f>R22-'Dez24'!R22</f>
        <v>0</v>
      </c>
      <c r="AK22" s="10">
        <f>I22-'Dez24'!I22</f>
        <v>-11139966.330000043</v>
      </c>
      <c r="AL22" s="76">
        <f>I22/'Dez24'!I22-1</f>
        <v>-1.0591592301491093E-2</v>
      </c>
    </row>
    <row r="23" spans="2:39" x14ac:dyDescent="0.25">
      <c r="B23" t="s">
        <v>13</v>
      </c>
      <c r="C23" s="2" t="s">
        <v>17</v>
      </c>
      <c r="D23" t="s">
        <v>59</v>
      </c>
      <c r="F23" s="7">
        <f t="shared" si="6"/>
        <v>1</v>
      </c>
      <c r="H23" s="3" t="s">
        <v>68</v>
      </c>
      <c r="I23" s="78">
        <v>219841382.28999999</v>
      </c>
      <c r="J23" s="77">
        <v>0.42080000000000001</v>
      </c>
      <c r="K23" s="78">
        <f t="shared" si="7"/>
        <v>92509253.667631999</v>
      </c>
      <c r="L23" s="77">
        <v>0.1198</v>
      </c>
      <c r="M23" s="78">
        <f t="shared" si="8"/>
        <v>26336997.598342001</v>
      </c>
      <c r="N23" s="77">
        <v>0.36120000000000002</v>
      </c>
      <c r="O23" s="78">
        <f t="shared" si="9"/>
        <v>79406707.283148006</v>
      </c>
      <c r="P23" s="77">
        <v>9.6600000000000005E-2</v>
      </c>
      <c r="Q23" s="78">
        <f t="shared" si="10"/>
        <v>21236677.529214002</v>
      </c>
      <c r="R23" s="77"/>
      <c r="S23" s="78">
        <f t="shared" si="11"/>
        <v>0</v>
      </c>
      <c r="T23" s="77">
        <v>1.6000000000000001E-3</v>
      </c>
      <c r="U23" s="57">
        <f t="shared" si="12"/>
        <v>351746.211664</v>
      </c>
      <c r="Y23" s="12">
        <f>K23-'Dez24'!K23</f>
        <v>-1924007.7806230038</v>
      </c>
      <c r="Z23" s="12">
        <f>M23-'Dez24'!M23</f>
        <v>411539.07940200344</v>
      </c>
      <c r="AA23" s="12">
        <f>O23-'Dez24'!O23</f>
        <v>303089.82262802124</v>
      </c>
      <c r="AB23" s="12">
        <f>Q23-'Dez24'!Q23</f>
        <v>-220399.91393599659</v>
      </c>
      <c r="AC23" s="12">
        <f>+S23-'Dez24'!S23</f>
        <v>0</v>
      </c>
      <c r="AE23" s="28">
        <f>J23-'Dez24'!J23</f>
        <v>-6.0999999999999943E-3</v>
      </c>
      <c r="AF23" s="28">
        <f>L23-'Dez24'!L23</f>
        <v>2.6000000000000051E-3</v>
      </c>
      <c r="AG23" s="28">
        <f>N23-'Dez24'!N23</f>
        <v>3.6000000000000476E-3</v>
      </c>
      <c r="AH23" s="28">
        <f>P23-'Dez24'!P23</f>
        <v>-3.9999999999999758E-4</v>
      </c>
      <c r="AI23" s="28">
        <f>R23-'Dez24'!R23</f>
        <v>0</v>
      </c>
      <c r="AJ23" s="93"/>
      <c r="AK23" s="10">
        <f>I23-'Dez24'!I23</f>
        <v>-1365601.6599999964</v>
      </c>
      <c r="AL23" s="76">
        <f>I23/'Dez24'!I23-1</f>
        <v>-6.1734111446891671E-3</v>
      </c>
    </row>
    <row r="24" spans="2:39" x14ac:dyDescent="0.25">
      <c r="B24" t="s">
        <v>14</v>
      </c>
      <c r="C24" s="2" t="s">
        <v>18</v>
      </c>
      <c r="F24" s="7">
        <f t="shared" si="6"/>
        <v>1</v>
      </c>
      <c r="H24" s="3" t="s">
        <v>35</v>
      </c>
      <c r="I24" s="78">
        <v>409111906.73000002</v>
      </c>
      <c r="J24" s="77">
        <v>0.127</v>
      </c>
      <c r="K24" s="78">
        <f t="shared" si="7"/>
        <v>51957212.154710002</v>
      </c>
      <c r="L24" s="77">
        <v>0.43099999999999999</v>
      </c>
      <c r="M24" s="78">
        <f t="shared" si="8"/>
        <v>176327231.80063</v>
      </c>
      <c r="N24" s="77">
        <v>0.35799999999999998</v>
      </c>
      <c r="O24" s="78">
        <f t="shared" si="9"/>
        <v>146462062.60934001</v>
      </c>
      <c r="P24" s="77">
        <v>8.4000000000000005E-2</v>
      </c>
      <c r="Q24" s="78">
        <f t="shared" si="10"/>
        <v>34365400.165320002</v>
      </c>
      <c r="R24" s="77"/>
      <c r="S24" s="78">
        <f t="shared" si="11"/>
        <v>0</v>
      </c>
      <c r="T24" s="77"/>
      <c r="U24" s="57">
        <f t="shared" si="12"/>
        <v>0</v>
      </c>
      <c r="Y24" s="12">
        <f>K24-'Dez24'!K24</f>
        <v>-23733366.47880999</v>
      </c>
      <c r="Z24" s="12">
        <f>M24-'Dez24'!M24</f>
        <v>-7126204.5484099984</v>
      </c>
      <c r="AA24" s="12">
        <f>O24-'Dez24'!O24</f>
        <v>6626925.8118200004</v>
      </c>
      <c r="AB24" s="12">
        <f>Q24-'Dez24'!Q24</f>
        <v>5714164.1854000017</v>
      </c>
      <c r="AC24" s="12">
        <f>+S24-'Dez24'!S24</f>
        <v>0</v>
      </c>
      <c r="AE24" s="28">
        <f>J24-'Dez24'!J24</f>
        <v>-4.9999999999999989E-2</v>
      </c>
      <c r="AF24" s="28">
        <f>L24-'Dez24'!L24</f>
        <v>2.0000000000000018E-3</v>
      </c>
      <c r="AG24" s="28">
        <f>N24-'Dez24'!N24</f>
        <v>3.0999999999999972E-2</v>
      </c>
      <c r="AH24" s="28">
        <f>P24-'Dez24'!P24</f>
        <v>1.7000000000000001E-2</v>
      </c>
      <c r="AI24" s="28">
        <f>R24-'Dez24'!R24</f>
        <v>0</v>
      </c>
      <c r="AJ24" s="93"/>
      <c r="AK24" s="10">
        <f>I24-'Dez24'!I24</f>
        <v>-18518481.029999971</v>
      </c>
      <c r="AL24" s="76">
        <f>I24/'Dez24'!I24-1</f>
        <v>-4.3304876267102776E-2</v>
      </c>
    </row>
    <row r="25" spans="2:39" x14ac:dyDescent="0.25">
      <c r="B25" t="s">
        <v>15</v>
      </c>
      <c r="C25" s="2" t="s">
        <v>19</v>
      </c>
      <c r="F25" s="7">
        <f t="shared" si="6"/>
        <v>1</v>
      </c>
      <c r="H25" s="3" t="s">
        <v>36</v>
      </c>
      <c r="I25" s="78">
        <v>780897099.32000005</v>
      </c>
      <c r="J25" s="77">
        <v>0.17</v>
      </c>
      <c r="K25" s="78">
        <f t="shared" si="7"/>
        <v>132752506.88440003</v>
      </c>
      <c r="L25" s="77">
        <v>0.2</v>
      </c>
      <c r="M25" s="78">
        <f t="shared" si="8"/>
        <v>156179419.86400002</v>
      </c>
      <c r="N25" s="77">
        <v>0.5</v>
      </c>
      <c r="O25" s="78">
        <f t="shared" si="9"/>
        <v>390448549.66000003</v>
      </c>
      <c r="P25" s="77">
        <v>0.08</v>
      </c>
      <c r="Q25" s="78">
        <f t="shared" si="10"/>
        <v>62471767.945600003</v>
      </c>
      <c r="R25" s="77"/>
      <c r="S25" s="78">
        <f t="shared" si="11"/>
        <v>0</v>
      </c>
      <c r="T25" s="77">
        <v>0.05</v>
      </c>
      <c r="U25" s="57">
        <f t="shared" si="12"/>
        <v>39044854.966000006</v>
      </c>
      <c r="Y25" s="12">
        <f>K25-'Dez24'!K25</f>
        <v>-37412067.226999983</v>
      </c>
      <c r="Z25" s="12">
        <f>M25-'Dez24'!M25</f>
        <v>16953859.227400035</v>
      </c>
      <c r="AA25" s="12">
        <f>O25-'Dez24'!O25</f>
        <v>-19493378.881099999</v>
      </c>
      <c r="AB25" s="12">
        <f>Q25-'Dez24'!Q25</f>
        <v>8328494.364699997</v>
      </c>
      <c r="AC25" s="12">
        <f>+S25-'Dez24'!S25</f>
        <v>0</v>
      </c>
      <c r="AE25" s="28">
        <f>J25-'Dez24'!J25</f>
        <v>-4.9999999999999989E-2</v>
      </c>
      <c r="AF25" s="28">
        <f>L25-'Dez24'!L25</f>
        <v>2.0000000000000018E-2</v>
      </c>
      <c r="AG25" s="28">
        <f>N25-'Dez24'!N25</f>
        <v>-3.0000000000000027E-2</v>
      </c>
      <c r="AH25" s="28">
        <f>P25-'Dez24'!P25</f>
        <v>9.999999999999995E-3</v>
      </c>
      <c r="AI25" s="28">
        <f>R25-'Dez24'!R25</f>
        <v>0</v>
      </c>
      <c r="AJ25" s="93"/>
      <c r="AK25" s="10">
        <f>I25-'Dez24'!I25</f>
        <v>7421762.4500000477</v>
      </c>
      <c r="AL25" s="76">
        <f>I25/'Dez24'!I25-1</f>
        <v>9.5953446686916077E-3</v>
      </c>
    </row>
    <row r="26" spans="2:39" x14ac:dyDescent="0.25">
      <c r="B26" t="s">
        <v>57</v>
      </c>
      <c r="F26" s="7">
        <f>J26+L26+N26+P26+R26+T26</f>
        <v>1</v>
      </c>
      <c r="H26" s="3" t="s">
        <v>65</v>
      </c>
      <c r="I26" s="78">
        <v>978178583.54999995</v>
      </c>
      <c r="J26" s="77">
        <v>0.26</v>
      </c>
      <c r="K26" s="78">
        <f t="shared" si="7"/>
        <v>254326431.72299999</v>
      </c>
      <c r="L26" s="77">
        <v>0.15</v>
      </c>
      <c r="M26" s="78">
        <f t="shared" si="8"/>
        <v>146726787.5325</v>
      </c>
      <c r="N26" s="77">
        <v>0.5</v>
      </c>
      <c r="O26" s="78">
        <f t="shared" si="9"/>
        <v>489089291.77499998</v>
      </c>
      <c r="P26" s="77">
        <v>0.09</v>
      </c>
      <c r="Q26" s="78">
        <f t="shared" si="10"/>
        <v>88036072.519499987</v>
      </c>
      <c r="R26" s="77"/>
      <c r="S26" s="78">
        <f t="shared" si="11"/>
        <v>0</v>
      </c>
      <c r="T26" s="77"/>
      <c r="U26" s="57">
        <f t="shared" si="12"/>
        <v>0</v>
      </c>
      <c r="Y26" s="12">
        <f>K26-'Dez24'!K26</f>
        <v>-14402370.483099997</v>
      </c>
      <c r="Z26" s="12">
        <f>M26-'Dez24'!M26</f>
        <v>7729131.2190000117</v>
      </c>
      <c r="AA26" s="12">
        <f>O26-'Dez24'!O26</f>
        <v>62829812.413599968</v>
      </c>
      <c r="AB26" s="12">
        <f>Q26-'Dez24'!Q26</f>
        <v>4637478.7313999832</v>
      </c>
      <c r="AC26" s="12">
        <f>+S26-'Dez24'!S26</f>
        <v>0</v>
      </c>
      <c r="AE26" s="28">
        <f>J26-'Dez24'!J26</f>
        <v>-2.9999999999999971E-2</v>
      </c>
      <c r="AF26" s="28">
        <f>L26-'Dez24'!L26</f>
        <v>0</v>
      </c>
      <c r="AG26" s="28">
        <f>N26-'Dez24'!N26</f>
        <v>3.999999999999998E-2</v>
      </c>
      <c r="AH26" s="28">
        <f>P26-'Dez24'!P26</f>
        <v>0</v>
      </c>
      <c r="AI26" s="28">
        <f>R26-'Dez24'!R26</f>
        <v>0</v>
      </c>
      <c r="AK26" s="10">
        <f>I26-'Dez24'!I26</f>
        <v>51527541.459999919</v>
      </c>
      <c r="AL26" s="76">
        <f>I26/'Dez24'!I26-1</f>
        <v>5.560619814745249E-2</v>
      </c>
    </row>
    <row r="27" spans="2:39" s="8" customFormat="1" x14ac:dyDescent="0.25">
      <c r="B27"/>
      <c r="C27"/>
      <c r="D27" s="8" t="s">
        <v>75</v>
      </c>
      <c r="F27" s="7">
        <f t="shared" si="6"/>
        <v>0.99999999999999989</v>
      </c>
      <c r="H27" s="21" t="s">
        <v>45</v>
      </c>
      <c r="I27" s="20">
        <f>SUM(I17:I26)</f>
        <v>6309830232.000001</v>
      </c>
      <c r="J27" s="15">
        <f>K27/$I$27</f>
        <v>0.21461458366134453</v>
      </c>
      <c r="K27" s="63">
        <f>SUM(K17:K26)</f>
        <v>1354181588.2144451</v>
      </c>
      <c r="L27" s="15">
        <f>M27/$I$27</f>
        <v>0.19929237437403433</v>
      </c>
      <c r="M27" s="62">
        <f>SUM(M17:M26)</f>
        <v>1257501048.8323441</v>
      </c>
      <c r="N27" s="15">
        <f>O27/$I$27</f>
        <v>0.47464250399160862</v>
      </c>
      <c r="O27" s="63">
        <f>SUM(O17:O26)</f>
        <v>2994913621.078433</v>
      </c>
      <c r="P27" s="15">
        <f>Q27/$I$27</f>
        <v>8.8132168801008381E-2</v>
      </c>
      <c r="Q27" s="63">
        <f>SUM(Q17:Q26)</f>
        <v>556099023.11232996</v>
      </c>
      <c r="R27" s="15">
        <f>S27/$I$27</f>
        <v>0</v>
      </c>
      <c r="S27" s="63">
        <f>SUM(S17:S26)</f>
        <v>0</v>
      </c>
      <c r="T27" s="15">
        <f>U27/$I$27</f>
        <v>2.3318369172004055E-2</v>
      </c>
      <c r="U27" s="17">
        <f>SUM(U17:U26)</f>
        <v>147134950.76244801</v>
      </c>
      <c r="Y27" s="12">
        <f>K27-'Dez24'!K27</f>
        <v>-166042920.03404808</v>
      </c>
      <c r="Z27" s="12">
        <f>M27-'Dez24'!M27</f>
        <v>79974111.646238089</v>
      </c>
      <c r="AA27" s="12">
        <f>O27-'Dez24'!O27</f>
        <v>-34383916.088391304</v>
      </c>
      <c r="AB27" s="12">
        <f>Q27-'Dez24'!Q27</f>
        <v>47465899.848191917</v>
      </c>
      <c r="AC27" s="12">
        <f>+S27-'Dez24'!S27</f>
        <v>0</v>
      </c>
      <c r="AE27" s="28">
        <f>J27-'Dez24'!J27</f>
        <v>-2.6834440858282904E-2</v>
      </c>
      <c r="AF27" s="28">
        <f>L27-'Dez24'!L27</f>
        <v>1.2272148883302636E-2</v>
      </c>
      <c r="AG27" s="28">
        <f>N27-'Dez24'!N27</f>
        <v>-6.4844159863732265E-3</v>
      </c>
      <c r="AH27" s="28">
        <f>P27-'Dez24'!P27</f>
        <v>7.3487247872091876E-3</v>
      </c>
      <c r="AI27" s="28">
        <f>R27-'Dez24'!R27</f>
        <v>0</v>
      </c>
      <c r="AK27" s="92">
        <f>I27-'Dez24'!I27</f>
        <v>13575727.460000992</v>
      </c>
      <c r="AL27" s="76">
        <f>I27/'Dez24'!I27-1</f>
        <v>2.1561592610672697E-3</v>
      </c>
    </row>
    <row r="28" spans="2:39" x14ac:dyDescent="0.25">
      <c r="F28" s="7"/>
      <c r="I28" s="10"/>
      <c r="J28" s="10"/>
      <c r="K28" s="10"/>
      <c r="L28" s="5"/>
      <c r="M28" s="10"/>
      <c r="N28" s="10"/>
      <c r="O28" s="10"/>
      <c r="P28" s="5"/>
      <c r="Q28" s="10"/>
    </row>
    <row r="29" spans="2:39" x14ac:dyDescent="0.25">
      <c r="F29" s="7"/>
      <c r="H29" s="4" t="s">
        <v>38</v>
      </c>
      <c r="I29" s="9" t="s">
        <v>4</v>
      </c>
      <c r="J29" s="113" t="s">
        <v>7</v>
      </c>
      <c r="K29" s="113"/>
      <c r="L29" s="112" t="s">
        <v>8</v>
      </c>
      <c r="M29" s="112"/>
      <c r="N29" s="112" t="s">
        <v>10</v>
      </c>
      <c r="O29" s="112"/>
      <c r="P29" s="112" t="s">
        <v>9</v>
      </c>
      <c r="Q29" s="112"/>
      <c r="R29" s="112" t="s">
        <v>40</v>
      </c>
      <c r="S29" s="112"/>
      <c r="T29" s="112" t="s">
        <v>55</v>
      </c>
      <c r="U29" s="112"/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  <c r="AE29" s="27" t="s">
        <v>49</v>
      </c>
      <c r="AF29" s="27" t="s">
        <v>50</v>
      </c>
      <c r="AG29" s="27" t="s">
        <v>51</v>
      </c>
      <c r="AH29" s="27" t="s">
        <v>52</v>
      </c>
      <c r="AI29" s="27" t="s">
        <v>54</v>
      </c>
    </row>
    <row r="30" spans="2:39" x14ac:dyDescent="0.25">
      <c r="E30" s="98"/>
      <c r="F30" s="7">
        <f>J30+L30+N30+P30+R30+T30</f>
        <v>1</v>
      </c>
      <c r="G30" s="98"/>
      <c r="H30" s="21" t="s">
        <v>39</v>
      </c>
      <c r="I30" s="87">
        <v>242541373.16999999</v>
      </c>
      <c r="J30" s="81">
        <f>0.39%+9.44%</f>
        <v>9.8299999999999998E-2</v>
      </c>
      <c r="K30" s="80">
        <f t="shared" ref="K30:K35" si="13">+J30*$I30</f>
        <v>23841816.982610997</v>
      </c>
      <c r="L30" s="81">
        <v>0.21920000000000001</v>
      </c>
      <c r="M30" s="80">
        <f t="shared" ref="M30:M35" si="14">+L30*$I30</f>
        <v>53165068.998863995</v>
      </c>
      <c r="N30" s="81">
        <v>0.50890000000000002</v>
      </c>
      <c r="O30" s="80">
        <f t="shared" ref="O30:O35" si="15">+N30*$I30</f>
        <v>123429304.80621299</v>
      </c>
      <c r="P30" s="81">
        <v>9.7500000000000003E-2</v>
      </c>
      <c r="Q30" s="80">
        <f t="shared" ref="Q30:Q35" si="16">+P30*$I30</f>
        <v>23647783.884075001</v>
      </c>
      <c r="R30" s="88">
        <v>3.7100000000000001E-2</v>
      </c>
      <c r="S30" s="80">
        <f t="shared" ref="S30:S35" si="17">+R30*$I30</f>
        <v>8998284.9446069989</v>
      </c>
      <c r="T30" s="81">
        <v>3.9E-2</v>
      </c>
      <c r="U30" s="65">
        <f t="shared" ref="U30:U35" si="18">+T30*$I30</f>
        <v>9459113.55363</v>
      </c>
      <c r="V30" s="98"/>
      <c r="Y30" s="12">
        <f>K30-'Dez24'!K30</f>
        <v>5552595.6054109968</v>
      </c>
      <c r="Z30" s="12">
        <f>M30-'Dez24'!M30</f>
        <v>-2665185.7315360084</v>
      </c>
      <c r="AA30" s="12">
        <f>O30-'Dez24'!O30</f>
        <v>699003.45921298862</v>
      </c>
      <c r="AB30" s="12">
        <f>Q30-'Dez24'!Q30</f>
        <v>-176333.43622500077</v>
      </c>
      <c r="AC30" s="12">
        <f>+S30-'Dez24'!S30</f>
        <v>-627621.04339300096</v>
      </c>
      <c r="AD30" s="98"/>
      <c r="AE30" s="28">
        <f>J30-'Dez24'!J30</f>
        <v>2.23E-2</v>
      </c>
      <c r="AF30" s="28">
        <f>L30-'Dez24'!L30</f>
        <v>-1.2800000000000006E-2</v>
      </c>
      <c r="AG30" s="28">
        <f>N30-'Dez24'!N30</f>
        <v>-1.0999999999999899E-3</v>
      </c>
      <c r="AH30" s="28">
        <f>P30-'Dez24'!P30</f>
        <v>-1.5000000000000013E-3</v>
      </c>
      <c r="AI30" s="28">
        <f>R30-'Dez24'!R30</f>
        <v>-2.8999999999999998E-3</v>
      </c>
      <c r="AJ30" s="98"/>
      <c r="AK30" s="10">
        <f>I30-'Dez24'!I30</f>
        <v>1893723.4699999988</v>
      </c>
      <c r="AL30" s="76">
        <f>I30/'Dez24'!I30-1</f>
        <v>7.8692788911953748E-3</v>
      </c>
      <c r="AM30" s="98"/>
    </row>
    <row r="31" spans="2:39" hidden="1" outlineLevel="1" x14ac:dyDescent="0.25">
      <c r="F31" s="7">
        <f t="shared" si="6"/>
        <v>0</v>
      </c>
      <c r="H31" s="3" t="s">
        <v>56</v>
      </c>
      <c r="I31" s="78"/>
      <c r="J31" s="77"/>
      <c r="K31" s="78">
        <f t="shared" si="13"/>
        <v>0</v>
      </c>
      <c r="L31" s="77"/>
      <c r="M31" s="78">
        <f t="shared" si="14"/>
        <v>0</v>
      </c>
      <c r="N31" s="77"/>
      <c r="O31" s="78">
        <f t="shared" si="15"/>
        <v>0</v>
      </c>
      <c r="P31" s="77"/>
      <c r="Q31" s="78">
        <f t="shared" si="16"/>
        <v>0</v>
      </c>
      <c r="R31" s="77"/>
      <c r="S31" s="78">
        <f t="shared" si="17"/>
        <v>0</v>
      </c>
      <c r="T31" s="77"/>
      <c r="U31" s="72">
        <f t="shared" si="18"/>
        <v>0</v>
      </c>
      <c r="Y31" s="12">
        <f>K31-'Dez24'!K31</f>
        <v>0</v>
      </c>
      <c r="Z31" s="12">
        <f>M31-'Dez24'!M31</f>
        <v>0</v>
      </c>
      <c r="AA31" s="12">
        <f>O31-'Dez24'!O31</f>
        <v>0</v>
      </c>
      <c r="AB31" s="12">
        <f>Q31-'Dez24'!Q31</f>
        <v>0</v>
      </c>
      <c r="AC31" s="12">
        <f>+S31-'Dez24'!S31</f>
        <v>0</v>
      </c>
      <c r="AE31" s="28">
        <f>J31-'Dez24'!J31</f>
        <v>0</v>
      </c>
      <c r="AF31" s="28">
        <f>L31-'Dez24'!L31</f>
        <v>0</v>
      </c>
      <c r="AG31" s="28">
        <f>N31-'Dez24'!N31</f>
        <v>0</v>
      </c>
      <c r="AH31" s="28">
        <f>P31-'Dez24'!P31</f>
        <v>0</v>
      </c>
      <c r="AI31" s="28">
        <f>R31-'Dez24'!R31</f>
        <v>0</v>
      </c>
      <c r="AK31" s="10">
        <f>I31-'Dez24'!I31</f>
        <v>0</v>
      </c>
      <c r="AL31" s="76" t="e">
        <f>I31/'Dez24'!I31-1</f>
        <v>#DIV/0!</v>
      </c>
    </row>
    <row r="32" spans="2:39" collapsed="1" x14ac:dyDescent="0.25">
      <c r="F32" s="7">
        <f t="shared" si="6"/>
        <v>1</v>
      </c>
      <c r="H32" s="3" t="s">
        <v>42</v>
      </c>
      <c r="I32" s="84">
        <v>259184499</v>
      </c>
      <c r="J32" s="77">
        <v>0.05</v>
      </c>
      <c r="K32" s="78">
        <f t="shared" si="13"/>
        <v>12959224.950000001</v>
      </c>
      <c r="L32" s="77">
        <v>0.12</v>
      </c>
      <c r="M32" s="78">
        <f t="shared" si="14"/>
        <v>31102139.879999999</v>
      </c>
      <c r="N32" s="77">
        <v>0.78</v>
      </c>
      <c r="O32" s="78">
        <f t="shared" si="15"/>
        <v>202163909.22</v>
      </c>
      <c r="P32" s="77">
        <v>0.05</v>
      </c>
      <c r="Q32" s="78">
        <f t="shared" si="16"/>
        <v>12959224.950000001</v>
      </c>
      <c r="R32" s="77"/>
      <c r="S32" s="78">
        <f t="shared" si="17"/>
        <v>0</v>
      </c>
      <c r="T32" s="77"/>
      <c r="U32" s="72">
        <f t="shared" si="18"/>
        <v>0</v>
      </c>
      <c r="Y32" s="12">
        <f>K32-'Dez24'!K32</f>
        <v>-25780439.699999996</v>
      </c>
      <c r="Z32" s="12">
        <f>M32-'Dez24'!M32</f>
        <v>-12802813.390000004</v>
      </c>
      <c r="AA32" s="12">
        <f>O32-'Dez24'!O32</f>
        <v>98858136.819999993</v>
      </c>
      <c r="AB32" s="12">
        <f>Q32-'Dez24'!Q32</f>
        <v>5211292.0200000014</v>
      </c>
      <c r="AC32" s="12">
        <f>+S32-'Dez24'!S32</f>
        <v>-51652886.200000003</v>
      </c>
      <c r="AE32" s="28">
        <f>J32-'Dez24'!J32</f>
        <v>-9.9999999999999992E-2</v>
      </c>
      <c r="AF32" s="28">
        <f>L32-'Dez24'!L32</f>
        <v>-5.0000000000000017E-2</v>
      </c>
      <c r="AG32" s="28">
        <f>N32-'Dez24'!N32</f>
        <v>0.38</v>
      </c>
      <c r="AH32" s="28">
        <f>P32-'Dez24'!P32</f>
        <v>2.0000000000000004E-2</v>
      </c>
      <c r="AI32" s="28">
        <f>R32-'Dez24'!R32</f>
        <v>-0.2</v>
      </c>
      <c r="AK32" s="10">
        <f>I32-'Dez24'!I32</f>
        <v>920068</v>
      </c>
      <c r="AL32" s="76">
        <f>I32/'Dez24'!I32-1</f>
        <v>3.562503734786393E-3</v>
      </c>
    </row>
    <row r="33" spans="6:38" x14ac:dyDescent="0.25">
      <c r="F33" s="7">
        <f t="shared" si="6"/>
        <v>1</v>
      </c>
      <c r="H33" s="3" t="s">
        <v>69</v>
      </c>
      <c r="I33" s="84">
        <v>492686547.75</v>
      </c>
      <c r="J33" s="77">
        <v>0.16</v>
      </c>
      <c r="K33" s="78">
        <f t="shared" si="13"/>
        <v>78829847.640000001</v>
      </c>
      <c r="L33" s="77">
        <v>0.06</v>
      </c>
      <c r="M33" s="78">
        <f t="shared" si="14"/>
        <v>29561192.864999998</v>
      </c>
      <c r="N33" s="77">
        <v>0.62</v>
      </c>
      <c r="O33" s="78">
        <f t="shared" si="15"/>
        <v>305465659.60500002</v>
      </c>
      <c r="P33" s="77">
        <v>0.16</v>
      </c>
      <c r="Q33" s="78">
        <f t="shared" si="16"/>
        <v>78829847.640000001</v>
      </c>
      <c r="R33" s="77"/>
      <c r="S33" s="78">
        <f t="shared" si="17"/>
        <v>0</v>
      </c>
      <c r="T33" s="77"/>
      <c r="U33" s="72">
        <f t="shared" si="18"/>
        <v>0</v>
      </c>
      <c r="Y33" s="12">
        <f>K33-'Dez24'!K33</f>
        <v>4607557.5090000033</v>
      </c>
      <c r="Z33" s="12">
        <f>M33-'Dez24'!M33</f>
        <v>-127723.18740000203</v>
      </c>
      <c r="AA33" s="12">
        <f>O33-'Dez24'!O33</f>
        <v>-1319806.2698000073</v>
      </c>
      <c r="AB33" s="12">
        <f>Q33-'Dez24'!Q33</f>
        <v>-340595.16640000045</v>
      </c>
      <c r="AC33" s="12">
        <f>+S33-'Dez24'!S33</f>
        <v>0</v>
      </c>
      <c r="AE33" s="28">
        <f>J33-'Dez24'!J33</f>
        <v>1.0000000000000009E-2</v>
      </c>
      <c r="AF33" s="28">
        <f>L33-'Dez24'!L33</f>
        <v>0</v>
      </c>
      <c r="AG33" s="28">
        <f>N33-'Dez24'!N33</f>
        <v>0</v>
      </c>
      <c r="AH33" s="28">
        <f>P33-'Dez24'!P33</f>
        <v>0</v>
      </c>
      <c r="AI33" s="28">
        <f>R33-'Dez24'!R33</f>
        <v>0</v>
      </c>
      <c r="AK33" s="10">
        <f>I33-'Dez24'!I33</f>
        <v>-2128719.7900000215</v>
      </c>
      <c r="AL33" s="76">
        <f>I33/'Dez24'!I33-1</f>
        <v>-4.3020495317031004E-3</v>
      </c>
    </row>
    <row r="34" spans="6:38" x14ac:dyDescent="0.25">
      <c r="F34" s="7">
        <f t="shared" si="6"/>
        <v>1</v>
      </c>
      <c r="H34" s="3" t="s">
        <v>44</v>
      </c>
      <c r="I34" s="84">
        <v>65479959.030000001</v>
      </c>
      <c r="J34" s="77">
        <v>0.1</v>
      </c>
      <c r="K34" s="78">
        <f t="shared" si="13"/>
        <v>6547995.9030000009</v>
      </c>
      <c r="L34" s="77">
        <v>0.05</v>
      </c>
      <c r="M34" s="78">
        <f t="shared" si="14"/>
        <v>3273997.9515000004</v>
      </c>
      <c r="N34" s="77">
        <v>0.6</v>
      </c>
      <c r="O34" s="78">
        <f t="shared" si="15"/>
        <v>39287975.417999998</v>
      </c>
      <c r="P34" s="77">
        <v>0.05</v>
      </c>
      <c r="Q34" s="78">
        <f t="shared" si="16"/>
        <v>3273997.9515000004</v>
      </c>
      <c r="R34" s="77">
        <v>0.1</v>
      </c>
      <c r="S34" s="78">
        <f t="shared" si="17"/>
        <v>6547995.9030000009</v>
      </c>
      <c r="T34" s="77">
        <v>0.1</v>
      </c>
      <c r="U34" s="72">
        <f t="shared" si="18"/>
        <v>6547995.9030000009</v>
      </c>
      <c r="Y34" s="12">
        <f>K34-'Dez24'!K34</f>
        <v>-6646698.3650000002</v>
      </c>
      <c r="Z34" s="12">
        <f>M34-'Dez24'!M34</f>
        <v>635059.0979000004</v>
      </c>
      <c r="AA34" s="12">
        <f>O34-'Dez24'!O34</f>
        <v>-296107.38599999994</v>
      </c>
      <c r="AB34" s="12">
        <f>Q34-'Dez24'!Q34</f>
        <v>1954528.5247000004</v>
      </c>
      <c r="AC34" s="12">
        <f>+S34-'Dez24'!S34</f>
        <v>-2688290.0845999997</v>
      </c>
      <c r="AE34" s="28">
        <f>J34-'Dez24'!J34</f>
        <v>-0.1</v>
      </c>
      <c r="AF34" s="28">
        <f>L34-'Dez24'!L34</f>
        <v>1.0000000000000002E-2</v>
      </c>
      <c r="AG34" s="28">
        <f>N34-'Dez24'!N34</f>
        <v>0</v>
      </c>
      <c r="AH34" s="28">
        <f>P34-'Dez24'!P34</f>
        <v>3.0000000000000002E-2</v>
      </c>
      <c r="AI34" s="28">
        <f>R34-'Dez24'!R34</f>
        <v>-4.0000000000000008E-2</v>
      </c>
      <c r="AK34" s="10">
        <f>I34-'Dez24'!I34</f>
        <v>-493512.31000000238</v>
      </c>
      <c r="AL34" s="76">
        <f>I34/'Dez24'!I34-1</f>
        <v>-7.4804660112038901E-3</v>
      </c>
    </row>
    <row r="35" spans="6:38" x14ac:dyDescent="0.25">
      <c r="F35" s="7">
        <f t="shared" si="6"/>
        <v>1</v>
      </c>
      <c r="H35" s="3" t="s">
        <v>66</v>
      </c>
      <c r="I35" s="84">
        <v>295406917</v>
      </c>
      <c r="J35" s="77">
        <v>0.08</v>
      </c>
      <c r="K35" s="78">
        <f t="shared" si="13"/>
        <v>23632553.359999999</v>
      </c>
      <c r="L35" s="77"/>
      <c r="M35" s="78">
        <f t="shared" si="14"/>
        <v>0</v>
      </c>
      <c r="N35" s="77">
        <v>0.52</v>
      </c>
      <c r="O35" s="78">
        <f t="shared" si="15"/>
        <v>153611596.84</v>
      </c>
      <c r="P35" s="77">
        <v>0.28000000000000003</v>
      </c>
      <c r="Q35" s="78">
        <f t="shared" si="16"/>
        <v>82713936.760000005</v>
      </c>
      <c r="R35" s="77"/>
      <c r="S35" s="78">
        <f t="shared" si="17"/>
        <v>0</v>
      </c>
      <c r="T35" s="77">
        <v>0.12</v>
      </c>
      <c r="U35" s="72">
        <f t="shared" si="18"/>
        <v>35448830.039999999</v>
      </c>
      <c r="Y35" s="12">
        <f>K35-'Dez24'!K35</f>
        <v>-2224446.6400000006</v>
      </c>
      <c r="Z35" s="12">
        <f>M35-'Dez24'!M35</f>
        <v>0</v>
      </c>
      <c r="AA35" s="12">
        <f>O35-'Dez24'!O35</f>
        <v>12834596.840000004</v>
      </c>
      <c r="AB35" s="12">
        <f>Q35-'Dez24'!Q35</f>
        <v>-603063.23999999464</v>
      </c>
      <c r="AC35" s="12">
        <f>+S35-'Dez24'!S35</f>
        <v>-37349000</v>
      </c>
      <c r="AE35" s="28">
        <f>J35-'Dez24'!J35</f>
        <v>-9.999999999999995E-3</v>
      </c>
      <c r="AF35" s="28">
        <f>L35-'Dez24'!L35</f>
        <v>0</v>
      </c>
      <c r="AG35" s="28">
        <f>N35-'Dez24'!N35</f>
        <v>3.0000000000000027E-2</v>
      </c>
      <c r="AH35" s="28">
        <f>P35-'Dez24'!P35</f>
        <v>-9.9999999999999534E-3</v>
      </c>
      <c r="AI35" s="28">
        <f>R35-'Dez24'!R35</f>
        <v>-0.13</v>
      </c>
      <c r="AK35" s="10">
        <f>I35-'Dez24'!I35</f>
        <v>8106917</v>
      </c>
      <c r="AL35" s="76">
        <f>I35/'Dez24'!I35-1</f>
        <v>2.8217601809954695E-2</v>
      </c>
    </row>
    <row r="36" spans="6:38" s="8" customFormat="1" x14ac:dyDescent="0.25">
      <c r="F36" s="7">
        <f t="shared" si="6"/>
        <v>1</v>
      </c>
      <c r="H36" s="3" t="s">
        <v>45</v>
      </c>
      <c r="I36" s="17">
        <f>SUM(I30:I35)</f>
        <v>1355299295.9499998</v>
      </c>
      <c r="J36" s="15">
        <f>+K36/$I$36</f>
        <v>0.10758615404828656</v>
      </c>
      <c r="K36" s="17">
        <f>SUM(K30:K35)</f>
        <v>145811438.83561099</v>
      </c>
      <c r="L36" s="15">
        <f>+M36/$I$36</f>
        <v>8.6403350201167795E-2</v>
      </c>
      <c r="M36" s="17">
        <f>SUM(M30:M35)</f>
        <v>117102399.69536398</v>
      </c>
      <c r="N36" s="15">
        <f>+O36/$I$36</f>
        <v>0.6079531276607486</v>
      </c>
      <c r="O36" s="17">
        <f>SUM(O30:O35)</f>
        <v>823958445.88921297</v>
      </c>
      <c r="P36" s="15">
        <f>+Q36/$I$36</f>
        <v>0.14862015481560911</v>
      </c>
      <c r="Q36" s="17">
        <f>SUM(Q30:Q35)</f>
        <v>201424791.18557501</v>
      </c>
      <c r="R36" s="15">
        <f>+S36/$I$36</f>
        <v>1.1470736311944885E-2</v>
      </c>
      <c r="S36" s="17">
        <f>SUM(S30:S35)</f>
        <v>15546280.847607</v>
      </c>
      <c r="T36" s="15">
        <f>+U36/$I$36</f>
        <v>3.7966476962243124E-2</v>
      </c>
      <c r="U36" s="63">
        <f>SUM(U30:U35)</f>
        <v>51455939.496629998</v>
      </c>
      <c r="Y36" s="12">
        <f>K36-'Dez24'!K36</f>
        <v>-24491431.590589017</v>
      </c>
      <c r="Z36" s="12">
        <f>M36-'Dez24'!M36</f>
        <v>-14960663.211036012</v>
      </c>
      <c r="AA36" s="12">
        <f>O36-'Dez24'!O36</f>
        <v>110775823.46341288</v>
      </c>
      <c r="AB36" s="12">
        <f>Q36-'Dez24'!Q36</f>
        <v>6045828.7020750046</v>
      </c>
      <c r="AC36" s="12">
        <f>+S36-'Dez24'!S36</f>
        <v>-92317797.327993006</v>
      </c>
      <c r="AE36" s="28">
        <f>J36-'Dez24'!J36</f>
        <v>-1.8845001709511061E-2</v>
      </c>
      <c r="AF36" s="28">
        <f>L36-'Dez24'!L36</f>
        <v>-1.1638953104614727E-2</v>
      </c>
      <c r="AG36" s="28">
        <f>N36-'Dez24'!N36</f>
        <v>7.8493448008754685E-2</v>
      </c>
      <c r="AH36" s="28">
        <f>P36-'Dez24'!P36</f>
        <v>3.5727579295256051E-3</v>
      </c>
      <c r="AI36" s="28">
        <f>R36-'Dez24'!R36</f>
        <v>-6.8606481613752032E-2</v>
      </c>
      <c r="AK36" s="92">
        <f>I36-'Dez24'!I36</f>
        <v>8298476.3699998856</v>
      </c>
      <c r="AL36" s="76">
        <f>I36/'Dez24'!I36-1</f>
        <v>6.1607062515280919E-3</v>
      </c>
    </row>
    <row r="37" spans="6:38" x14ac:dyDescent="0.25">
      <c r="F37" s="7"/>
    </row>
    <row r="38" spans="6:38" x14ac:dyDescent="0.25">
      <c r="F38" s="7"/>
      <c r="K38"/>
    </row>
    <row r="39" spans="6:38" x14ac:dyDescent="0.25">
      <c r="F39" s="7"/>
      <c r="J39" s="38"/>
    </row>
    <row r="40" spans="6:38" x14ac:dyDescent="0.25">
      <c r="F40" s="7"/>
      <c r="I40" s="30"/>
      <c r="J40" s="35"/>
    </row>
    <row r="41" spans="6:38" x14ac:dyDescent="0.25">
      <c r="F41" s="7"/>
      <c r="I41" s="37"/>
      <c r="J41" s="35"/>
    </row>
    <row r="42" spans="6:38" x14ac:dyDescent="0.25">
      <c r="F42" s="7"/>
      <c r="I42" s="37"/>
      <c r="J42" s="35"/>
    </row>
    <row r="43" spans="6:38" x14ac:dyDescent="0.25">
      <c r="F43" s="7"/>
      <c r="I43" s="37"/>
      <c r="J43" s="35"/>
    </row>
    <row r="44" spans="6:38" x14ac:dyDescent="0.25">
      <c r="F44" s="7"/>
      <c r="I44" s="37"/>
      <c r="J44" s="35"/>
    </row>
    <row r="45" spans="6:38" x14ac:dyDescent="0.25">
      <c r="F45" s="7"/>
      <c r="I45" s="37"/>
      <c r="J45" s="35"/>
      <c r="K45" s="37"/>
    </row>
    <row r="46" spans="6:38" x14ac:dyDescent="0.25">
      <c r="F46" s="7"/>
      <c r="I46" s="37"/>
      <c r="J46" s="35"/>
    </row>
    <row r="47" spans="6:38" x14ac:dyDescent="0.25">
      <c r="F47" s="7"/>
      <c r="I47" s="37"/>
      <c r="J47" s="35"/>
    </row>
    <row r="48" spans="6:38" x14ac:dyDescent="0.25">
      <c r="F48" s="7"/>
      <c r="I48" s="37"/>
      <c r="J48" s="35"/>
    </row>
    <row r="49" spans="9:10" x14ac:dyDescent="0.25">
      <c r="I49" s="37"/>
      <c r="J49" s="35"/>
    </row>
    <row r="50" spans="9:10" x14ac:dyDescent="0.25">
      <c r="I50" s="37"/>
      <c r="J50" s="35"/>
    </row>
    <row r="51" spans="9:10" x14ac:dyDescent="0.25">
      <c r="I51" s="37"/>
      <c r="J51" s="35"/>
    </row>
    <row r="52" spans="9:10" x14ac:dyDescent="0.25">
      <c r="I52" s="37"/>
      <c r="J52" s="35"/>
    </row>
    <row r="53" spans="9:10" x14ac:dyDescent="0.25">
      <c r="I53" s="37"/>
      <c r="J53" s="35"/>
    </row>
    <row r="54" spans="9:10" x14ac:dyDescent="0.25">
      <c r="I54" s="37"/>
      <c r="J54" s="35"/>
    </row>
    <row r="55" spans="9:10" x14ac:dyDescent="0.25">
      <c r="I55" s="37"/>
      <c r="J55" s="35"/>
    </row>
    <row r="56" spans="9:10" x14ac:dyDescent="0.25">
      <c r="I56" s="37"/>
      <c r="J56" s="35"/>
    </row>
    <row r="57" spans="9:10" x14ac:dyDescent="0.25">
      <c r="I57" s="37"/>
      <c r="J57" s="35"/>
    </row>
    <row r="58" spans="9:10" x14ac:dyDescent="0.25">
      <c r="I58" s="37"/>
      <c r="J58" s="35"/>
    </row>
    <row r="59" spans="9:10" x14ac:dyDescent="0.25">
      <c r="I59" s="37"/>
      <c r="J59" s="35"/>
    </row>
    <row r="60" spans="9:10" x14ac:dyDescent="0.25">
      <c r="I60" s="37"/>
      <c r="J60" s="35"/>
    </row>
    <row r="61" spans="9:10" x14ac:dyDescent="0.25">
      <c r="I61" s="37"/>
      <c r="J61" s="35"/>
    </row>
    <row r="62" spans="9:10" x14ac:dyDescent="0.25">
      <c r="I62" s="37"/>
      <c r="J62" s="35"/>
    </row>
    <row r="63" spans="9:10" x14ac:dyDescent="0.25">
      <c r="I63" s="37"/>
      <c r="J63" s="35"/>
    </row>
    <row r="64" spans="9:10" x14ac:dyDescent="0.25">
      <c r="I64" s="37"/>
      <c r="J64" s="35"/>
    </row>
    <row r="65" spans="9:10" x14ac:dyDescent="0.25">
      <c r="I65" s="37"/>
      <c r="J65" s="35"/>
    </row>
    <row r="66" spans="9:10" x14ac:dyDescent="0.25">
      <c r="I66" s="37"/>
      <c r="J66" s="35"/>
    </row>
    <row r="67" spans="9:10" x14ac:dyDescent="0.25">
      <c r="I67" s="37"/>
      <c r="J67" s="35"/>
    </row>
    <row r="68" spans="9:10" x14ac:dyDescent="0.25">
      <c r="I68" s="37"/>
      <c r="J68" s="35"/>
    </row>
    <row r="69" spans="9:10" x14ac:dyDescent="0.25">
      <c r="I69" s="37"/>
      <c r="J69" s="35"/>
    </row>
    <row r="70" spans="9:10" x14ac:dyDescent="0.25">
      <c r="I70" s="37"/>
      <c r="J70" s="35"/>
    </row>
    <row r="71" spans="9:10" x14ac:dyDescent="0.25">
      <c r="I71" s="37"/>
      <c r="J71" s="35"/>
    </row>
    <row r="72" spans="9:10" x14ac:dyDescent="0.25">
      <c r="I72" s="37"/>
      <c r="J72" s="35"/>
    </row>
    <row r="73" spans="9:10" x14ac:dyDescent="0.25">
      <c r="I73" s="37"/>
      <c r="J73" s="35"/>
    </row>
    <row r="74" spans="9:10" x14ac:dyDescent="0.25">
      <c r="I74" s="37"/>
      <c r="J74" s="35"/>
    </row>
    <row r="75" spans="9:10" x14ac:dyDescent="0.25">
      <c r="I75" s="37"/>
      <c r="J75" s="35"/>
    </row>
    <row r="76" spans="9:10" x14ac:dyDescent="0.25">
      <c r="I76" s="37"/>
      <c r="J76" s="35"/>
    </row>
    <row r="77" spans="9:10" x14ac:dyDescent="0.25">
      <c r="I77" s="37"/>
      <c r="J77" s="35"/>
    </row>
    <row r="78" spans="9:10" x14ac:dyDescent="0.25">
      <c r="I78" s="37"/>
      <c r="J78" s="35"/>
    </row>
    <row r="79" spans="9:10" x14ac:dyDescent="0.25">
      <c r="I79" s="37"/>
      <c r="J79" s="35"/>
    </row>
    <row r="80" spans="9:10" x14ac:dyDescent="0.25">
      <c r="I80" s="37"/>
      <c r="J80" s="35"/>
    </row>
    <row r="81" spans="9:10" x14ac:dyDescent="0.25">
      <c r="I81" s="37"/>
      <c r="J81" s="35"/>
    </row>
    <row r="82" spans="9:10" x14ac:dyDescent="0.25">
      <c r="I82" s="37"/>
      <c r="J82" s="35"/>
    </row>
    <row r="83" spans="9:10" x14ac:dyDescent="0.25">
      <c r="I83" s="37"/>
      <c r="J83" s="35"/>
    </row>
    <row r="84" spans="9:10" x14ac:dyDescent="0.25">
      <c r="I84" s="37"/>
      <c r="J84" s="35"/>
    </row>
    <row r="85" spans="9:10" x14ac:dyDescent="0.25">
      <c r="I85" s="37"/>
      <c r="J85" s="35"/>
    </row>
    <row r="86" spans="9:10" x14ac:dyDescent="0.25">
      <c r="I86" s="37"/>
      <c r="J86" s="35"/>
    </row>
    <row r="87" spans="9:10" x14ac:dyDescent="0.25">
      <c r="I87" s="37"/>
      <c r="J87" s="35"/>
    </row>
    <row r="88" spans="9:10" x14ac:dyDescent="0.25">
      <c r="I88" s="37"/>
      <c r="J88" s="35"/>
    </row>
    <row r="89" spans="9:10" x14ac:dyDescent="0.25">
      <c r="I89" s="37"/>
      <c r="J89" s="35"/>
    </row>
    <row r="90" spans="9:10" x14ac:dyDescent="0.25">
      <c r="I90" s="37"/>
      <c r="J90" s="35"/>
    </row>
    <row r="91" spans="9:10" x14ac:dyDescent="0.25">
      <c r="I91" s="37"/>
      <c r="J91" s="35"/>
    </row>
    <row r="92" spans="9:10" x14ac:dyDescent="0.25">
      <c r="I92" s="37"/>
      <c r="J92" s="35"/>
    </row>
    <row r="93" spans="9:10" x14ac:dyDescent="0.25">
      <c r="I93" s="37"/>
      <c r="J93" s="35"/>
    </row>
    <row r="94" spans="9:10" x14ac:dyDescent="0.25">
      <c r="I94" s="37"/>
      <c r="J94" s="35"/>
    </row>
    <row r="95" spans="9:10" x14ac:dyDescent="0.25">
      <c r="I95" s="37"/>
      <c r="J95" s="35"/>
    </row>
    <row r="96" spans="9:10" x14ac:dyDescent="0.25">
      <c r="I96" s="37"/>
      <c r="J96" s="35"/>
    </row>
    <row r="97" spans="9:10" x14ac:dyDescent="0.25">
      <c r="I97" s="37"/>
      <c r="J97" s="35"/>
    </row>
    <row r="98" spans="9:10" x14ac:dyDescent="0.25">
      <c r="I98" s="37"/>
      <c r="J98" s="35"/>
    </row>
    <row r="99" spans="9:10" x14ac:dyDescent="0.25">
      <c r="I99" s="37"/>
      <c r="J99" s="35"/>
    </row>
    <row r="100" spans="9:10" x14ac:dyDescent="0.25">
      <c r="I100" s="37"/>
      <c r="J100" s="35"/>
    </row>
    <row r="101" spans="9:10" x14ac:dyDescent="0.25">
      <c r="I101" s="37"/>
      <c r="J101" s="35"/>
    </row>
    <row r="102" spans="9:10" x14ac:dyDescent="0.25">
      <c r="I102" s="37"/>
      <c r="J102" s="35"/>
    </row>
    <row r="103" spans="9:10" x14ac:dyDescent="0.25">
      <c r="I103" s="37"/>
      <c r="J103" s="35"/>
    </row>
    <row r="104" spans="9:10" x14ac:dyDescent="0.25">
      <c r="I104" s="37"/>
      <c r="J104" s="35"/>
    </row>
    <row r="105" spans="9:10" x14ac:dyDescent="0.25">
      <c r="I105" s="37"/>
      <c r="J105" s="35"/>
    </row>
    <row r="106" spans="9:10" x14ac:dyDescent="0.25">
      <c r="I106" s="37"/>
      <c r="J106" s="35"/>
    </row>
    <row r="107" spans="9:10" x14ac:dyDescent="0.25">
      <c r="I107" s="37"/>
      <c r="J107" s="35"/>
    </row>
    <row r="108" spans="9:10" x14ac:dyDescent="0.25">
      <c r="I108" s="37"/>
      <c r="J108" s="35"/>
    </row>
    <row r="109" spans="9:10" x14ac:dyDescent="0.25">
      <c r="I109" s="37"/>
      <c r="J109" s="35"/>
    </row>
    <row r="110" spans="9:10" x14ac:dyDescent="0.25">
      <c r="I110" s="37"/>
      <c r="J110" s="35"/>
    </row>
    <row r="111" spans="9:10" x14ac:dyDescent="0.25">
      <c r="I111" s="37"/>
      <c r="J111" s="35"/>
    </row>
    <row r="112" spans="9:10" x14ac:dyDescent="0.25">
      <c r="I112" s="37"/>
      <c r="J112" s="35"/>
    </row>
    <row r="113" spans="9:10" x14ac:dyDescent="0.25">
      <c r="I113" s="37"/>
      <c r="J113" s="35"/>
    </row>
    <row r="114" spans="9:10" x14ac:dyDescent="0.25">
      <c r="I114" s="37"/>
      <c r="J114" s="35"/>
    </row>
    <row r="115" spans="9:10" x14ac:dyDescent="0.25">
      <c r="I115" s="37"/>
      <c r="J115" s="35"/>
    </row>
    <row r="116" spans="9:10" x14ac:dyDescent="0.25">
      <c r="I116" s="37"/>
      <c r="J116" s="35"/>
    </row>
    <row r="117" spans="9:10" x14ac:dyDescent="0.25">
      <c r="I117" s="37"/>
      <c r="J117" s="35"/>
    </row>
    <row r="118" spans="9:10" x14ac:dyDescent="0.25">
      <c r="I118" s="37"/>
      <c r="J118" s="35"/>
    </row>
    <row r="119" spans="9:10" x14ac:dyDescent="0.25">
      <c r="I119" s="37"/>
      <c r="J119" s="35"/>
    </row>
    <row r="120" spans="9:10" x14ac:dyDescent="0.25">
      <c r="I120" s="37"/>
      <c r="J120" s="35"/>
    </row>
    <row r="121" spans="9:10" x14ac:dyDescent="0.25">
      <c r="I121" s="37"/>
      <c r="J121" s="35"/>
    </row>
    <row r="122" spans="9:10" x14ac:dyDescent="0.25">
      <c r="I122" s="37"/>
      <c r="J122" s="35"/>
    </row>
    <row r="123" spans="9:10" x14ac:dyDescent="0.25">
      <c r="I123" s="37"/>
      <c r="J123" s="35"/>
    </row>
    <row r="124" spans="9:10" x14ac:dyDescent="0.25">
      <c r="I124" s="37"/>
      <c r="J124" s="35"/>
    </row>
    <row r="125" spans="9:10" x14ac:dyDescent="0.25">
      <c r="I125" s="37"/>
      <c r="J125" s="35"/>
    </row>
    <row r="126" spans="9:10" x14ac:dyDescent="0.25">
      <c r="I126" s="37"/>
      <c r="J126" s="35"/>
    </row>
    <row r="127" spans="9:10" x14ac:dyDescent="0.25">
      <c r="I127" s="37"/>
      <c r="J127" s="35"/>
    </row>
    <row r="128" spans="9:10" x14ac:dyDescent="0.25">
      <c r="I128" s="37"/>
      <c r="J128" s="35"/>
    </row>
    <row r="129" spans="9:10" x14ac:dyDescent="0.25">
      <c r="I129" s="37"/>
      <c r="J129" s="35"/>
    </row>
    <row r="130" spans="9:10" x14ac:dyDescent="0.25">
      <c r="I130" s="37"/>
      <c r="J130" s="35"/>
    </row>
    <row r="131" spans="9:10" x14ac:dyDescent="0.25">
      <c r="I131" s="37"/>
      <c r="J131" s="35"/>
    </row>
    <row r="132" spans="9:10" x14ac:dyDescent="0.25">
      <c r="I132" s="37"/>
      <c r="J132" s="35"/>
    </row>
    <row r="133" spans="9:10" x14ac:dyDescent="0.25">
      <c r="I133" s="37"/>
      <c r="J133" s="35"/>
    </row>
    <row r="134" spans="9:10" x14ac:dyDescent="0.25">
      <c r="I134" s="37"/>
      <c r="J134" s="35"/>
    </row>
    <row r="135" spans="9:10" x14ac:dyDescent="0.25">
      <c r="I135" s="37"/>
      <c r="J135" s="35"/>
    </row>
    <row r="136" spans="9:10" x14ac:dyDescent="0.25">
      <c r="I136" s="37"/>
      <c r="J136" s="35"/>
    </row>
    <row r="137" spans="9:10" x14ac:dyDescent="0.25">
      <c r="I137" s="37"/>
      <c r="J137" s="35"/>
    </row>
    <row r="138" spans="9:10" x14ac:dyDescent="0.25">
      <c r="I138" s="37"/>
      <c r="J138" s="35"/>
    </row>
    <row r="139" spans="9:10" x14ac:dyDescent="0.25">
      <c r="I139" s="37"/>
      <c r="J139" s="35"/>
    </row>
    <row r="140" spans="9:10" x14ac:dyDescent="0.25">
      <c r="I140" s="37"/>
      <c r="J140" s="35"/>
    </row>
    <row r="141" spans="9:10" x14ac:dyDescent="0.25">
      <c r="I141" s="37"/>
      <c r="J141" s="35"/>
    </row>
    <row r="142" spans="9:10" x14ac:dyDescent="0.25">
      <c r="I142" s="37"/>
      <c r="J142" s="35"/>
    </row>
    <row r="143" spans="9:10" x14ac:dyDescent="0.25">
      <c r="I143" s="37"/>
      <c r="J143" s="35"/>
    </row>
    <row r="144" spans="9:10" x14ac:dyDescent="0.25">
      <c r="I144" s="37"/>
      <c r="J144" s="35"/>
    </row>
    <row r="145" spans="9:10" x14ac:dyDescent="0.25">
      <c r="I145" s="37"/>
      <c r="J145" s="35"/>
    </row>
    <row r="146" spans="9:10" x14ac:dyDescent="0.25">
      <c r="I146" s="37"/>
      <c r="J146" s="35"/>
    </row>
    <row r="147" spans="9:10" x14ac:dyDescent="0.25">
      <c r="I147" s="37"/>
      <c r="J147" s="35"/>
    </row>
    <row r="148" spans="9:10" x14ac:dyDescent="0.25">
      <c r="I148" s="37"/>
      <c r="J148" s="35"/>
    </row>
    <row r="149" spans="9:10" x14ac:dyDescent="0.25">
      <c r="I149" s="37"/>
      <c r="J149" s="35"/>
    </row>
    <row r="150" spans="9:10" x14ac:dyDescent="0.25">
      <c r="I150" s="37"/>
      <c r="J150" s="35"/>
    </row>
    <row r="151" spans="9:10" x14ac:dyDescent="0.25">
      <c r="I151" s="37"/>
      <c r="J151" s="35"/>
    </row>
    <row r="152" spans="9:10" x14ac:dyDescent="0.25">
      <c r="I152" s="37"/>
      <c r="J152" s="35"/>
    </row>
    <row r="153" spans="9:10" x14ac:dyDescent="0.25">
      <c r="I153" s="37"/>
      <c r="J153" s="35"/>
    </row>
    <row r="154" spans="9:10" x14ac:dyDescent="0.25">
      <c r="I154" s="37"/>
      <c r="J154" s="35"/>
    </row>
    <row r="155" spans="9:10" x14ac:dyDescent="0.25">
      <c r="I155" s="37"/>
      <c r="J155" s="35"/>
    </row>
    <row r="156" spans="9:10" x14ac:dyDescent="0.25">
      <c r="I156" s="37"/>
      <c r="J156" s="35"/>
    </row>
    <row r="157" spans="9:10" x14ac:dyDescent="0.25">
      <c r="I157" s="37"/>
      <c r="J157" s="35"/>
    </row>
    <row r="158" spans="9:10" x14ac:dyDescent="0.25">
      <c r="I158" s="37"/>
      <c r="J158" s="35"/>
    </row>
    <row r="159" spans="9:10" x14ac:dyDescent="0.25">
      <c r="I159" s="37"/>
      <c r="J159" s="35"/>
    </row>
    <row r="160" spans="9:10" x14ac:dyDescent="0.25">
      <c r="I160" s="37"/>
      <c r="J160" s="35"/>
    </row>
    <row r="161" spans="9:10" x14ac:dyDescent="0.25">
      <c r="I161" s="37"/>
      <c r="J161" s="35"/>
    </row>
    <row r="162" spans="9:10" x14ac:dyDescent="0.25">
      <c r="I162" s="37"/>
      <c r="J162" s="35"/>
    </row>
    <row r="163" spans="9:10" x14ac:dyDescent="0.25">
      <c r="I163" s="37"/>
      <c r="J163" s="35"/>
    </row>
    <row r="164" spans="9:10" x14ac:dyDescent="0.25">
      <c r="I164" s="37"/>
      <c r="J164" s="35"/>
    </row>
    <row r="165" spans="9:10" x14ac:dyDescent="0.25">
      <c r="I165" s="37"/>
      <c r="J165" s="35"/>
    </row>
    <row r="166" spans="9:10" x14ac:dyDescent="0.25">
      <c r="I166" s="37"/>
      <c r="J166" s="35"/>
    </row>
    <row r="167" spans="9:10" x14ac:dyDescent="0.25">
      <c r="I167" s="37"/>
      <c r="J167" s="35"/>
    </row>
    <row r="168" spans="9:10" x14ac:dyDescent="0.25">
      <c r="I168" s="37"/>
      <c r="J168" s="35"/>
    </row>
    <row r="169" spans="9:10" x14ac:dyDescent="0.25">
      <c r="I169" s="37"/>
      <c r="J169" s="35"/>
    </row>
    <row r="170" spans="9:10" x14ac:dyDescent="0.25">
      <c r="I170" s="37"/>
      <c r="J170" s="35"/>
    </row>
    <row r="171" spans="9:10" x14ac:dyDescent="0.25">
      <c r="I171" s="37"/>
      <c r="J171" s="35"/>
    </row>
    <row r="172" spans="9:10" x14ac:dyDescent="0.25">
      <c r="I172" s="37"/>
      <c r="J172" s="35"/>
    </row>
    <row r="173" spans="9:10" x14ac:dyDescent="0.25">
      <c r="I173" s="37"/>
      <c r="J173" s="35"/>
    </row>
    <row r="174" spans="9:10" x14ac:dyDescent="0.25">
      <c r="I174" s="37"/>
      <c r="J174" s="35"/>
    </row>
    <row r="175" spans="9:10" x14ac:dyDescent="0.25">
      <c r="I175" s="37"/>
      <c r="J175" s="35"/>
    </row>
    <row r="176" spans="9:10" x14ac:dyDescent="0.25">
      <c r="I176" s="37"/>
      <c r="J176" s="35"/>
    </row>
    <row r="177" spans="9:10" x14ac:dyDescent="0.25">
      <c r="I177" s="37"/>
      <c r="J177" s="35"/>
    </row>
    <row r="178" spans="9:10" x14ac:dyDescent="0.25">
      <c r="I178" s="37"/>
      <c r="J178" s="35"/>
    </row>
    <row r="179" spans="9:10" x14ac:dyDescent="0.25">
      <c r="I179" s="37"/>
      <c r="J179" s="35"/>
    </row>
    <row r="180" spans="9:10" x14ac:dyDescent="0.25">
      <c r="I180" s="37"/>
      <c r="J180" s="35"/>
    </row>
    <row r="181" spans="9:10" x14ac:dyDescent="0.25">
      <c r="I181" s="37"/>
      <c r="J181" s="35"/>
    </row>
    <row r="182" spans="9:10" x14ac:dyDescent="0.25">
      <c r="I182" s="37"/>
      <c r="J182" s="35"/>
    </row>
    <row r="183" spans="9:10" x14ac:dyDescent="0.25">
      <c r="I183" s="37"/>
      <c r="J183" s="35"/>
    </row>
    <row r="184" spans="9:10" x14ac:dyDescent="0.25">
      <c r="I184" s="37"/>
      <c r="J184" s="35"/>
    </row>
    <row r="185" spans="9:10" x14ac:dyDescent="0.25">
      <c r="I185" s="37"/>
      <c r="J185" s="35"/>
    </row>
    <row r="186" spans="9:10" x14ac:dyDescent="0.25">
      <c r="I186" s="37"/>
      <c r="J186" s="35"/>
    </row>
    <row r="187" spans="9:10" x14ac:dyDescent="0.25">
      <c r="I187" s="37"/>
      <c r="J187" s="35"/>
    </row>
    <row r="188" spans="9:10" x14ac:dyDescent="0.25">
      <c r="I188" s="37"/>
      <c r="J188" s="35"/>
    </row>
    <row r="189" spans="9:10" x14ac:dyDescent="0.25">
      <c r="I189" s="37"/>
      <c r="J189" s="35"/>
    </row>
    <row r="190" spans="9:10" x14ac:dyDescent="0.25">
      <c r="I190" s="37"/>
      <c r="J190" s="35"/>
    </row>
    <row r="191" spans="9:10" x14ac:dyDescent="0.25">
      <c r="I191" s="37"/>
      <c r="J191" s="35"/>
    </row>
    <row r="192" spans="9:10" x14ac:dyDescent="0.25">
      <c r="I192" s="37"/>
      <c r="J192" s="35"/>
    </row>
    <row r="193" spans="9:10" x14ac:dyDescent="0.25">
      <c r="I193" s="37"/>
      <c r="J193" s="35"/>
    </row>
    <row r="194" spans="9:10" x14ac:dyDescent="0.25">
      <c r="I194" s="37"/>
      <c r="J194" s="35"/>
    </row>
    <row r="195" spans="9:10" x14ac:dyDescent="0.25">
      <c r="I195" s="37"/>
      <c r="J195" s="35"/>
    </row>
    <row r="196" spans="9:10" x14ac:dyDescent="0.25">
      <c r="I196" s="37"/>
      <c r="J196" s="35"/>
    </row>
    <row r="197" spans="9:10" x14ac:dyDescent="0.25">
      <c r="I197" s="37"/>
      <c r="J197" s="35"/>
    </row>
    <row r="198" spans="9:10" x14ac:dyDescent="0.25">
      <c r="I198" s="37"/>
      <c r="J198" s="35"/>
    </row>
    <row r="199" spans="9:10" x14ac:dyDescent="0.25">
      <c r="I199" s="37"/>
      <c r="J199" s="35"/>
    </row>
    <row r="200" spans="9:10" x14ac:dyDescent="0.25">
      <c r="I200" s="37"/>
      <c r="J200" s="35"/>
    </row>
    <row r="201" spans="9:10" x14ac:dyDescent="0.25">
      <c r="I201" s="37"/>
      <c r="J201" s="35"/>
    </row>
    <row r="202" spans="9:10" x14ac:dyDescent="0.25">
      <c r="I202" s="37"/>
      <c r="J202" s="35"/>
    </row>
    <row r="203" spans="9:10" x14ac:dyDescent="0.25">
      <c r="I203" s="37"/>
      <c r="J203" s="35"/>
    </row>
    <row r="204" spans="9:10" x14ac:dyDescent="0.25">
      <c r="I204" s="37"/>
      <c r="J204" s="35"/>
    </row>
    <row r="205" spans="9:10" x14ac:dyDescent="0.25">
      <c r="I205" s="37"/>
      <c r="J205" s="35"/>
    </row>
    <row r="206" spans="9:10" x14ac:dyDescent="0.25">
      <c r="I206" s="37"/>
      <c r="J206" s="35"/>
    </row>
    <row r="207" spans="9:10" x14ac:dyDescent="0.25">
      <c r="I207" s="37"/>
      <c r="J207" s="35"/>
    </row>
    <row r="208" spans="9:10" x14ac:dyDescent="0.25">
      <c r="I208" s="37"/>
      <c r="J208" s="35"/>
    </row>
    <row r="209" spans="9:10" x14ac:dyDescent="0.25">
      <c r="I209" s="37"/>
      <c r="J209" s="35"/>
    </row>
    <row r="210" spans="9:10" x14ac:dyDescent="0.25">
      <c r="I210" s="37"/>
      <c r="J210" s="35"/>
    </row>
    <row r="211" spans="9:10" x14ac:dyDescent="0.25">
      <c r="I211" s="37"/>
      <c r="J211" s="35"/>
    </row>
    <row r="212" spans="9:10" x14ac:dyDescent="0.25">
      <c r="I212" s="37"/>
      <c r="J212" s="35"/>
    </row>
    <row r="213" spans="9:10" x14ac:dyDescent="0.25">
      <c r="I213" s="37"/>
      <c r="J213" s="35"/>
    </row>
    <row r="214" spans="9:10" x14ac:dyDescent="0.25">
      <c r="I214" s="37"/>
      <c r="J214" s="35"/>
    </row>
    <row r="215" spans="9:10" x14ac:dyDescent="0.25">
      <c r="I215" s="37"/>
      <c r="J215" s="35"/>
    </row>
    <row r="216" spans="9:10" x14ac:dyDescent="0.25">
      <c r="I216" s="37"/>
      <c r="J216" s="35"/>
    </row>
    <row r="217" spans="9:10" x14ac:dyDescent="0.25">
      <c r="I217" s="37"/>
      <c r="J217" s="35"/>
    </row>
    <row r="218" spans="9:10" x14ac:dyDescent="0.25">
      <c r="I218" s="37"/>
      <c r="J218" s="35"/>
    </row>
    <row r="219" spans="9:10" x14ac:dyDescent="0.25">
      <c r="I219" s="37"/>
      <c r="J219" s="35"/>
    </row>
    <row r="220" spans="9:10" x14ac:dyDescent="0.25">
      <c r="I220" s="37"/>
      <c r="J220" s="35"/>
    </row>
    <row r="221" spans="9:10" x14ac:dyDescent="0.25">
      <c r="I221" s="37"/>
      <c r="J221" s="35"/>
    </row>
    <row r="222" spans="9:10" x14ac:dyDescent="0.25">
      <c r="I222" s="37"/>
      <c r="J222" s="35"/>
    </row>
    <row r="223" spans="9:10" x14ac:dyDescent="0.25">
      <c r="I223" s="37"/>
      <c r="J223" s="35"/>
    </row>
    <row r="224" spans="9:10" x14ac:dyDescent="0.25">
      <c r="I224" s="37"/>
      <c r="J224" s="35"/>
    </row>
    <row r="225" spans="9:10" x14ac:dyDescent="0.25">
      <c r="I225" s="37"/>
      <c r="J225" s="35"/>
    </row>
    <row r="226" spans="9:10" x14ac:dyDescent="0.25">
      <c r="I226" s="37"/>
      <c r="J226" s="35"/>
    </row>
    <row r="227" spans="9:10" x14ac:dyDescent="0.25">
      <c r="I227" s="37"/>
      <c r="J227" s="35"/>
    </row>
    <row r="228" spans="9:10" x14ac:dyDescent="0.25">
      <c r="I228" s="37"/>
      <c r="J228" s="35"/>
    </row>
    <row r="229" spans="9:10" x14ac:dyDescent="0.25">
      <c r="I229" s="37"/>
      <c r="J229" s="35"/>
    </row>
    <row r="230" spans="9:10" x14ac:dyDescent="0.25">
      <c r="I230" s="37"/>
      <c r="J230" s="35"/>
    </row>
    <row r="231" spans="9:10" x14ac:dyDescent="0.25">
      <c r="I231" s="37"/>
      <c r="J231" s="35"/>
    </row>
    <row r="232" spans="9:10" x14ac:dyDescent="0.25">
      <c r="I232" s="37"/>
      <c r="J232" s="35"/>
    </row>
    <row r="233" spans="9:10" x14ac:dyDescent="0.25">
      <c r="I233" s="37"/>
      <c r="J233" s="35"/>
    </row>
    <row r="234" spans="9:10" x14ac:dyDescent="0.25">
      <c r="I234" s="37"/>
      <c r="J234" s="35"/>
    </row>
    <row r="235" spans="9:10" x14ac:dyDescent="0.25">
      <c r="I235" s="37"/>
      <c r="J235" s="35"/>
    </row>
    <row r="236" spans="9:10" x14ac:dyDescent="0.25">
      <c r="I236" s="37"/>
      <c r="J236" s="35"/>
    </row>
    <row r="237" spans="9:10" x14ac:dyDescent="0.25">
      <c r="I237" s="37"/>
      <c r="J237" s="35"/>
    </row>
    <row r="238" spans="9:10" x14ac:dyDescent="0.25">
      <c r="I238" s="37"/>
      <c r="J238" s="35"/>
    </row>
    <row r="239" spans="9:10" x14ac:dyDescent="0.25">
      <c r="I239" s="37"/>
      <c r="J239" s="35"/>
    </row>
    <row r="240" spans="9:10" x14ac:dyDescent="0.25">
      <c r="I240" s="37"/>
      <c r="J240" s="35"/>
    </row>
    <row r="241" spans="9:10" x14ac:dyDescent="0.25">
      <c r="I241" s="37"/>
      <c r="J241" s="35"/>
    </row>
    <row r="242" spans="9:10" x14ac:dyDescent="0.25">
      <c r="I242" s="37"/>
      <c r="J242" s="35"/>
    </row>
    <row r="243" spans="9:10" x14ac:dyDescent="0.25">
      <c r="I243" s="37"/>
      <c r="J243" s="35"/>
    </row>
    <row r="244" spans="9:10" x14ac:dyDescent="0.25">
      <c r="I244" s="37"/>
      <c r="J244" s="35"/>
    </row>
    <row r="245" spans="9:10" x14ac:dyDescent="0.25">
      <c r="I245" s="37"/>
      <c r="J245" s="35"/>
    </row>
    <row r="246" spans="9:10" x14ac:dyDescent="0.25">
      <c r="I246" s="37"/>
      <c r="J246" s="35"/>
    </row>
    <row r="247" spans="9:10" x14ac:dyDescent="0.25">
      <c r="I247" s="37"/>
      <c r="J247" s="35"/>
    </row>
    <row r="248" spans="9:10" x14ac:dyDescent="0.25">
      <c r="I248" s="37"/>
      <c r="J248" s="35"/>
    </row>
    <row r="249" spans="9:10" x14ac:dyDescent="0.25">
      <c r="I249" s="37"/>
      <c r="J249" s="35"/>
    </row>
    <row r="250" spans="9:10" x14ac:dyDescent="0.25">
      <c r="I250" s="37"/>
      <c r="J250" s="35"/>
    </row>
    <row r="251" spans="9:10" x14ac:dyDescent="0.25">
      <c r="I251" s="37"/>
      <c r="J251" s="35"/>
    </row>
    <row r="252" spans="9:10" x14ac:dyDescent="0.25">
      <c r="I252" s="37"/>
      <c r="J252" s="35"/>
    </row>
    <row r="253" spans="9:10" x14ac:dyDescent="0.25">
      <c r="I253" s="37"/>
      <c r="J253" s="35"/>
    </row>
    <row r="254" spans="9:10" x14ac:dyDescent="0.25">
      <c r="I254" s="37"/>
      <c r="J254" s="35"/>
    </row>
    <row r="255" spans="9:10" x14ac:dyDescent="0.25">
      <c r="I255" s="37"/>
      <c r="J255" s="35"/>
    </row>
    <row r="256" spans="9:10" x14ac:dyDescent="0.25">
      <c r="I256" s="37"/>
      <c r="J256" s="35"/>
    </row>
    <row r="257" spans="9:10" x14ac:dyDescent="0.25">
      <c r="I257" s="37"/>
      <c r="J257" s="35"/>
    </row>
    <row r="258" spans="9:10" x14ac:dyDescent="0.25">
      <c r="I258" s="37"/>
      <c r="J258" s="35"/>
    </row>
    <row r="259" spans="9:10" x14ac:dyDescent="0.25">
      <c r="I259" s="37"/>
      <c r="J259" s="35"/>
    </row>
    <row r="260" spans="9:10" x14ac:dyDescent="0.25">
      <c r="I260" s="37"/>
      <c r="J260" s="35"/>
    </row>
    <row r="261" spans="9:10" x14ac:dyDescent="0.25">
      <c r="I261" s="37"/>
      <c r="J261" s="35"/>
    </row>
    <row r="262" spans="9:10" x14ac:dyDescent="0.25">
      <c r="I262" s="37"/>
      <c r="J262" s="35"/>
    </row>
    <row r="263" spans="9:10" x14ac:dyDescent="0.25">
      <c r="I263" s="37"/>
      <c r="J263" s="35"/>
    </row>
    <row r="264" spans="9:10" x14ac:dyDescent="0.25">
      <c r="I264" s="37"/>
      <c r="J264" s="35"/>
    </row>
    <row r="265" spans="9:10" x14ac:dyDescent="0.25">
      <c r="I265" s="37"/>
      <c r="J265" s="35"/>
    </row>
    <row r="266" spans="9:10" x14ac:dyDescent="0.25">
      <c r="I266" s="37"/>
      <c r="J266" s="35"/>
    </row>
    <row r="267" spans="9:10" x14ac:dyDescent="0.25">
      <c r="I267" s="37"/>
      <c r="J267" s="35"/>
    </row>
    <row r="268" spans="9:10" x14ac:dyDescent="0.25">
      <c r="I268" s="37"/>
      <c r="J268" s="35"/>
    </row>
    <row r="269" spans="9:10" x14ac:dyDescent="0.25">
      <c r="I269" s="37"/>
      <c r="J269" s="35"/>
    </row>
    <row r="270" spans="9:10" x14ac:dyDescent="0.25">
      <c r="I270" s="37"/>
      <c r="J270" s="35"/>
    </row>
    <row r="271" spans="9:10" x14ac:dyDescent="0.25">
      <c r="I271" s="37"/>
      <c r="J271" s="35"/>
    </row>
    <row r="272" spans="9:10" x14ac:dyDescent="0.25">
      <c r="I272" s="37"/>
      <c r="J272" s="35"/>
    </row>
    <row r="273" spans="9:10" x14ac:dyDescent="0.25">
      <c r="I273" s="37"/>
      <c r="J273" s="35"/>
    </row>
    <row r="274" spans="9:10" x14ac:dyDescent="0.25">
      <c r="I274" s="37"/>
      <c r="J274" s="35"/>
    </row>
    <row r="275" spans="9:10" x14ac:dyDescent="0.25">
      <c r="I275" s="37"/>
      <c r="J275" s="35"/>
    </row>
    <row r="276" spans="9:10" x14ac:dyDescent="0.25">
      <c r="I276" s="37"/>
      <c r="J276" s="35"/>
    </row>
    <row r="277" spans="9:10" x14ac:dyDescent="0.25">
      <c r="I277" s="37"/>
      <c r="J277" s="35"/>
    </row>
    <row r="278" spans="9:10" x14ac:dyDescent="0.25">
      <c r="I278" s="37"/>
      <c r="J278" s="35"/>
    </row>
    <row r="279" spans="9:10" x14ac:dyDescent="0.25">
      <c r="I279" s="37"/>
      <c r="J279" s="35"/>
    </row>
    <row r="280" spans="9:10" x14ac:dyDescent="0.25">
      <c r="I280" s="37"/>
      <c r="J280" s="35"/>
    </row>
    <row r="281" spans="9:10" x14ac:dyDescent="0.25">
      <c r="I281" s="37"/>
      <c r="J281" s="35"/>
    </row>
    <row r="282" spans="9:10" x14ac:dyDescent="0.25">
      <c r="I282" s="37"/>
      <c r="J282" s="35"/>
    </row>
    <row r="283" spans="9:10" x14ac:dyDescent="0.25">
      <c r="I283" s="37"/>
      <c r="J283" s="35"/>
    </row>
    <row r="284" spans="9:10" x14ac:dyDescent="0.25">
      <c r="I284" s="37"/>
      <c r="J284" s="35"/>
    </row>
    <row r="285" spans="9:10" x14ac:dyDescent="0.25">
      <c r="I285" s="37"/>
      <c r="J285" s="35"/>
    </row>
    <row r="286" spans="9:10" x14ac:dyDescent="0.25">
      <c r="I286" s="37"/>
      <c r="J286" s="35"/>
    </row>
    <row r="287" spans="9:10" x14ac:dyDescent="0.25">
      <c r="I287" s="37"/>
      <c r="J287" s="35"/>
    </row>
    <row r="288" spans="9:10" x14ac:dyDescent="0.25">
      <c r="I288" s="37"/>
      <c r="J288" s="35"/>
    </row>
    <row r="289" spans="9:10" x14ac:dyDescent="0.25">
      <c r="I289" s="37"/>
      <c r="J289" s="35"/>
    </row>
    <row r="290" spans="9:10" x14ac:dyDescent="0.25">
      <c r="I290" s="37"/>
      <c r="J290" s="35"/>
    </row>
    <row r="291" spans="9:10" x14ac:dyDescent="0.25">
      <c r="I291" s="37"/>
      <c r="J291" s="35"/>
    </row>
    <row r="292" spans="9:10" x14ac:dyDescent="0.25">
      <c r="I292" s="37"/>
      <c r="J292" s="35"/>
    </row>
    <row r="293" spans="9:10" x14ac:dyDescent="0.25">
      <c r="I293" s="37"/>
      <c r="J293" s="35"/>
    </row>
    <row r="294" spans="9:10" x14ac:dyDescent="0.25">
      <c r="I294" s="37"/>
      <c r="J294" s="35"/>
    </row>
    <row r="295" spans="9:10" x14ac:dyDescent="0.25">
      <c r="I295" s="37"/>
      <c r="J295" s="35"/>
    </row>
    <row r="296" spans="9:10" x14ac:dyDescent="0.25">
      <c r="I296" s="37"/>
      <c r="J296" s="35"/>
    </row>
    <row r="297" spans="9:10" x14ac:dyDescent="0.25">
      <c r="I297" s="37"/>
      <c r="J297" s="35"/>
    </row>
    <row r="298" spans="9:10" x14ac:dyDescent="0.25">
      <c r="I298" s="37"/>
      <c r="J298" s="35"/>
    </row>
    <row r="299" spans="9:10" x14ac:dyDescent="0.25">
      <c r="I299" s="37"/>
      <c r="J299" s="35"/>
    </row>
    <row r="300" spans="9:10" x14ac:dyDescent="0.25">
      <c r="I300" s="37"/>
      <c r="J300" s="35"/>
    </row>
    <row r="301" spans="9:10" x14ac:dyDescent="0.25">
      <c r="I301" s="37"/>
      <c r="J301" s="35"/>
    </row>
    <row r="302" spans="9:10" x14ac:dyDescent="0.25">
      <c r="I302" s="37"/>
      <c r="J302" s="35"/>
    </row>
    <row r="303" spans="9:10" x14ac:dyDescent="0.25">
      <c r="I303" s="37"/>
      <c r="J303" s="35"/>
    </row>
    <row r="304" spans="9:10" x14ac:dyDescent="0.25">
      <c r="I304" s="37"/>
      <c r="J304" s="35"/>
    </row>
    <row r="305" spans="9:12" x14ac:dyDescent="0.25">
      <c r="I305" s="37"/>
      <c r="J305" s="35"/>
    </row>
    <row r="306" spans="9:12" x14ac:dyDescent="0.25">
      <c r="I306" s="37"/>
      <c r="J306" s="35"/>
    </row>
    <row r="307" spans="9:12" x14ac:dyDescent="0.25">
      <c r="I307" s="37"/>
      <c r="J307" s="35"/>
    </row>
    <row r="308" spans="9:12" x14ac:dyDescent="0.25">
      <c r="I308" s="37"/>
      <c r="J308" s="35"/>
    </row>
    <row r="309" spans="9:12" x14ac:dyDescent="0.25">
      <c r="I309" s="37"/>
      <c r="J309" s="35"/>
    </row>
    <row r="310" spans="9:12" x14ac:dyDescent="0.25">
      <c r="I310" s="37"/>
      <c r="J310" s="35"/>
    </row>
    <row r="311" spans="9:12" x14ac:dyDescent="0.25">
      <c r="I311" s="37"/>
      <c r="J311" s="35"/>
    </row>
    <row r="312" spans="9:12" x14ac:dyDescent="0.25">
      <c r="I312" s="37"/>
      <c r="J312" s="35"/>
      <c r="L312" s="36"/>
    </row>
    <row r="313" spans="9:12" x14ac:dyDescent="0.25">
      <c r="I313" s="37"/>
      <c r="J313" s="35"/>
    </row>
    <row r="314" spans="9:12" x14ac:dyDescent="0.25">
      <c r="I314" s="37"/>
      <c r="J314" s="35"/>
    </row>
    <row r="315" spans="9:12" x14ac:dyDescent="0.25">
      <c r="I315" s="37"/>
      <c r="J315" s="35"/>
    </row>
    <row r="316" spans="9:12" x14ac:dyDescent="0.25">
      <c r="I316" s="37"/>
      <c r="J316" s="35"/>
    </row>
    <row r="317" spans="9:12" x14ac:dyDescent="0.25">
      <c r="I317" s="37"/>
      <c r="J317" s="35"/>
    </row>
    <row r="318" spans="9:12" x14ac:dyDescent="0.25">
      <c r="I318" s="37"/>
      <c r="J318" s="35"/>
    </row>
    <row r="319" spans="9:12" x14ac:dyDescent="0.25">
      <c r="I319" s="37"/>
      <c r="J319" s="35"/>
    </row>
    <row r="320" spans="9:12" x14ac:dyDescent="0.25">
      <c r="I320" s="37"/>
      <c r="J320" s="35"/>
    </row>
    <row r="321" spans="9:10" x14ac:dyDescent="0.25">
      <c r="I321" s="37"/>
      <c r="J321" s="35"/>
    </row>
    <row r="322" spans="9:10" x14ac:dyDescent="0.25">
      <c r="I322" s="37"/>
      <c r="J322" s="35"/>
    </row>
    <row r="323" spans="9:10" x14ac:dyDescent="0.25">
      <c r="I323" s="37"/>
      <c r="J323" s="35"/>
    </row>
    <row r="324" spans="9:10" x14ac:dyDescent="0.25">
      <c r="I324" s="37"/>
      <c r="J324" s="35"/>
    </row>
    <row r="325" spans="9:10" x14ac:dyDescent="0.25">
      <c r="I325" s="37"/>
      <c r="J325" s="35"/>
    </row>
    <row r="326" spans="9:10" x14ac:dyDescent="0.25">
      <c r="I326" s="37"/>
      <c r="J326" s="35"/>
    </row>
    <row r="327" spans="9:10" x14ac:dyDescent="0.25">
      <c r="I327" s="37"/>
      <c r="J327" s="35"/>
    </row>
    <row r="328" spans="9:10" x14ac:dyDescent="0.25">
      <c r="I328" s="37"/>
      <c r="J328" s="35"/>
    </row>
    <row r="329" spans="9:10" x14ac:dyDescent="0.25">
      <c r="I329" s="37"/>
      <c r="J329" s="35"/>
    </row>
    <row r="330" spans="9:10" x14ac:dyDescent="0.25">
      <c r="I330" s="37"/>
      <c r="J330" s="35"/>
    </row>
    <row r="331" spans="9:10" x14ac:dyDescent="0.25">
      <c r="I331" s="37"/>
      <c r="J331" s="35"/>
    </row>
    <row r="332" spans="9:10" x14ac:dyDescent="0.25">
      <c r="I332" s="37"/>
      <c r="J332" s="35"/>
    </row>
    <row r="333" spans="9:10" x14ac:dyDescent="0.25">
      <c r="I333" s="37"/>
      <c r="J333" s="35"/>
    </row>
    <row r="334" spans="9:10" x14ac:dyDescent="0.25">
      <c r="I334" s="37"/>
      <c r="J334" s="35"/>
    </row>
    <row r="335" spans="9:10" x14ac:dyDescent="0.25">
      <c r="I335" s="37"/>
      <c r="J335" s="35"/>
    </row>
    <row r="336" spans="9:10" x14ac:dyDescent="0.25">
      <c r="I336" s="37"/>
      <c r="J336" s="35"/>
    </row>
    <row r="337" spans="9:10" x14ac:dyDescent="0.25">
      <c r="I337" s="37"/>
      <c r="J337" s="35"/>
    </row>
    <row r="338" spans="9:10" x14ac:dyDescent="0.25">
      <c r="I338" s="37"/>
      <c r="J338" s="35"/>
    </row>
    <row r="339" spans="9:10" x14ac:dyDescent="0.25">
      <c r="I339" s="37"/>
      <c r="J339" s="35"/>
    </row>
    <row r="340" spans="9:10" x14ac:dyDescent="0.25">
      <c r="I340" s="37"/>
      <c r="J340" s="35"/>
    </row>
    <row r="341" spans="9:10" x14ac:dyDescent="0.25">
      <c r="I341" s="37"/>
      <c r="J341" s="35"/>
    </row>
    <row r="342" spans="9:10" x14ac:dyDescent="0.25">
      <c r="I342" s="37"/>
      <c r="J342" s="35"/>
    </row>
    <row r="343" spans="9:10" x14ac:dyDescent="0.25">
      <c r="I343" s="37"/>
      <c r="J343" s="35"/>
    </row>
    <row r="344" spans="9:10" x14ac:dyDescent="0.25">
      <c r="I344" s="37"/>
      <c r="J344" s="35"/>
    </row>
    <row r="345" spans="9:10" x14ac:dyDescent="0.25">
      <c r="I345" s="37"/>
      <c r="J345" s="35"/>
    </row>
    <row r="346" spans="9:10" x14ac:dyDescent="0.25">
      <c r="I346" s="37"/>
      <c r="J346" s="35"/>
    </row>
    <row r="347" spans="9:10" x14ac:dyDescent="0.25">
      <c r="I347" s="37"/>
      <c r="J347" s="35"/>
    </row>
    <row r="348" spans="9:10" x14ac:dyDescent="0.25">
      <c r="I348" s="37"/>
      <c r="J348" s="35"/>
    </row>
    <row r="349" spans="9:10" x14ac:dyDescent="0.25">
      <c r="I349" s="37"/>
      <c r="J349" s="35"/>
    </row>
    <row r="350" spans="9:10" x14ac:dyDescent="0.25">
      <c r="I350" s="37"/>
      <c r="J350" s="35"/>
    </row>
    <row r="351" spans="9:10" x14ac:dyDescent="0.25">
      <c r="I351" s="37"/>
      <c r="J351" s="35"/>
    </row>
    <row r="352" spans="9:10" x14ac:dyDescent="0.25">
      <c r="I352" s="37"/>
      <c r="J352" s="35"/>
    </row>
    <row r="353" spans="9:10" x14ac:dyDescent="0.25">
      <c r="I353" s="37"/>
      <c r="J353" s="35"/>
    </row>
    <row r="354" spans="9:10" x14ac:dyDescent="0.25">
      <c r="I354" s="37"/>
      <c r="J354" s="35"/>
    </row>
    <row r="355" spans="9:10" x14ac:dyDescent="0.25">
      <c r="I355" s="37"/>
      <c r="J355" s="35"/>
    </row>
    <row r="356" spans="9:10" x14ac:dyDescent="0.25">
      <c r="I356" s="37"/>
      <c r="J356" s="35"/>
    </row>
    <row r="357" spans="9:10" x14ac:dyDescent="0.25">
      <c r="I357" s="37"/>
      <c r="J357" s="35"/>
    </row>
    <row r="358" spans="9:10" x14ac:dyDescent="0.25">
      <c r="I358" s="37"/>
      <c r="J358" s="35"/>
    </row>
    <row r="359" spans="9:10" x14ac:dyDescent="0.25">
      <c r="I359" s="37"/>
      <c r="J359" s="35"/>
    </row>
    <row r="360" spans="9:10" x14ac:dyDescent="0.25">
      <c r="I360" s="37"/>
      <c r="J360" s="35"/>
    </row>
    <row r="361" spans="9:10" x14ac:dyDescent="0.25">
      <c r="I361" s="37"/>
      <c r="J361" s="35"/>
    </row>
    <row r="362" spans="9:10" x14ac:dyDescent="0.25">
      <c r="I362" s="37"/>
      <c r="J362" s="35"/>
    </row>
    <row r="363" spans="9:10" x14ac:dyDescent="0.25">
      <c r="I363" s="37"/>
      <c r="J363" s="35"/>
    </row>
    <row r="364" spans="9:10" x14ac:dyDescent="0.25">
      <c r="I364" s="37"/>
      <c r="J364" s="35"/>
    </row>
    <row r="365" spans="9:10" x14ac:dyDescent="0.25">
      <c r="I365" s="37"/>
      <c r="J365" s="35"/>
    </row>
    <row r="366" spans="9:10" x14ac:dyDescent="0.25">
      <c r="I366" s="37"/>
      <c r="J366" s="35"/>
    </row>
    <row r="367" spans="9:10" x14ac:dyDescent="0.25">
      <c r="I367" s="37"/>
      <c r="J367" s="35"/>
    </row>
    <row r="368" spans="9:10" x14ac:dyDescent="0.25">
      <c r="I368" s="37"/>
      <c r="J368" s="35"/>
    </row>
    <row r="369" spans="9:10" x14ac:dyDescent="0.25">
      <c r="I369" s="37"/>
      <c r="J369" s="35"/>
    </row>
    <row r="370" spans="9:10" x14ac:dyDescent="0.25">
      <c r="I370" s="37"/>
      <c r="J370" s="35"/>
    </row>
    <row r="371" spans="9:10" x14ac:dyDescent="0.25">
      <c r="I371" s="37"/>
      <c r="J371" s="35"/>
    </row>
    <row r="372" spans="9:10" x14ac:dyDescent="0.25">
      <c r="I372" s="37"/>
      <c r="J372" s="35"/>
    </row>
    <row r="373" spans="9:10" x14ac:dyDescent="0.25">
      <c r="I373" s="37"/>
      <c r="J373" s="35"/>
    </row>
    <row r="374" spans="9:10" x14ac:dyDescent="0.25">
      <c r="I374" s="37"/>
      <c r="J374" s="35"/>
    </row>
    <row r="375" spans="9:10" x14ac:dyDescent="0.25">
      <c r="I375" s="37"/>
      <c r="J375" s="35"/>
    </row>
    <row r="376" spans="9:10" x14ac:dyDescent="0.25">
      <c r="I376" s="37"/>
      <c r="J376" s="35"/>
    </row>
    <row r="377" spans="9:10" x14ac:dyDescent="0.25">
      <c r="I377" s="37"/>
      <c r="J377" s="35"/>
    </row>
    <row r="378" spans="9:10" x14ac:dyDescent="0.25">
      <c r="I378" s="37"/>
      <c r="J378" s="35"/>
    </row>
    <row r="379" spans="9:10" x14ac:dyDescent="0.25">
      <c r="I379" s="37"/>
      <c r="J379" s="35"/>
    </row>
    <row r="380" spans="9:10" x14ac:dyDescent="0.25">
      <c r="I380" s="37"/>
      <c r="J380" s="35"/>
    </row>
    <row r="381" spans="9:10" x14ac:dyDescent="0.25">
      <c r="I381" s="37"/>
      <c r="J381" s="35"/>
    </row>
    <row r="382" spans="9:10" x14ac:dyDescent="0.25">
      <c r="I382" s="37"/>
      <c r="J382" s="35"/>
    </row>
    <row r="383" spans="9:10" x14ac:dyDescent="0.25">
      <c r="I383" s="37"/>
      <c r="J383" s="35"/>
    </row>
    <row r="384" spans="9:10" x14ac:dyDescent="0.25">
      <c r="I384" s="37"/>
      <c r="J384" s="35"/>
    </row>
    <row r="385" spans="9:10" x14ac:dyDescent="0.25">
      <c r="I385" s="37"/>
      <c r="J385" s="35"/>
    </row>
    <row r="386" spans="9:10" x14ac:dyDescent="0.25">
      <c r="I386" s="37"/>
      <c r="J386" s="35"/>
    </row>
    <row r="387" spans="9:10" x14ac:dyDescent="0.25">
      <c r="I387" s="37"/>
      <c r="J387" s="35"/>
    </row>
    <row r="388" spans="9:10" x14ac:dyDescent="0.25">
      <c r="I388" s="37"/>
      <c r="J388" s="35"/>
    </row>
    <row r="389" spans="9:10" x14ac:dyDescent="0.25">
      <c r="I389" s="37"/>
      <c r="J389" s="35"/>
    </row>
    <row r="390" spans="9:10" x14ac:dyDescent="0.25">
      <c r="I390" s="37"/>
      <c r="J390" s="35"/>
    </row>
    <row r="391" spans="9:10" x14ac:dyDescent="0.25">
      <c r="I391" s="37"/>
      <c r="J391" s="35"/>
    </row>
    <row r="392" spans="9:10" x14ac:dyDescent="0.25">
      <c r="I392" s="37"/>
      <c r="J392" s="35"/>
    </row>
    <row r="393" spans="9:10" x14ac:dyDescent="0.25">
      <c r="I393" s="37"/>
      <c r="J393" s="35"/>
    </row>
    <row r="394" spans="9:10" x14ac:dyDescent="0.25">
      <c r="I394" s="37"/>
      <c r="J394" s="35"/>
    </row>
    <row r="395" spans="9:10" x14ac:dyDescent="0.25">
      <c r="I395" s="37"/>
      <c r="J395" s="35"/>
    </row>
    <row r="396" spans="9:10" x14ac:dyDescent="0.25">
      <c r="I396" s="37"/>
      <c r="J396" s="35"/>
    </row>
    <row r="397" spans="9:10" x14ac:dyDescent="0.25">
      <c r="I397" s="37"/>
      <c r="J397" s="35"/>
    </row>
    <row r="398" spans="9:10" x14ac:dyDescent="0.25">
      <c r="I398" s="37"/>
      <c r="J398" s="35"/>
    </row>
    <row r="399" spans="9:10" x14ac:dyDescent="0.25">
      <c r="I399" s="37"/>
      <c r="J399" s="35"/>
    </row>
    <row r="400" spans="9:10" x14ac:dyDescent="0.25">
      <c r="I400" s="37"/>
      <c r="J400" s="35"/>
    </row>
    <row r="401" spans="9:10" x14ac:dyDescent="0.25">
      <c r="I401" s="37"/>
      <c r="J401" s="35"/>
    </row>
    <row r="402" spans="9:10" x14ac:dyDescent="0.25">
      <c r="I402" s="37"/>
      <c r="J402" s="35"/>
    </row>
    <row r="403" spans="9:10" x14ac:dyDescent="0.25">
      <c r="I403" s="37"/>
      <c r="J403" s="35"/>
    </row>
    <row r="404" spans="9:10" x14ac:dyDescent="0.25">
      <c r="I404" s="37"/>
      <c r="J404" s="35"/>
    </row>
    <row r="405" spans="9:10" x14ac:dyDescent="0.25">
      <c r="I405" s="37"/>
      <c r="J405" s="35"/>
    </row>
    <row r="406" spans="9:10" x14ac:dyDescent="0.25">
      <c r="I406" s="37"/>
      <c r="J406" s="35"/>
    </row>
    <row r="407" spans="9:10" x14ac:dyDescent="0.25">
      <c r="I407" s="37"/>
      <c r="J407" s="35"/>
    </row>
    <row r="408" spans="9:10" x14ac:dyDescent="0.25">
      <c r="I408" s="37"/>
      <c r="J408" s="35"/>
    </row>
    <row r="409" spans="9:10" x14ac:dyDescent="0.25">
      <c r="I409" s="37"/>
      <c r="J409" s="35"/>
    </row>
    <row r="410" spans="9:10" x14ac:dyDescent="0.25">
      <c r="I410" s="37"/>
      <c r="J410" s="35"/>
    </row>
    <row r="411" spans="9:10" x14ac:dyDescent="0.25">
      <c r="I411" s="37"/>
      <c r="J411" s="35"/>
    </row>
    <row r="412" spans="9:10" x14ac:dyDescent="0.25">
      <c r="I412" s="37"/>
      <c r="J412" s="35"/>
    </row>
    <row r="413" spans="9:10" x14ac:dyDescent="0.25">
      <c r="I413" s="37"/>
      <c r="J413" s="35"/>
    </row>
    <row r="414" spans="9:10" x14ac:dyDescent="0.25">
      <c r="I414" s="37"/>
      <c r="J414" s="35"/>
    </row>
    <row r="415" spans="9:10" x14ac:dyDescent="0.25">
      <c r="I415" s="37"/>
      <c r="J415" s="35"/>
    </row>
    <row r="416" spans="9:10" x14ac:dyDescent="0.25">
      <c r="I416" s="37"/>
      <c r="J416" s="35"/>
    </row>
    <row r="417" spans="9:10" x14ac:dyDescent="0.25">
      <c r="I417" s="37"/>
      <c r="J417" s="35"/>
    </row>
    <row r="418" spans="9:10" x14ac:dyDescent="0.25">
      <c r="I418" s="37"/>
      <c r="J418" s="35"/>
    </row>
    <row r="419" spans="9:10" x14ac:dyDescent="0.25">
      <c r="I419" s="37"/>
      <c r="J419" s="35"/>
    </row>
    <row r="420" spans="9:10" x14ac:dyDescent="0.25">
      <c r="I420" s="37"/>
      <c r="J420" s="35"/>
    </row>
    <row r="421" spans="9:10" x14ac:dyDescent="0.25">
      <c r="I421" s="37"/>
      <c r="J421" s="35"/>
    </row>
    <row r="422" spans="9:10" x14ac:dyDescent="0.25">
      <c r="I422" s="37"/>
      <c r="J422" s="35"/>
    </row>
    <row r="423" spans="9:10" x14ac:dyDescent="0.25">
      <c r="I423" s="37"/>
      <c r="J423" s="35"/>
    </row>
    <row r="424" spans="9:10" x14ac:dyDescent="0.25">
      <c r="I424" s="37"/>
      <c r="J424" s="35"/>
    </row>
    <row r="425" spans="9:10" x14ac:dyDescent="0.25">
      <c r="I425" s="37"/>
      <c r="J425" s="35"/>
    </row>
    <row r="426" spans="9:10" x14ac:dyDescent="0.25">
      <c r="I426" s="37"/>
      <c r="J426" s="35"/>
    </row>
    <row r="427" spans="9:10" x14ac:dyDescent="0.25">
      <c r="I427" s="37"/>
      <c r="J427" s="35"/>
    </row>
    <row r="428" spans="9:10" x14ac:dyDescent="0.25">
      <c r="I428" s="37"/>
      <c r="J428" s="35"/>
    </row>
    <row r="429" spans="9:10" x14ac:dyDescent="0.25">
      <c r="I429" s="37"/>
      <c r="J429" s="35"/>
    </row>
    <row r="430" spans="9:10" x14ac:dyDescent="0.25">
      <c r="I430" s="37"/>
      <c r="J430" s="35"/>
    </row>
    <row r="431" spans="9:10" x14ac:dyDescent="0.25">
      <c r="I431" s="37"/>
      <c r="J431" s="35"/>
    </row>
    <row r="432" spans="9:10" x14ac:dyDescent="0.25">
      <c r="I432" s="37"/>
      <c r="J432" s="35"/>
    </row>
    <row r="433" spans="9:10" x14ac:dyDescent="0.25">
      <c r="I433" s="37"/>
      <c r="J433" s="35"/>
    </row>
    <row r="434" spans="9:10" x14ac:dyDescent="0.25">
      <c r="I434" s="37"/>
      <c r="J434" s="35"/>
    </row>
    <row r="435" spans="9:10" x14ac:dyDescent="0.25">
      <c r="I435" s="37"/>
      <c r="J435" s="35"/>
    </row>
    <row r="436" spans="9:10" x14ac:dyDescent="0.25">
      <c r="I436" s="37"/>
      <c r="J436" s="35"/>
    </row>
    <row r="437" spans="9:10" x14ac:dyDescent="0.25">
      <c r="I437" s="37"/>
      <c r="J437" s="35"/>
    </row>
    <row r="438" spans="9:10" x14ac:dyDescent="0.25">
      <c r="I438" s="37"/>
      <c r="J438" s="35"/>
    </row>
    <row r="439" spans="9:10" x14ac:dyDescent="0.25">
      <c r="I439" s="37"/>
      <c r="J439" s="35"/>
    </row>
    <row r="440" spans="9:10" x14ac:dyDescent="0.25">
      <c r="I440" s="37"/>
      <c r="J440" s="35"/>
    </row>
    <row r="441" spans="9:10" x14ac:dyDescent="0.25">
      <c r="I441" s="37"/>
      <c r="J441" s="35"/>
    </row>
    <row r="442" spans="9:10" x14ac:dyDescent="0.25">
      <c r="I442" s="37"/>
      <c r="J442" s="35"/>
    </row>
    <row r="443" spans="9:10" x14ac:dyDescent="0.25">
      <c r="I443" s="37"/>
      <c r="J443" s="35"/>
    </row>
    <row r="444" spans="9:10" x14ac:dyDescent="0.25">
      <c r="I444" s="37"/>
      <c r="J444" s="35"/>
    </row>
    <row r="445" spans="9:10" x14ac:dyDescent="0.25">
      <c r="I445" s="37"/>
      <c r="J445" s="35"/>
    </row>
    <row r="446" spans="9:10" x14ac:dyDescent="0.25">
      <c r="I446" s="37"/>
      <c r="J446" s="35"/>
    </row>
    <row r="447" spans="9:10" x14ac:dyDescent="0.25">
      <c r="I447" s="37"/>
      <c r="J447" s="35"/>
    </row>
    <row r="448" spans="9:10" x14ac:dyDescent="0.25">
      <c r="I448" s="37"/>
      <c r="J448" s="35"/>
    </row>
    <row r="449" spans="9:10" x14ac:dyDescent="0.25">
      <c r="I449" s="37"/>
      <c r="J449" s="35"/>
    </row>
    <row r="450" spans="9:10" x14ac:dyDescent="0.25">
      <c r="I450" s="37"/>
      <c r="J450" s="35"/>
    </row>
    <row r="451" spans="9:10" x14ac:dyDescent="0.25">
      <c r="I451" s="37"/>
      <c r="J451" s="35"/>
    </row>
    <row r="452" spans="9:10" x14ac:dyDescent="0.25">
      <c r="I452" s="37"/>
      <c r="J452" s="35"/>
    </row>
    <row r="453" spans="9:10" x14ac:dyDescent="0.25">
      <c r="I453" s="37"/>
      <c r="J453" s="35"/>
    </row>
    <row r="454" spans="9:10" x14ac:dyDescent="0.25">
      <c r="I454" s="37"/>
      <c r="J454" s="35"/>
    </row>
    <row r="455" spans="9:10" x14ac:dyDescent="0.25">
      <c r="I455" s="37"/>
      <c r="J455" s="35"/>
    </row>
    <row r="456" spans="9:10" x14ac:dyDescent="0.25">
      <c r="I456" s="37"/>
      <c r="J456" s="35"/>
    </row>
    <row r="457" spans="9:10" x14ac:dyDescent="0.25">
      <c r="I457" s="37"/>
      <c r="J457" s="35"/>
    </row>
    <row r="458" spans="9:10" x14ac:dyDescent="0.25">
      <c r="I458" s="37"/>
      <c r="J458" s="35"/>
    </row>
    <row r="459" spans="9:10" x14ac:dyDescent="0.25">
      <c r="I459" s="37"/>
      <c r="J459" s="35"/>
    </row>
    <row r="460" spans="9:10" x14ac:dyDescent="0.25">
      <c r="I460" s="37"/>
      <c r="J460" s="35"/>
    </row>
    <row r="461" spans="9:10" x14ac:dyDescent="0.25">
      <c r="I461" s="37"/>
      <c r="J461" s="35"/>
    </row>
    <row r="462" spans="9:10" x14ac:dyDescent="0.25">
      <c r="I462" s="37"/>
      <c r="J462" s="35"/>
    </row>
    <row r="463" spans="9:10" x14ac:dyDescent="0.25">
      <c r="I463" s="37"/>
      <c r="J463" s="35"/>
    </row>
    <row r="464" spans="9:10" x14ac:dyDescent="0.25">
      <c r="I464" s="37"/>
      <c r="J464" s="35"/>
    </row>
    <row r="465" spans="9:10" x14ac:dyDescent="0.25">
      <c r="I465" s="37"/>
      <c r="J465" s="35"/>
    </row>
    <row r="466" spans="9:10" x14ac:dyDescent="0.25">
      <c r="I466" s="37"/>
      <c r="J466" s="35"/>
    </row>
    <row r="467" spans="9:10" x14ac:dyDescent="0.25">
      <c r="I467" s="37"/>
      <c r="J467" s="35"/>
    </row>
    <row r="468" spans="9:10" x14ac:dyDescent="0.25">
      <c r="I468" s="37"/>
      <c r="J468" s="35"/>
    </row>
    <row r="469" spans="9:10" x14ac:dyDescent="0.25">
      <c r="I469" s="37"/>
      <c r="J469" s="35"/>
    </row>
    <row r="470" spans="9:10" x14ac:dyDescent="0.25">
      <c r="I470" s="37"/>
      <c r="J470" s="35"/>
    </row>
    <row r="471" spans="9:10" x14ac:dyDescent="0.25">
      <c r="I471" s="37"/>
      <c r="J471" s="35"/>
    </row>
    <row r="472" spans="9:10" x14ac:dyDescent="0.25">
      <c r="I472" s="37"/>
      <c r="J472" s="35"/>
    </row>
    <row r="473" spans="9:10" x14ac:dyDescent="0.25">
      <c r="I473" s="37"/>
      <c r="J473" s="35"/>
    </row>
    <row r="474" spans="9:10" x14ac:dyDescent="0.25">
      <c r="I474" s="37"/>
      <c r="J474" s="35"/>
    </row>
    <row r="475" spans="9:10" x14ac:dyDescent="0.25">
      <c r="I475" s="37"/>
      <c r="J475" s="35"/>
    </row>
    <row r="476" spans="9:10" x14ac:dyDescent="0.25">
      <c r="I476" s="37"/>
      <c r="J476" s="35"/>
    </row>
    <row r="477" spans="9:10" x14ac:dyDescent="0.25">
      <c r="I477" s="37"/>
      <c r="J477" s="35"/>
    </row>
    <row r="478" spans="9:10" x14ac:dyDescent="0.25">
      <c r="I478" s="37"/>
      <c r="J478" s="35"/>
    </row>
    <row r="479" spans="9:10" x14ac:dyDescent="0.25">
      <c r="I479" s="37"/>
      <c r="J479" s="35"/>
    </row>
    <row r="480" spans="9:10" x14ac:dyDescent="0.25">
      <c r="I480" s="37"/>
      <c r="J480" s="35"/>
    </row>
    <row r="481" spans="9:10" x14ac:dyDescent="0.25">
      <c r="I481" s="37"/>
      <c r="J481" s="35"/>
    </row>
    <row r="482" spans="9:10" x14ac:dyDescent="0.25">
      <c r="I482" s="37"/>
      <c r="J482" s="35"/>
    </row>
    <row r="483" spans="9:10" x14ac:dyDescent="0.25">
      <c r="I483" s="37"/>
      <c r="J483" s="35"/>
    </row>
    <row r="484" spans="9:10" x14ac:dyDescent="0.25">
      <c r="I484" s="37"/>
      <c r="J484" s="35"/>
    </row>
    <row r="485" spans="9:10" x14ac:dyDescent="0.25">
      <c r="I485" s="37"/>
      <c r="J485" s="35"/>
    </row>
    <row r="486" spans="9:10" x14ac:dyDescent="0.25">
      <c r="I486" s="37"/>
      <c r="J486" s="35"/>
    </row>
    <row r="487" spans="9:10" x14ac:dyDescent="0.25">
      <c r="I487" s="37"/>
      <c r="J487" s="35"/>
    </row>
    <row r="488" spans="9:10" x14ac:dyDescent="0.25">
      <c r="I488" s="37"/>
      <c r="J488" s="35"/>
    </row>
    <row r="489" spans="9:10" x14ac:dyDescent="0.25">
      <c r="I489" s="37"/>
      <c r="J489" s="35"/>
    </row>
    <row r="490" spans="9:10" x14ac:dyDescent="0.25">
      <c r="I490" s="37"/>
      <c r="J490" s="35"/>
    </row>
    <row r="491" spans="9:10" x14ac:dyDescent="0.25">
      <c r="I491" s="37"/>
      <c r="J491" s="35"/>
    </row>
    <row r="492" spans="9:10" x14ac:dyDescent="0.25">
      <c r="I492" s="37"/>
      <c r="J492" s="35"/>
    </row>
    <row r="493" spans="9:10" x14ac:dyDescent="0.25">
      <c r="I493" s="37"/>
      <c r="J493" s="35"/>
    </row>
    <row r="494" spans="9:10" x14ac:dyDescent="0.25">
      <c r="I494" s="37"/>
      <c r="J494" s="35"/>
    </row>
    <row r="495" spans="9:10" x14ac:dyDescent="0.25">
      <c r="I495" s="37"/>
      <c r="J495" s="35"/>
    </row>
    <row r="496" spans="9:10" x14ac:dyDescent="0.25">
      <c r="I496" s="37"/>
      <c r="J496" s="35"/>
    </row>
    <row r="497" spans="9:10" x14ac:dyDescent="0.25">
      <c r="I497" s="37"/>
      <c r="J497" s="35"/>
    </row>
    <row r="498" spans="9:10" x14ac:dyDescent="0.25">
      <c r="I498" s="37"/>
      <c r="J498" s="35"/>
    </row>
    <row r="499" spans="9:10" x14ac:dyDescent="0.25">
      <c r="I499" s="37"/>
      <c r="J499" s="35"/>
    </row>
    <row r="500" spans="9:10" x14ac:dyDescent="0.25">
      <c r="I500" s="37"/>
      <c r="J500" s="35"/>
    </row>
    <row r="501" spans="9:10" x14ac:dyDescent="0.25">
      <c r="I501" s="37"/>
      <c r="J501" s="35"/>
    </row>
    <row r="502" spans="9:10" x14ac:dyDescent="0.25">
      <c r="I502" s="37"/>
      <c r="J502" s="35"/>
    </row>
    <row r="503" spans="9:10" x14ac:dyDescent="0.25">
      <c r="I503" s="37"/>
      <c r="J503" s="35"/>
    </row>
    <row r="504" spans="9:10" x14ac:dyDescent="0.25">
      <c r="I504" s="37"/>
      <c r="J504" s="35"/>
    </row>
    <row r="505" spans="9:10" x14ac:dyDescent="0.25">
      <c r="I505" s="37"/>
      <c r="J505" s="35"/>
    </row>
    <row r="506" spans="9:10" x14ac:dyDescent="0.25">
      <c r="I506" s="37"/>
      <c r="J506" s="35"/>
    </row>
    <row r="507" spans="9:10" x14ac:dyDescent="0.25">
      <c r="I507" s="37"/>
      <c r="J507" s="35"/>
    </row>
    <row r="508" spans="9:10" x14ac:dyDescent="0.25">
      <c r="I508" s="37"/>
      <c r="J508" s="35"/>
    </row>
    <row r="509" spans="9:10" x14ac:dyDescent="0.25">
      <c r="I509" s="37"/>
      <c r="J509" s="35"/>
    </row>
    <row r="510" spans="9:10" x14ac:dyDescent="0.25">
      <c r="I510" s="37"/>
      <c r="J510" s="35"/>
    </row>
    <row r="511" spans="9:10" x14ac:dyDescent="0.25">
      <c r="I511" s="37"/>
      <c r="J511" s="35"/>
    </row>
    <row r="512" spans="9:10" x14ac:dyDescent="0.25">
      <c r="I512" s="37"/>
      <c r="J512" s="35"/>
    </row>
    <row r="513" spans="9:10" x14ac:dyDescent="0.25">
      <c r="I513" s="37"/>
      <c r="J513" s="35"/>
    </row>
    <row r="514" spans="9:10" x14ac:dyDescent="0.25">
      <c r="I514" s="37"/>
      <c r="J514" s="35"/>
    </row>
    <row r="515" spans="9:10" x14ac:dyDescent="0.25">
      <c r="I515" s="37"/>
      <c r="J515" s="35"/>
    </row>
    <row r="516" spans="9:10" x14ac:dyDescent="0.25">
      <c r="I516" s="37"/>
      <c r="J516" s="35"/>
    </row>
    <row r="517" spans="9:10" x14ac:dyDescent="0.25">
      <c r="I517" s="37"/>
      <c r="J517" s="35"/>
    </row>
    <row r="518" spans="9:10" x14ac:dyDescent="0.25">
      <c r="I518" s="37"/>
      <c r="J518" s="35"/>
    </row>
    <row r="519" spans="9:10" x14ac:dyDescent="0.25">
      <c r="I519" s="37"/>
      <c r="J519" s="35"/>
    </row>
    <row r="520" spans="9:10" x14ac:dyDescent="0.25">
      <c r="I520" s="37"/>
      <c r="J520" s="35"/>
    </row>
    <row r="521" spans="9:10" x14ac:dyDescent="0.25">
      <c r="I521" s="37"/>
      <c r="J521" s="35"/>
    </row>
    <row r="522" spans="9:10" x14ac:dyDescent="0.25">
      <c r="I522" s="37"/>
      <c r="J522" s="35"/>
    </row>
    <row r="523" spans="9:10" x14ac:dyDescent="0.25">
      <c r="I523" s="37"/>
      <c r="J523" s="35"/>
    </row>
    <row r="524" spans="9:10" x14ac:dyDescent="0.25">
      <c r="I524" s="37"/>
      <c r="J524" s="35"/>
    </row>
    <row r="525" spans="9:10" x14ac:dyDescent="0.25">
      <c r="I525" s="37"/>
      <c r="J525" s="35"/>
    </row>
    <row r="526" spans="9:10" x14ac:dyDescent="0.25">
      <c r="I526" s="37"/>
      <c r="J526" s="35"/>
    </row>
    <row r="527" spans="9:10" x14ac:dyDescent="0.25">
      <c r="I527" s="37"/>
      <c r="J527" s="35"/>
    </row>
    <row r="528" spans="9:10" x14ac:dyDescent="0.25">
      <c r="I528" s="37"/>
      <c r="J528" s="35"/>
    </row>
    <row r="529" spans="9:10" x14ac:dyDescent="0.25">
      <c r="I529" s="37"/>
      <c r="J529" s="35"/>
    </row>
    <row r="530" spans="9:10" x14ac:dyDescent="0.25">
      <c r="I530" s="37"/>
      <c r="J530" s="35"/>
    </row>
    <row r="531" spans="9:10" x14ac:dyDescent="0.25">
      <c r="I531" s="37"/>
      <c r="J531" s="35"/>
    </row>
    <row r="532" spans="9:10" x14ac:dyDescent="0.25">
      <c r="I532" s="37"/>
      <c r="J532" s="35"/>
    </row>
    <row r="533" spans="9:10" x14ac:dyDescent="0.25">
      <c r="I533" s="37"/>
      <c r="J533" s="35"/>
    </row>
    <row r="534" spans="9:10" x14ac:dyDescent="0.25">
      <c r="I534" s="37"/>
      <c r="J534" s="35"/>
    </row>
    <row r="535" spans="9:10" x14ac:dyDescent="0.25">
      <c r="I535" s="37"/>
      <c r="J535" s="35"/>
    </row>
    <row r="536" spans="9:10" x14ac:dyDescent="0.25">
      <c r="I536" s="37"/>
      <c r="J536" s="35"/>
    </row>
    <row r="537" spans="9:10" x14ac:dyDescent="0.25">
      <c r="I537" s="37"/>
      <c r="J537" s="35"/>
    </row>
    <row r="538" spans="9:10" x14ac:dyDescent="0.25">
      <c r="I538" s="37"/>
      <c r="J538" s="35"/>
    </row>
    <row r="539" spans="9:10" x14ac:dyDescent="0.25">
      <c r="I539" s="37"/>
      <c r="J539" s="35"/>
    </row>
    <row r="540" spans="9:10" x14ac:dyDescent="0.25">
      <c r="I540" s="37"/>
      <c r="J540" s="35"/>
    </row>
    <row r="541" spans="9:10" x14ac:dyDescent="0.25">
      <c r="I541" s="37"/>
      <c r="J541" s="35"/>
    </row>
    <row r="542" spans="9:10" x14ac:dyDescent="0.25">
      <c r="I542" s="37"/>
      <c r="J542" s="35"/>
    </row>
    <row r="543" spans="9:10" x14ac:dyDescent="0.25">
      <c r="I543" s="37"/>
      <c r="J543" s="35"/>
    </row>
    <row r="544" spans="9:10" x14ac:dyDescent="0.25">
      <c r="I544" s="37"/>
      <c r="J544" s="35"/>
    </row>
    <row r="545" spans="9:10" x14ac:dyDescent="0.25">
      <c r="I545" s="37"/>
      <c r="J545" s="35"/>
    </row>
    <row r="546" spans="9:10" x14ac:dyDescent="0.25">
      <c r="I546" s="37"/>
      <c r="J546" s="35"/>
    </row>
    <row r="547" spans="9:10" x14ac:dyDescent="0.25">
      <c r="I547" s="37"/>
      <c r="J547" s="35"/>
    </row>
    <row r="548" spans="9:10" x14ac:dyDescent="0.25">
      <c r="I548" s="37"/>
      <c r="J548" s="35"/>
    </row>
    <row r="549" spans="9:10" x14ac:dyDescent="0.25">
      <c r="I549" s="37"/>
      <c r="J549" s="35"/>
    </row>
    <row r="550" spans="9:10" x14ac:dyDescent="0.25">
      <c r="I550" s="37"/>
      <c r="J550" s="35"/>
    </row>
    <row r="551" spans="9:10" x14ac:dyDescent="0.25">
      <c r="I551" s="37"/>
      <c r="J551" s="35"/>
    </row>
    <row r="552" spans="9:10" x14ac:dyDescent="0.25">
      <c r="I552" s="37"/>
      <c r="J552" s="35"/>
    </row>
    <row r="553" spans="9:10" x14ac:dyDescent="0.25">
      <c r="I553" s="37"/>
      <c r="J553" s="35"/>
    </row>
    <row r="554" spans="9:10" x14ac:dyDescent="0.25">
      <c r="I554" s="37"/>
      <c r="J554" s="35"/>
    </row>
    <row r="555" spans="9:10" x14ac:dyDescent="0.25">
      <c r="I555" s="37"/>
      <c r="J555" s="35"/>
    </row>
    <row r="556" spans="9:10" x14ac:dyDescent="0.25">
      <c r="I556" s="37"/>
      <c r="J556" s="35"/>
    </row>
    <row r="557" spans="9:10" x14ac:dyDescent="0.25">
      <c r="I557" s="37"/>
      <c r="J557" s="35"/>
    </row>
    <row r="558" spans="9:10" x14ac:dyDescent="0.25">
      <c r="I558" s="37"/>
      <c r="J558" s="35"/>
    </row>
    <row r="559" spans="9:10" x14ac:dyDescent="0.25">
      <c r="I559" s="37"/>
      <c r="J559" s="35"/>
    </row>
    <row r="560" spans="9:10" x14ac:dyDescent="0.25">
      <c r="I560" s="37"/>
      <c r="J560" s="35"/>
    </row>
    <row r="561" spans="9:10" x14ac:dyDescent="0.25">
      <c r="I561" s="37"/>
      <c r="J561" s="35"/>
    </row>
    <row r="562" spans="9:10" x14ac:dyDescent="0.25">
      <c r="I562" s="37"/>
      <c r="J562" s="35"/>
    </row>
    <row r="563" spans="9:10" x14ac:dyDescent="0.25">
      <c r="I563" s="37"/>
      <c r="J563" s="35"/>
    </row>
    <row r="564" spans="9:10" x14ac:dyDescent="0.25">
      <c r="I564" s="37"/>
      <c r="J564" s="35"/>
    </row>
    <row r="565" spans="9:10" x14ac:dyDescent="0.25">
      <c r="I565" s="37"/>
      <c r="J565" s="35"/>
    </row>
    <row r="566" spans="9:10" x14ac:dyDescent="0.25">
      <c r="I566" s="37"/>
      <c r="J566" s="35"/>
    </row>
    <row r="567" spans="9:10" x14ac:dyDescent="0.25">
      <c r="I567" s="37"/>
      <c r="J567" s="35"/>
    </row>
    <row r="568" spans="9:10" x14ac:dyDescent="0.25">
      <c r="I568" s="37"/>
      <c r="J568" s="35"/>
    </row>
    <row r="569" spans="9:10" x14ac:dyDescent="0.25">
      <c r="I569" s="37"/>
      <c r="J569" s="35"/>
    </row>
    <row r="570" spans="9:10" x14ac:dyDescent="0.25">
      <c r="I570" s="37"/>
      <c r="J570" s="35"/>
    </row>
    <row r="571" spans="9:10" x14ac:dyDescent="0.25">
      <c r="I571" s="37"/>
      <c r="J571" s="35"/>
    </row>
    <row r="572" spans="9:10" x14ac:dyDescent="0.25">
      <c r="I572" s="37"/>
      <c r="J572" s="35"/>
    </row>
    <row r="573" spans="9:10" x14ac:dyDescent="0.25">
      <c r="I573" s="37"/>
      <c r="J573" s="35"/>
    </row>
    <row r="574" spans="9:10" x14ac:dyDescent="0.25">
      <c r="I574" s="37"/>
      <c r="J574" s="35"/>
    </row>
    <row r="575" spans="9:10" x14ac:dyDescent="0.25">
      <c r="I575" s="37"/>
      <c r="J575" s="35"/>
    </row>
    <row r="576" spans="9:10" x14ac:dyDescent="0.25">
      <c r="I576" s="37"/>
      <c r="J576" s="35"/>
    </row>
    <row r="577" spans="9:10" x14ac:dyDescent="0.25">
      <c r="I577" s="37"/>
      <c r="J577" s="35"/>
    </row>
    <row r="578" spans="9:10" x14ac:dyDescent="0.25">
      <c r="I578" s="37"/>
      <c r="J578" s="35"/>
    </row>
    <row r="579" spans="9:10" x14ac:dyDescent="0.25">
      <c r="I579" s="37"/>
      <c r="J579" s="35"/>
    </row>
    <row r="580" spans="9:10" x14ac:dyDescent="0.25">
      <c r="I580" s="37"/>
      <c r="J580" s="35"/>
    </row>
    <row r="581" spans="9:10" x14ac:dyDescent="0.25">
      <c r="I581" s="37"/>
      <c r="J581" s="35"/>
    </row>
    <row r="582" spans="9:10" x14ac:dyDescent="0.25">
      <c r="I582" s="37"/>
      <c r="J582" s="35"/>
    </row>
    <row r="583" spans="9:10" x14ac:dyDescent="0.25">
      <c r="I583" s="37"/>
      <c r="J583" s="35"/>
    </row>
    <row r="584" spans="9:10" x14ac:dyDescent="0.25">
      <c r="I584" s="37"/>
      <c r="J584" s="35"/>
    </row>
    <row r="585" spans="9:10" x14ac:dyDescent="0.25">
      <c r="I585" s="37"/>
      <c r="J585" s="35"/>
    </row>
    <row r="586" spans="9:10" x14ac:dyDescent="0.25">
      <c r="I586" s="37"/>
      <c r="J586" s="35"/>
    </row>
    <row r="587" spans="9:10" x14ac:dyDescent="0.25">
      <c r="I587" s="37"/>
      <c r="J587" s="35"/>
    </row>
    <row r="588" spans="9:10" x14ac:dyDescent="0.25">
      <c r="I588" s="37"/>
      <c r="J588" s="35"/>
    </row>
    <row r="589" spans="9:10" x14ac:dyDescent="0.25">
      <c r="I589" s="37"/>
      <c r="J589" s="35"/>
    </row>
    <row r="590" spans="9:10" x14ac:dyDescent="0.25">
      <c r="I590" s="37"/>
      <c r="J590" s="35"/>
    </row>
    <row r="591" spans="9:10" x14ac:dyDescent="0.25">
      <c r="I591" s="37"/>
      <c r="J591" s="35"/>
    </row>
    <row r="592" spans="9:10" x14ac:dyDescent="0.25">
      <c r="I592" s="37"/>
      <c r="J592" s="35"/>
    </row>
    <row r="593" spans="9:10" x14ac:dyDescent="0.25">
      <c r="I593" s="37"/>
      <c r="J593" s="35"/>
    </row>
    <row r="594" spans="9:10" x14ac:dyDescent="0.25">
      <c r="I594" s="37"/>
      <c r="J594" s="35"/>
    </row>
    <row r="595" spans="9:10" x14ac:dyDescent="0.25">
      <c r="I595" s="37"/>
      <c r="J595" s="35"/>
    </row>
    <row r="596" spans="9:10" x14ac:dyDescent="0.25">
      <c r="I596" s="37"/>
      <c r="J596" s="35"/>
    </row>
    <row r="597" spans="9:10" x14ac:dyDescent="0.25">
      <c r="I597" s="37"/>
      <c r="J597" s="35"/>
    </row>
    <row r="598" spans="9:10" x14ac:dyDescent="0.25">
      <c r="I598" s="37"/>
      <c r="J598" s="35"/>
    </row>
    <row r="599" spans="9:10" x14ac:dyDescent="0.25">
      <c r="I599" s="37"/>
      <c r="J599" s="35"/>
    </row>
    <row r="600" spans="9:10" x14ac:dyDescent="0.25">
      <c r="I600" s="37"/>
      <c r="J600" s="35"/>
    </row>
    <row r="601" spans="9:10" x14ac:dyDescent="0.25">
      <c r="I601" s="37"/>
      <c r="J601" s="35"/>
    </row>
    <row r="602" spans="9:10" x14ac:dyDescent="0.25">
      <c r="I602" s="37"/>
      <c r="J602" s="35"/>
    </row>
    <row r="603" spans="9:10" x14ac:dyDescent="0.25">
      <c r="I603" s="37"/>
      <c r="J603" s="35"/>
    </row>
    <row r="604" spans="9:10" x14ac:dyDescent="0.25">
      <c r="I604" s="37"/>
      <c r="J604" s="35"/>
    </row>
    <row r="605" spans="9:10" x14ac:dyDescent="0.25">
      <c r="I605" s="37"/>
      <c r="J605" s="35"/>
    </row>
    <row r="606" spans="9:10" x14ac:dyDescent="0.25">
      <c r="I606" s="37"/>
      <c r="J606" s="35"/>
    </row>
    <row r="607" spans="9:10" x14ac:dyDescent="0.25">
      <c r="I607" s="37"/>
      <c r="J607" s="35"/>
    </row>
    <row r="608" spans="9:10" x14ac:dyDescent="0.25">
      <c r="I608" s="37"/>
      <c r="J608" s="35"/>
    </row>
    <row r="609" spans="9:10" x14ac:dyDescent="0.25">
      <c r="I609" s="37"/>
      <c r="J609" s="35"/>
    </row>
    <row r="610" spans="9:10" x14ac:dyDescent="0.25">
      <c r="I610" s="37"/>
      <c r="J610" s="35"/>
    </row>
    <row r="611" spans="9:10" x14ac:dyDescent="0.25">
      <c r="I611" s="37"/>
      <c r="J611" s="35"/>
    </row>
    <row r="612" spans="9:10" x14ac:dyDescent="0.25">
      <c r="I612" s="37"/>
      <c r="J612" s="35"/>
    </row>
    <row r="613" spans="9:10" x14ac:dyDescent="0.25">
      <c r="I613" s="37"/>
      <c r="J613" s="35"/>
    </row>
    <row r="614" spans="9:10" x14ac:dyDescent="0.25">
      <c r="I614" s="37"/>
      <c r="J614" s="35"/>
    </row>
    <row r="615" spans="9:10" x14ac:dyDescent="0.25">
      <c r="I615" s="37"/>
      <c r="J615" s="35"/>
    </row>
    <row r="616" spans="9:10" x14ac:dyDescent="0.25">
      <c r="I616" s="37"/>
      <c r="J616" s="35"/>
    </row>
    <row r="617" spans="9:10" x14ac:dyDescent="0.25">
      <c r="I617" s="37"/>
      <c r="J617" s="35"/>
    </row>
    <row r="618" spans="9:10" x14ac:dyDescent="0.25">
      <c r="I618" s="37"/>
      <c r="J618" s="35"/>
    </row>
    <row r="619" spans="9:10" x14ac:dyDescent="0.25">
      <c r="I619" s="37"/>
      <c r="J619" s="35"/>
    </row>
    <row r="620" spans="9:10" x14ac:dyDescent="0.25">
      <c r="I620" s="37"/>
      <c r="J620" s="35"/>
    </row>
    <row r="621" spans="9:10" x14ac:dyDescent="0.25">
      <c r="I621" s="37"/>
      <c r="J621" s="35"/>
    </row>
    <row r="622" spans="9:10" x14ac:dyDescent="0.25">
      <c r="I622" s="37"/>
      <c r="J622" s="35"/>
    </row>
    <row r="623" spans="9:10" x14ac:dyDescent="0.25">
      <c r="I623" s="37"/>
      <c r="J623" s="35"/>
    </row>
    <row r="624" spans="9:10" x14ac:dyDescent="0.25">
      <c r="I624" s="37"/>
      <c r="J624" s="35"/>
    </row>
    <row r="625" spans="9:10" x14ac:dyDescent="0.25">
      <c r="I625" s="37"/>
      <c r="J625" s="35"/>
    </row>
    <row r="626" spans="9:10" x14ac:dyDescent="0.25">
      <c r="I626" s="37"/>
      <c r="J626" s="35"/>
    </row>
    <row r="627" spans="9:10" x14ac:dyDescent="0.25">
      <c r="I627" s="37"/>
      <c r="J627" s="35"/>
    </row>
    <row r="628" spans="9:10" x14ac:dyDescent="0.25">
      <c r="I628" s="37"/>
      <c r="J628" s="35"/>
    </row>
    <row r="629" spans="9:10" x14ac:dyDescent="0.25">
      <c r="I629" s="37"/>
      <c r="J629" s="35"/>
    </row>
    <row r="630" spans="9:10" x14ac:dyDescent="0.25">
      <c r="I630" s="37"/>
      <c r="J630" s="35"/>
    </row>
    <row r="631" spans="9:10" x14ac:dyDescent="0.25">
      <c r="I631" s="37"/>
      <c r="J631" s="35"/>
    </row>
    <row r="632" spans="9:10" x14ac:dyDescent="0.25">
      <c r="I632" s="37"/>
      <c r="J632" s="35"/>
    </row>
    <row r="633" spans="9:10" x14ac:dyDescent="0.25">
      <c r="I633" s="37"/>
      <c r="J633" s="35"/>
    </row>
    <row r="634" spans="9:10" x14ac:dyDescent="0.25">
      <c r="I634" s="37"/>
      <c r="J634" s="35"/>
    </row>
    <row r="635" spans="9:10" x14ac:dyDescent="0.25">
      <c r="I635" s="37"/>
      <c r="J635" s="35"/>
    </row>
    <row r="636" spans="9:10" x14ac:dyDescent="0.25">
      <c r="I636" s="37"/>
      <c r="J636" s="35"/>
    </row>
    <row r="637" spans="9:10" x14ac:dyDescent="0.25">
      <c r="I637" s="37"/>
      <c r="J637" s="35"/>
    </row>
    <row r="638" spans="9:10" x14ac:dyDescent="0.25">
      <c r="I638" s="37"/>
      <c r="J638" s="35"/>
    </row>
    <row r="639" spans="9:10" x14ac:dyDescent="0.25">
      <c r="I639" s="37"/>
      <c r="J639" s="35"/>
    </row>
    <row r="640" spans="9:10" x14ac:dyDescent="0.25">
      <c r="I640" s="37"/>
      <c r="J640" s="35"/>
    </row>
    <row r="641" spans="9:10" x14ac:dyDescent="0.25">
      <c r="I641" s="37"/>
      <c r="J641" s="35"/>
    </row>
    <row r="642" spans="9:10" x14ac:dyDescent="0.25">
      <c r="I642" s="37"/>
      <c r="J642" s="35"/>
    </row>
    <row r="643" spans="9:10" x14ac:dyDescent="0.25">
      <c r="I643" s="37"/>
      <c r="J643" s="35"/>
    </row>
    <row r="644" spans="9:10" x14ac:dyDescent="0.25">
      <c r="I644" s="37"/>
      <c r="J644" s="35"/>
    </row>
    <row r="645" spans="9:10" x14ac:dyDescent="0.25">
      <c r="I645" s="37"/>
      <c r="J645" s="35"/>
    </row>
    <row r="646" spans="9:10" x14ac:dyDescent="0.25">
      <c r="I646" s="37"/>
      <c r="J646" s="35"/>
    </row>
    <row r="647" spans="9:10" x14ac:dyDescent="0.25">
      <c r="I647" s="37"/>
      <c r="J647" s="35"/>
    </row>
    <row r="648" spans="9:10" x14ac:dyDescent="0.25">
      <c r="I648" s="37"/>
      <c r="J648" s="35"/>
    </row>
    <row r="649" spans="9:10" x14ac:dyDescent="0.25">
      <c r="I649" s="37"/>
      <c r="J649" s="35"/>
    </row>
    <row r="650" spans="9:10" x14ac:dyDescent="0.25">
      <c r="I650" s="37"/>
      <c r="J650" s="35"/>
    </row>
    <row r="651" spans="9:10" x14ac:dyDescent="0.25">
      <c r="I651" s="37"/>
      <c r="J651" s="35"/>
    </row>
    <row r="652" spans="9:10" x14ac:dyDescent="0.25">
      <c r="I652" s="37"/>
      <c r="J652" s="35"/>
    </row>
    <row r="653" spans="9:10" x14ac:dyDescent="0.25">
      <c r="I653" s="37"/>
      <c r="J653" s="35"/>
    </row>
    <row r="654" spans="9:10" x14ac:dyDescent="0.25">
      <c r="I654" s="37"/>
      <c r="J654" s="35"/>
    </row>
    <row r="655" spans="9:10" x14ac:dyDescent="0.25">
      <c r="I655" s="37"/>
      <c r="J655" s="35"/>
    </row>
    <row r="656" spans="9:10" x14ac:dyDescent="0.25">
      <c r="I656" s="37"/>
      <c r="J656" s="35"/>
    </row>
    <row r="657" spans="9:10" x14ac:dyDescent="0.25">
      <c r="I657" s="37"/>
      <c r="J657" s="35"/>
    </row>
    <row r="658" spans="9:10" x14ac:dyDescent="0.25">
      <c r="I658" s="37"/>
      <c r="J658" s="35"/>
    </row>
    <row r="659" spans="9:10" x14ac:dyDescent="0.25">
      <c r="I659" s="37"/>
      <c r="J659" s="35"/>
    </row>
    <row r="660" spans="9:10" x14ac:dyDescent="0.25">
      <c r="I660" s="37"/>
      <c r="J660" s="35"/>
    </row>
    <row r="661" spans="9:10" x14ac:dyDescent="0.25">
      <c r="I661" s="37"/>
      <c r="J661" s="35"/>
    </row>
    <row r="662" spans="9:10" x14ac:dyDescent="0.25">
      <c r="I662" s="37"/>
      <c r="J662" s="35"/>
    </row>
    <row r="663" spans="9:10" x14ac:dyDescent="0.25">
      <c r="I663" s="37"/>
      <c r="J663" s="35"/>
    </row>
    <row r="664" spans="9:10" x14ac:dyDescent="0.25">
      <c r="I664" s="37"/>
      <c r="J664" s="35"/>
    </row>
    <row r="665" spans="9:10" x14ac:dyDescent="0.25">
      <c r="I665" s="37"/>
      <c r="J665" s="35"/>
    </row>
    <row r="666" spans="9:10" x14ac:dyDescent="0.25">
      <c r="I666" s="37"/>
      <c r="J666" s="35"/>
    </row>
    <row r="667" spans="9:10" x14ac:dyDescent="0.25">
      <c r="I667" s="37"/>
      <c r="J667" s="35"/>
    </row>
    <row r="668" spans="9:10" x14ac:dyDescent="0.25">
      <c r="I668" s="37"/>
      <c r="J668" s="35"/>
    </row>
    <row r="669" spans="9:10" x14ac:dyDescent="0.25">
      <c r="I669" s="37"/>
      <c r="J669" s="35"/>
    </row>
    <row r="670" spans="9:10" x14ac:dyDescent="0.25">
      <c r="I670" s="37"/>
      <c r="J670" s="35"/>
    </row>
    <row r="671" spans="9:10" x14ac:dyDescent="0.25">
      <c r="I671" s="37"/>
      <c r="J671" s="35"/>
    </row>
    <row r="672" spans="9:10" x14ac:dyDescent="0.25">
      <c r="I672" s="37"/>
      <c r="J672" s="35"/>
    </row>
    <row r="673" spans="9:10" x14ac:dyDescent="0.25">
      <c r="I673" s="37"/>
      <c r="J673" s="35"/>
    </row>
    <row r="674" spans="9:10" x14ac:dyDescent="0.25">
      <c r="I674" s="37"/>
      <c r="J674" s="35"/>
    </row>
    <row r="675" spans="9:10" x14ac:dyDescent="0.25">
      <c r="I675" s="37"/>
      <c r="J675" s="35"/>
    </row>
    <row r="676" spans="9:10" x14ac:dyDescent="0.25">
      <c r="I676" s="37"/>
      <c r="J676" s="35"/>
    </row>
    <row r="677" spans="9:10" x14ac:dyDescent="0.25">
      <c r="I677" s="37"/>
      <c r="J677" s="35"/>
    </row>
    <row r="678" spans="9:10" x14ac:dyDescent="0.25">
      <c r="I678" s="37"/>
      <c r="J678" s="35"/>
    </row>
    <row r="679" spans="9:10" x14ac:dyDescent="0.25">
      <c r="I679" s="37"/>
      <c r="J679" s="35"/>
    </row>
    <row r="680" spans="9:10" x14ac:dyDescent="0.25">
      <c r="I680" s="37"/>
      <c r="J680" s="35"/>
    </row>
    <row r="681" spans="9:10" x14ac:dyDescent="0.25">
      <c r="I681" s="37"/>
      <c r="J681" s="35"/>
    </row>
    <row r="682" spans="9:10" x14ac:dyDescent="0.25">
      <c r="I682" s="37"/>
      <c r="J682" s="35"/>
    </row>
    <row r="683" spans="9:10" x14ac:dyDescent="0.25">
      <c r="I683" s="37"/>
      <c r="J683" s="35"/>
    </row>
    <row r="684" spans="9:10" x14ac:dyDescent="0.25">
      <c r="I684" s="37"/>
      <c r="J684" s="35"/>
    </row>
    <row r="685" spans="9:10" x14ac:dyDescent="0.25">
      <c r="I685" s="37"/>
      <c r="J685" s="35"/>
    </row>
    <row r="686" spans="9:10" x14ac:dyDescent="0.25">
      <c r="I686" s="37"/>
      <c r="J686" s="35"/>
    </row>
    <row r="687" spans="9:10" x14ac:dyDescent="0.25">
      <c r="I687" s="37"/>
      <c r="J687" s="35"/>
    </row>
    <row r="688" spans="9:10" x14ac:dyDescent="0.25">
      <c r="I688" s="37"/>
      <c r="J688" s="35"/>
    </row>
    <row r="689" spans="9:10" x14ac:dyDescent="0.25">
      <c r="I689" s="37"/>
      <c r="J689" s="35"/>
    </row>
    <row r="690" spans="9:10" x14ac:dyDescent="0.25">
      <c r="I690" s="37"/>
      <c r="J690" s="35"/>
    </row>
    <row r="691" spans="9:10" x14ac:dyDescent="0.25">
      <c r="I691" s="37"/>
      <c r="J691" s="35"/>
    </row>
    <row r="692" spans="9:10" x14ac:dyDescent="0.25">
      <c r="I692" s="37"/>
      <c r="J692" s="35"/>
    </row>
    <row r="693" spans="9:10" x14ac:dyDescent="0.25">
      <c r="I693" s="37"/>
      <c r="J693" s="35"/>
    </row>
    <row r="694" spans="9:10" x14ac:dyDescent="0.25">
      <c r="I694" s="37"/>
      <c r="J694" s="35"/>
    </row>
    <row r="695" spans="9:10" x14ac:dyDescent="0.25">
      <c r="I695" s="37"/>
      <c r="J695" s="35"/>
    </row>
    <row r="696" spans="9:10" x14ac:dyDescent="0.25">
      <c r="I696" s="37"/>
      <c r="J696" s="35"/>
    </row>
    <row r="697" spans="9:10" x14ac:dyDescent="0.25">
      <c r="I697" s="37"/>
      <c r="J697" s="35"/>
    </row>
    <row r="698" spans="9:10" x14ac:dyDescent="0.25">
      <c r="I698" s="37"/>
      <c r="J698" s="35"/>
    </row>
    <row r="699" spans="9:10" x14ac:dyDescent="0.25">
      <c r="I699" s="37"/>
      <c r="J699" s="35"/>
    </row>
    <row r="700" spans="9:10" x14ac:dyDescent="0.25">
      <c r="I700" s="37"/>
      <c r="J700" s="35"/>
    </row>
    <row r="701" spans="9:10" x14ac:dyDescent="0.25">
      <c r="I701" s="37"/>
      <c r="J701" s="35"/>
    </row>
    <row r="702" spans="9:10" x14ac:dyDescent="0.25">
      <c r="I702" s="37"/>
      <c r="J702" s="35"/>
    </row>
    <row r="703" spans="9:10" x14ac:dyDescent="0.25">
      <c r="I703" s="37"/>
      <c r="J703" s="35"/>
    </row>
    <row r="704" spans="9:10" x14ac:dyDescent="0.25">
      <c r="I704" s="37"/>
      <c r="J704" s="35"/>
    </row>
    <row r="705" spans="9:10" x14ac:dyDescent="0.25">
      <c r="I705" s="37"/>
      <c r="J705" s="35"/>
    </row>
    <row r="706" spans="9:10" x14ac:dyDescent="0.25">
      <c r="I706" s="37"/>
      <c r="J706" s="35"/>
    </row>
    <row r="707" spans="9:10" x14ac:dyDescent="0.25">
      <c r="I707" s="37"/>
      <c r="J707" s="35"/>
    </row>
    <row r="708" spans="9:10" x14ac:dyDescent="0.25">
      <c r="I708" s="37"/>
      <c r="J708" s="35"/>
    </row>
    <row r="709" spans="9:10" x14ac:dyDescent="0.25">
      <c r="I709" s="37"/>
      <c r="J709" s="35"/>
    </row>
    <row r="710" spans="9:10" x14ac:dyDescent="0.25">
      <c r="I710" s="37"/>
      <c r="J710" s="35"/>
    </row>
    <row r="711" spans="9:10" x14ac:dyDescent="0.25">
      <c r="I711" s="37"/>
      <c r="J711" s="35"/>
    </row>
    <row r="712" spans="9:10" x14ac:dyDescent="0.25">
      <c r="I712" s="37"/>
      <c r="J712" s="35"/>
    </row>
    <row r="713" spans="9:10" x14ac:dyDescent="0.25">
      <c r="I713" s="37"/>
      <c r="J713" s="35"/>
    </row>
    <row r="714" spans="9:10" x14ac:dyDescent="0.25">
      <c r="I714" s="37"/>
      <c r="J714" s="35"/>
    </row>
    <row r="715" spans="9:10" x14ac:dyDescent="0.25">
      <c r="I715" s="37"/>
      <c r="J715" s="35"/>
    </row>
    <row r="716" spans="9:10" x14ac:dyDescent="0.25">
      <c r="I716" s="37"/>
      <c r="J716" s="35"/>
    </row>
    <row r="717" spans="9:10" x14ac:dyDescent="0.25">
      <c r="I717" s="37"/>
      <c r="J717" s="35"/>
    </row>
    <row r="718" spans="9:10" x14ac:dyDescent="0.25">
      <c r="I718" s="37"/>
      <c r="J718" s="35"/>
    </row>
    <row r="719" spans="9:10" x14ac:dyDescent="0.25">
      <c r="I719" s="37"/>
      <c r="J719" s="35"/>
    </row>
    <row r="720" spans="9:10" x14ac:dyDescent="0.25">
      <c r="I720" s="37"/>
      <c r="J720" s="35"/>
    </row>
    <row r="721" spans="9:10" x14ac:dyDescent="0.25">
      <c r="I721" s="37"/>
      <c r="J721" s="35"/>
    </row>
    <row r="722" spans="9:10" x14ac:dyDescent="0.25">
      <c r="I722" s="37"/>
      <c r="J722" s="35"/>
    </row>
    <row r="723" spans="9:10" x14ac:dyDescent="0.25">
      <c r="I723" s="37"/>
      <c r="J723" s="35"/>
    </row>
    <row r="724" spans="9:10" x14ac:dyDescent="0.25">
      <c r="I724" s="37"/>
      <c r="J724" s="35"/>
    </row>
    <row r="725" spans="9:10" x14ac:dyDescent="0.25">
      <c r="I725" s="37"/>
      <c r="J725" s="35"/>
    </row>
    <row r="726" spans="9:10" x14ac:dyDescent="0.25">
      <c r="I726" s="37"/>
      <c r="J726" s="35"/>
    </row>
    <row r="727" spans="9:10" x14ac:dyDescent="0.25">
      <c r="I727" s="37"/>
      <c r="J727" s="35"/>
    </row>
    <row r="728" spans="9:10" x14ac:dyDescent="0.25">
      <c r="I728" s="37"/>
      <c r="J728" s="35"/>
    </row>
    <row r="729" spans="9:10" x14ac:dyDescent="0.25">
      <c r="I729" s="37"/>
      <c r="J729" s="35"/>
    </row>
    <row r="730" spans="9:10" x14ac:dyDescent="0.25">
      <c r="I730" s="37"/>
      <c r="J730" s="35"/>
    </row>
    <row r="731" spans="9:10" x14ac:dyDescent="0.25">
      <c r="I731" s="37"/>
      <c r="J731" s="35"/>
    </row>
    <row r="732" spans="9:10" x14ac:dyDescent="0.25">
      <c r="I732" s="37"/>
      <c r="J732" s="35"/>
    </row>
    <row r="733" spans="9:10" x14ac:dyDescent="0.25">
      <c r="I733" s="37"/>
      <c r="J733" s="35"/>
    </row>
    <row r="734" spans="9:10" x14ac:dyDescent="0.25">
      <c r="I734" s="37"/>
      <c r="J734" s="35"/>
    </row>
    <row r="735" spans="9:10" x14ac:dyDescent="0.25">
      <c r="I735" s="37"/>
      <c r="J735" s="35"/>
    </row>
    <row r="736" spans="9:10" x14ac:dyDescent="0.25">
      <c r="I736" s="37"/>
      <c r="J736" s="35"/>
    </row>
    <row r="737" spans="9:10" x14ac:dyDescent="0.25">
      <c r="I737" s="37"/>
      <c r="J737" s="35"/>
    </row>
    <row r="738" spans="9:10" x14ac:dyDescent="0.25">
      <c r="I738" s="37"/>
      <c r="J738" s="35"/>
    </row>
    <row r="739" spans="9:10" x14ac:dyDescent="0.25">
      <c r="I739" s="37"/>
      <c r="J739" s="35"/>
    </row>
    <row r="740" spans="9:10" x14ac:dyDescent="0.25">
      <c r="I740" s="37"/>
      <c r="J740" s="35"/>
    </row>
    <row r="741" spans="9:10" x14ac:dyDescent="0.25">
      <c r="I741" s="37"/>
      <c r="J741" s="35"/>
    </row>
    <row r="742" spans="9:10" x14ac:dyDescent="0.25">
      <c r="I742" s="37"/>
      <c r="J742" s="35"/>
    </row>
    <row r="743" spans="9:10" x14ac:dyDescent="0.25">
      <c r="I743" s="37"/>
      <c r="J743" s="35"/>
    </row>
    <row r="744" spans="9:10" x14ac:dyDescent="0.25">
      <c r="I744" s="37"/>
      <c r="J744" s="35"/>
    </row>
    <row r="745" spans="9:10" x14ac:dyDescent="0.25">
      <c r="I745" s="37"/>
      <c r="J745" s="35"/>
    </row>
    <row r="746" spans="9:10" x14ac:dyDescent="0.25">
      <c r="I746" s="37"/>
      <c r="J746" s="35"/>
    </row>
    <row r="747" spans="9:10" x14ac:dyDescent="0.25">
      <c r="I747" s="37"/>
      <c r="J747" s="35"/>
    </row>
    <row r="748" spans="9:10" x14ac:dyDescent="0.25">
      <c r="I748" s="37"/>
      <c r="J748" s="35"/>
    </row>
    <row r="749" spans="9:10" x14ac:dyDescent="0.25">
      <c r="I749" s="37"/>
      <c r="J749" s="35"/>
    </row>
    <row r="750" spans="9:10" x14ac:dyDescent="0.25">
      <c r="I750" s="37"/>
      <c r="J750" s="35"/>
    </row>
    <row r="751" spans="9:10" x14ac:dyDescent="0.25">
      <c r="I751" s="37"/>
      <c r="J751" s="35"/>
    </row>
    <row r="752" spans="9:10" x14ac:dyDescent="0.25">
      <c r="I752" s="37"/>
      <c r="J752" s="35"/>
    </row>
    <row r="753" spans="9:10" x14ac:dyDescent="0.25">
      <c r="I753" s="37"/>
      <c r="J753" s="35"/>
    </row>
    <row r="754" spans="9:10" x14ac:dyDescent="0.25">
      <c r="I754" s="37"/>
      <c r="J754" s="35"/>
    </row>
    <row r="755" spans="9:10" x14ac:dyDescent="0.25">
      <c r="I755" s="37"/>
      <c r="J755" s="35"/>
    </row>
    <row r="756" spans="9:10" x14ac:dyDescent="0.25">
      <c r="I756" s="37"/>
      <c r="J756" s="35"/>
    </row>
    <row r="757" spans="9:10" x14ac:dyDescent="0.25">
      <c r="I757" s="37"/>
      <c r="J757" s="35"/>
    </row>
    <row r="758" spans="9:10" x14ac:dyDescent="0.25">
      <c r="I758" s="37"/>
      <c r="J758" s="35"/>
    </row>
    <row r="759" spans="9:10" x14ac:dyDescent="0.25">
      <c r="I759" s="37"/>
      <c r="J759" s="35"/>
    </row>
    <row r="760" spans="9:10" x14ac:dyDescent="0.25">
      <c r="I760" s="37"/>
      <c r="J760" s="35"/>
    </row>
    <row r="761" spans="9:10" x14ac:dyDescent="0.25">
      <c r="I761" s="37"/>
      <c r="J761" s="35"/>
    </row>
    <row r="762" spans="9:10" x14ac:dyDescent="0.25">
      <c r="I762" s="37"/>
      <c r="J762" s="35"/>
    </row>
    <row r="763" spans="9:10" x14ac:dyDescent="0.25">
      <c r="I763" s="37"/>
      <c r="J763" s="35"/>
    </row>
    <row r="764" spans="9:10" x14ac:dyDescent="0.25">
      <c r="I764" s="37"/>
      <c r="J764" s="35"/>
    </row>
    <row r="765" spans="9:10" x14ac:dyDescent="0.25">
      <c r="I765" s="37"/>
      <c r="J765" s="35"/>
    </row>
    <row r="766" spans="9:10" x14ac:dyDescent="0.25">
      <c r="I766" s="37"/>
      <c r="J766" s="35"/>
    </row>
    <row r="767" spans="9:10" x14ac:dyDescent="0.25">
      <c r="I767" s="37"/>
      <c r="J767" s="35"/>
    </row>
    <row r="768" spans="9:10" x14ac:dyDescent="0.25">
      <c r="I768" s="37"/>
      <c r="J768" s="35"/>
    </row>
    <row r="769" spans="9:10" x14ac:dyDescent="0.25">
      <c r="I769" s="37"/>
      <c r="J769" s="35"/>
    </row>
    <row r="770" spans="9:10" x14ac:dyDescent="0.25">
      <c r="I770" s="37"/>
      <c r="J770" s="35"/>
    </row>
    <row r="771" spans="9:10" x14ac:dyDescent="0.25">
      <c r="I771" s="37"/>
      <c r="J771" s="35"/>
    </row>
    <row r="772" spans="9:10" x14ac:dyDescent="0.25">
      <c r="I772" s="37"/>
      <c r="J772" s="35"/>
    </row>
    <row r="773" spans="9:10" x14ac:dyDescent="0.25">
      <c r="I773" s="37"/>
      <c r="J773" s="35"/>
    </row>
    <row r="774" spans="9:10" x14ac:dyDescent="0.25">
      <c r="I774" s="37"/>
      <c r="J774" s="35"/>
    </row>
    <row r="775" spans="9:10" x14ac:dyDescent="0.25">
      <c r="I775" s="37"/>
      <c r="J775" s="35"/>
    </row>
    <row r="776" spans="9:10" x14ac:dyDescent="0.25">
      <c r="I776" s="37"/>
      <c r="J776" s="35"/>
    </row>
    <row r="777" spans="9:10" x14ac:dyDescent="0.25">
      <c r="I777" s="37"/>
      <c r="J777" s="35"/>
    </row>
    <row r="778" spans="9:10" x14ac:dyDescent="0.25">
      <c r="I778" s="37"/>
      <c r="J778" s="35"/>
    </row>
    <row r="779" spans="9:10" x14ac:dyDescent="0.25">
      <c r="I779" s="37"/>
      <c r="J779" s="35"/>
    </row>
    <row r="780" spans="9:10" x14ac:dyDescent="0.25">
      <c r="I780" s="37"/>
      <c r="J780" s="35"/>
    </row>
    <row r="781" spans="9:10" x14ac:dyDescent="0.25">
      <c r="I781" s="37"/>
      <c r="J781" s="35"/>
    </row>
    <row r="782" spans="9:10" x14ac:dyDescent="0.25">
      <c r="I782" s="37"/>
      <c r="J782" s="35"/>
    </row>
    <row r="783" spans="9:10" x14ac:dyDescent="0.25">
      <c r="I783" s="37"/>
      <c r="J783" s="35"/>
    </row>
    <row r="784" spans="9:10" x14ac:dyDescent="0.25">
      <c r="I784" s="37"/>
      <c r="J784" s="35"/>
    </row>
    <row r="785" spans="9:10" x14ac:dyDescent="0.25">
      <c r="I785" s="37"/>
      <c r="J785" s="35"/>
    </row>
    <row r="786" spans="9:10" x14ac:dyDescent="0.25">
      <c r="I786" s="37"/>
      <c r="J786" s="35"/>
    </row>
    <row r="787" spans="9:10" x14ac:dyDescent="0.25">
      <c r="I787" s="37"/>
      <c r="J787" s="35"/>
    </row>
    <row r="788" spans="9:10" x14ac:dyDescent="0.25">
      <c r="I788" s="37"/>
      <c r="J788" s="35"/>
    </row>
    <row r="789" spans="9:10" x14ac:dyDescent="0.25">
      <c r="I789" s="37"/>
      <c r="J789" s="35"/>
    </row>
    <row r="790" spans="9:10" x14ac:dyDescent="0.25">
      <c r="I790" s="37"/>
      <c r="J790" s="35"/>
    </row>
    <row r="791" spans="9:10" x14ac:dyDescent="0.25">
      <c r="I791" s="37"/>
      <c r="J791" s="35"/>
    </row>
    <row r="792" spans="9:10" x14ac:dyDescent="0.25">
      <c r="I792" s="37"/>
      <c r="J792" s="35"/>
    </row>
    <row r="793" spans="9:10" x14ac:dyDescent="0.25">
      <c r="I793" s="37"/>
      <c r="J793" s="35"/>
    </row>
    <row r="794" spans="9:10" x14ac:dyDescent="0.25">
      <c r="I794" s="37"/>
      <c r="J794" s="35"/>
    </row>
    <row r="795" spans="9:10" x14ac:dyDescent="0.25">
      <c r="I795" s="37"/>
      <c r="J795" s="35"/>
    </row>
    <row r="796" spans="9:10" x14ac:dyDescent="0.25">
      <c r="I796" s="37"/>
      <c r="J796" s="35"/>
    </row>
    <row r="797" spans="9:10" x14ac:dyDescent="0.25">
      <c r="I797" s="37"/>
      <c r="J797" s="35"/>
    </row>
    <row r="798" spans="9:10" x14ac:dyDescent="0.25">
      <c r="I798" s="37"/>
      <c r="J798" s="35"/>
    </row>
    <row r="799" spans="9:10" x14ac:dyDescent="0.25">
      <c r="I799" s="37"/>
      <c r="J799" s="35"/>
    </row>
    <row r="800" spans="9:10" x14ac:dyDescent="0.25">
      <c r="I800" s="37"/>
      <c r="J800" s="35"/>
    </row>
    <row r="801" spans="9:10" x14ac:dyDescent="0.25">
      <c r="I801" s="37"/>
      <c r="J801" s="35"/>
    </row>
    <row r="802" spans="9:10" x14ac:dyDescent="0.25">
      <c r="I802" s="37"/>
      <c r="J802" s="35"/>
    </row>
    <row r="803" spans="9:10" x14ac:dyDescent="0.25">
      <c r="I803" s="37"/>
      <c r="J803" s="35"/>
    </row>
    <row r="804" spans="9:10" x14ac:dyDescent="0.25">
      <c r="I804" s="37"/>
      <c r="J804" s="35"/>
    </row>
    <row r="805" spans="9:10" x14ac:dyDescent="0.25">
      <c r="I805" s="37"/>
      <c r="J805" s="35"/>
    </row>
    <row r="806" spans="9:10" x14ac:dyDescent="0.25">
      <c r="I806" s="37"/>
      <c r="J806" s="35"/>
    </row>
    <row r="807" spans="9:10" x14ac:dyDescent="0.25">
      <c r="I807" s="37"/>
      <c r="J807" s="35"/>
    </row>
    <row r="808" spans="9:10" x14ac:dyDescent="0.25">
      <c r="I808" s="37"/>
      <c r="J808" s="35"/>
    </row>
    <row r="809" spans="9:10" x14ac:dyDescent="0.25">
      <c r="I809" s="37"/>
      <c r="J809" s="35"/>
    </row>
    <row r="810" spans="9:10" x14ac:dyDescent="0.25">
      <c r="I810" s="37"/>
      <c r="J810" s="35"/>
    </row>
    <row r="811" spans="9:10" x14ac:dyDescent="0.25">
      <c r="I811" s="37"/>
      <c r="J811" s="35"/>
    </row>
    <row r="812" spans="9:10" x14ac:dyDescent="0.25">
      <c r="I812" s="37"/>
      <c r="J812" s="35"/>
    </row>
    <row r="813" spans="9:10" x14ac:dyDescent="0.25">
      <c r="I813" s="37"/>
      <c r="J813" s="35"/>
    </row>
    <row r="814" spans="9:10" x14ac:dyDescent="0.25">
      <c r="I814" s="37"/>
      <c r="J814" s="35"/>
    </row>
    <row r="815" spans="9:10" x14ac:dyDescent="0.25">
      <c r="I815" s="37"/>
      <c r="J815" s="35"/>
    </row>
    <row r="816" spans="9:10" x14ac:dyDescent="0.25">
      <c r="I816" s="37"/>
      <c r="J816" s="35"/>
    </row>
    <row r="817" spans="9:10" x14ac:dyDescent="0.25">
      <c r="I817" s="37"/>
      <c r="J817" s="35"/>
    </row>
    <row r="818" spans="9:10" x14ac:dyDescent="0.25">
      <c r="I818" s="37"/>
      <c r="J818" s="35"/>
    </row>
    <row r="819" spans="9:10" x14ac:dyDescent="0.25">
      <c r="I819" s="37"/>
      <c r="J819" s="35"/>
    </row>
    <row r="820" spans="9:10" x14ac:dyDescent="0.25">
      <c r="I820" s="37"/>
      <c r="J820" s="35"/>
    </row>
    <row r="821" spans="9:10" x14ac:dyDescent="0.25">
      <c r="I821" s="37"/>
      <c r="J821" s="35"/>
    </row>
    <row r="822" spans="9:10" x14ac:dyDescent="0.25">
      <c r="I822" s="37"/>
      <c r="J822" s="35"/>
    </row>
    <row r="823" spans="9:10" x14ac:dyDescent="0.25">
      <c r="I823" s="37"/>
      <c r="J823" s="35"/>
    </row>
    <row r="824" spans="9:10" x14ac:dyDescent="0.25">
      <c r="I824" s="37"/>
      <c r="J824" s="35"/>
    </row>
    <row r="825" spans="9:10" x14ac:dyDescent="0.25">
      <c r="I825" s="37"/>
      <c r="J825" s="35"/>
    </row>
    <row r="826" spans="9:10" x14ac:dyDescent="0.25">
      <c r="I826" s="37"/>
      <c r="J826" s="35"/>
    </row>
    <row r="827" spans="9:10" x14ac:dyDescent="0.25">
      <c r="I827" s="37"/>
      <c r="J827" s="35"/>
    </row>
    <row r="828" spans="9:10" x14ac:dyDescent="0.25">
      <c r="I828" s="37"/>
      <c r="J828" s="35"/>
    </row>
    <row r="829" spans="9:10" x14ac:dyDescent="0.25">
      <c r="I829" s="37"/>
      <c r="J829" s="35"/>
    </row>
    <row r="830" spans="9:10" x14ac:dyDescent="0.25">
      <c r="I830" s="37"/>
      <c r="J830" s="35"/>
    </row>
    <row r="831" spans="9:10" x14ac:dyDescent="0.25">
      <c r="I831" s="37"/>
      <c r="J831" s="35"/>
    </row>
    <row r="832" spans="9:10" x14ac:dyDescent="0.25">
      <c r="I832" s="37"/>
      <c r="J832" s="35"/>
    </row>
    <row r="833" spans="9:10" x14ac:dyDescent="0.25">
      <c r="I833" s="37"/>
      <c r="J833" s="35"/>
    </row>
    <row r="834" spans="9:10" x14ac:dyDescent="0.25">
      <c r="I834" s="37"/>
      <c r="J834" s="35"/>
    </row>
    <row r="835" spans="9:10" x14ac:dyDescent="0.25">
      <c r="I835" s="37"/>
      <c r="J835" s="35"/>
    </row>
    <row r="836" spans="9:10" x14ac:dyDescent="0.25">
      <c r="I836" s="37"/>
      <c r="J836" s="35"/>
    </row>
    <row r="837" spans="9:10" x14ac:dyDescent="0.25">
      <c r="I837" s="37"/>
      <c r="J837" s="35"/>
    </row>
    <row r="838" spans="9:10" x14ac:dyDescent="0.25">
      <c r="I838" s="37"/>
      <c r="J838" s="35"/>
    </row>
    <row r="839" spans="9:10" x14ac:dyDescent="0.25">
      <c r="I839" s="37"/>
      <c r="J839" s="35"/>
    </row>
    <row r="840" spans="9:10" x14ac:dyDescent="0.25">
      <c r="I840" s="37"/>
      <c r="J840" s="35"/>
    </row>
    <row r="841" spans="9:10" x14ac:dyDescent="0.25">
      <c r="I841" s="37"/>
      <c r="J841" s="35"/>
    </row>
    <row r="842" spans="9:10" x14ac:dyDescent="0.25">
      <c r="I842" s="37"/>
      <c r="J842" s="35"/>
    </row>
    <row r="843" spans="9:10" x14ac:dyDescent="0.25">
      <c r="I843" s="37"/>
      <c r="J843" s="35"/>
    </row>
    <row r="844" spans="9:10" x14ac:dyDescent="0.25">
      <c r="I844" s="37"/>
      <c r="J844" s="35"/>
    </row>
    <row r="845" spans="9:10" x14ac:dyDescent="0.25">
      <c r="I845" s="37"/>
      <c r="J845" s="35"/>
    </row>
    <row r="846" spans="9:10" x14ac:dyDescent="0.25">
      <c r="I846" s="37"/>
      <c r="J846" s="35"/>
    </row>
    <row r="847" spans="9:10" x14ac:dyDescent="0.25">
      <c r="I847" s="37"/>
      <c r="J847" s="35"/>
    </row>
    <row r="848" spans="9:10" x14ac:dyDescent="0.25">
      <c r="I848" s="37"/>
      <c r="J848" s="35"/>
    </row>
    <row r="849" spans="9:10" x14ac:dyDescent="0.25">
      <c r="I849" s="37"/>
      <c r="J849" s="35"/>
    </row>
    <row r="850" spans="9:10" x14ac:dyDescent="0.25">
      <c r="I850" s="37"/>
      <c r="J850" s="35"/>
    </row>
    <row r="851" spans="9:10" x14ac:dyDescent="0.25">
      <c r="I851" s="37"/>
      <c r="J851" s="35"/>
    </row>
    <row r="852" spans="9:10" x14ac:dyDescent="0.25">
      <c r="I852" s="37"/>
      <c r="J852" s="35"/>
    </row>
    <row r="853" spans="9:10" x14ac:dyDescent="0.25">
      <c r="I853" s="37"/>
      <c r="J853" s="35"/>
    </row>
    <row r="854" spans="9:10" x14ac:dyDescent="0.25">
      <c r="I854" s="37"/>
      <c r="J854" s="35"/>
    </row>
    <row r="855" spans="9:10" x14ac:dyDescent="0.25">
      <c r="I855" s="37"/>
      <c r="J855" s="35"/>
    </row>
    <row r="856" spans="9:10" x14ac:dyDescent="0.25">
      <c r="I856" s="37"/>
      <c r="J856" s="35"/>
    </row>
    <row r="857" spans="9:10" x14ac:dyDescent="0.25">
      <c r="I857" s="37"/>
      <c r="J857" s="35"/>
    </row>
    <row r="858" spans="9:10" x14ac:dyDescent="0.25">
      <c r="I858" s="37"/>
      <c r="J858" s="35"/>
    </row>
    <row r="859" spans="9:10" x14ac:dyDescent="0.25">
      <c r="I859" s="37"/>
      <c r="J859" s="35"/>
    </row>
    <row r="860" spans="9:10" x14ac:dyDescent="0.25">
      <c r="I860" s="37"/>
      <c r="J860" s="35"/>
    </row>
    <row r="861" spans="9:10" x14ac:dyDescent="0.25">
      <c r="I861" s="37"/>
      <c r="J861" s="35"/>
    </row>
    <row r="862" spans="9:10" x14ac:dyDescent="0.25">
      <c r="I862" s="37"/>
      <c r="J862" s="35"/>
    </row>
    <row r="863" spans="9:10" x14ac:dyDescent="0.25">
      <c r="I863" s="37"/>
      <c r="J863" s="35"/>
    </row>
    <row r="864" spans="9:10" x14ac:dyDescent="0.25">
      <c r="I864" s="37"/>
      <c r="J864" s="35"/>
    </row>
    <row r="865" spans="9:10" x14ac:dyDescent="0.25">
      <c r="I865" s="37"/>
      <c r="J865" s="35"/>
    </row>
    <row r="866" spans="9:10" x14ac:dyDescent="0.25">
      <c r="I866" s="37"/>
      <c r="J866" s="35"/>
    </row>
    <row r="867" spans="9:10" x14ac:dyDescent="0.25">
      <c r="I867" s="37"/>
      <c r="J867" s="35"/>
    </row>
    <row r="868" spans="9:10" x14ac:dyDescent="0.25">
      <c r="I868" s="37"/>
      <c r="J868" s="35"/>
    </row>
    <row r="869" spans="9:10" x14ac:dyDescent="0.25">
      <c r="I869" s="37"/>
      <c r="J869" s="35"/>
    </row>
    <row r="870" spans="9:10" x14ac:dyDescent="0.25">
      <c r="I870" s="37"/>
      <c r="J870" s="35"/>
    </row>
    <row r="871" spans="9:10" x14ac:dyDescent="0.25">
      <c r="I871" s="37"/>
      <c r="J871" s="35"/>
    </row>
    <row r="872" spans="9:10" x14ac:dyDescent="0.25">
      <c r="I872" s="37"/>
      <c r="J872" s="35"/>
    </row>
    <row r="873" spans="9:10" x14ac:dyDescent="0.25">
      <c r="I873" s="37"/>
      <c r="J873" s="35"/>
    </row>
    <row r="874" spans="9:10" x14ac:dyDescent="0.25">
      <c r="I874" s="37"/>
      <c r="J874" s="35"/>
    </row>
    <row r="875" spans="9:10" x14ac:dyDescent="0.25">
      <c r="I875" s="37"/>
      <c r="J875" s="35"/>
    </row>
    <row r="876" spans="9:10" x14ac:dyDescent="0.25">
      <c r="I876" s="37"/>
      <c r="J876" s="35"/>
    </row>
    <row r="877" spans="9:10" x14ac:dyDescent="0.25">
      <c r="I877" s="37"/>
      <c r="J877" s="35"/>
    </row>
    <row r="878" spans="9:10" x14ac:dyDescent="0.25">
      <c r="I878" s="37"/>
      <c r="J878" s="35"/>
    </row>
    <row r="879" spans="9:10" x14ac:dyDescent="0.25">
      <c r="I879" s="37"/>
      <c r="J879" s="35"/>
    </row>
    <row r="880" spans="9:10" x14ac:dyDescent="0.25">
      <c r="I880" s="37"/>
      <c r="J880" s="35"/>
    </row>
    <row r="881" spans="9:10" x14ac:dyDescent="0.25">
      <c r="I881" s="37"/>
      <c r="J881" s="35"/>
    </row>
    <row r="882" spans="9:10" x14ac:dyDescent="0.25">
      <c r="I882" s="37"/>
      <c r="J882" s="35"/>
    </row>
    <row r="883" spans="9:10" x14ac:dyDescent="0.25">
      <c r="I883" s="37"/>
      <c r="J883" s="35"/>
    </row>
    <row r="884" spans="9:10" x14ac:dyDescent="0.25">
      <c r="I884" s="37"/>
      <c r="J884" s="35"/>
    </row>
    <row r="885" spans="9:10" x14ac:dyDescent="0.25">
      <c r="I885" s="37"/>
      <c r="J885" s="35"/>
    </row>
    <row r="886" spans="9:10" x14ac:dyDescent="0.25">
      <c r="I886" s="37"/>
      <c r="J886" s="35"/>
    </row>
    <row r="887" spans="9:10" x14ac:dyDescent="0.25">
      <c r="I887" s="37"/>
      <c r="J887" s="35"/>
    </row>
    <row r="888" spans="9:10" x14ac:dyDescent="0.25">
      <c r="I888" s="37"/>
      <c r="J888" s="35"/>
    </row>
    <row r="889" spans="9:10" x14ac:dyDescent="0.25">
      <c r="I889" s="37"/>
      <c r="J889" s="35"/>
    </row>
    <row r="890" spans="9:10" x14ac:dyDescent="0.25">
      <c r="I890" s="37"/>
      <c r="J890" s="35"/>
    </row>
    <row r="891" spans="9:10" x14ac:dyDescent="0.25">
      <c r="I891" s="37"/>
      <c r="J891" s="35"/>
    </row>
    <row r="892" spans="9:10" x14ac:dyDescent="0.25">
      <c r="I892" s="37"/>
      <c r="J892" s="35"/>
    </row>
    <row r="893" spans="9:10" x14ac:dyDescent="0.25">
      <c r="I893" s="37"/>
      <c r="J893" s="35"/>
    </row>
    <row r="894" spans="9:10" x14ac:dyDescent="0.25">
      <c r="I894" s="37"/>
      <c r="J894" s="35"/>
    </row>
    <row r="895" spans="9:10" x14ac:dyDescent="0.25">
      <c r="I895" s="37"/>
      <c r="J895" s="35"/>
    </row>
    <row r="896" spans="9:10" x14ac:dyDescent="0.25">
      <c r="I896" s="37"/>
      <c r="J896" s="35"/>
    </row>
    <row r="897" spans="9:10" x14ac:dyDescent="0.25">
      <c r="I897" s="37"/>
      <c r="J897" s="35"/>
    </row>
    <row r="898" spans="9:10" x14ac:dyDescent="0.25">
      <c r="I898" s="37"/>
      <c r="J898" s="35"/>
    </row>
    <row r="899" spans="9:10" x14ac:dyDescent="0.25">
      <c r="I899" s="37"/>
      <c r="J899" s="35"/>
    </row>
    <row r="900" spans="9:10" x14ac:dyDescent="0.25">
      <c r="I900" s="37"/>
      <c r="J900" s="35"/>
    </row>
    <row r="901" spans="9:10" x14ac:dyDescent="0.25">
      <c r="I901" s="37"/>
      <c r="J901" s="35"/>
    </row>
    <row r="902" spans="9:10" x14ac:dyDescent="0.25">
      <c r="I902" s="37"/>
      <c r="J902" s="35"/>
    </row>
    <row r="903" spans="9:10" x14ac:dyDescent="0.25">
      <c r="I903" s="37"/>
      <c r="J903" s="35"/>
    </row>
    <row r="904" spans="9:10" x14ac:dyDescent="0.25">
      <c r="I904" s="37"/>
      <c r="J904" s="35"/>
    </row>
    <row r="905" spans="9:10" x14ac:dyDescent="0.25">
      <c r="I905" s="37"/>
      <c r="J905" s="35"/>
    </row>
    <row r="906" spans="9:10" x14ac:dyDescent="0.25">
      <c r="I906" s="37"/>
      <c r="J906" s="35"/>
    </row>
    <row r="907" spans="9:10" x14ac:dyDescent="0.25">
      <c r="I907" s="37"/>
      <c r="J907" s="35"/>
    </row>
    <row r="908" spans="9:10" x14ac:dyDescent="0.25">
      <c r="I908" s="37"/>
      <c r="J908" s="35"/>
    </row>
    <row r="909" spans="9:10" x14ac:dyDescent="0.25">
      <c r="I909" s="37"/>
      <c r="J909" s="35"/>
    </row>
    <row r="910" spans="9:10" x14ac:dyDescent="0.25">
      <c r="I910" s="37"/>
      <c r="J910" s="35"/>
    </row>
    <row r="911" spans="9:10" x14ac:dyDescent="0.25">
      <c r="I911" s="37"/>
      <c r="J911" s="35"/>
    </row>
    <row r="912" spans="9:10" x14ac:dyDescent="0.25">
      <c r="I912" s="37"/>
      <c r="J912" s="35"/>
    </row>
    <row r="913" spans="9:10" x14ac:dyDescent="0.25">
      <c r="I913" s="37"/>
      <c r="J913" s="35"/>
    </row>
    <row r="914" spans="9:10" x14ac:dyDescent="0.25">
      <c r="I914" s="37"/>
      <c r="J914" s="35"/>
    </row>
    <row r="915" spans="9:10" x14ac:dyDescent="0.25">
      <c r="I915" s="37"/>
      <c r="J915" s="35"/>
    </row>
    <row r="916" spans="9:10" x14ac:dyDescent="0.25">
      <c r="I916" s="37"/>
      <c r="J916" s="35"/>
    </row>
    <row r="917" spans="9:10" x14ac:dyDescent="0.25">
      <c r="I917" s="37"/>
      <c r="J917" s="35"/>
    </row>
    <row r="918" spans="9:10" x14ac:dyDescent="0.25">
      <c r="I918" s="37"/>
      <c r="J918" s="35"/>
    </row>
    <row r="919" spans="9:10" x14ac:dyDescent="0.25">
      <c r="I919" s="37"/>
      <c r="J919" s="35"/>
    </row>
    <row r="920" spans="9:10" x14ac:dyDescent="0.25">
      <c r="I920" s="37"/>
      <c r="J920" s="35"/>
    </row>
    <row r="921" spans="9:10" x14ac:dyDescent="0.25">
      <c r="I921" s="37"/>
      <c r="J921" s="35"/>
    </row>
    <row r="922" spans="9:10" x14ac:dyDescent="0.25">
      <c r="I922" s="37"/>
      <c r="J922" s="35"/>
    </row>
    <row r="923" spans="9:10" x14ac:dyDescent="0.25">
      <c r="I923" s="37"/>
      <c r="J923" s="35"/>
    </row>
    <row r="924" spans="9:10" x14ac:dyDescent="0.25">
      <c r="I924" s="37"/>
      <c r="J924" s="35"/>
    </row>
    <row r="925" spans="9:10" x14ac:dyDescent="0.25">
      <c r="I925" s="37"/>
      <c r="J925" s="35"/>
    </row>
    <row r="926" spans="9:10" x14ac:dyDescent="0.25">
      <c r="I926" s="37"/>
      <c r="J926" s="35"/>
    </row>
    <row r="927" spans="9:10" x14ac:dyDescent="0.25">
      <c r="I927" s="37"/>
      <c r="J927" s="35"/>
    </row>
    <row r="928" spans="9:10" x14ac:dyDescent="0.25">
      <c r="I928" s="37"/>
      <c r="J928" s="35"/>
    </row>
    <row r="929" spans="9:10" x14ac:dyDescent="0.25">
      <c r="I929" s="37"/>
      <c r="J929" s="35"/>
    </row>
    <row r="930" spans="9:10" x14ac:dyDescent="0.25">
      <c r="I930" s="37"/>
      <c r="J930" s="35"/>
    </row>
    <row r="931" spans="9:10" x14ac:dyDescent="0.25">
      <c r="I931" s="37"/>
      <c r="J931" s="35"/>
    </row>
    <row r="932" spans="9:10" x14ac:dyDescent="0.25">
      <c r="I932" s="37"/>
      <c r="J932" s="35"/>
    </row>
    <row r="933" spans="9:10" x14ac:dyDescent="0.25">
      <c r="I933" s="37"/>
      <c r="J933" s="35"/>
    </row>
    <row r="934" spans="9:10" x14ac:dyDescent="0.25">
      <c r="I934" s="37"/>
      <c r="J934" s="35"/>
    </row>
    <row r="935" spans="9:10" x14ac:dyDescent="0.25">
      <c r="I935" s="37"/>
      <c r="J935" s="35"/>
    </row>
    <row r="936" spans="9:10" x14ac:dyDescent="0.25">
      <c r="I936" s="37"/>
      <c r="J936" s="35"/>
    </row>
    <row r="937" spans="9:10" x14ac:dyDescent="0.25">
      <c r="I937" s="37"/>
      <c r="J937" s="35"/>
    </row>
    <row r="938" spans="9:10" x14ac:dyDescent="0.25">
      <c r="I938" s="37"/>
      <c r="J938" s="35"/>
    </row>
    <row r="939" spans="9:10" x14ac:dyDescent="0.25">
      <c r="I939" s="37"/>
      <c r="J939" s="35"/>
    </row>
    <row r="940" spans="9:10" x14ac:dyDescent="0.25">
      <c r="I940" s="37"/>
      <c r="J940" s="35"/>
    </row>
    <row r="941" spans="9:10" x14ac:dyDescent="0.25">
      <c r="I941" s="37"/>
      <c r="J941" s="35"/>
    </row>
    <row r="942" spans="9:10" x14ac:dyDescent="0.25">
      <c r="I942" s="37"/>
      <c r="J942" s="35"/>
    </row>
    <row r="943" spans="9:10" x14ac:dyDescent="0.25">
      <c r="I943" s="37"/>
      <c r="J943" s="35"/>
    </row>
    <row r="944" spans="9:10" x14ac:dyDescent="0.25">
      <c r="I944" s="37"/>
      <c r="J944" s="35"/>
    </row>
    <row r="945" spans="9:10" x14ac:dyDescent="0.25">
      <c r="I945" s="37"/>
      <c r="J945" s="35"/>
    </row>
    <row r="946" spans="9:10" x14ac:dyDescent="0.25">
      <c r="I946" s="37"/>
      <c r="J946" s="35"/>
    </row>
    <row r="947" spans="9:10" x14ac:dyDescent="0.25">
      <c r="I947" s="37"/>
      <c r="J947" s="35"/>
    </row>
    <row r="948" spans="9:10" x14ac:dyDescent="0.25">
      <c r="I948" s="37"/>
      <c r="J948" s="35"/>
    </row>
    <row r="949" spans="9:10" x14ac:dyDescent="0.25">
      <c r="I949" s="37"/>
      <c r="J949" s="35"/>
    </row>
    <row r="950" spans="9:10" x14ac:dyDescent="0.25">
      <c r="I950" s="37"/>
      <c r="J950" s="35"/>
    </row>
    <row r="951" spans="9:10" x14ac:dyDescent="0.25">
      <c r="I951" s="37"/>
      <c r="J951" s="35"/>
    </row>
    <row r="952" spans="9:10" x14ac:dyDescent="0.25">
      <c r="I952" s="37"/>
      <c r="J952" s="35"/>
    </row>
    <row r="953" spans="9:10" x14ac:dyDescent="0.25">
      <c r="I953" s="37"/>
      <c r="J953" s="35"/>
    </row>
    <row r="954" spans="9:10" x14ac:dyDescent="0.25">
      <c r="I954" s="37"/>
      <c r="J954" s="35"/>
    </row>
    <row r="955" spans="9:10" x14ac:dyDescent="0.25">
      <c r="I955" s="37"/>
      <c r="J955" s="35"/>
    </row>
    <row r="956" spans="9:10" x14ac:dyDescent="0.25">
      <c r="I956" s="37"/>
      <c r="J956" s="35"/>
    </row>
    <row r="957" spans="9:10" x14ac:dyDescent="0.25">
      <c r="I957" s="37"/>
      <c r="J957" s="35"/>
    </row>
    <row r="958" spans="9:10" x14ac:dyDescent="0.25">
      <c r="I958" s="37"/>
      <c r="J958" s="35"/>
    </row>
    <row r="959" spans="9:10" x14ac:dyDescent="0.25">
      <c r="I959" s="37"/>
      <c r="J959" s="35"/>
    </row>
    <row r="960" spans="9:10" x14ac:dyDescent="0.25">
      <c r="I960" s="37"/>
      <c r="J960" s="35"/>
    </row>
    <row r="961" spans="9:10" x14ac:dyDescent="0.25">
      <c r="I961" s="37"/>
      <c r="J961" s="35"/>
    </row>
    <row r="962" spans="9:10" x14ac:dyDescent="0.25">
      <c r="I962" s="37"/>
      <c r="J962" s="35"/>
    </row>
    <row r="963" spans="9:10" x14ac:dyDescent="0.25">
      <c r="I963" s="37"/>
      <c r="J963" s="35"/>
    </row>
    <row r="964" spans="9:10" x14ac:dyDescent="0.25">
      <c r="I964" s="37"/>
      <c r="J964" s="35"/>
    </row>
    <row r="965" spans="9:10" x14ac:dyDescent="0.25">
      <c r="I965" s="37"/>
      <c r="J965" s="35"/>
    </row>
    <row r="966" spans="9:10" x14ac:dyDescent="0.25">
      <c r="I966" s="37"/>
      <c r="J966" s="35"/>
    </row>
    <row r="967" spans="9:10" x14ac:dyDescent="0.25">
      <c r="I967" s="37"/>
      <c r="J967" s="35"/>
    </row>
    <row r="968" spans="9:10" x14ac:dyDescent="0.25">
      <c r="I968" s="37"/>
      <c r="J968" s="35"/>
    </row>
    <row r="969" spans="9:10" x14ac:dyDescent="0.25">
      <c r="I969" s="37"/>
      <c r="J969" s="35"/>
    </row>
    <row r="970" spans="9:10" x14ac:dyDescent="0.25">
      <c r="I970" s="37"/>
      <c r="J970" s="35"/>
    </row>
    <row r="971" spans="9:10" x14ac:dyDescent="0.25">
      <c r="I971" s="37"/>
      <c r="J971" s="35"/>
    </row>
    <row r="972" spans="9:10" x14ac:dyDescent="0.25">
      <c r="I972" s="37"/>
      <c r="J972" s="35"/>
    </row>
    <row r="973" spans="9:10" x14ac:dyDescent="0.25">
      <c r="I973" s="37"/>
      <c r="J973" s="35"/>
    </row>
    <row r="974" spans="9:10" x14ac:dyDescent="0.25">
      <c r="I974" s="37"/>
      <c r="J974" s="35"/>
    </row>
    <row r="975" spans="9:10" x14ac:dyDescent="0.25">
      <c r="I975" s="37"/>
      <c r="J975" s="35"/>
    </row>
    <row r="976" spans="9:10" x14ac:dyDescent="0.25">
      <c r="I976" s="37"/>
      <c r="J976" s="35"/>
    </row>
    <row r="977" spans="9:10" x14ac:dyDescent="0.25">
      <c r="I977" s="37"/>
      <c r="J977" s="35"/>
    </row>
    <row r="978" spans="9:10" x14ac:dyDescent="0.25">
      <c r="I978" s="37"/>
      <c r="J978" s="35"/>
    </row>
    <row r="979" spans="9:10" x14ac:dyDescent="0.25">
      <c r="I979" s="37"/>
      <c r="J979" s="35"/>
    </row>
    <row r="980" spans="9:10" x14ac:dyDescent="0.25">
      <c r="I980" s="37"/>
      <c r="J980" s="35"/>
    </row>
    <row r="981" spans="9:10" x14ac:dyDescent="0.25">
      <c r="I981" s="37"/>
      <c r="J981" s="35"/>
    </row>
    <row r="982" spans="9:10" x14ac:dyDescent="0.25">
      <c r="I982" s="37"/>
      <c r="J982" s="35"/>
    </row>
    <row r="983" spans="9:10" x14ac:dyDescent="0.25">
      <c r="I983" s="37"/>
      <c r="J983" s="35"/>
    </row>
    <row r="984" spans="9:10" x14ac:dyDescent="0.25">
      <c r="I984" s="37"/>
      <c r="J984" s="35"/>
    </row>
    <row r="985" spans="9:10" x14ac:dyDescent="0.25">
      <c r="I985" s="37"/>
      <c r="J985" s="35"/>
    </row>
    <row r="986" spans="9:10" x14ac:dyDescent="0.25">
      <c r="I986" s="37"/>
      <c r="J986" s="35"/>
    </row>
    <row r="987" spans="9:10" x14ac:dyDescent="0.25">
      <c r="I987" s="37"/>
      <c r="J987" s="35"/>
    </row>
    <row r="988" spans="9:10" x14ac:dyDescent="0.25">
      <c r="I988" s="37"/>
      <c r="J988" s="35"/>
    </row>
    <row r="989" spans="9:10" x14ac:dyDescent="0.25">
      <c r="I989" s="37"/>
      <c r="J989" s="35"/>
    </row>
    <row r="990" spans="9:10" x14ac:dyDescent="0.25">
      <c r="I990" s="37"/>
      <c r="J990" s="35"/>
    </row>
    <row r="991" spans="9:10" x14ac:dyDescent="0.25">
      <c r="I991" s="37"/>
      <c r="J991" s="35"/>
    </row>
    <row r="992" spans="9:10" x14ac:dyDescent="0.25">
      <c r="I992" s="37"/>
      <c r="J992" s="35"/>
    </row>
    <row r="993" spans="9:10" x14ac:dyDescent="0.25">
      <c r="I993" s="37"/>
      <c r="J993" s="35"/>
    </row>
    <row r="994" spans="9:10" x14ac:dyDescent="0.25">
      <c r="I994" s="37"/>
      <c r="J994" s="35"/>
    </row>
    <row r="995" spans="9:10" x14ac:dyDescent="0.25">
      <c r="I995" s="37"/>
      <c r="J995" s="35"/>
    </row>
    <row r="996" spans="9:10" x14ac:dyDescent="0.25">
      <c r="I996" s="37"/>
      <c r="J996" s="35"/>
    </row>
    <row r="997" spans="9:10" x14ac:dyDescent="0.25">
      <c r="I997" s="37"/>
      <c r="J997" s="35"/>
    </row>
    <row r="998" spans="9:10" x14ac:dyDescent="0.25">
      <c r="I998" s="37"/>
      <c r="J998" s="35"/>
    </row>
    <row r="999" spans="9:10" x14ac:dyDescent="0.25">
      <c r="I999" s="37"/>
      <c r="J999" s="35"/>
    </row>
    <row r="1000" spans="9:10" x14ac:dyDescent="0.25">
      <c r="I1000" s="37"/>
      <c r="J1000" s="35"/>
    </row>
    <row r="1001" spans="9:10" x14ac:dyDescent="0.25">
      <c r="I1001" s="37"/>
      <c r="J1001" s="35"/>
    </row>
    <row r="1002" spans="9:10" x14ac:dyDescent="0.25">
      <c r="I1002" s="37"/>
      <c r="J1002" s="35"/>
    </row>
    <row r="1003" spans="9:10" x14ac:dyDescent="0.25">
      <c r="I1003" s="37"/>
      <c r="J1003" s="35"/>
    </row>
    <row r="1004" spans="9:10" x14ac:dyDescent="0.25">
      <c r="I1004" s="37"/>
      <c r="J1004" s="35"/>
    </row>
    <row r="1005" spans="9:10" x14ac:dyDescent="0.25">
      <c r="I1005" s="37"/>
      <c r="J1005" s="35"/>
    </row>
    <row r="1006" spans="9:10" x14ac:dyDescent="0.25">
      <c r="I1006" s="37"/>
      <c r="J1006" s="35"/>
    </row>
    <row r="1007" spans="9:10" x14ac:dyDescent="0.25">
      <c r="I1007" s="37"/>
      <c r="J1007" s="35"/>
    </row>
    <row r="1008" spans="9:10" x14ac:dyDescent="0.25">
      <c r="I1008" s="37"/>
      <c r="J1008" s="35"/>
    </row>
    <row r="1009" spans="9:10" x14ac:dyDescent="0.25">
      <c r="I1009" s="37"/>
      <c r="J1009" s="35"/>
    </row>
    <row r="1010" spans="9:10" x14ac:dyDescent="0.25">
      <c r="I1010" s="37"/>
      <c r="J1010" s="35"/>
    </row>
    <row r="1011" spans="9:10" x14ac:dyDescent="0.25">
      <c r="I1011" s="37"/>
      <c r="J1011" s="35"/>
    </row>
    <row r="1012" spans="9:10" x14ac:dyDescent="0.25">
      <c r="I1012" s="37"/>
      <c r="J1012" s="35"/>
    </row>
    <row r="1013" spans="9:10" x14ac:dyDescent="0.25">
      <c r="I1013" s="37"/>
      <c r="J1013" s="35"/>
    </row>
    <row r="1014" spans="9:10" x14ac:dyDescent="0.25">
      <c r="I1014" s="37"/>
      <c r="J1014" s="35"/>
    </row>
    <row r="1015" spans="9:10" x14ac:dyDescent="0.25">
      <c r="I1015" s="37"/>
      <c r="J1015" s="35"/>
    </row>
    <row r="1016" spans="9:10" x14ac:dyDescent="0.25">
      <c r="I1016" s="37"/>
      <c r="J1016" s="35"/>
    </row>
    <row r="1017" spans="9:10" x14ac:dyDescent="0.25">
      <c r="I1017" s="37"/>
      <c r="J1017" s="35"/>
    </row>
    <row r="1018" spans="9:10" x14ac:dyDescent="0.25">
      <c r="I1018" s="37"/>
      <c r="J1018" s="35"/>
    </row>
    <row r="1019" spans="9:10" x14ac:dyDescent="0.25">
      <c r="I1019" s="37"/>
      <c r="J1019" s="35"/>
    </row>
    <row r="1020" spans="9:10" x14ac:dyDescent="0.25">
      <c r="I1020" s="37"/>
      <c r="J1020" s="35"/>
    </row>
    <row r="1021" spans="9:10" x14ac:dyDescent="0.25">
      <c r="I1021" s="37"/>
      <c r="J1021" s="35"/>
    </row>
    <row r="1022" spans="9:10" x14ac:dyDescent="0.25">
      <c r="I1022" s="37"/>
      <c r="J1022" s="35"/>
    </row>
    <row r="1023" spans="9:10" x14ac:dyDescent="0.25">
      <c r="I1023" s="37"/>
      <c r="J1023" s="35"/>
    </row>
    <row r="1024" spans="9:10" x14ac:dyDescent="0.25">
      <c r="I1024" s="37"/>
      <c r="J1024" s="35"/>
    </row>
    <row r="1025" spans="9:10" x14ac:dyDescent="0.25">
      <c r="I1025" s="37"/>
      <c r="J1025" s="35"/>
    </row>
    <row r="1026" spans="9:10" x14ac:dyDescent="0.25">
      <c r="I1026" s="37"/>
      <c r="J1026" s="35"/>
    </row>
    <row r="1027" spans="9:10" x14ac:dyDescent="0.25">
      <c r="I1027" s="37"/>
      <c r="J1027" s="35"/>
    </row>
    <row r="1028" spans="9:10" x14ac:dyDescent="0.25">
      <c r="I1028" s="37"/>
      <c r="J1028" s="35"/>
    </row>
    <row r="1029" spans="9:10" x14ac:dyDescent="0.25">
      <c r="I1029" s="37"/>
      <c r="J1029" s="35"/>
    </row>
    <row r="1030" spans="9:10" x14ac:dyDescent="0.25">
      <c r="I1030" s="37"/>
      <c r="J1030" s="35"/>
    </row>
    <row r="1031" spans="9:10" x14ac:dyDescent="0.25">
      <c r="I1031" s="37"/>
      <c r="J1031" s="35"/>
    </row>
    <row r="1032" spans="9:10" x14ac:dyDescent="0.25">
      <c r="I1032" s="37"/>
      <c r="J1032" s="35"/>
    </row>
    <row r="1033" spans="9:10" x14ac:dyDescent="0.25">
      <c r="I1033" s="37"/>
      <c r="J1033" s="35"/>
    </row>
    <row r="1034" spans="9:10" x14ac:dyDescent="0.25">
      <c r="I1034" s="37"/>
      <c r="J1034" s="35"/>
    </row>
    <row r="1035" spans="9:10" x14ac:dyDescent="0.25">
      <c r="I1035" s="37"/>
      <c r="J1035" s="35"/>
    </row>
    <row r="1036" spans="9:10" x14ac:dyDescent="0.25">
      <c r="I1036" s="37"/>
      <c r="J1036" s="35"/>
    </row>
    <row r="1037" spans="9:10" x14ac:dyDescent="0.25">
      <c r="I1037" s="37"/>
      <c r="J1037" s="35"/>
    </row>
    <row r="1038" spans="9:10" x14ac:dyDescent="0.25">
      <c r="I1038" s="37"/>
      <c r="J1038" s="35"/>
    </row>
    <row r="1039" spans="9:10" x14ac:dyDescent="0.25">
      <c r="I1039" s="37"/>
      <c r="J1039" s="35"/>
    </row>
    <row r="1040" spans="9:10" x14ac:dyDescent="0.25">
      <c r="I1040" s="37"/>
      <c r="J1040" s="35"/>
    </row>
    <row r="1041" spans="9:10" x14ac:dyDescent="0.25">
      <c r="I1041" s="37"/>
      <c r="J1041" s="35"/>
    </row>
    <row r="1042" spans="9:10" x14ac:dyDescent="0.25">
      <c r="I1042" s="37"/>
      <c r="J1042" s="35"/>
    </row>
    <row r="1043" spans="9:10" x14ac:dyDescent="0.25">
      <c r="I1043" s="37"/>
      <c r="J1043" s="35"/>
    </row>
    <row r="1044" spans="9:10" x14ac:dyDescent="0.25">
      <c r="I1044" s="37"/>
      <c r="J1044" s="35"/>
    </row>
    <row r="1045" spans="9:10" x14ac:dyDescent="0.25">
      <c r="I1045" s="37"/>
      <c r="J1045" s="35"/>
    </row>
    <row r="1046" spans="9:10" x14ac:dyDescent="0.25">
      <c r="I1046" s="37"/>
      <c r="J1046" s="35"/>
    </row>
    <row r="1047" spans="9:10" x14ac:dyDescent="0.25">
      <c r="I1047" s="37"/>
      <c r="J1047" s="35"/>
    </row>
    <row r="1048" spans="9:10" x14ac:dyDescent="0.25">
      <c r="I1048" s="37"/>
      <c r="J1048" s="35"/>
    </row>
    <row r="1049" spans="9:10" x14ac:dyDescent="0.25">
      <c r="I1049" s="37"/>
      <c r="J1049" s="35"/>
    </row>
    <row r="1050" spans="9:10" x14ac:dyDescent="0.25">
      <c r="I1050" s="37"/>
      <c r="J1050" s="35"/>
    </row>
    <row r="1051" spans="9:10" x14ac:dyDescent="0.25">
      <c r="I1051" s="37"/>
      <c r="J1051" s="35"/>
    </row>
    <row r="1052" spans="9:10" x14ac:dyDescent="0.25">
      <c r="I1052" s="37"/>
      <c r="J1052" s="35"/>
    </row>
    <row r="1053" spans="9:10" x14ac:dyDescent="0.25">
      <c r="I1053" s="37"/>
      <c r="J1053" s="35"/>
    </row>
    <row r="1054" spans="9:10" x14ac:dyDescent="0.25">
      <c r="I1054" s="37"/>
      <c r="J1054" s="35"/>
    </row>
    <row r="1055" spans="9:10" x14ac:dyDescent="0.25">
      <c r="I1055" s="37"/>
      <c r="J1055" s="35"/>
    </row>
    <row r="1056" spans="9:10" x14ac:dyDescent="0.25">
      <c r="I1056" s="37"/>
      <c r="J1056" s="35"/>
    </row>
    <row r="1057" spans="9:10" x14ac:dyDescent="0.25">
      <c r="I1057" s="37"/>
      <c r="J1057" s="35"/>
    </row>
    <row r="1058" spans="9:10" x14ac:dyDescent="0.25">
      <c r="I1058" s="37"/>
      <c r="J1058" s="35"/>
    </row>
    <row r="1059" spans="9:10" x14ac:dyDescent="0.25">
      <c r="I1059" s="37"/>
      <c r="J1059" s="35"/>
    </row>
    <row r="1060" spans="9:10" x14ac:dyDescent="0.25">
      <c r="I1060" s="37"/>
      <c r="J1060" s="35"/>
    </row>
    <row r="1061" spans="9:10" x14ac:dyDescent="0.25">
      <c r="I1061" s="37"/>
      <c r="J1061" s="35"/>
    </row>
    <row r="1062" spans="9:10" x14ac:dyDescent="0.25">
      <c r="I1062" s="37"/>
      <c r="J1062" s="35"/>
    </row>
    <row r="1063" spans="9:10" x14ac:dyDescent="0.25">
      <c r="I1063" s="37"/>
      <c r="J1063" s="35"/>
    </row>
    <row r="1064" spans="9:10" x14ac:dyDescent="0.25">
      <c r="I1064" s="37"/>
      <c r="J1064" s="35"/>
    </row>
    <row r="1065" spans="9:10" x14ac:dyDescent="0.25">
      <c r="I1065" s="37"/>
      <c r="J1065" s="35"/>
    </row>
    <row r="1066" spans="9:10" x14ac:dyDescent="0.25">
      <c r="I1066" s="37"/>
      <c r="J1066" s="35"/>
    </row>
    <row r="1067" spans="9:10" x14ac:dyDescent="0.25">
      <c r="I1067" s="37"/>
      <c r="J1067" s="35"/>
    </row>
    <row r="1068" spans="9:10" x14ac:dyDescent="0.25">
      <c r="I1068" s="37"/>
      <c r="J1068" s="35"/>
    </row>
    <row r="1069" spans="9:10" x14ac:dyDescent="0.25">
      <c r="I1069" s="37"/>
      <c r="J1069" s="35"/>
    </row>
    <row r="1070" spans="9:10" x14ac:dyDescent="0.25">
      <c r="I1070" s="37"/>
      <c r="J1070" s="35"/>
    </row>
    <row r="1071" spans="9:10" x14ac:dyDescent="0.25">
      <c r="I1071" s="37"/>
      <c r="J1071" s="35"/>
    </row>
    <row r="1072" spans="9:10" x14ac:dyDescent="0.25">
      <c r="I1072" s="37"/>
      <c r="J1072" s="35"/>
    </row>
    <row r="1073" spans="9:10" x14ac:dyDescent="0.25">
      <c r="I1073" s="37"/>
      <c r="J1073" s="35"/>
    </row>
    <row r="1074" spans="9:10" x14ac:dyDescent="0.25">
      <c r="I1074" s="37"/>
      <c r="J1074" s="35"/>
    </row>
    <row r="1075" spans="9:10" x14ac:dyDescent="0.25">
      <c r="I1075" s="37"/>
      <c r="J1075" s="35"/>
    </row>
    <row r="1076" spans="9:10" x14ac:dyDescent="0.25">
      <c r="I1076" s="37"/>
      <c r="J1076" s="35"/>
    </row>
    <row r="1077" spans="9:10" x14ac:dyDescent="0.25">
      <c r="I1077" s="37"/>
      <c r="J1077" s="35"/>
    </row>
    <row r="1078" spans="9:10" x14ac:dyDescent="0.25">
      <c r="I1078" s="37"/>
      <c r="J1078" s="35"/>
    </row>
    <row r="1079" spans="9:10" x14ac:dyDescent="0.25">
      <c r="I1079" s="37"/>
      <c r="J1079" s="35"/>
    </row>
    <row r="1080" spans="9:10" x14ac:dyDescent="0.25">
      <c r="I1080" s="37"/>
      <c r="J1080" s="35"/>
    </row>
    <row r="1081" spans="9:10" x14ac:dyDescent="0.25">
      <c r="I1081" s="37"/>
      <c r="J1081" s="35"/>
    </row>
    <row r="1082" spans="9:10" x14ac:dyDescent="0.25">
      <c r="I1082" s="37"/>
      <c r="J1082" s="35"/>
    </row>
    <row r="1083" spans="9:10" x14ac:dyDescent="0.25">
      <c r="I1083" s="37"/>
      <c r="J1083" s="35"/>
    </row>
    <row r="1084" spans="9:10" x14ac:dyDescent="0.25">
      <c r="I1084" s="37"/>
      <c r="J1084" s="35"/>
    </row>
    <row r="1085" spans="9:10" x14ac:dyDescent="0.25">
      <c r="I1085" s="37"/>
      <c r="J1085" s="35"/>
    </row>
    <row r="1086" spans="9:10" x14ac:dyDescent="0.25">
      <c r="I1086" s="37"/>
      <c r="J1086" s="35"/>
    </row>
    <row r="1087" spans="9:10" x14ac:dyDescent="0.25">
      <c r="I1087" s="37"/>
      <c r="J1087" s="35"/>
    </row>
    <row r="1088" spans="9:10" x14ac:dyDescent="0.25">
      <c r="I1088" s="37"/>
      <c r="J1088" s="35"/>
    </row>
    <row r="1089" spans="9:10" x14ac:dyDescent="0.25">
      <c r="I1089" s="37"/>
      <c r="J1089" s="35"/>
    </row>
    <row r="1090" spans="9:10" x14ac:dyDescent="0.25">
      <c r="I1090" s="37"/>
      <c r="J1090" s="35"/>
    </row>
    <row r="1091" spans="9:10" x14ac:dyDescent="0.25">
      <c r="I1091" s="37"/>
      <c r="J1091" s="35"/>
    </row>
    <row r="1092" spans="9:10" x14ac:dyDescent="0.25">
      <c r="I1092" s="37"/>
      <c r="J1092" s="35"/>
    </row>
    <row r="1093" spans="9:10" x14ac:dyDescent="0.25">
      <c r="I1093" s="37"/>
      <c r="J1093" s="35"/>
    </row>
    <row r="1094" spans="9:10" x14ac:dyDescent="0.25">
      <c r="I1094" s="37"/>
      <c r="J1094" s="35"/>
    </row>
    <row r="1095" spans="9:10" x14ac:dyDescent="0.25">
      <c r="I1095" s="37"/>
      <c r="J1095" s="35"/>
    </row>
    <row r="1096" spans="9:10" x14ac:dyDescent="0.25">
      <c r="I1096" s="37"/>
      <c r="J1096" s="35"/>
    </row>
    <row r="1097" spans="9:10" x14ac:dyDescent="0.25">
      <c r="I1097" s="37"/>
      <c r="J1097" s="35"/>
    </row>
    <row r="1098" spans="9:10" x14ac:dyDescent="0.25">
      <c r="I1098" s="37"/>
      <c r="J1098" s="35"/>
    </row>
    <row r="1099" spans="9:10" x14ac:dyDescent="0.25">
      <c r="I1099" s="37"/>
      <c r="J1099" s="35"/>
    </row>
    <row r="1100" spans="9:10" x14ac:dyDescent="0.25">
      <c r="I1100" s="37"/>
      <c r="J1100" s="35"/>
    </row>
    <row r="1101" spans="9:10" x14ac:dyDescent="0.25">
      <c r="I1101" s="37"/>
      <c r="J1101" s="35"/>
    </row>
    <row r="1102" spans="9:10" x14ac:dyDescent="0.25">
      <c r="I1102" s="37"/>
      <c r="J1102" s="35"/>
    </row>
    <row r="1103" spans="9:10" x14ac:dyDescent="0.25">
      <c r="I1103" s="37"/>
      <c r="J1103" s="35"/>
    </row>
    <row r="1104" spans="9:10" x14ac:dyDescent="0.25">
      <c r="I1104" s="37"/>
      <c r="J1104" s="35"/>
    </row>
    <row r="1105" spans="9:10" x14ac:dyDescent="0.25">
      <c r="I1105" s="37"/>
      <c r="J1105" s="35"/>
    </row>
    <row r="1106" spans="9:10" x14ac:dyDescent="0.25">
      <c r="I1106" s="37"/>
      <c r="J1106" s="35"/>
    </row>
    <row r="1107" spans="9:10" x14ac:dyDescent="0.25">
      <c r="I1107" s="37"/>
      <c r="J1107" s="35"/>
    </row>
    <row r="1108" spans="9:10" x14ac:dyDescent="0.25">
      <c r="I1108" s="37"/>
      <c r="J1108" s="35"/>
    </row>
    <row r="1109" spans="9:10" x14ac:dyDescent="0.25">
      <c r="I1109" s="37"/>
      <c r="J1109" s="35"/>
    </row>
    <row r="1110" spans="9:10" x14ac:dyDescent="0.25">
      <c r="I1110" s="37"/>
      <c r="J1110" s="35"/>
    </row>
    <row r="1111" spans="9:10" x14ac:dyDescent="0.25">
      <c r="I1111" s="37"/>
      <c r="J1111" s="35"/>
    </row>
    <row r="1112" spans="9:10" x14ac:dyDescent="0.25">
      <c r="I1112" s="37"/>
      <c r="J1112" s="35"/>
    </row>
    <row r="1113" spans="9:10" x14ac:dyDescent="0.25">
      <c r="I1113" s="37"/>
      <c r="J1113" s="35"/>
    </row>
    <row r="1114" spans="9:10" x14ac:dyDescent="0.25">
      <c r="I1114" s="37"/>
      <c r="J1114" s="35"/>
    </row>
    <row r="1115" spans="9:10" x14ac:dyDescent="0.25">
      <c r="I1115" s="37"/>
      <c r="J1115" s="35"/>
    </row>
    <row r="1116" spans="9:10" x14ac:dyDescent="0.25">
      <c r="I1116" s="37"/>
      <c r="J1116" s="35"/>
    </row>
    <row r="1117" spans="9:10" x14ac:dyDescent="0.25">
      <c r="I1117" s="37"/>
      <c r="J1117" s="35"/>
    </row>
    <row r="1118" spans="9:10" x14ac:dyDescent="0.25">
      <c r="I1118" s="37"/>
      <c r="J1118" s="35"/>
    </row>
    <row r="1119" spans="9:10" x14ac:dyDescent="0.25">
      <c r="I1119" s="37"/>
      <c r="J1119" s="35"/>
    </row>
    <row r="1120" spans="9:10" x14ac:dyDescent="0.25">
      <c r="I1120" s="37"/>
      <c r="J1120" s="35"/>
    </row>
    <row r="1121" spans="9:10" x14ac:dyDescent="0.25">
      <c r="I1121" s="37"/>
      <c r="J1121" s="35"/>
    </row>
    <row r="1122" spans="9:10" x14ac:dyDescent="0.25">
      <c r="I1122" s="37"/>
      <c r="J1122" s="35"/>
    </row>
    <row r="1123" spans="9:10" x14ac:dyDescent="0.25">
      <c r="I1123" s="37"/>
      <c r="J1123" s="35"/>
    </row>
    <row r="1124" spans="9:10" x14ac:dyDescent="0.25">
      <c r="I1124" s="37"/>
      <c r="J1124" s="35"/>
    </row>
    <row r="1125" spans="9:10" x14ac:dyDescent="0.25">
      <c r="I1125" s="37"/>
      <c r="J1125" s="35"/>
    </row>
    <row r="1126" spans="9:10" x14ac:dyDescent="0.25">
      <c r="I1126" s="37"/>
      <c r="J1126" s="35"/>
    </row>
    <row r="1127" spans="9:10" x14ac:dyDescent="0.25">
      <c r="I1127" s="37"/>
      <c r="J1127" s="35"/>
    </row>
    <row r="1128" spans="9:10" x14ac:dyDescent="0.25">
      <c r="I1128" s="37"/>
      <c r="J1128" s="35"/>
    </row>
    <row r="1129" spans="9:10" x14ac:dyDescent="0.25">
      <c r="I1129" s="37"/>
      <c r="J1129" s="35"/>
    </row>
    <row r="1130" spans="9:10" x14ac:dyDescent="0.25">
      <c r="I1130" s="37"/>
      <c r="J1130" s="35"/>
    </row>
    <row r="1131" spans="9:10" x14ac:dyDescent="0.25">
      <c r="I1131" s="37"/>
      <c r="J1131" s="35"/>
    </row>
    <row r="1132" spans="9:10" x14ac:dyDescent="0.25">
      <c r="I1132" s="37"/>
      <c r="J1132" s="35"/>
    </row>
    <row r="1133" spans="9:10" x14ac:dyDescent="0.25">
      <c r="I1133" s="37"/>
      <c r="J1133" s="35"/>
    </row>
    <row r="1134" spans="9:10" x14ac:dyDescent="0.25">
      <c r="I1134" s="37"/>
      <c r="J1134" s="35"/>
    </row>
    <row r="1135" spans="9:10" x14ac:dyDescent="0.25">
      <c r="I1135" s="37"/>
      <c r="J1135" s="35"/>
    </row>
    <row r="1136" spans="9:10" x14ac:dyDescent="0.25">
      <c r="I1136" s="37"/>
      <c r="J1136" s="35"/>
    </row>
    <row r="1137" spans="9:10" x14ac:dyDescent="0.25">
      <c r="I1137" s="37"/>
      <c r="J1137" s="35"/>
    </row>
    <row r="1138" spans="9:10" x14ac:dyDescent="0.25">
      <c r="I1138" s="37"/>
      <c r="J1138" s="35"/>
    </row>
    <row r="1139" spans="9:10" x14ac:dyDescent="0.25">
      <c r="I1139" s="37"/>
      <c r="J1139" s="35"/>
    </row>
    <row r="1140" spans="9:10" x14ac:dyDescent="0.25">
      <c r="I1140" s="37"/>
      <c r="J1140" s="35"/>
    </row>
    <row r="1141" spans="9:10" x14ac:dyDescent="0.25">
      <c r="I1141" s="37"/>
      <c r="J1141" s="35"/>
    </row>
    <row r="1142" spans="9:10" x14ac:dyDescent="0.25">
      <c r="I1142" s="37"/>
      <c r="J1142" s="35"/>
    </row>
    <row r="1143" spans="9:10" x14ac:dyDescent="0.25">
      <c r="I1143" s="37"/>
      <c r="J1143" s="35"/>
    </row>
    <row r="1144" spans="9:10" x14ac:dyDescent="0.25">
      <c r="I1144" s="37"/>
      <c r="J1144" s="35"/>
    </row>
    <row r="1145" spans="9:10" x14ac:dyDescent="0.25">
      <c r="I1145" s="37"/>
      <c r="J1145" s="35"/>
    </row>
    <row r="1146" spans="9:10" x14ac:dyDescent="0.25">
      <c r="I1146" s="37"/>
      <c r="J1146" s="35"/>
    </row>
    <row r="1147" spans="9:10" x14ac:dyDescent="0.25">
      <c r="I1147" s="37"/>
      <c r="J1147" s="35"/>
    </row>
    <row r="1148" spans="9:10" x14ac:dyDescent="0.25">
      <c r="I1148" s="37"/>
      <c r="J1148" s="35"/>
    </row>
    <row r="1149" spans="9:10" x14ac:dyDescent="0.25">
      <c r="I1149" s="37"/>
      <c r="J1149" s="35"/>
    </row>
    <row r="1150" spans="9:10" x14ac:dyDescent="0.25">
      <c r="I1150" s="37"/>
      <c r="J1150" s="35"/>
    </row>
    <row r="1151" spans="9:10" x14ac:dyDescent="0.25">
      <c r="I1151" s="37"/>
      <c r="J1151" s="35"/>
    </row>
    <row r="1152" spans="9:10" x14ac:dyDescent="0.25">
      <c r="I1152" s="37"/>
      <c r="J1152" s="35"/>
    </row>
    <row r="1153" spans="9:10" x14ac:dyDescent="0.25">
      <c r="I1153" s="37"/>
      <c r="J1153" s="35"/>
    </row>
    <row r="1154" spans="9:10" x14ac:dyDescent="0.25">
      <c r="I1154" s="37"/>
      <c r="J1154" s="35"/>
    </row>
    <row r="1155" spans="9:10" x14ac:dyDescent="0.25">
      <c r="I1155" s="37"/>
      <c r="J1155" s="35"/>
    </row>
    <row r="1156" spans="9:10" x14ac:dyDescent="0.25">
      <c r="I1156" s="37"/>
      <c r="J1156" s="35"/>
    </row>
    <row r="1157" spans="9:10" x14ac:dyDescent="0.25">
      <c r="I1157" s="37"/>
      <c r="J1157" s="35"/>
    </row>
    <row r="1158" spans="9:10" x14ac:dyDescent="0.25">
      <c r="I1158" s="37"/>
      <c r="J1158" s="35"/>
    </row>
    <row r="1159" spans="9:10" x14ac:dyDescent="0.25">
      <c r="I1159" s="37"/>
      <c r="J1159" s="35"/>
    </row>
    <row r="1160" spans="9:10" x14ac:dyDescent="0.25">
      <c r="I1160" s="37"/>
      <c r="J1160" s="35"/>
    </row>
    <row r="1161" spans="9:10" x14ac:dyDescent="0.25">
      <c r="I1161" s="37"/>
      <c r="J1161" s="35"/>
    </row>
    <row r="1162" spans="9:10" x14ac:dyDescent="0.25">
      <c r="I1162" s="37"/>
      <c r="J1162" s="35"/>
    </row>
    <row r="1163" spans="9:10" x14ac:dyDescent="0.25">
      <c r="I1163" s="37"/>
      <c r="J1163" s="35"/>
    </row>
    <row r="1164" spans="9:10" x14ac:dyDescent="0.25">
      <c r="I1164" s="37"/>
      <c r="J1164" s="35"/>
    </row>
    <row r="1165" spans="9:10" x14ac:dyDescent="0.25">
      <c r="I1165" s="37"/>
      <c r="J1165" s="35"/>
    </row>
    <row r="1166" spans="9:10" x14ac:dyDescent="0.25">
      <c r="I1166" s="37"/>
      <c r="J1166" s="35"/>
    </row>
    <row r="1167" spans="9:10" x14ac:dyDescent="0.25">
      <c r="I1167" s="37"/>
      <c r="J1167" s="35"/>
    </row>
    <row r="1168" spans="9:10" x14ac:dyDescent="0.25">
      <c r="I1168" s="37"/>
      <c r="J1168" s="35"/>
    </row>
    <row r="1169" spans="9:10" x14ac:dyDescent="0.25">
      <c r="I1169" s="37"/>
      <c r="J1169" s="35"/>
    </row>
    <row r="1170" spans="9:10" x14ac:dyDescent="0.25">
      <c r="I1170" s="37"/>
      <c r="J1170" s="35"/>
    </row>
    <row r="1171" spans="9:10" x14ac:dyDescent="0.25">
      <c r="I1171" s="37"/>
      <c r="J1171" s="35"/>
    </row>
    <row r="1172" spans="9:10" x14ac:dyDescent="0.25">
      <c r="I1172" s="37"/>
      <c r="J1172" s="35"/>
    </row>
    <row r="1173" spans="9:10" x14ac:dyDescent="0.25">
      <c r="I1173" s="37"/>
      <c r="J1173" s="35"/>
    </row>
    <row r="1174" spans="9:10" x14ac:dyDescent="0.25">
      <c r="I1174" s="37"/>
      <c r="J1174" s="35"/>
    </row>
    <row r="1175" spans="9:10" x14ac:dyDescent="0.25">
      <c r="I1175" s="37"/>
      <c r="J1175" s="35"/>
    </row>
    <row r="1176" spans="9:10" x14ac:dyDescent="0.25">
      <c r="I1176" s="37"/>
      <c r="J1176" s="35"/>
    </row>
    <row r="1177" spans="9:10" x14ac:dyDescent="0.25">
      <c r="I1177" s="37"/>
      <c r="J1177" s="35"/>
    </row>
    <row r="1178" spans="9:10" x14ac:dyDescent="0.25">
      <c r="I1178" s="37"/>
      <c r="J1178" s="35"/>
    </row>
    <row r="1179" spans="9:10" x14ac:dyDescent="0.25">
      <c r="I1179" s="37"/>
      <c r="J1179" s="35"/>
    </row>
    <row r="1180" spans="9:10" x14ac:dyDescent="0.25">
      <c r="I1180" s="37"/>
      <c r="J1180" s="35"/>
    </row>
    <row r="1181" spans="9:10" x14ac:dyDescent="0.25">
      <c r="I1181" s="37"/>
      <c r="J1181" s="35"/>
    </row>
    <row r="1182" spans="9:10" x14ac:dyDescent="0.25">
      <c r="I1182" s="37"/>
      <c r="J1182" s="35"/>
    </row>
    <row r="1183" spans="9:10" x14ac:dyDescent="0.25">
      <c r="I1183" s="37"/>
      <c r="J1183" s="35"/>
    </row>
    <row r="1184" spans="9:10" x14ac:dyDescent="0.25">
      <c r="I1184" s="37"/>
      <c r="J1184" s="35"/>
    </row>
    <row r="1185" spans="9:10" x14ac:dyDescent="0.25">
      <c r="I1185" s="37"/>
      <c r="J1185" s="35"/>
    </row>
    <row r="1186" spans="9:10" x14ac:dyDescent="0.25">
      <c r="I1186" s="37"/>
      <c r="J1186" s="35"/>
    </row>
    <row r="1187" spans="9:10" x14ac:dyDescent="0.25">
      <c r="I1187" s="37"/>
      <c r="J1187" s="35"/>
    </row>
    <row r="1188" spans="9:10" x14ac:dyDescent="0.25">
      <c r="I1188" s="37"/>
      <c r="J1188" s="35"/>
    </row>
    <row r="1189" spans="9:10" x14ac:dyDescent="0.25">
      <c r="I1189" s="37"/>
      <c r="J1189" s="35"/>
    </row>
    <row r="1190" spans="9:10" x14ac:dyDescent="0.25">
      <c r="I1190" s="37"/>
      <c r="J1190" s="35"/>
    </row>
    <row r="1191" spans="9:10" x14ac:dyDescent="0.25">
      <c r="I1191" s="37"/>
      <c r="J1191" s="35"/>
    </row>
    <row r="1192" spans="9:10" x14ac:dyDescent="0.25">
      <c r="I1192" s="37"/>
      <c r="J1192" s="35"/>
    </row>
    <row r="1193" spans="9:10" x14ac:dyDescent="0.25">
      <c r="I1193" s="37"/>
      <c r="J1193" s="35"/>
    </row>
    <row r="1194" spans="9:10" x14ac:dyDescent="0.25">
      <c r="I1194" s="37"/>
      <c r="J1194" s="35"/>
    </row>
    <row r="1195" spans="9:10" x14ac:dyDescent="0.25">
      <c r="I1195" s="37"/>
      <c r="J1195" s="35"/>
    </row>
    <row r="1196" spans="9:10" x14ac:dyDescent="0.25">
      <c r="I1196" s="37"/>
      <c r="J1196" s="35"/>
    </row>
    <row r="1197" spans="9:10" x14ac:dyDescent="0.25">
      <c r="I1197" s="37"/>
      <c r="J1197" s="35"/>
    </row>
    <row r="1198" spans="9:10" x14ac:dyDescent="0.25">
      <c r="I1198" s="37"/>
      <c r="J1198" s="35"/>
    </row>
    <row r="1199" spans="9:10" x14ac:dyDescent="0.25">
      <c r="I1199" s="37"/>
      <c r="J1199" s="35"/>
    </row>
    <row r="1200" spans="9:10" x14ac:dyDescent="0.25">
      <c r="I1200" s="37"/>
      <c r="J1200" s="35"/>
    </row>
    <row r="1201" spans="9:10" x14ac:dyDescent="0.25">
      <c r="I1201" s="37"/>
      <c r="J1201" s="35"/>
    </row>
    <row r="1202" spans="9:10" x14ac:dyDescent="0.25">
      <c r="I1202" s="37"/>
      <c r="J1202" s="35"/>
    </row>
    <row r="1203" spans="9:10" x14ac:dyDescent="0.25">
      <c r="I1203" s="37"/>
      <c r="J1203" s="35"/>
    </row>
    <row r="1204" spans="9:10" x14ac:dyDescent="0.25">
      <c r="I1204" s="37"/>
      <c r="J1204" s="35"/>
    </row>
    <row r="1205" spans="9:10" x14ac:dyDescent="0.25">
      <c r="I1205" s="37"/>
      <c r="J1205" s="35"/>
    </row>
    <row r="1206" spans="9:10" x14ac:dyDescent="0.25">
      <c r="I1206" s="37"/>
      <c r="J1206" s="35"/>
    </row>
    <row r="1207" spans="9:10" x14ac:dyDescent="0.25">
      <c r="I1207" s="37"/>
      <c r="J1207" s="35"/>
    </row>
    <row r="1208" spans="9:10" x14ac:dyDescent="0.25">
      <c r="I1208" s="37"/>
      <c r="J1208" s="35"/>
    </row>
    <row r="1209" spans="9:10" x14ac:dyDescent="0.25">
      <c r="I1209" s="37"/>
      <c r="J1209" s="35"/>
    </row>
    <row r="1210" spans="9:10" x14ac:dyDescent="0.25">
      <c r="I1210" s="37"/>
      <c r="J1210" s="35"/>
    </row>
    <row r="1211" spans="9:10" x14ac:dyDescent="0.25">
      <c r="I1211" s="37"/>
      <c r="J1211" s="35"/>
    </row>
    <row r="1212" spans="9:10" x14ac:dyDescent="0.25">
      <c r="I1212" s="37"/>
      <c r="J1212" s="35"/>
    </row>
    <row r="1213" spans="9:10" x14ac:dyDescent="0.25">
      <c r="I1213" s="37"/>
      <c r="J1213" s="35"/>
    </row>
    <row r="1214" spans="9:10" x14ac:dyDescent="0.25">
      <c r="I1214" s="37"/>
      <c r="J1214" s="35"/>
    </row>
    <row r="1215" spans="9:10" x14ac:dyDescent="0.25">
      <c r="I1215" s="37"/>
      <c r="J1215" s="35"/>
    </row>
    <row r="1216" spans="9:10" x14ac:dyDescent="0.25">
      <c r="I1216" s="37"/>
      <c r="J1216" s="35"/>
    </row>
    <row r="1217" spans="9:10" x14ac:dyDescent="0.25">
      <c r="I1217" s="37"/>
      <c r="J1217" s="35"/>
    </row>
    <row r="1218" spans="9:10" x14ac:dyDescent="0.25">
      <c r="I1218" s="37"/>
      <c r="J1218" s="35"/>
    </row>
    <row r="1219" spans="9:10" x14ac:dyDescent="0.25">
      <c r="I1219" s="37"/>
      <c r="J1219" s="35"/>
    </row>
    <row r="1220" spans="9:10" x14ac:dyDescent="0.25">
      <c r="I1220" s="37"/>
      <c r="J1220" s="35"/>
    </row>
    <row r="1221" spans="9:10" x14ac:dyDescent="0.25">
      <c r="I1221" s="37"/>
      <c r="J1221" s="35"/>
    </row>
    <row r="1222" spans="9:10" x14ac:dyDescent="0.25">
      <c r="I1222" s="37"/>
      <c r="J1222" s="35"/>
    </row>
    <row r="1223" spans="9:10" x14ac:dyDescent="0.25">
      <c r="I1223" s="37"/>
      <c r="J1223" s="35"/>
    </row>
    <row r="1224" spans="9:10" x14ac:dyDescent="0.25">
      <c r="I1224" s="37"/>
      <c r="J1224" s="35"/>
    </row>
    <row r="1225" spans="9:10" x14ac:dyDescent="0.25">
      <c r="I1225" s="37"/>
      <c r="J1225" s="35"/>
    </row>
    <row r="1226" spans="9:10" x14ac:dyDescent="0.25">
      <c r="I1226" s="37"/>
      <c r="J1226" s="35"/>
    </row>
    <row r="1227" spans="9:10" x14ac:dyDescent="0.25">
      <c r="I1227" s="37"/>
      <c r="J1227" s="35"/>
    </row>
    <row r="1228" spans="9:10" x14ac:dyDescent="0.25">
      <c r="I1228" s="37"/>
      <c r="J1228" s="35"/>
    </row>
    <row r="1229" spans="9:10" x14ac:dyDescent="0.25">
      <c r="I1229" s="37"/>
      <c r="J1229" s="35"/>
    </row>
    <row r="1230" spans="9:10" x14ac:dyDescent="0.25">
      <c r="I1230" s="37"/>
      <c r="J1230" s="35"/>
    </row>
    <row r="1231" spans="9:10" x14ac:dyDescent="0.25">
      <c r="I1231" s="37"/>
      <c r="J1231" s="35"/>
    </row>
    <row r="1232" spans="9:10" x14ac:dyDescent="0.25">
      <c r="I1232" s="37"/>
      <c r="J1232" s="35"/>
    </row>
    <row r="1233" spans="9:10" x14ac:dyDescent="0.25">
      <c r="I1233" s="37"/>
      <c r="J1233" s="35"/>
    </row>
    <row r="1234" spans="9:10" x14ac:dyDescent="0.25">
      <c r="I1234" s="37"/>
      <c r="J1234" s="35"/>
    </row>
    <row r="1235" spans="9:10" x14ac:dyDescent="0.25">
      <c r="I1235" s="37"/>
      <c r="J1235" s="35"/>
    </row>
    <row r="1236" spans="9:10" x14ac:dyDescent="0.25">
      <c r="I1236" s="37"/>
      <c r="J1236" s="35"/>
    </row>
    <row r="1237" spans="9:10" x14ac:dyDescent="0.25">
      <c r="I1237" s="37"/>
      <c r="J1237" s="35"/>
    </row>
    <row r="1238" spans="9:10" x14ac:dyDescent="0.25">
      <c r="I1238" s="37"/>
      <c r="J1238" s="35"/>
    </row>
    <row r="1239" spans="9:10" x14ac:dyDescent="0.25">
      <c r="I1239" s="37"/>
      <c r="J1239" s="35"/>
    </row>
    <row r="1240" spans="9:10" x14ac:dyDescent="0.25">
      <c r="I1240" s="37"/>
      <c r="J1240" s="35"/>
    </row>
    <row r="1241" spans="9:10" x14ac:dyDescent="0.25">
      <c r="I1241" s="37"/>
      <c r="J1241" s="35"/>
    </row>
    <row r="1242" spans="9:10" x14ac:dyDescent="0.25">
      <c r="I1242" s="37"/>
      <c r="J1242" s="35"/>
    </row>
    <row r="1243" spans="9:10" x14ac:dyDescent="0.25">
      <c r="I1243" s="37"/>
      <c r="J1243" s="35"/>
    </row>
    <row r="1244" spans="9:10" x14ac:dyDescent="0.25">
      <c r="I1244" s="37"/>
      <c r="J1244" s="35"/>
    </row>
    <row r="1245" spans="9:10" x14ac:dyDescent="0.25">
      <c r="I1245" s="37"/>
      <c r="J1245" s="35"/>
    </row>
    <row r="1246" spans="9:10" x14ac:dyDescent="0.25">
      <c r="I1246" s="37"/>
      <c r="J1246" s="35"/>
    </row>
    <row r="1247" spans="9:10" x14ac:dyDescent="0.25">
      <c r="I1247" s="37"/>
      <c r="J1247" s="35"/>
    </row>
    <row r="1248" spans="9:10" x14ac:dyDescent="0.25">
      <c r="I1248" s="37"/>
      <c r="J1248" s="35"/>
    </row>
    <row r="1249" spans="9:10" x14ac:dyDescent="0.25">
      <c r="I1249" s="37"/>
      <c r="J1249" s="35"/>
    </row>
    <row r="1250" spans="9:10" x14ac:dyDescent="0.25">
      <c r="I1250" s="37"/>
      <c r="J1250" s="35"/>
    </row>
    <row r="1251" spans="9:10" x14ac:dyDescent="0.25">
      <c r="I1251" s="37"/>
      <c r="J1251" s="35"/>
    </row>
    <row r="1252" spans="9:10" x14ac:dyDescent="0.25">
      <c r="I1252" s="37"/>
      <c r="J1252" s="35"/>
    </row>
    <row r="1253" spans="9:10" x14ac:dyDescent="0.25">
      <c r="I1253" s="37"/>
      <c r="J1253" s="35"/>
    </row>
    <row r="1254" spans="9:10" x14ac:dyDescent="0.25">
      <c r="I1254" s="37"/>
      <c r="J1254" s="35"/>
    </row>
    <row r="1255" spans="9:10" x14ac:dyDescent="0.25">
      <c r="I1255" s="37"/>
      <c r="J1255" s="35"/>
    </row>
    <row r="1256" spans="9:10" x14ac:dyDescent="0.25">
      <c r="I1256" s="37"/>
      <c r="J1256" s="35"/>
    </row>
    <row r="1257" spans="9:10" x14ac:dyDescent="0.25">
      <c r="I1257" s="37"/>
      <c r="J1257" s="35"/>
    </row>
    <row r="1258" spans="9:10" x14ac:dyDescent="0.25">
      <c r="I1258" s="37"/>
      <c r="J1258" s="35"/>
    </row>
    <row r="1259" spans="9:10" x14ac:dyDescent="0.25">
      <c r="I1259" s="37"/>
      <c r="J1259" s="35"/>
    </row>
    <row r="1260" spans="9:10" x14ac:dyDescent="0.25">
      <c r="I1260" s="37"/>
      <c r="J1260" s="35"/>
    </row>
    <row r="1261" spans="9:10" x14ac:dyDescent="0.25">
      <c r="I1261" s="37"/>
      <c r="J1261" s="35"/>
    </row>
    <row r="1262" spans="9:10" x14ac:dyDescent="0.25">
      <c r="I1262" s="37"/>
      <c r="J1262" s="35"/>
    </row>
    <row r="1263" spans="9:10" x14ac:dyDescent="0.25">
      <c r="I1263" s="37"/>
      <c r="J1263" s="35"/>
    </row>
    <row r="1264" spans="9:10" x14ac:dyDescent="0.25">
      <c r="I1264" s="37"/>
      <c r="J1264" s="35"/>
    </row>
    <row r="1265" spans="9:10" x14ac:dyDescent="0.25">
      <c r="I1265" s="37"/>
      <c r="J1265" s="35"/>
    </row>
    <row r="1266" spans="9:10" x14ac:dyDescent="0.25">
      <c r="I1266" s="37"/>
      <c r="J1266" s="35"/>
    </row>
    <row r="1267" spans="9:10" x14ac:dyDescent="0.25">
      <c r="I1267" s="37"/>
      <c r="J1267" s="35"/>
    </row>
    <row r="1268" spans="9:10" x14ac:dyDescent="0.25">
      <c r="I1268" s="37"/>
      <c r="J1268" s="35"/>
    </row>
    <row r="1269" spans="9:10" x14ac:dyDescent="0.25">
      <c r="I1269" s="37"/>
      <c r="J1269" s="35"/>
    </row>
    <row r="1270" spans="9:10" x14ac:dyDescent="0.25">
      <c r="I1270" s="37"/>
      <c r="J1270" s="35"/>
    </row>
    <row r="1271" spans="9:10" x14ac:dyDescent="0.25">
      <c r="I1271" s="37"/>
      <c r="J1271" s="35"/>
    </row>
    <row r="1272" spans="9:10" x14ac:dyDescent="0.25">
      <c r="I1272" s="37"/>
      <c r="J1272" s="35"/>
    </row>
    <row r="1273" spans="9:10" x14ac:dyDescent="0.25">
      <c r="I1273" s="37"/>
      <c r="J1273" s="35"/>
    </row>
    <row r="1274" spans="9:10" x14ac:dyDescent="0.25">
      <c r="I1274" s="37"/>
      <c r="J1274" s="35"/>
    </row>
    <row r="1275" spans="9:10" x14ac:dyDescent="0.25">
      <c r="I1275" s="37"/>
      <c r="J1275" s="35"/>
    </row>
    <row r="1276" spans="9:10" x14ac:dyDescent="0.25">
      <c r="I1276" s="37"/>
      <c r="J1276" s="35"/>
    </row>
    <row r="1277" spans="9:10" x14ac:dyDescent="0.25">
      <c r="I1277" s="37"/>
      <c r="J1277" s="35"/>
    </row>
    <row r="1278" spans="9:10" x14ac:dyDescent="0.25">
      <c r="I1278" s="37"/>
      <c r="J1278" s="35"/>
    </row>
    <row r="1279" spans="9:10" x14ac:dyDescent="0.25">
      <c r="I1279" s="37"/>
      <c r="J1279" s="35"/>
    </row>
    <row r="1280" spans="9:10" x14ac:dyDescent="0.25">
      <c r="I1280" s="37"/>
      <c r="J1280" s="35"/>
    </row>
    <row r="1281" spans="9:10" x14ac:dyDescent="0.25">
      <c r="I1281" s="37"/>
      <c r="J1281" s="35"/>
    </row>
    <row r="1282" spans="9:10" x14ac:dyDescent="0.25">
      <c r="I1282" s="37"/>
      <c r="J1282" s="35"/>
    </row>
    <row r="1283" spans="9:10" x14ac:dyDescent="0.25">
      <c r="I1283" s="37"/>
      <c r="J1283" s="35"/>
    </row>
    <row r="1284" spans="9:10" x14ac:dyDescent="0.25">
      <c r="I1284" s="37"/>
      <c r="J1284" s="35"/>
    </row>
    <row r="1285" spans="9:10" x14ac:dyDescent="0.25">
      <c r="I1285" s="37"/>
      <c r="J1285" s="35"/>
    </row>
    <row r="1286" spans="9:10" x14ac:dyDescent="0.25">
      <c r="I1286" s="37"/>
      <c r="J1286" s="35"/>
    </row>
    <row r="1287" spans="9:10" x14ac:dyDescent="0.25">
      <c r="I1287" s="37"/>
      <c r="J1287" s="35"/>
    </row>
    <row r="1288" spans="9:10" x14ac:dyDescent="0.25">
      <c r="I1288" s="37"/>
      <c r="J1288" s="35"/>
    </row>
    <row r="1289" spans="9:10" x14ac:dyDescent="0.25">
      <c r="I1289" s="37"/>
      <c r="J1289" s="35"/>
    </row>
    <row r="1290" spans="9:10" x14ac:dyDescent="0.25">
      <c r="I1290" s="37"/>
      <c r="J1290" s="35"/>
    </row>
    <row r="1291" spans="9:10" x14ac:dyDescent="0.25">
      <c r="I1291" s="37"/>
      <c r="J1291" s="35"/>
    </row>
    <row r="1292" spans="9:10" x14ac:dyDescent="0.25">
      <c r="I1292" s="37"/>
      <c r="J1292" s="35"/>
    </row>
    <row r="1293" spans="9:10" x14ac:dyDescent="0.25">
      <c r="I1293" s="37"/>
      <c r="J1293" s="35"/>
    </row>
    <row r="1294" spans="9:10" x14ac:dyDescent="0.25">
      <c r="I1294" s="37"/>
      <c r="J1294" s="35"/>
    </row>
    <row r="1295" spans="9:10" x14ac:dyDescent="0.25">
      <c r="I1295" s="37"/>
      <c r="J1295" s="35"/>
    </row>
    <row r="1296" spans="9:10" x14ac:dyDescent="0.25">
      <c r="I1296" s="37"/>
      <c r="J1296" s="35"/>
    </row>
    <row r="1297" spans="9:10" x14ac:dyDescent="0.25">
      <c r="I1297" s="37"/>
      <c r="J1297" s="35"/>
    </row>
    <row r="1298" spans="9:10" x14ac:dyDescent="0.25">
      <c r="I1298" s="37"/>
      <c r="J1298" s="35"/>
    </row>
    <row r="1299" spans="9:10" x14ac:dyDescent="0.25">
      <c r="I1299" s="37"/>
      <c r="J1299" s="35"/>
    </row>
    <row r="1300" spans="9:10" x14ac:dyDescent="0.25">
      <c r="I1300" s="37"/>
      <c r="J1300" s="35"/>
    </row>
    <row r="1301" spans="9:10" x14ac:dyDescent="0.25">
      <c r="I1301" s="37"/>
      <c r="J1301" s="35"/>
    </row>
    <row r="1302" spans="9:10" x14ac:dyDescent="0.25">
      <c r="I1302" s="37"/>
      <c r="J1302" s="35"/>
    </row>
    <row r="1303" spans="9:10" x14ac:dyDescent="0.25">
      <c r="I1303" s="37"/>
      <c r="J1303" s="35"/>
    </row>
    <row r="1304" spans="9:10" x14ac:dyDescent="0.25">
      <c r="I1304" s="37"/>
      <c r="J1304" s="35"/>
    </row>
    <row r="1305" spans="9:10" x14ac:dyDescent="0.25">
      <c r="I1305" s="37"/>
      <c r="J1305" s="35"/>
    </row>
    <row r="1306" spans="9:10" x14ac:dyDescent="0.25">
      <c r="I1306" s="37"/>
      <c r="J1306" s="35"/>
    </row>
    <row r="1307" spans="9:10" x14ac:dyDescent="0.25">
      <c r="I1307" s="37"/>
      <c r="J1307" s="35"/>
    </row>
    <row r="1308" spans="9:10" x14ac:dyDescent="0.25">
      <c r="I1308" s="37"/>
      <c r="J1308" s="35"/>
    </row>
    <row r="1309" spans="9:10" x14ac:dyDescent="0.25">
      <c r="I1309" s="37"/>
      <c r="J1309" s="35"/>
    </row>
    <row r="1310" spans="9:10" x14ac:dyDescent="0.25">
      <c r="I1310" s="37"/>
      <c r="J1310" s="35"/>
    </row>
    <row r="1311" spans="9:10" x14ac:dyDescent="0.25">
      <c r="I1311" s="37"/>
      <c r="J1311" s="35"/>
    </row>
    <row r="1312" spans="9:10" x14ac:dyDescent="0.25">
      <c r="I1312" s="37"/>
      <c r="J1312" s="35"/>
    </row>
    <row r="1313" spans="9:10" x14ac:dyDescent="0.25">
      <c r="I1313" s="37"/>
      <c r="J1313" s="35"/>
    </row>
    <row r="1314" spans="9:10" x14ac:dyDescent="0.25">
      <c r="I1314" s="37"/>
      <c r="J1314" s="35"/>
    </row>
    <row r="1315" spans="9:10" x14ac:dyDescent="0.25">
      <c r="I1315" s="37"/>
      <c r="J1315" s="35"/>
    </row>
    <row r="1316" spans="9:10" x14ac:dyDescent="0.25">
      <c r="I1316" s="37"/>
      <c r="J1316" s="35"/>
    </row>
    <row r="1317" spans="9:10" x14ac:dyDescent="0.25">
      <c r="I1317" s="37"/>
      <c r="J1317" s="35"/>
    </row>
    <row r="1318" spans="9:10" x14ac:dyDescent="0.25">
      <c r="I1318" s="37"/>
      <c r="J1318" s="35"/>
    </row>
    <row r="1319" spans="9:10" x14ac:dyDescent="0.25">
      <c r="I1319" s="37"/>
      <c r="J1319" s="35"/>
    </row>
    <row r="1320" spans="9:10" x14ac:dyDescent="0.25">
      <c r="I1320" s="37"/>
      <c r="J1320" s="35"/>
    </row>
    <row r="1321" spans="9:10" x14ac:dyDescent="0.25">
      <c r="I1321" s="37"/>
      <c r="J1321" s="35"/>
    </row>
    <row r="1322" spans="9:10" x14ac:dyDescent="0.25">
      <c r="I1322" s="37"/>
      <c r="J1322" s="35"/>
    </row>
    <row r="1323" spans="9:10" x14ac:dyDescent="0.25">
      <c r="I1323" s="37"/>
      <c r="J1323" s="35"/>
    </row>
    <row r="1324" spans="9:10" x14ac:dyDescent="0.25">
      <c r="I1324" s="37"/>
      <c r="J1324" s="35"/>
    </row>
    <row r="1325" spans="9:10" x14ac:dyDescent="0.25">
      <c r="I1325" s="37"/>
      <c r="J1325" s="35"/>
    </row>
    <row r="1326" spans="9:10" x14ac:dyDescent="0.25">
      <c r="I1326" s="37"/>
      <c r="J1326" s="35"/>
    </row>
    <row r="1327" spans="9:10" x14ac:dyDescent="0.25">
      <c r="I1327" s="37"/>
      <c r="J1327" s="35"/>
    </row>
    <row r="1328" spans="9:10" x14ac:dyDescent="0.25">
      <c r="I1328" s="37"/>
      <c r="J1328" s="35"/>
    </row>
    <row r="1329" spans="9:10" x14ac:dyDescent="0.25">
      <c r="I1329" s="37"/>
      <c r="J1329" s="35"/>
    </row>
    <row r="1330" spans="9:10" x14ac:dyDescent="0.25">
      <c r="I1330" s="37"/>
      <c r="J1330" s="35"/>
    </row>
    <row r="1331" spans="9:10" x14ac:dyDescent="0.25">
      <c r="I1331" s="37"/>
      <c r="J1331" s="35"/>
    </row>
    <row r="1332" spans="9:10" x14ac:dyDescent="0.25">
      <c r="I1332" s="37"/>
      <c r="J1332" s="35"/>
    </row>
    <row r="1333" spans="9:10" x14ac:dyDescent="0.25">
      <c r="I1333" s="37"/>
      <c r="J1333" s="35"/>
    </row>
    <row r="1334" spans="9:10" x14ac:dyDescent="0.25">
      <c r="I1334" s="37"/>
      <c r="J1334" s="35"/>
    </row>
  </sheetData>
  <mergeCells count="18">
    <mergeCell ref="T2:U2"/>
    <mergeCell ref="J2:K2"/>
    <mergeCell ref="L2:M2"/>
    <mergeCell ref="N2:O2"/>
    <mergeCell ref="P2:Q2"/>
    <mergeCell ref="R2:S2"/>
    <mergeCell ref="T29:U29"/>
    <mergeCell ref="J16:K16"/>
    <mergeCell ref="L16:M16"/>
    <mergeCell ref="N16:O16"/>
    <mergeCell ref="P16:Q16"/>
    <mergeCell ref="R16:S16"/>
    <mergeCell ref="T16:U16"/>
    <mergeCell ref="J29:K29"/>
    <mergeCell ref="L29:M29"/>
    <mergeCell ref="N29:O29"/>
    <mergeCell ref="P29:Q29"/>
    <mergeCell ref="R29:S29"/>
  </mergeCells>
  <conditionalFormatting sqref="AE3:AI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:AI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0:AI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D4B01-3CE2-42CC-B2D9-AB7BC3E96C2E}">
  <dimension ref="A1:AQ1334"/>
  <sheetViews>
    <sheetView showGridLines="0" zoomScale="85" zoomScaleNormal="85" workbookViewId="0">
      <selection activeCell="I8" sqref="I8"/>
    </sheetView>
  </sheetViews>
  <sheetFormatPr defaultRowHeight="15" outlineLevelRow="1" outlineLevelCol="1" x14ac:dyDescent="0.25"/>
  <cols>
    <col min="1" max="1" width="2.5703125" customWidth="1"/>
    <col min="2" max="2" width="9.140625" customWidth="1"/>
    <col min="3" max="3" width="16.28515625" bestFit="1" customWidth="1"/>
    <col min="4" max="4" width="15.28515625" bestFit="1" customWidth="1"/>
    <col min="5" max="5" width="2.5703125" customWidth="1"/>
    <col min="6" max="6" width="18.140625" bestFit="1" customWidth="1"/>
    <col min="7" max="7" width="2.5703125" customWidth="1"/>
    <col min="8" max="8" width="25.140625" bestFit="1" customWidth="1"/>
    <col min="9" max="9" width="24.28515625" style="11" customWidth="1" outlineLevel="1"/>
    <col min="10" max="10" width="9.42578125" style="6" customWidth="1"/>
    <col min="11" max="11" width="19" style="11" hidden="1" customWidth="1" outlineLevel="1"/>
    <col min="12" max="12" width="9.28515625" style="6" customWidth="1" collapsed="1"/>
    <col min="13" max="13" width="19.5703125" style="11" hidden="1" customWidth="1" outlineLevel="1"/>
    <col min="14" max="14" width="10.42578125" style="6" customWidth="1" collapsed="1"/>
    <col min="15" max="15" width="17.85546875" style="11" hidden="1" customWidth="1" outlineLevel="1"/>
    <col min="16" max="16" width="8.5703125" style="6" bestFit="1" customWidth="1" collapsed="1"/>
    <col min="17" max="17" width="18" style="11" hidden="1" customWidth="1" outlineLevel="1"/>
    <col min="18" max="18" width="11.42578125" style="5" customWidth="1" collapsed="1"/>
    <col min="19" max="19" width="19.5703125" style="10" hidden="1" customWidth="1" outlineLevel="1"/>
    <col min="20" max="20" width="8.140625" style="10" bestFit="1" customWidth="1" collapsed="1"/>
    <col min="21" max="21" width="19.5703125" style="10" hidden="1" customWidth="1" outlineLevel="1"/>
    <col min="22" max="22" width="2.5703125" customWidth="1" collapsed="1"/>
    <col min="23" max="24" width="7.140625" hidden="1" customWidth="1" outlineLevel="1"/>
    <col min="25" max="25" width="17.85546875" bestFit="1" customWidth="1" collapsed="1"/>
    <col min="26" max="27" width="17.85546875" bestFit="1" customWidth="1"/>
    <col min="28" max="28" width="16.140625" bestFit="1" customWidth="1"/>
    <col min="29" max="29" width="15.140625" bestFit="1" customWidth="1"/>
    <col min="30" max="30" width="2.5703125" customWidth="1"/>
    <col min="31" max="31" width="7.85546875" bestFit="1" customWidth="1"/>
    <col min="32" max="32" width="11.140625" bestFit="1" customWidth="1"/>
    <col min="33" max="33" width="13.28515625" bestFit="1" customWidth="1"/>
    <col min="34" max="34" width="7.85546875" bestFit="1" customWidth="1"/>
    <col min="35" max="35" width="8.140625" bestFit="1" customWidth="1"/>
    <col min="36" max="36" width="2.5703125" customWidth="1"/>
    <col min="37" max="37" width="17.85546875" bestFit="1" customWidth="1"/>
    <col min="38" max="38" width="8.140625" bestFit="1" customWidth="1"/>
    <col min="39" max="39" width="2.5703125" customWidth="1"/>
    <col min="41" max="41" width="16.28515625" bestFit="1" customWidth="1"/>
  </cols>
  <sheetData>
    <row r="1" spans="1:43" ht="9" customHeight="1" x14ac:dyDescent="0.25"/>
    <row r="2" spans="1:43" x14ac:dyDescent="0.25">
      <c r="B2" s="1"/>
      <c r="C2" s="1" t="s">
        <v>20</v>
      </c>
      <c r="D2" s="1"/>
      <c r="H2" s="4" t="s">
        <v>1</v>
      </c>
      <c r="I2" s="9" t="s">
        <v>4</v>
      </c>
      <c r="J2" s="112" t="s">
        <v>7</v>
      </c>
      <c r="K2" s="112"/>
      <c r="L2" s="112" t="s">
        <v>8</v>
      </c>
      <c r="M2" s="112"/>
      <c r="N2" s="112" t="s">
        <v>10</v>
      </c>
      <c r="O2" s="112"/>
      <c r="P2" s="112" t="s">
        <v>9</v>
      </c>
      <c r="Q2" s="112"/>
      <c r="R2" s="112" t="s">
        <v>21</v>
      </c>
      <c r="S2" s="112"/>
      <c r="T2" s="112" t="s">
        <v>55</v>
      </c>
      <c r="U2" s="112"/>
      <c r="W2" s="1" t="s">
        <v>46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27" t="s">
        <v>49</v>
      </c>
      <c r="AF2" s="27" t="s">
        <v>50</v>
      </c>
      <c r="AG2" s="27" t="s">
        <v>51</v>
      </c>
      <c r="AH2" s="27" t="s">
        <v>52</v>
      </c>
      <c r="AI2" s="27" t="s">
        <v>53</v>
      </c>
      <c r="AK2" s="75" t="s">
        <v>60</v>
      </c>
      <c r="AL2" s="75" t="s">
        <v>61</v>
      </c>
      <c r="AN2" s="1"/>
      <c r="AO2" s="1" t="s">
        <v>20</v>
      </c>
      <c r="AP2" s="1"/>
    </row>
    <row r="3" spans="1:43" x14ac:dyDescent="0.25">
      <c r="A3" s="98"/>
      <c r="B3" t="s">
        <v>11</v>
      </c>
      <c r="C3" s="2" t="s">
        <v>10</v>
      </c>
      <c r="D3" t="s">
        <v>7</v>
      </c>
      <c r="E3" s="98"/>
      <c r="F3" s="7">
        <f>J3+L3+N3+P3+R3+T3</f>
        <v>1</v>
      </c>
      <c r="G3" s="99"/>
      <c r="H3" s="97" t="s">
        <v>5</v>
      </c>
      <c r="I3" s="80">
        <v>526160849.30000001</v>
      </c>
      <c r="J3" s="81">
        <f>48.08%+4.65%</f>
        <v>0.52729999999999999</v>
      </c>
      <c r="K3" s="80">
        <f t="shared" ref="K3:K13" si="0">+J3*$I3</f>
        <v>277444615.83589</v>
      </c>
      <c r="L3" s="81">
        <f>4.81%+3%+7.44%+7.62%</f>
        <v>0.22870000000000001</v>
      </c>
      <c r="M3" s="80">
        <f t="shared" ref="M3:M13" si="1">+L3*$I3</f>
        <v>120332986.23491001</v>
      </c>
      <c r="N3" s="81">
        <f>20.7%+0.56%</f>
        <v>0.21259999999999998</v>
      </c>
      <c r="O3" s="80">
        <f t="shared" ref="O3:O13" si="2">+N3*$I3</f>
        <v>111861796.56118</v>
      </c>
      <c r="P3" s="81">
        <v>3.2599999999999997E-2</v>
      </c>
      <c r="Q3" s="80">
        <f t="shared" ref="Q3:Q13" si="3">+P3*$I3</f>
        <v>17152843.687179998</v>
      </c>
      <c r="R3" s="82"/>
      <c r="S3" s="80">
        <f t="shared" ref="S3:S13" si="4">+R3*$I3</f>
        <v>0</v>
      </c>
      <c r="T3" s="81">
        <v>-1.1999999999999999E-3</v>
      </c>
      <c r="U3" s="65">
        <f t="shared" ref="U3:U13" si="5">+T3*$I3</f>
        <v>-631393.01915999991</v>
      </c>
      <c r="V3" s="98"/>
      <c r="Y3" s="12">
        <f>K3-'Nov24'!K3</f>
        <v>20343219.042329997</v>
      </c>
      <c r="Z3" s="12">
        <f>M3-'Nov24'!M3</f>
        <v>-6185290.0528299659</v>
      </c>
      <c r="AA3" s="12">
        <f>O3-'Nov24'!O3</f>
        <v>-3986263.6541000009</v>
      </c>
      <c r="AB3" s="12">
        <f>Q3-'Nov24'!Q3</f>
        <v>385361.28759999759</v>
      </c>
      <c r="AC3" s="12">
        <f>+S3-'Nov24'!S3</f>
        <v>0</v>
      </c>
      <c r="AD3" s="98"/>
      <c r="AE3" s="28">
        <f>J3-'Nov24'!J3</f>
        <v>2.1299999999999986E-2</v>
      </c>
      <c r="AF3" s="28">
        <f>L3-'Nov24'!L3</f>
        <v>-2.0299999999999957E-2</v>
      </c>
      <c r="AG3" s="28">
        <f>N3-'Nov24'!N3</f>
        <v>-1.5400000000000025E-2</v>
      </c>
      <c r="AH3" s="28">
        <f>P3-'Nov24'!P3</f>
        <v>-4.0000000000000452E-4</v>
      </c>
      <c r="AI3" s="28">
        <f>R3-'Nov24'!R3</f>
        <v>0</v>
      </c>
      <c r="AJ3" s="98"/>
      <c r="AK3" s="10">
        <f>I3-'Nov24'!I3</f>
        <v>18055322.040000021</v>
      </c>
      <c r="AL3" s="76">
        <f>I3/'Nov24'!I3-1</f>
        <v>3.5534590889740647E-2</v>
      </c>
      <c r="AM3" s="98"/>
      <c r="AN3" t="s">
        <v>11</v>
      </c>
      <c r="AO3" s="2" t="s">
        <v>10</v>
      </c>
      <c r="AP3" t="s">
        <v>7</v>
      </c>
      <c r="AQ3" s="98"/>
    </row>
    <row r="4" spans="1:43" x14ac:dyDescent="0.25">
      <c r="B4" t="s">
        <v>12</v>
      </c>
      <c r="C4" s="2" t="s">
        <v>16</v>
      </c>
      <c r="D4" t="s">
        <v>58</v>
      </c>
      <c r="F4" s="7">
        <f t="shared" ref="F4:F36" si="6">J4+L4+N4+P4+R4+T4</f>
        <v>1.0000000000000002</v>
      </c>
      <c r="H4" s="3" t="s">
        <v>0</v>
      </c>
      <c r="I4" s="78">
        <v>1586122246.4300001</v>
      </c>
      <c r="J4" s="77">
        <v>0.39</v>
      </c>
      <c r="K4" s="78">
        <f t="shared" si="0"/>
        <v>618587676.10769999</v>
      </c>
      <c r="L4" s="77">
        <v>0.18</v>
      </c>
      <c r="M4" s="78">
        <f t="shared" si="1"/>
        <v>285502004.3574</v>
      </c>
      <c r="N4" s="77">
        <v>0.32</v>
      </c>
      <c r="O4" s="78">
        <f t="shared" si="2"/>
        <v>507559118.85760003</v>
      </c>
      <c r="P4" s="77">
        <v>0.11</v>
      </c>
      <c r="Q4" s="78">
        <f t="shared" si="3"/>
        <v>174473447.10730001</v>
      </c>
      <c r="R4" s="77"/>
      <c r="S4" s="78">
        <f t="shared" si="4"/>
        <v>0</v>
      </c>
      <c r="T4" s="77"/>
      <c r="U4" s="57">
        <f t="shared" si="5"/>
        <v>0</v>
      </c>
      <c r="Y4" s="12">
        <f>K4-'Nov24'!K4</f>
        <v>-26014641.232299924</v>
      </c>
      <c r="Z4" s="12">
        <f>M4-'Nov24'!M4</f>
        <v>33949880.517399937</v>
      </c>
      <c r="AA4" s="12">
        <f>O4-'Nov24'!O4</f>
        <v>-26989144.302399993</v>
      </c>
      <c r="AB4" s="12">
        <f>Q4-'Nov24'!Q4</f>
        <v>32975377.447300017</v>
      </c>
      <c r="AC4" s="12">
        <f>+S4-'Nov24'!S4</f>
        <v>0</v>
      </c>
      <c r="AE4" s="28">
        <f>J4-'Nov24'!J4</f>
        <v>-1.9999999999999962E-2</v>
      </c>
      <c r="AF4" s="28">
        <f>L4-'Nov24'!L4</f>
        <v>1.9999999999999962E-2</v>
      </c>
      <c r="AG4" s="28">
        <f>N4-'Nov24'!N4</f>
        <v>-2.0000000000000018E-2</v>
      </c>
      <c r="AH4" s="28">
        <f>P4-'Nov24'!P4</f>
        <v>2.0000000000000004E-2</v>
      </c>
      <c r="AI4" s="28">
        <f>R4-'Nov24'!R4</f>
        <v>0</v>
      </c>
      <c r="AJ4" s="93"/>
      <c r="AK4" s="10">
        <f>I4-'Nov24'!I4</f>
        <v>13921472.430000067</v>
      </c>
      <c r="AL4" s="76">
        <f>I4/'Nov24'!I4-1</f>
        <v>8.8547675718164687E-3</v>
      </c>
      <c r="AN4" t="s">
        <v>12</v>
      </c>
      <c r="AO4" s="2" t="s">
        <v>16</v>
      </c>
      <c r="AP4" t="s">
        <v>58</v>
      </c>
    </row>
    <row r="5" spans="1:43" x14ac:dyDescent="0.25">
      <c r="B5" t="s">
        <v>13</v>
      </c>
      <c r="C5" s="2" t="s">
        <v>17</v>
      </c>
      <c r="D5" t="s">
        <v>59</v>
      </c>
      <c r="F5" s="7">
        <f>J5+L5+N5+P5+R5+T5</f>
        <v>1</v>
      </c>
      <c r="H5" s="3" t="s">
        <v>3</v>
      </c>
      <c r="I5" s="78">
        <v>404527703.00999999</v>
      </c>
      <c r="J5" s="77">
        <v>0.52</v>
      </c>
      <c r="K5" s="78">
        <f t="shared" si="0"/>
        <v>210354405.5652</v>
      </c>
      <c r="L5" s="77">
        <v>0.02</v>
      </c>
      <c r="M5" s="78">
        <f t="shared" si="1"/>
        <v>8090554.0602000002</v>
      </c>
      <c r="N5" s="77">
        <f>27%</f>
        <v>0.27</v>
      </c>
      <c r="O5" s="78">
        <f t="shared" si="2"/>
        <v>109222479.8127</v>
      </c>
      <c r="P5" s="77">
        <v>0.01</v>
      </c>
      <c r="Q5" s="78">
        <f t="shared" si="3"/>
        <v>4045277.0301000001</v>
      </c>
      <c r="R5" s="77">
        <v>0.18</v>
      </c>
      <c r="S5" s="78">
        <f t="shared" si="4"/>
        <v>72814986.541799992</v>
      </c>
      <c r="T5" s="77"/>
      <c r="U5" s="57">
        <f t="shared" si="5"/>
        <v>0</v>
      </c>
      <c r="Y5" s="12">
        <f>K5-'Nov24'!K5</f>
        <v>3916798.5062000155</v>
      </c>
      <c r="Z5" s="12">
        <f>M5-'Nov24'!M5</f>
        <v>8090554.0602000002</v>
      </c>
      <c r="AA5" s="12">
        <f>O5-'Nov24'!O5</f>
        <v>-16435194.0493</v>
      </c>
      <c r="AB5" s="12">
        <f>Q5-'Nov24'!Q5</f>
        <v>-18393593.3024</v>
      </c>
      <c r="AC5" s="12">
        <f>+S5-'Nov24'!S5</f>
        <v>-7964946.6552000046</v>
      </c>
      <c r="AE5" s="28">
        <f>J5-'Nov24'!J5</f>
        <v>0.06</v>
      </c>
      <c r="AF5" s="28">
        <f>L5-'Nov24'!L5</f>
        <v>0.02</v>
      </c>
      <c r="AG5" s="28">
        <f>N5-'Nov24'!N5</f>
        <v>-1.0000000000000009E-2</v>
      </c>
      <c r="AH5" s="28">
        <f>P5-'Nov24'!P5</f>
        <v>-0.04</v>
      </c>
      <c r="AI5" s="28">
        <f>R5-'Nov24'!R5</f>
        <v>0</v>
      </c>
      <c r="AK5" s="10">
        <f>I5-'Nov24'!I5</f>
        <v>-44249703.639999986</v>
      </c>
      <c r="AL5" s="76">
        <f>I5/'Nov24'!I5-1</f>
        <v>-9.860056006453588E-2</v>
      </c>
      <c r="AN5" t="s">
        <v>13</v>
      </c>
      <c r="AO5" s="2" t="s">
        <v>17</v>
      </c>
      <c r="AP5" t="s">
        <v>59</v>
      </c>
    </row>
    <row r="6" spans="1:43" x14ac:dyDescent="0.25">
      <c r="B6" t="s">
        <v>14</v>
      </c>
      <c r="C6" s="2" t="s">
        <v>18</v>
      </c>
      <c r="F6" s="7">
        <f t="shared" si="6"/>
        <v>1</v>
      </c>
      <c r="H6" s="3" t="s">
        <v>62</v>
      </c>
      <c r="I6" s="78">
        <v>4451143798.1499996</v>
      </c>
      <c r="J6" s="77">
        <f>31.3%+2.9%</f>
        <v>0.34199999999999997</v>
      </c>
      <c r="K6" s="78">
        <f t="shared" si="0"/>
        <v>1522291178.9672997</v>
      </c>
      <c r="L6" s="77">
        <f>7.5%+13.6%</f>
        <v>0.21100000000000002</v>
      </c>
      <c r="M6" s="78">
        <f t="shared" si="1"/>
        <v>939191341.40964997</v>
      </c>
      <c r="N6" s="77">
        <f>37.5%+2.2%</f>
        <v>0.39700000000000002</v>
      </c>
      <c r="O6" s="78">
        <f t="shared" si="2"/>
        <v>1767104087.86555</v>
      </c>
      <c r="P6" s="77"/>
      <c r="Q6" s="78">
        <f t="shared" si="3"/>
        <v>0</v>
      </c>
      <c r="R6" s="77"/>
      <c r="S6" s="78">
        <f t="shared" si="4"/>
        <v>0</v>
      </c>
      <c r="T6" s="77">
        <v>0.05</v>
      </c>
      <c r="U6" s="57">
        <f t="shared" si="5"/>
        <v>222557189.9075</v>
      </c>
      <c r="Y6" s="12">
        <f>K6-'Nov24'!K6</f>
        <v>-82638773.876700401</v>
      </c>
      <c r="Z6" s="12">
        <f>M6-'Nov24'!M6</f>
        <v>-150040398.35835016</v>
      </c>
      <c r="AA6" s="12">
        <f>O6-'Nov24'!O6</f>
        <v>-69167119.442450285</v>
      </c>
      <c r="AB6" s="12">
        <f>Q6-'Nov24'!Q6</f>
        <v>0</v>
      </c>
      <c r="AC6" s="12">
        <f>+S6-'Nov24'!S6</f>
        <v>0</v>
      </c>
      <c r="AE6" s="28">
        <f>J6-'Nov24'!J6</f>
        <v>8.9999999999999525E-3</v>
      </c>
      <c r="AF6" s="28">
        <f>L6-'Nov24'!L6</f>
        <v>-1.4999999999999986E-2</v>
      </c>
      <c r="AG6" s="28">
        <f>N6-'Nov24'!N6</f>
        <v>1.5999999999999959E-2</v>
      </c>
      <c r="AH6" s="28">
        <f>P6-'Nov24'!P6</f>
        <v>0</v>
      </c>
      <c r="AI6" s="28">
        <f>R6-'Nov24'!R6</f>
        <v>0</v>
      </c>
      <c r="AK6" s="10">
        <f>I6-'Nov24'!I6</f>
        <v>-368465669.85000038</v>
      </c>
      <c r="AL6" s="76">
        <f>I6/'Nov24'!I6-1</f>
        <v>-7.6451354056058629E-2</v>
      </c>
      <c r="AN6" t="s">
        <v>14</v>
      </c>
      <c r="AO6" s="2" t="s">
        <v>18</v>
      </c>
    </row>
    <row r="7" spans="1:43" x14ac:dyDescent="0.25">
      <c r="B7" t="s">
        <v>15</v>
      </c>
      <c r="C7" s="2" t="s">
        <v>19</v>
      </c>
      <c r="F7" s="7">
        <f t="shared" si="6"/>
        <v>1</v>
      </c>
      <c r="H7" s="3" t="s">
        <v>22</v>
      </c>
      <c r="I7" s="78">
        <v>2781419379.52</v>
      </c>
      <c r="J7" s="77">
        <v>0.26500000000000001</v>
      </c>
      <c r="K7" s="78">
        <f t="shared" si="0"/>
        <v>737076135.57280004</v>
      </c>
      <c r="L7" s="77">
        <v>0.30099999999999999</v>
      </c>
      <c r="M7" s="78">
        <f t="shared" si="1"/>
        <v>837207233.23552001</v>
      </c>
      <c r="N7" s="77">
        <f>38.1%+2.1%</f>
        <v>0.40200000000000002</v>
      </c>
      <c r="O7" s="78">
        <f t="shared" si="2"/>
        <v>1118130590.56704</v>
      </c>
      <c r="P7" s="77">
        <v>0.03</v>
      </c>
      <c r="Q7" s="78">
        <f t="shared" si="3"/>
        <v>83442581.385600001</v>
      </c>
      <c r="R7" s="77"/>
      <c r="S7" s="78">
        <f t="shared" si="4"/>
        <v>0</v>
      </c>
      <c r="T7" s="77">
        <v>2E-3</v>
      </c>
      <c r="U7" s="57">
        <f t="shared" si="5"/>
        <v>5562838.7590399999</v>
      </c>
      <c r="Y7" s="12">
        <f>K7-'Nov24'!K7</f>
        <v>-65670644.42719996</v>
      </c>
      <c r="Z7" s="12">
        <f>M7-'Nov24'!M7</f>
        <v>6874653.2355200052</v>
      </c>
      <c r="AA7" s="12">
        <f>O7-'Nov24'!O7</f>
        <v>14698590.567039967</v>
      </c>
      <c r="AB7" s="12">
        <f>Q7-'Nov24'!Q7</f>
        <v>64132521.385600001</v>
      </c>
      <c r="AC7" s="12">
        <f>+S7-'Nov24'!S7</f>
        <v>0</v>
      </c>
      <c r="AE7" s="28">
        <f>J7-'Nov24'!J7</f>
        <v>-2.5999999999999968E-2</v>
      </c>
      <c r="AF7" s="28">
        <f>L7-'Nov24'!L7</f>
        <v>0</v>
      </c>
      <c r="AG7" s="28">
        <f>N7-'Nov24'!N7</f>
        <v>2.0000000000000018E-3</v>
      </c>
      <c r="AH7" s="28">
        <f>P7-'Nov24'!P7</f>
        <v>2.3E-2</v>
      </c>
      <c r="AI7" s="28">
        <f>R7-'Nov24'!R7</f>
        <v>0</v>
      </c>
      <c r="AK7" s="10">
        <f>I7-'Nov24'!I7</f>
        <v>22839379.519999981</v>
      </c>
      <c r="AL7" s="76">
        <f>I7/'Nov24'!I7-1</f>
        <v>8.2793971971086844E-3</v>
      </c>
      <c r="AN7" t="s">
        <v>15</v>
      </c>
      <c r="AO7" s="2" t="s">
        <v>19</v>
      </c>
    </row>
    <row r="8" spans="1:43" x14ac:dyDescent="0.25">
      <c r="B8" t="s">
        <v>57</v>
      </c>
      <c r="F8" s="7">
        <f t="shared" si="6"/>
        <v>1</v>
      </c>
      <c r="H8" s="3" t="s">
        <v>23</v>
      </c>
      <c r="I8" s="78">
        <v>2665596826.0500002</v>
      </c>
      <c r="J8" s="77">
        <v>0.32</v>
      </c>
      <c r="K8" s="78">
        <f t="shared" si="0"/>
        <v>852990984.33600008</v>
      </c>
      <c r="L8" s="77">
        <v>0.32</v>
      </c>
      <c r="M8" s="78">
        <f t="shared" si="1"/>
        <v>852990984.33600008</v>
      </c>
      <c r="N8" s="77">
        <v>0.25</v>
      </c>
      <c r="O8" s="78">
        <f t="shared" si="2"/>
        <v>666399206.51250005</v>
      </c>
      <c r="P8" s="77">
        <v>7.0000000000000007E-2</v>
      </c>
      <c r="Q8" s="78">
        <f t="shared" si="3"/>
        <v>186591777.82350004</v>
      </c>
      <c r="R8" s="77"/>
      <c r="S8" s="78">
        <f t="shared" si="4"/>
        <v>0</v>
      </c>
      <c r="T8" s="77">
        <v>0.04</v>
      </c>
      <c r="U8" s="57">
        <f t="shared" si="5"/>
        <v>106623873.04200001</v>
      </c>
      <c r="Y8" s="12">
        <f>K8-'Nov24'!K8</f>
        <v>-79529006.173799992</v>
      </c>
      <c r="Z8" s="12">
        <f>M8-'Nov24'!M8</f>
        <v>-107787187.70439994</v>
      </c>
      <c r="AA8" s="12">
        <f>O8-'Nov24'!O8</f>
        <v>44719212.839300036</v>
      </c>
      <c r="AB8" s="12">
        <f>Q8-'Nov24'!Q8</f>
        <v>17042688.639900059</v>
      </c>
      <c r="AC8" s="12">
        <f>+S8-'Nov24'!S8</f>
        <v>0</v>
      </c>
      <c r="AE8" s="28">
        <f>J8-'Nov24'!J8</f>
        <v>-1.0000000000000009E-2</v>
      </c>
      <c r="AF8" s="28">
        <f>L8-'Nov24'!L8</f>
        <v>-2.0000000000000018E-2</v>
      </c>
      <c r="AG8" s="28">
        <f>N8-'Nov24'!N8</f>
        <v>0.03</v>
      </c>
      <c r="AH8" s="28">
        <f>P8-'Nov24'!P8</f>
        <v>1.0000000000000009E-2</v>
      </c>
      <c r="AI8" s="28">
        <f>R8-'Nov24'!R8</f>
        <v>0</v>
      </c>
      <c r="AK8" s="10">
        <f>I8-'Nov24'!I8</f>
        <v>-160221327.00999975</v>
      </c>
      <c r="AL8" s="76">
        <f>I8/'Nov24'!I8-1</f>
        <v>-5.669909326490119E-2</v>
      </c>
      <c r="AN8" t="s">
        <v>57</v>
      </c>
    </row>
    <row r="9" spans="1:43" x14ac:dyDescent="0.25">
      <c r="F9" s="7">
        <f t="shared" si="6"/>
        <v>1</v>
      </c>
      <c r="H9" s="3" t="s">
        <v>24</v>
      </c>
      <c r="I9" s="78">
        <v>1739043120</v>
      </c>
      <c r="J9" s="77">
        <v>0.59340000000000004</v>
      </c>
      <c r="K9" s="78">
        <f t="shared" si="0"/>
        <v>1031948187.4080001</v>
      </c>
      <c r="L9" s="77">
        <v>0.12889999999999999</v>
      </c>
      <c r="M9" s="78">
        <f t="shared" si="1"/>
        <v>224162658.16799998</v>
      </c>
      <c r="N9" s="77">
        <v>0.2293</v>
      </c>
      <c r="O9" s="78">
        <f t="shared" si="2"/>
        <v>398762587.41600001</v>
      </c>
      <c r="P9" s="77">
        <v>4.4499999999999998E-2</v>
      </c>
      <c r="Q9" s="78">
        <f t="shared" si="3"/>
        <v>77387418.840000004</v>
      </c>
      <c r="R9" s="77"/>
      <c r="S9" s="78">
        <f t="shared" si="4"/>
        <v>0</v>
      </c>
      <c r="T9" s="77">
        <v>3.8999999999999998E-3</v>
      </c>
      <c r="U9" s="57">
        <f t="shared" si="5"/>
        <v>6782268.1679999996</v>
      </c>
      <c r="Y9" s="12">
        <f>K9-'Nov24'!K9</f>
        <v>-50589933.970499873</v>
      </c>
      <c r="Z9" s="12">
        <f>M9-'Nov24'!M9</f>
        <v>-5632569.418500036</v>
      </c>
      <c r="AA9" s="12">
        <f>O9-'Nov24'!O9</f>
        <v>-31259299.949999988</v>
      </c>
      <c r="AB9" s="12">
        <f>Q9-'Nov24'!Q9</f>
        <v>-366963.17099998891</v>
      </c>
      <c r="AC9" s="12">
        <f>+S9-'Nov24'!S9</f>
        <v>0</v>
      </c>
      <c r="AE9" s="28">
        <f>J9-'Nov24'!J9</f>
        <v>3.0000000000007798E-4</v>
      </c>
      <c r="AF9" s="28">
        <f>L9-'Nov24'!L9</f>
        <v>2.9999999999999749E-3</v>
      </c>
      <c r="AG9" s="28">
        <f>N9-'Nov24'!N9</f>
        <v>-6.3E-3</v>
      </c>
      <c r="AH9" s="28">
        <f>P9-'Nov24'!P9</f>
        <v>1.8999999999999989E-3</v>
      </c>
      <c r="AI9" s="28">
        <f>R9-'Nov24'!R9</f>
        <v>0</v>
      </c>
      <c r="AK9" s="10">
        <f>I9-'Nov24'!I9</f>
        <v>-86177115</v>
      </c>
      <c r="AL9" s="76">
        <f>I9/'Nov24'!I9-1</f>
        <v>-4.7214639278859383E-2</v>
      </c>
    </row>
    <row r="10" spans="1:43" x14ac:dyDescent="0.25">
      <c r="F10" s="7">
        <f t="shared" si="6"/>
        <v>1</v>
      </c>
      <c r="H10" s="3" t="s">
        <v>73</v>
      </c>
      <c r="I10" s="78">
        <v>7639176703.8100004</v>
      </c>
      <c r="J10" s="77">
        <v>0.39900000000000002</v>
      </c>
      <c r="K10" s="78">
        <f t="shared" si="0"/>
        <v>3048031504.8201904</v>
      </c>
      <c r="L10" s="77">
        <v>0.38200000000000001</v>
      </c>
      <c r="M10" s="78">
        <f t="shared" si="1"/>
        <v>2918165500.8554201</v>
      </c>
      <c r="N10" s="77">
        <v>0.214</v>
      </c>
      <c r="O10" s="78">
        <f t="shared" si="2"/>
        <v>1634783814.61534</v>
      </c>
      <c r="P10" s="77"/>
      <c r="Q10" s="78">
        <f t="shared" si="3"/>
        <v>0</v>
      </c>
      <c r="R10" s="77"/>
      <c r="S10" s="78">
        <f t="shared" si="4"/>
        <v>0</v>
      </c>
      <c r="T10" s="77">
        <v>5.0000000000000001E-3</v>
      </c>
      <c r="U10" s="57">
        <f t="shared" si="5"/>
        <v>38195883.519050002</v>
      </c>
      <c r="Y10" s="12">
        <f>K10-'Nov24'!K10</f>
        <v>-119658709.08400965</v>
      </c>
      <c r="Z10" s="12">
        <f>M10-'Nov24'!M10</f>
        <v>-34244795.59897995</v>
      </c>
      <c r="AA10" s="12">
        <f>O10-'Nov24'!O10</f>
        <v>289284330.55409002</v>
      </c>
      <c r="AB10" s="12">
        <f>Q10-'Nov24'!Q10</f>
        <v>-192214212.00875002</v>
      </c>
      <c r="AC10" s="12">
        <f>+S10-'Nov24'!S10</f>
        <v>0</v>
      </c>
      <c r="AE10" s="28">
        <f>J10-'Nov24'!J10</f>
        <v>-1.2999999999999956E-2</v>
      </c>
      <c r="AF10" s="28">
        <f>L10-'Nov24'!L10</f>
        <v>-2.0000000000000018E-3</v>
      </c>
      <c r="AG10" s="28">
        <f>N10-'Nov24'!N10</f>
        <v>3.9000000000000007E-2</v>
      </c>
      <c r="AH10" s="28">
        <f>P10-'Nov24'!P10</f>
        <v>-2.5000000000000001E-2</v>
      </c>
      <c r="AI10" s="28">
        <f>R10-'Nov24'!R10</f>
        <v>0</v>
      </c>
      <c r="AJ10" s="93"/>
      <c r="AK10" s="10">
        <f>I10-'Nov24'!I10</f>
        <v>-49391776.539999962</v>
      </c>
      <c r="AL10" s="76">
        <f>I10/'Nov24'!I10-1</f>
        <v>-6.4240536669775139E-3</v>
      </c>
    </row>
    <row r="11" spans="1:43" x14ac:dyDescent="0.25">
      <c r="F11" s="7">
        <f t="shared" si="6"/>
        <v>1</v>
      </c>
      <c r="H11" s="3" t="s">
        <v>47</v>
      </c>
      <c r="I11" s="78">
        <v>2858930272.1999998</v>
      </c>
      <c r="J11" s="77">
        <v>0.7833</v>
      </c>
      <c r="K11" s="78">
        <f t="shared" si="0"/>
        <v>2239400082.2142596</v>
      </c>
      <c r="L11" s="77">
        <v>6.54E-2</v>
      </c>
      <c r="M11" s="78">
        <f t="shared" si="1"/>
        <v>186974039.80187997</v>
      </c>
      <c r="N11" s="77">
        <v>9.0499999999999997E-2</v>
      </c>
      <c r="O11" s="78">
        <f t="shared" si="2"/>
        <v>258733189.63409996</v>
      </c>
      <c r="P11" s="77"/>
      <c r="Q11" s="78">
        <f t="shared" si="3"/>
        <v>0</v>
      </c>
      <c r="R11" s="77"/>
      <c r="S11" s="78">
        <f t="shared" si="4"/>
        <v>0</v>
      </c>
      <c r="T11" s="77">
        <f>0.8%+5.28%</f>
        <v>6.08E-2</v>
      </c>
      <c r="U11" s="57">
        <f t="shared" si="5"/>
        <v>173822960.54975998</v>
      </c>
      <c r="Y11" s="12">
        <f>K11-'Nov24'!K11</f>
        <v>-3.1332015991210938E-2</v>
      </c>
      <c r="Z11" s="12">
        <f>M11-'Nov24'!M11</f>
        <v>-2.6160180568695068E-3</v>
      </c>
      <c r="AA11" s="12">
        <f>O11-'Nov24'!O11</f>
        <v>-3.6199986934661865E-3</v>
      </c>
      <c r="AB11" s="12">
        <f>Q11-'Nov24'!Q11</f>
        <v>0</v>
      </c>
      <c r="AC11" s="12">
        <f>+S11-'Nov24'!S11</f>
        <v>0</v>
      </c>
      <c r="AE11" s="28">
        <f>J11-'Nov24'!J11</f>
        <v>0</v>
      </c>
      <c r="AF11" s="28">
        <f>L11-'Nov24'!L11</f>
        <v>0</v>
      </c>
      <c r="AG11" s="28">
        <f>N11-'Nov24'!N11</f>
        <v>0</v>
      </c>
      <c r="AH11" s="28">
        <f>P11-'Nov24'!P11</f>
        <v>0</v>
      </c>
      <c r="AI11" s="28">
        <f>R11-'Nov24'!R11</f>
        <v>0</v>
      </c>
      <c r="AK11" s="10">
        <f>I11-'Nov24'!I11</f>
        <v>-3.9999961853027344E-2</v>
      </c>
      <c r="AL11" s="76">
        <f>I11/'Nov24'!I11-1</f>
        <v>-1.3991252600931148E-11</v>
      </c>
    </row>
    <row r="12" spans="1:43" x14ac:dyDescent="0.25">
      <c r="B12" t="s">
        <v>70</v>
      </c>
      <c r="F12" s="7">
        <f t="shared" si="6"/>
        <v>1</v>
      </c>
      <c r="H12" s="3" t="s">
        <v>30</v>
      </c>
      <c r="I12" s="78">
        <v>1428076444.53</v>
      </c>
      <c r="J12" s="77">
        <v>0.48399999999999999</v>
      </c>
      <c r="K12" s="78">
        <f t="shared" si="0"/>
        <v>691188999.15251994</v>
      </c>
      <c r="L12" s="77">
        <v>0.221</v>
      </c>
      <c r="M12" s="78">
        <f t="shared" si="1"/>
        <v>315604894.24112999</v>
      </c>
      <c r="N12" s="77">
        <v>0.28699999999999998</v>
      </c>
      <c r="O12" s="78">
        <f t="shared" si="2"/>
        <v>409857939.58010995</v>
      </c>
      <c r="P12" s="77"/>
      <c r="Q12" s="78">
        <f t="shared" si="3"/>
        <v>0</v>
      </c>
      <c r="R12" s="77"/>
      <c r="S12" s="78">
        <f t="shared" si="4"/>
        <v>0</v>
      </c>
      <c r="T12" s="77">
        <v>8.0000000000000002E-3</v>
      </c>
      <c r="U12" s="57">
        <f t="shared" si="5"/>
        <v>11424611.55624</v>
      </c>
      <c r="Y12" s="12">
        <f>K12-'Nov24'!K12</f>
        <v>-3521744.6347600222</v>
      </c>
      <c r="Z12" s="12">
        <f>M12-'Nov24'!M12</f>
        <v>-1608069.3476900458</v>
      </c>
      <c r="AA12" s="12">
        <f>O12-'Nov24'!O12</f>
        <v>-2088307.2524300218</v>
      </c>
      <c r="AB12" s="12">
        <f>Q12-'Nov24'!Q12</f>
        <v>-11482822.21136</v>
      </c>
      <c r="AC12" s="12">
        <f>+S12-'Nov24'!S12</f>
        <v>0</v>
      </c>
      <c r="AE12" s="28">
        <f>J12-'Nov24'!J12</f>
        <v>0</v>
      </c>
      <c r="AF12" s="28">
        <f>L12-'Nov24'!L12</f>
        <v>0</v>
      </c>
      <c r="AG12" s="28">
        <f>N12-'Nov24'!N12</f>
        <v>0</v>
      </c>
      <c r="AH12" s="28">
        <f>P12-'Nov24'!P12</f>
        <v>-8.0000000000000002E-3</v>
      </c>
      <c r="AI12" s="28">
        <f>R12-'Nov24'!R12</f>
        <v>0</v>
      </c>
      <c r="AJ12" s="93"/>
      <c r="AK12" s="10">
        <f>I12-'Nov24'!I12</f>
        <v>-7276331.8900001049</v>
      </c>
      <c r="AL12" s="76">
        <f>I12/'Nov24'!I12-1</f>
        <v>-5.0693683180440541E-3</v>
      </c>
    </row>
    <row r="13" spans="1:43" x14ac:dyDescent="0.25">
      <c r="B13" t="s">
        <v>74</v>
      </c>
      <c r="F13" s="7">
        <f t="shared" si="6"/>
        <v>1</v>
      </c>
      <c r="H13" s="3" t="s">
        <v>64</v>
      </c>
      <c r="I13" s="78">
        <v>401312306.50999999</v>
      </c>
      <c r="J13" s="77">
        <v>0.56000000000000005</v>
      </c>
      <c r="K13" s="78">
        <f t="shared" si="0"/>
        <v>224734891.64560002</v>
      </c>
      <c r="L13" s="77">
        <v>0.22</v>
      </c>
      <c r="M13" s="78">
        <f t="shared" si="1"/>
        <v>88288707.4322</v>
      </c>
      <c r="N13" s="77">
        <v>0.19</v>
      </c>
      <c r="O13" s="78">
        <f t="shared" si="2"/>
        <v>76249338.236900002</v>
      </c>
      <c r="P13" s="77">
        <v>0.03</v>
      </c>
      <c r="Q13" s="78">
        <f t="shared" si="3"/>
        <v>12039369.1953</v>
      </c>
      <c r="R13" s="77"/>
      <c r="S13" s="78">
        <f t="shared" si="4"/>
        <v>0</v>
      </c>
      <c r="T13" s="77"/>
      <c r="U13" s="57">
        <f t="shared" si="5"/>
        <v>0</v>
      </c>
      <c r="Y13" s="12">
        <f>K13-'Nov24'!K13</f>
        <v>25451917.915200025</v>
      </c>
      <c r="Z13" s="12">
        <f>M13-'Nov24'!M13</f>
        <v>9998967.7524000108</v>
      </c>
      <c r="AA13" s="12">
        <f>O13-'Nov24'!O13</f>
        <v>12194096.680700012</v>
      </c>
      <c r="AB13" s="12">
        <f>Q13-'Nov24'!Q13</f>
        <v>-2195128.9282999989</v>
      </c>
      <c r="AC13" s="12">
        <f>+S13-'Nov24'!S13</f>
        <v>0</v>
      </c>
      <c r="AE13" s="28">
        <f>J13-'Nov24'!J13</f>
        <v>0</v>
      </c>
      <c r="AF13" s="28">
        <f>L13-'Nov24'!L13</f>
        <v>0</v>
      </c>
      <c r="AG13" s="28">
        <f>N13-'Nov24'!N13</f>
        <v>1.0000000000000009E-2</v>
      </c>
      <c r="AH13" s="28">
        <f>P13-'Nov24'!P13</f>
        <v>-1.0000000000000002E-2</v>
      </c>
      <c r="AI13" s="28">
        <f>R13-'Nov24'!R13</f>
        <v>0</v>
      </c>
      <c r="AK13" s="10">
        <f>I13-'Nov24'!I13</f>
        <v>45449853.420000017</v>
      </c>
      <c r="AL13" s="76">
        <f>I13/'Nov24'!I13-1</f>
        <v>0.12771747349391038</v>
      </c>
    </row>
    <row r="14" spans="1:43" s="8" customFormat="1" x14ac:dyDescent="0.25">
      <c r="B14" t="s">
        <v>72</v>
      </c>
      <c r="F14" s="7">
        <f>J14+L14+N14+P14+R14+T14</f>
        <v>1</v>
      </c>
      <c r="H14" s="21" t="s">
        <v>45</v>
      </c>
      <c r="I14" s="20">
        <f>SUM(I3:I13)</f>
        <v>26481509649.509998</v>
      </c>
      <c r="J14" s="15">
        <f>K14/$I$14</f>
        <v>0.43253004882360996</v>
      </c>
      <c r="K14" s="17">
        <f>SUM(K3:K13)</f>
        <v>11454048661.625458</v>
      </c>
      <c r="L14" s="15">
        <f>M14/$I$14</f>
        <v>0.25589594376685015</v>
      </c>
      <c r="M14" s="20">
        <f>SUM(M3:M13)</f>
        <v>6776510904.1323099</v>
      </c>
      <c r="N14" s="15">
        <f>O14/$I$14</f>
        <v>0.26655067037651425</v>
      </c>
      <c r="O14" s="17">
        <f>SUM(O3:O13)</f>
        <v>7058664149.6590204</v>
      </c>
      <c r="P14" s="15">
        <f>Q14/$I$14</f>
        <v>2.0963031277911E-2</v>
      </c>
      <c r="Q14" s="17">
        <f>SUM(Q3:Q13)</f>
        <v>555132715.0689801</v>
      </c>
      <c r="R14" s="15">
        <f>S14/$I$14</f>
        <v>2.7496539096723031E-3</v>
      </c>
      <c r="S14" s="17">
        <f>SUM(S3:S13)</f>
        <v>72814986.541799992</v>
      </c>
      <c r="T14" s="15">
        <f>U14/$I$14</f>
        <v>2.1310651845442358E-2</v>
      </c>
      <c r="U14" s="63">
        <f>SUM(U3:U13)</f>
        <v>564338232.48242986</v>
      </c>
      <c r="Y14" s="12">
        <f>K14-'Nov24'!K14</f>
        <v>-377911517.96687317</v>
      </c>
      <c r="Z14" s="12">
        <f>M14-'Nov24'!M14</f>
        <v>-246584254.91784668</v>
      </c>
      <c r="AA14" s="12">
        <f>O14-'Nov24'!O14</f>
        <v>210970901.98683071</v>
      </c>
      <c r="AB14" s="12">
        <f>Q14-'Nov24'!Q14</f>
        <v>-110116770.8614099</v>
      </c>
      <c r="AC14" s="12">
        <f>+S14-'Nov24'!S14</f>
        <v>-7964946.6552000046</v>
      </c>
      <c r="AE14" s="28">
        <f>J14-'Nov24'!J14</f>
        <v>-4.1215740445824101E-3</v>
      </c>
      <c r="AF14" s="28">
        <f>L14-'Nov24'!L14</f>
        <v>-3.287306701345527E-3</v>
      </c>
      <c r="AG14" s="28">
        <f>N14-'Nov24'!N14</f>
        <v>1.3840525640154366E-2</v>
      </c>
      <c r="AH14" s="28">
        <f>P14-'Nov24'!P14</f>
        <v>-3.5876148732446635E-3</v>
      </c>
      <c r="AI14" s="28">
        <f>R14-'Nov24'!R14</f>
        <v>-2.3148263831002233E-4</v>
      </c>
      <c r="AK14" s="92">
        <f>I14-'Nov24'!I14</f>
        <v>-615515896.55999756</v>
      </c>
      <c r="AL14" s="76">
        <f>I14/'Nov24'!I14-1</f>
        <v>-2.2715256902035463E-2</v>
      </c>
    </row>
    <row r="15" spans="1:43" x14ac:dyDescent="0.25">
      <c r="F15" s="7"/>
      <c r="I15" s="10"/>
      <c r="J15" s="10"/>
      <c r="K15" s="10"/>
      <c r="L15" s="5"/>
      <c r="M15" s="10"/>
      <c r="N15" s="10"/>
      <c r="O15" s="10"/>
      <c r="P15" s="5"/>
      <c r="Q15" s="10"/>
    </row>
    <row r="16" spans="1:43" x14ac:dyDescent="0.25">
      <c r="F16" s="7"/>
      <c r="H16" s="4" t="s">
        <v>2</v>
      </c>
      <c r="I16" s="9" t="s">
        <v>4</v>
      </c>
      <c r="J16" s="112" t="s">
        <v>7</v>
      </c>
      <c r="K16" s="112"/>
      <c r="L16" s="112" t="s">
        <v>8</v>
      </c>
      <c r="M16" s="112"/>
      <c r="N16" s="112" t="s">
        <v>10</v>
      </c>
      <c r="O16" s="112"/>
      <c r="P16" s="112" t="s">
        <v>9</v>
      </c>
      <c r="Q16" s="112"/>
      <c r="R16" s="112" t="s">
        <v>21</v>
      </c>
      <c r="S16" s="112"/>
      <c r="T16" s="112" t="s">
        <v>55</v>
      </c>
      <c r="U16" s="112"/>
      <c r="Y16" s="27" t="s">
        <v>49</v>
      </c>
      <c r="Z16" s="27" t="s">
        <v>50</v>
      </c>
      <c r="AA16" s="27" t="s">
        <v>51</v>
      </c>
      <c r="AB16" s="27" t="s">
        <v>52</v>
      </c>
      <c r="AC16" s="27" t="s">
        <v>53</v>
      </c>
      <c r="AE16" s="27" t="s">
        <v>49</v>
      </c>
      <c r="AF16" s="27" t="s">
        <v>50</v>
      </c>
      <c r="AG16" s="27" t="s">
        <v>51</v>
      </c>
      <c r="AH16" s="27" t="s">
        <v>52</v>
      </c>
      <c r="AI16" s="27" t="s">
        <v>53</v>
      </c>
    </row>
    <row r="17" spans="2:39" x14ac:dyDescent="0.25">
      <c r="E17" s="98"/>
      <c r="F17" s="7">
        <f t="shared" si="6"/>
        <v>1</v>
      </c>
      <c r="G17" s="99"/>
      <c r="H17" s="21" t="s">
        <v>6</v>
      </c>
      <c r="I17" s="80">
        <v>285972658.29000002</v>
      </c>
      <c r="J17" s="81">
        <f>24.16%+0.66%</f>
        <v>0.2482</v>
      </c>
      <c r="K17" s="80">
        <f t="shared" ref="K17:K26" si="7">+J17*$I17</f>
        <v>70978413.787578002</v>
      </c>
      <c r="L17" s="81">
        <f>4.51%+11.39%+6.52%+5.92%</f>
        <v>0.28339999999999999</v>
      </c>
      <c r="M17" s="80">
        <f t="shared" ref="M17:M26" si="8">+L17*$I17</f>
        <v>81044651.359385997</v>
      </c>
      <c r="N17" s="81">
        <f>34.02%+0.94%</f>
        <v>0.34960000000000008</v>
      </c>
      <c r="O17" s="80">
        <f t="shared" ref="O17:O26" si="9">+N17*$I17</f>
        <v>99976041.338184029</v>
      </c>
      <c r="P17" s="81">
        <v>5.9200000000000003E-2</v>
      </c>
      <c r="Q17" s="80">
        <f t="shared" ref="Q17:Q26" si="10">+P17*$I17</f>
        <v>16929581.370768003</v>
      </c>
      <c r="R17" s="81"/>
      <c r="S17" s="80">
        <f t="shared" ref="S17:S26" si="11">+R17*$I17</f>
        <v>0</v>
      </c>
      <c r="T17" s="81">
        <v>5.96E-2</v>
      </c>
      <c r="U17" s="79">
        <f t="shared" ref="U17:U26" si="12">+T17*$I17</f>
        <v>17043970.434084002</v>
      </c>
      <c r="V17" s="98"/>
      <c r="Y17" s="12">
        <f>K17-'Nov24'!K17</f>
        <v>-2181688.2750719935</v>
      </c>
      <c r="Z17" s="12">
        <f>M17-'Nov24'!M17</f>
        <v>80805.076719999313</v>
      </c>
      <c r="AA17" s="12">
        <f>O17-'Nov24'!O17</f>
        <v>-3394879.3409249783</v>
      </c>
      <c r="AB17" s="12">
        <f>Q17-'Nov24'!Q17</f>
        <v>2527082.8470620047</v>
      </c>
      <c r="AC17" s="12">
        <f>+S17-'Nov24'!S17</f>
        <v>-17070690.481284998</v>
      </c>
      <c r="AD17" s="98"/>
      <c r="AE17" s="28">
        <f>J17-'Nov24'!J17</f>
        <v>-6.8000000000000005E-3</v>
      </c>
      <c r="AF17" s="28">
        <f>L17-'Nov24'!L17</f>
        <v>1.1999999999999789E-3</v>
      </c>
      <c r="AG17" s="28">
        <f>N17-'Nov24'!N17</f>
        <v>-1.0699999999999987E-2</v>
      </c>
      <c r="AH17" s="28">
        <f>P17-'Nov24'!P17</f>
        <v>9.0000000000000011E-3</v>
      </c>
      <c r="AI17" s="28">
        <f>R17-'Nov24'!R17</f>
        <v>-5.9499999999999997E-2</v>
      </c>
      <c r="AJ17" s="98"/>
      <c r="AK17" s="10">
        <f>I17-'Nov24'!I17</f>
        <v>-929702.73999994993</v>
      </c>
      <c r="AL17" s="76">
        <f>I17/'Nov24'!I17-1</f>
        <v>-3.2404847999935038E-3</v>
      </c>
      <c r="AM17" s="98"/>
    </row>
    <row r="18" spans="2:39" x14ac:dyDescent="0.25">
      <c r="F18" s="7">
        <f t="shared" si="6"/>
        <v>0.99999999999999989</v>
      </c>
      <c r="H18" s="3" t="s">
        <v>26</v>
      </c>
      <c r="I18" s="78">
        <v>796329372.12</v>
      </c>
      <c r="J18" s="77">
        <v>0.3</v>
      </c>
      <c r="K18" s="78">
        <f t="shared" si="7"/>
        <v>238898811.63600001</v>
      </c>
      <c r="L18" s="77">
        <v>0.15</v>
      </c>
      <c r="M18" s="78">
        <f t="shared" si="8"/>
        <v>119449405.818</v>
      </c>
      <c r="N18" s="77">
        <v>0.43</v>
      </c>
      <c r="O18" s="78">
        <f t="shared" si="9"/>
        <v>342421630.01160002</v>
      </c>
      <c r="P18" s="77">
        <v>0.1</v>
      </c>
      <c r="Q18" s="78">
        <f t="shared" si="10"/>
        <v>79632937.211999997</v>
      </c>
      <c r="R18" s="77"/>
      <c r="S18" s="78">
        <f t="shared" si="11"/>
        <v>0</v>
      </c>
      <c r="T18" s="77">
        <v>0.02</v>
      </c>
      <c r="U18" s="57">
        <f t="shared" si="12"/>
        <v>15926587.442400001</v>
      </c>
      <c r="Y18" s="12">
        <f>K18-'Nov24'!K18</f>
        <v>65136127.087800026</v>
      </c>
      <c r="Z18" s="12">
        <f>M18-'Nov24'!M18</f>
        <v>-14821759.514699981</v>
      </c>
      <c r="AA18" s="12">
        <f>O18-'Nov24'!O18</f>
        <v>26489476.28760004</v>
      </c>
      <c r="AB18" s="12">
        <f>Q18-'Nov24'!Q18</f>
        <v>-38841620.434499994</v>
      </c>
      <c r="AC18" s="12">
        <f>+S18-'Nov24'!S18</f>
        <v>-39491519.215499997</v>
      </c>
      <c r="AE18" s="28">
        <f>J18-'Nov24'!J18</f>
        <v>7.9999999999999988E-2</v>
      </c>
      <c r="AF18" s="28">
        <f>L18-'Nov24'!L18</f>
        <v>-1.999999999999999E-2</v>
      </c>
      <c r="AG18" s="28">
        <f>N18-'Nov24'!N18</f>
        <v>2.9999999999999971E-2</v>
      </c>
      <c r="AH18" s="28">
        <f>P18-'Nov24'!P18</f>
        <v>-4.9999999999999989E-2</v>
      </c>
      <c r="AI18" s="28">
        <f>R18-'Nov24'!R18</f>
        <v>-0.05</v>
      </c>
      <c r="AK18" s="10">
        <f>I18-'Nov24'!I18</f>
        <v>6498987.810000062</v>
      </c>
      <c r="AL18" s="76">
        <f>I18/'Nov24'!I18-1</f>
        <v>8.2283334993216162E-3</v>
      </c>
    </row>
    <row r="19" spans="2:39" x14ac:dyDescent="0.25">
      <c r="F19" s="7">
        <f t="shared" si="6"/>
        <v>1</v>
      </c>
      <c r="H19" s="3" t="s">
        <v>27</v>
      </c>
      <c r="I19" s="78">
        <v>442942155.56</v>
      </c>
      <c r="J19" s="77">
        <f>14%+3.4%</f>
        <v>0.17400000000000002</v>
      </c>
      <c r="K19" s="78">
        <f t="shared" si="7"/>
        <v>77071935.067440003</v>
      </c>
      <c r="L19" s="77">
        <v>0.16900000000000001</v>
      </c>
      <c r="M19" s="78">
        <f t="shared" si="8"/>
        <v>74857224.289640009</v>
      </c>
      <c r="N19" s="77">
        <v>0.64</v>
      </c>
      <c r="O19" s="78">
        <f t="shared" si="9"/>
        <v>283482979.55840003</v>
      </c>
      <c r="P19" s="77"/>
      <c r="Q19" s="78">
        <f t="shared" si="10"/>
        <v>0</v>
      </c>
      <c r="R19" s="77"/>
      <c r="S19" s="78">
        <f t="shared" si="11"/>
        <v>0</v>
      </c>
      <c r="T19" s="77">
        <v>1.7000000000000001E-2</v>
      </c>
      <c r="U19" s="57">
        <f t="shared" si="12"/>
        <v>7530016.6445200006</v>
      </c>
      <c r="Y19" s="12">
        <f>K19-'Nov24'!K19</f>
        <v>7662238.2562400103</v>
      </c>
      <c r="Z19" s="12">
        <f>M19-'Nov24'!M19</f>
        <v>-3662495.2280299813</v>
      </c>
      <c r="AA19" s="12">
        <f>O19-'Nov24'!O19</f>
        <v>43585714.954690009</v>
      </c>
      <c r="AB19" s="12">
        <f>Q19-'Nov24'!Q19</f>
        <v>-17786234.807870001</v>
      </c>
      <c r="AC19" s="12">
        <f>+S19-'Nov24'!S19</f>
        <v>0</v>
      </c>
      <c r="AE19" s="28">
        <f>J19-'Nov24'!J19</f>
        <v>1.4000000000000012E-2</v>
      </c>
      <c r="AF19" s="28">
        <f>L19-'Nov24'!L19</f>
        <v>-1.1999999999999983E-2</v>
      </c>
      <c r="AG19" s="28">
        <f>N19-'Nov24'!N19</f>
        <v>8.6999999999999966E-2</v>
      </c>
      <c r="AH19" s="28">
        <f>P19-'Nov24'!P19</f>
        <v>-4.1000000000000002E-2</v>
      </c>
      <c r="AI19" s="28">
        <f>R19-'Nov24'!R19</f>
        <v>0</v>
      </c>
      <c r="AJ19" s="93"/>
      <c r="AK19" s="10">
        <f>I19-'Nov24'!I19</f>
        <v>9131550.4900000095</v>
      </c>
      <c r="AL19" s="76">
        <f>I19/'Nov24'!I19-1</f>
        <v>2.1049624843833659E-2</v>
      </c>
    </row>
    <row r="20" spans="2:39" x14ac:dyDescent="0.25">
      <c r="B20" s="1"/>
      <c r="C20" s="1" t="s">
        <v>20</v>
      </c>
      <c r="D20" s="1"/>
      <c r="F20" s="7">
        <f t="shared" si="6"/>
        <v>1</v>
      </c>
      <c r="G20" t="s">
        <v>75</v>
      </c>
      <c r="H20" s="3" t="s">
        <v>67</v>
      </c>
      <c r="I20" s="78">
        <v>1154684022.4100001</v>
      </c>
      <c r="J20" s="77">
        <v>0.16</v>
      </c>
      <c r="K20" s="78">
        <f t="shared" si="7"/>
        <v>184749443.58560002</v>
      </c>
      <c r="L20" s="77">
        <v>0.2</v>
      </c>
      <c r="M20" s="78">
        <f t="shared" si="8"/>
        <v>230936804.48200002</v>
      </c>
      <c r="N20" s="77">
        <v>0.49</v>
      </c>
      <c r="O20" s="78">
        <f t="shared" si="9"/>
        <v>565795170.98090005</v>
      </c>
      <c r="P20" s="77">
        <v>0.15</v>
      </c>
      <c r="Q20" s="78">
        <f t="shared" si="10"/>
        <v>173202603.36149999</v>
      </c>
      <c r="R20" s="77"/>
      <c r="S20" s="78">
        <f t="shared" si="11"/>
        <v>0</v>
      </c>
      <c r="T20" s="77"/>
      <c r="U20" s="57">
        <f t="shared" si="12"/>
        <v>0</v>
      </c>
      <c r="Y20" s="12">
        <f>K20-'Nov24'!K20</f>
        <v>-32695017.931399971</v>
      </c>
      <c r="Z20" s="12">
        <f>M20-'Nov24'!M20</f>
        <v>-9396547.7209999859</v>
      </c>
      <c r="AA20" s="12">
        <f>O20-'Nov24'!O20</f>
        <v>27906239.859899998</v>
      </c>
      <c r="AB20" s="12">
        <f>Q20-'Nov24'!Q20</f>
        <v>12980368.559499979</v>
      </c>
      <c r="AC20" s="12">
        <f>+S20-'Nov24'!S20</f>
        <v>0</v>
      </c>
      <c r="AE20" s="28">
        <f>J20-'Nov24'!J20</f>
        <v>-0.03</v>
      </c>
      <c r="AF20" s="28">
        <f>L20-'Nov24'!L20</f>
        <v>-1.0000000000000009E-2</v>
      </c>
      <c r="AG20" s="28">
        <f>N20-'Nov24'!N20</f>
        <v>1.9999999999999962E-2</v>
      </c>
      <c r="AH20" s="28">
        <f>P20-'Nov24'!P20</f>
        <v>9.9999999999999811E-3</v>
      </c>
      <c r="AI20" s="28">
        <f>R20-'Nov24'!R20</f>
        <v>0</v>
      </c>
      <c r="AJ20" s="93"/>
      <c r="AK20" s="10">
        <f>I20-'Nov24'!I20</f>
        <v>10239488.110000134</v>
      </c>
      <c r="AL20" s="76">
        <f>I20/'Nov24'!I20-1</f>
        <v>8.9471248305301732E-3</v>
      </c>
    </row>
    <row r="21" spans="2:39" x14ac:dyDescent="0.25">
      <c r="B21" t="s">
        <v>11</v>
      </c>
      <c r="C21" s="2" t="s">
        <v>10</v>
      </c>
      <c r="D21" t="s">
        <v>7</v>
      </c>
      <c r="F21" s="7">
        <f t="shared" si="6"/>
        <v>1</v>
      </c>
      <c r="H21" s="3" t="s">
        <v>32</v>
      </c>
      <c r="I21" s="78">
        <v>215588080.15000001</v>
      </c>
      <c r="J21" s="77">
        <v>0.16</v>
      </c>
      <c r="K21" s="78">
        <f t="shared" si="7"/>
        <v>34494092.824000001</v>
      </c>
      <c r="L21" s="77">
        <v>0.12</v>
      </c>
      <c r="M21" s="78">
        <f t="shared" si="8"/>
        <v>25870569.618000001</v>
      </c>
      <c r="N21" s="77">
        <v>0.57999999999999996</v>
      </c>
      <c r="O21" s="78">
        <f t="shared" si="9"/>
        <v>125041086.48699999</v>
      </c>
      <c r="P21" s="77">
        <v>0.14000000000000001</v>
      </c>
      <c r="Q21" s="78">
        <f t="shared" si="10"/>
        <v>30182331.221000005</v>
      </c>
      <c r="R21" s="77"/>
      <c r="S21" s="78">
        <f t="shared" si="11"/>
        <v>0</v>
      </c>
      <c r="T21" s="77"/>
      <c r="U21" s="57">
        <f t="shared" si="12"/>
        <v>0</v>
      </c>
      <c r="Y21" s="12">
        <f>K21-'Nov24'!K21</f>
        <v>-7902759.0077000037</v>
      </c>
      <c r="Z21" s="12">
        <f>M21-'Nov24'!M21</f>
        <v>1325023.820700001</v>
      </c>
      <c r="AA21" s="12">
        <f>O21-'Nov24'!O21</f>
        <v>-2149469.0081000328</v>
      </c>
      <c r="AB21" s="12">
        <f>Q21-'Nov24'!Q21</f>
        <v>-1057454.3392000012</v>
      </c>
      <c r="AC21" s="12">
        <f>+S21-'Nov24'!S21</f>
        <v>0</v>
      </c>
      <c r="AE21" s="28">
        <f>J21-'Nov24'!J21</f>
        <v>-0.03</v>
      </c>
      <c r="AF21" s="28">
        <f>L21-'Nov24'!L21</f>
        <v>9.999999999999995E-3</v>
      </c>
      <c r="AG21" s="28">
        <f>N21-'Nov24'!N21</f>
        <v>9.9999999999998979E-3</v>
      </c>
      <c r="AH21" s="28">
        <f>P21-'Nov24'!P21</f>
        <v>0</v>
      </c>
      <c r="AI21" s="28">
        <f>R21-'Nov24'!R21</f>
        <v>0</v>
      </c>
      <c r="AK21" s="10">
        <f>I21-'Nov24'!I21</f>
        <v>-7553245.2800000012</v>
      </c>
      <c r="AL21" s="76">
        <f>I21/'Nov24'!I21-1</f>
        <v>-3.3849603005829065E-2</v>
      </c>
    </row>
    <row r="22" spans="2:39" x14ac:dyDescent="0.25">
      <c r="B22" t="s">
        <v>12</v>
      </c>
      <c r="C22" s="2" t="s">
        <v>16</v>
      </c>
      <c r="D22" t="s">
        <v>58</v>
      </c>
      <c r="F22" s="7">
        <f t="shared" si="6"/>
        <v>1</v>
      </c>
      <c r="H22" s="3" t="s">
        <v>33</v>
      </c>
      <c r="I22" s="78">
        <v>1051774465.34</v>
      </c>
      <c r="J22" s="77">
        <v>0.28999999999999998</v>
      </c>
      <c r="K22" s="78">
        <f t="shared" si="7"/>
        <v>305014594.94859999</v>
      </c>
      <c r="L22" s="77">
        <v>0.15</v>
      </c>
      <c r="M22" s="78">
        <f t="shared" si="8"/>
        <v>157766169.801</v>
      </c>
      <c r="N22" s="77">
        <v>0.53</v>
      </c>
      <c r="O22" s="78">
        <f t="shared" si="9"/>
        <v>557440466.63020003</v>
      </c>
      <c r="P22" s="77">
        <v>0.02</v>
      </c>
      <c r="Q22" s="78">
        <f t="shared" si="10"/>
        <v>21035489.3068</v>
      </c>
      <c r="R22" s="77"/>
      <c r="S22" s="78">
        <f t="shared" si="11"/>
        <v>0</v>
      </c>
      <c r="T22" s="77">
        <v>0.01</v>
      </c>
      <c r="U22" s="57">
        <f t="shared" si="12"/>
        <v>10517744.6534</v>
      </c>
      <c r="Y22" s="12">
        <f>K22-'Nov24'!K22</f>
        <v>-25711630.030400038</v>
      </c>
      <c r="Z22" s="12">
        <f>M22-'Nov24'!M22</f>
        <v>3427264.8107999861</v>
      </c>
      <c r="AA22" s="12">
        <f>O22-'Nov24'!O22</f>
        <v>-37866738.332000017</v>
      </c>
      <c r="AB22" s="12">
        <f>Q22-'Nov24'!Q22</f>
        <v>-1012925.691800002</v>
      </c>
      <c r="AC22" s="12">
        <f>+S22-'Nov24'!S22</f>
        <v>0</v>
      </c>
      <c r="AE22" s="28">
        <f>J22-'Nov24'!J22</f>
        <v>-1.0000000000000009E-2</v>
      </c>
      <c r="AF22" s="28">
        <f>L22-'Nov24'!L22</f>
        <v>9.9999999999999811E-3</v>
      </c>
      <c r="AG22" s="28">
        <f>N22-'Nov24'!N22</f>
        <v>-1.0000000000000009E-2</v>
      </c>
      <c r="AH22" s="28">
        <f>P22-'Nov24'!P22</f>
        <v>0</v>
      </c>
      <c r="AI22" s="28">
        <f>R22-'Nov24'!R22</f>
        <v>0</v>
      </c>
      <c r="AK22" s="10">
        <f>I22-'Nov24'!I22</f>
        <v>-50646284.590000033</v>
      </c>
      <c r="AL22" s="76">
        <f>I22/'Nov24'!I22-1</f>
        <v>-4.5940975433577336E-2</v>
      </c>
    </row>
    <row r="23" spans="2:39" x14ac:dyDescent="0.25">
      <c r="B23" t="s">
        <v>13</v>
      </c>
      <c r="C23" s="2" t="s">
        <v>17</v>
      </c>
      <c r="D23" t="s">
        <v>59</v>
      </c>
      <c r="F23" s="7">
        <f t="shared" si="6"/>
        <v>0.99999999999999989</v>
      </c>
      <c r="H23" s="3" t="s">
        <v>68</v>
      </c>
      <c r="I23" s="78">
        <v>221206983.94999999</v>
      </c>
      <c r="J23" s="77">
        <v>0.4269</v>
      </c>
      <c r="K23" s="78">
        <f t="shared" si="7"/>
        <v>94433261.448255002</v>
      </c>
      <c r="L23" s="77">
        <v>0.1172</v>
      </c>
      <c r="M23" s="78">
        <f t="shared" si="8"/>
        <v>25925458.518939998</v>
      </c>
      <c r="N23" s="77">
        <v>0.35759999999999997</v>
      </c>
      <c r="O23" s="78">
        <f t="shared" si="9"/>
        <v>79103617.460519984</v>
      </c>
      <c r="P23" s="77">
        <v>9.7000000000000003E-2</v>
      </c>
      <c r="Q23" s="78">
        <f t="shared" si="10"/>
        <v>21457077.443149999</v>
      </c>
      <c r="R23" s="77"/>
      <c r="S23" s="78">
        <f t="shared" si="11"/>
        <v>0</v>
      </c>
      <c r="T23" s="77">
        <v>1.2999999999999999E-3</v>
      </c>
      <c r="U23" s="57">
        <f t="shared" si="12"/>
        <v>287569.07913499995</v>
      </c>
      <c r="Y23" s="12">
        <f>K23-'Nov24'!K23</f>
        <v>6103646.7464070022</v>
      </c>
      <c r="Z23" s="12">
        <f>M23-'Nov24'!M23</f>
        <v>318501.81384399906</v>
      </c>
      <c r="AA23" s="12">
        <f>O23-'Nov24'!O23</f>
        <v>-6238150.0890480131</v>
      </c>
      <c r="AB23" s="12">
        <f>Q23-'Nov24'!Q23</f>
        <v>-498066.07582600042</v>
      </c>
      <c r="AC23" s="12">
        <f>+S23-'Nov24'!S23</f>
        <v>0</v>
      </c>
      <c r="AE23" s="28">
        <f>J23-'Nov24'!J23</f>
        <v>2.7799999999999991E-2</v>
      </c>
      <c r="AF23" s="28">
        <f>L23-'Nov24'!L23</f>
        <v>1.5000000000000013E-3</v>
      </c>
      <c r="AG23" s="28">
        <f>N23-'Nov24'!N23</f>
        <v>-2.8000000000000025E-2</v>
      </c>
      <c r="AH23" s="28">
        <f>P23-'Nov24'!P23</f>
        <v>-2.1999999999999936E-3</v>
      </c>
      <c r="AI23" s="28">
        <f>R23-'Nov24'!R23</f>
        <v>0</v>
      </c>
      <c r="AJ23" s="93"/>
      <c r="AK23" s="10">
        <f>I23-'Nov24'!I23</f>
        <v>-115027.33000001311</v>
      </c>
      <c r="AL23" s="76">
        <f>I23/'Nov24'!I23-1</f>
        <v>-5.1972837827907181E-4</v>
      </c>
    </row>
    <row r="24" spans="2:39" x14ac:dyDescent="0.25">
      <c r="B24" t="s">
        <v>14</v>
      </c>
      <c r="C24" s="2" t="s">
        <v>18</v>
      </c>
      <c r="F24" s="7">
        <f t="shared" si="6"/>
        <v>1</v>
      </c>
      <c r="H24" s="3" t="s">
        <v>35</v>
      </c>
      <c r="I24" s="78">
        <v>427630387.75999999</v>
      </c>
      <c r="J24" s="77">
        <v>0.17699999999999999</v>
      </c>
      <c r="K24" s="78">
        <f t="shared" si="7"/>
        <v>75690578.633519992</v>
      </c>
      <c r="L24" s="77">
        <v>0.42899999999999999</v>
      </c>
      <c r="M24" s="78">
        <f t="shared" si="8"/>
        <v>183453436.34904</v>
      </c>
      <c r="N24" s="77">
        <v>0.32700000000000001</v>
      </c>
      <c r="O24" s="78">
        <f t="shared" si="9"/>
        <v>139835136.79752001</v>
      </c>
      <c r="P24" s="77">
        <v>6.7000000000000004E-2</v>
      </c>
      <c r="Q24" s="78">
        <f t="shared" si="10"/>
        <v>28651235.97992</v>
      </c>
      <c r="R24" s="77"/>
      <c r="S24" s="78">
        <f t="shared" si="11"/>
        <v>0</v>
      </c>
      <c r="T24" s="77"/>
      <c r="U24" s="57">
        <f t="shared" si="12"/>
        <v>0</v>
      </c>
      <c r="Y24" s="12">
        <f>K24-'Nov24'!K24</f>
        <v>-15491167.019020006</v>
      </c>
      <c r="Z24" s="12">
        <f>M24-'Nov24'!M24</f>
        <v>4072525.5092299879</v>
      </c>
      <c r="AA24" s="12">
        <f>O24-'Nov24'!O24</f>
        <v>13288508.485350013</v>
      </c>
      <c r="AB24" s="12">
        <f>Q24-'Nov24'!Q24</f>
        <v>529763.02165999636</v>
      </c>
      <c r="AC24" s="12">
        <f>+S24-'Nov24'!S24</f>
        <v>0</v>
      </c>
      <c r="AE24" s="28">
        <f>J24-'Nov24'!J24</f>
        <v>-3.7000000000000005E-2</v>
      </c>
      <c r="AF24" s="28">
        <f>L24-'Nov24'!L24</f>
        <v>8.0000000000000071E-3</v>
      </c>
      <c r="AG24" s="28">
        <f>N24-'Nov24'!N24</f>
        <v>3.0000000000000027E-2</v>
      </c>
      <c r="AH24" s="28">
        <f>P24-'Nov24'!P24</f>
        <v>1.0000000000000009E-3</v>
      </c>
      <c r="AI24" s="28">
        <f>R24-'Nov24'!R24</f>
        <v>0</v>
      </c>
      <c r="AJ24" s="93"/>
      <c r="AK24" s="10">
        <f>I24-'Nov24'!I24</f>
        <v>1547464.1499999762</v>
      </c>
      <c r="AL24" s="76">
        <f>I24/'Nov24'!I24-1</f>
        <v>3.6318379926822963E-3</v>
      </c>
    </row>
    <row r="25" spans="2:39" x14ac:dyDescent="0.25">
      <c r="B25" t="s">
        <v>15</v>
      </c>
      <c r="C25" s="2" t="s">
        <v>19</v>
      </c>
      <c r="F25" s="7">
        <f t="shared" si="6"/>
        <v>1</v>
      </c>
      <c r="H25" s="3" t="s">
        <v>36</v>
      </c>
      <c r="I25" s="78">
        <v>773475336.87</v>
      </c>
      <c r="J25" s="77">
        <v>0.22</v>
      </c>
      <c r="K25" s="78">
        <f t="shared" si="7"/>
        <v>170164574.11140001</v>
      </c>
      <c r="L25" s="77">
        <v>0.18</v>
      </c>
      <c r="M25" s="78">
        <f t="shared" si="8"/>
        <v>139225560.63659999</v>
      </c>
      <c r="N25" s="77">
        <v>0.53</v>
      </c>
      <c r="O25" s="78">
        <f t="shared" si="9"/>
        <v>409941928.54110003</v>
      </c>
      <c r="P25" s="77">
        <v>7.0000000000000007E-2</v>
      </c>
      <c r="Q25" s="78">
        <f t="shared" si="10"/>
        <v>54143273.580900006</v>
      </c>
      <c r="R25" s="77"/>
      <c r="S25" s="78">
        <f t="shared" si="11"/>
        <v>0</v>
      </c>
      <c r="T25" s="77"/>
      <c r="U25" s="57">
        <f t="shared" si="12"/>
        <v>0</v>
      </c>
      <c r="Y25" s="12">
        <f>K25-'Nov24'!K25</f>
        <v>32209531.562400013</v>
      </c>
      <c r="Z25" s="12">
        <f>M25-'Nov24'!M25</f>
        <v>-14057819.973399997</v>
      </c>
      <c r="AA25" s="12">
        <f>O25-'Nov24'!O25</f>
        <v>-11587368.136399984</v>
      </c>
      <c r="AB25" s="12">
        <f>Q25-'Nov24'!Q25</f>
        <v>494090.36740000546</v>
      </c>
      <c r="AC25" s="12">
        <f>+S25-'Nov24'!S25</f>
        <v>0</v>
      </c>
      <c r="AE25" s="28">
        <f>J25-'Nov24'!J25</f>
        <v>4.0000000000000008E-2</v>
      </c>
      <c r="AF25" s="28">
        <f>L25-'Nov24'!L25</f>
        <v>-2.0000000000000018E-2</v>
      </c>
      <c r="AG25" s="28">
        <f>N25-'Nov24'!N25</f>
        <v>-2.0000000000000018E-2</v>
      </c>
      <c r="AH25" s="28">
        <f>P25-'Nov24'!P25</f>
        <v>0</v>
      </c>
      <c r="AI25" s="28">
        <f>R25-'Nov24'!R25</f>
        <v>0</v>
      </c>
      <c r="AJ25" s="93"/>
      <c r="AK25" s="10">
        <f>I25-'Nov24'!I25</f>
        <v>7058433.8200000525</v>
      </c>
      <c r="AL25" s="76">
        <f>I25/'Nov24'!I25-1</f>
        <v>9.2096531168748275E-3</v>
      </c>
    </row>
    <row r="26" spans="2:39" x14ac:dyDescent="0.25">
      <c r="B26" t="s">
        <v>57</v>
      </c>
      <c r="F26" s="7">
        <f t="shared" si="6"/>
        <v>0.99999999999999989</v>
      </c>
      <c r="H26" s="3" t="s">
        <v>65</v>
      </c>
      <c r="I26" s="78">
        <v>926651042.09000003</v>
      </c>
      <c r="J26" s="77">
        <v>0.28999999999999998</v>
      </c>
      <c r="K26" s="78">
        <f t="shared" si="7"/>
        <v>268728802.20609999</v>
      </c>
      <c r="L26" s="77">
        <v>0.15</v>
      </c>
      <c r="M26" s="78">
        <f t="shared" si="8"/>
        <v>138997656.31349999</v>
      </c>
      <c r="N26" s="77">
        <v>0.46</v>
      </c>
      <c r="O26" s="78">
        <f t="shared" si="9"/>
        <v>426259479.36140001</v>
      </c>
      <c r="P26" s="77">
        <v>0.09</v>
      </c>
      <c r="Q26" s="78">
        <f t="shared" si="10"/>
        <v>83398593.788100004</v>
      </c>
      <c r="R26" s="77"/>
      <c r="S26" s="78">
        <f t="shared" si="11"/>
        <v>0</v>
      </c>
      <c r="T26" s="77">
        <v>0.01</v>
      </c>
      <c r="U26" s="57">
        <f t="shared" si="12"/>
        <v>9266510.4209000003</v>
      </c>
      <c r="Y26" s="12">
        <f>K26-'Nov24'!K26</f>
        <v>13238828.775900006</v>
      </c>
      <c r="Z26" s="12">
        <f>M26-'Nov24'!M26</f>
        <v>6847670.0564999878</v>
      </c>
      <c r="AA26" s="12">
        <f>O26-'Nov24'!O26</f>
        <v>20999521.506600022</v>
      </c>
      <c r="AB26" s="12">
        <f>Q26-'Nov24'!Q26</f>
        <v>-4701397.0498999953</v>
      </c>
      <c r="AC26" s="12">
        <f>+S26-'Nov24'!S26</f>
        <v>0</v>
      </c>
      <c r="AE26" s="28">
        <f>J26-'Nov24'!J26</f>
        <v>0</v>
      </c>
      <c r="AF26" s="28">
        <f>L26-'Nov24'!L26</f>
        <v>0</v>
      </c>
      <c r="AG26" s="28">
        <f>N26-'Nov24'!N26</f>
        <v>0</v>
      </c>
      <c r="AH26" s="28">
        <f>P26-'Nov24'!P26</f>
        <v>-1.0000000000000009E-2</v>
      </c>
      <c r="AI26" s="28">
        <f>R26-'Nov24'!R26</f>
        <v>0</v>
      </c>
      <c r="AK26" s="10">
        <f>I26-'Nov24'!I26</f>
        <v>45651133.710000038</v>
      </c>
      <c r="AL26" s="76">
        <f>I26/'Nov24'!I26-1</f>
        <v>5.1817410280943443E-2</v>
      </c>
    </row>
    <row r="27" spans="2:39" s="8" customFormat="1" x14ac:dyDescent="0.25">
      <c r="B27"/>
      <c r="C27"/>
      <c r="F27" s="7">
        <f t="shared" si="6"/>
        <v>1.0000000000000002</v>
      </c>
      <c r="H27" s="21" t="s">
        <v>45</v>
      </c>
      <c r="I27" s="20">
        <f>SUM(I17:I26)</f>
        <v>6296254504.54</v>
      </c>
      <c r="J27" s="15">
        <f>K27/$I$27</f>
        <v>0.24144902451962744</v>
      </c>
      <c r="K27" s="63">
        <f>SUM(K17:K26)</f>
        <v>1520224508.2484932</v>
      </c>
      <c r="L27" s="15">
        <f>M27/$I$27</f>
        <v>0.18702022549073169</v>
      </c>
      <c r="M27" s="62">
        <f>SUM(M17:M26)</f>
        <v>1177526937.186106</v>
      </c>
      <c r="N27" s="15">
        <f>O27/$I$27</f>
        <v>0.48112691997798185</v>
      </c>
      <c r="O27" s="63">
        <f>SUM(O17:O26)</f>
        <v>3029297537.1668243</v>
      </c>
      <c r="P27" s="15">
        <f>Q27/$I$27</f>
        <v>8.0783444013799194E-2</v>
      </c>
      <c r="Q27" s="63">
        <f>SUM(Q17:Q26)</f>
        <v>508633123.26413804</v>
      </c>
      <c r="R27" s="15">
        <f>S27/$I$27</f>
        <v>0</v>
      </c>
      <c r="S27" s="63">
        <f>SUM(S17:S26)</f>
        <v>0</v>
      </c>
      <c r="T27" s="15">
        <f>U27/$I$27</f>
        <v>9.6203859978599114E-3</v>
      </c>
      <c r="U27" s="17">
        <f>SUM(U17:U26)</f>
        <v>60572398.674439013</v>
      </c>
      <c r="Y27" s="12">
        <f>K27-'Nov24'!K27</f>
        <v>40368110.165155411</v>
      </c>
      <c r="Z27" s="12">
        <f>M27-'Nov24'!M27</f>
        <v>-25866831.349336147</v>
      </c>
      <c r="AA27" s="12">
        <f>O27-'Nov24'!O27</f>
        <v>71032856.187666893</v>
      </c>
      <c r="AB27" s="12">
        <f>Q27-'Nov24'!Q27</f>
        <v>-47366393.603473961</v>
      </c>
      <c r="AC27" s="12">
        <f>+S27-'Nov24'!S27</f>
        <v>-56562209.696784995</v>
      </c>
      <c r="AE27" s="28">
        <f>J27-'Nov24'!J27</f>
        <v>5.6293046173864769E-3</v>
      </c>
      <c r="AF27" s="28">
        <f>L27-'Nov24'!L27</f>
        <v>-4.7443144982010077E-3</v>
      </c>
      <c r="AG27" s="28">
        <f>N27-'Nov24'!N27</f>
        <v>9.7182418327724229E-3</v>
      </c>
      <c r="AH27" s="28">
        <f>P27-'Nov24'!P27</f>
        <v>-7.8168083507669378E-3</v>
      </c>
      <c r="AI27" s="28">
        <f>R27-'Nov24'!R27</f>
        <v>-9.0133640433107086E-3</v>
      </c>
      <c r="AK27" s="92">
        <f>I27-'Nov24'!I27</f>
        <v>20882798.149999619</v>
      </c>
      <c r="AL27" s="76">
        <f>I27/'Nov24'!I27-1</f>
        <v>3.327738837961558E-3</v>
      </c>
    </row>
    <row r="28" spans="2:39" x14ac:dyDescent="0.25">
      <c r="F28" s="7"/>
      <c r="I28" s="10"/>
      <c r="J28" s="10"/>
      <c r="K28" s="10"/>
      <c r="L28" s="5"/>
      <c r="M28" s="10"/>
      <c r="N28" s="10"/>
      <c r="O28" s="10"/>
      <c r="P28" s="5"/>
      <c r="Q28" s="10"/>
    </row>
    <row r="29" spans="2:39" x14ac:dyDescent="0.25">
      <c r="F29" s="7"/>
      <c r="H29" s="4" t="s">
        <v>38</v>
      </c>
      <c r="I29" s="9" t="s">
        <v>4</v>
      </c>
      <c r="J29" s="113" t="s">
        <v>7</v>
      </c>
      <c r="K29" s="113"/>
      <c r="L29" s="112" t="s">
        <v>8</v>
      </c>
      <c r="M29" s="112"/>
      <c r="N29" s="112" t="s">
        <v>10</v>
      </c>
      <c r="O29" s="112"/>
      <c r="P29" s="112" t="s">
        <v>9</v>
      </c>
      <c r="Q29" s="112"/>
      <c r="R29" s="112" t="s">
        <v>40</v>
      </c>
      <c r="S29" s="112"/>
      <c r="T29" s="112" t="s">
        <v>55</v>
      </c>
      <c r="U29" s="112"/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  <c r="AE29" s="27" t="s">
        <v>49</v>
      </c>
      <c r="AF29" s="27" t="s">
        <v>50</v>
      </c>
      <c r="AG29" s="27" t="s">
        <v>51</v>
      </c>
      <c r="AH29" s="27" t="s">
        <v>52</v>
      </c>
      <c r="AI29" s="27" t="s">
        <v>54</v>
      </c>
    </row>
    <row r="30" spans="2:39" x14ac:dyDescent="0.25">
      <c r="E30" s="98"/>
      <c r="F30" s="7">
        <f>J30+L30+N30+P30+R30+T30</f>
        <v>1</v>
      </c>
      <c r="G30" s="98"/>
      <c r="H30" s="21" t="s">
        <v>39</v>
      </c>
      <c r="I30" s="87">
        <v>240647649.69999999</v>
      </c>
      <c r="J30" s="81">
        <v>7.5999999999999998E-2</v>
      </c>
      <c r="K30" s="80">
        <f t="shared" ref="K30:K35" si="13">+J30*$I30</f>
        <v>18289221.3772</v>
      </c>
      <c r="L30" s="81">
        <v>0.23200000000000001</v>
      </c>
      <c r="M30" s="80">
        <f t="shared" ref="M30:M35" si="14">+L30*$I30</f>
        <v>55830254.730400003</v>
      </c>
      <c r="N30" s="81">
        <v>0.51</v>
      </c>
      <c r="O30" s="80">
        <f t="shared" ref="O30:O35" si="15">+N30*$I30</f>
        <v>122730301.347</v>
      </c>
      <c r="P30" s="81">
        <v>9.9000000000000005E-2</v>
      </c>
      <c r="Q30" s="80">
        <f t="shared" ref="Q30:Q35" si="16">+P30*$I30</f>
        <v>23824117.320300002</v>
      </c>
      <c r="R30" s="88">
        <v>0.04</v>
      </c>
      <c r="S30" s="80">
        <f t="shared" ref="S30:S35" si="17">+R30*$I30</f>
        <v>9625905.9879999999</v>
      </c>
      <c r="T30" s="81">
        <v>4.2999999999999997E-2</v>
      </c>
      <c r="U30" s="65">
        <f t="shared" ref="U30:U35" si="18">+T30*$I30</f>
        <v>10347848.937099999</v>
      </c>
      <c r="V30" s="98"/>
      <c r="Y30" s="12">
        <f>K30-'Nov24'!K30</f>
        <v>9376694.7574899979</v>
      </c>
      <c r="Z30" s="12">
        <f>M30-'Nov24'!M30</f>
        <v>-53695.966159999371</v>
      </c>
      <c r="AA30" s="12">
        <f>O30-'Nov24'!O30</f>
        <v>-10957597.948650017</v>
      </c>
      <c r="AB30" s="12">
        <f>Q30-'Nov24'!Q30</f>
        <v>217965.73296000063</v>
      </c>
      <c r="AC30" s="12">
        <f>+S30-'Nov24'!S30</f>
        <v>-3381565.2948200013</v>
      </c>
      <c r="AD30" s="98"/>
      <c r="AE30" s="28">
        <f>J30-'Nov24'!J30</f>
        <v>3.8999999999999993E-2</v>
      </c>
      <c r="AF30" s="28">
        <f>L30-'Nov24'!L30</f>
        <v>0</v>
      </c>
      <c r="AG30" s="28">
        <f>N30-'Nov24'!N30</f>
        <v>-4.500000000000004E-2</v>
      </c>
      <c r="AH30" s="28">
        <f>P30-'Nov24'!P30</f>
        <v>1.0000000000000009E-3</v>
      </c>
      <c r="AI30" s="28">
        <f>R30-'Nov24'!R30</f>
        <v>-1.3999999999999999E-2</v>
      </c>
      <c r="AJ30" s="98"/>
      <c r="AK30" s="10">
        <f>I30-'Nov24'!I30</f>
        <v>-231448.13000002503</v>
      </c>
      <c r="AL30" s="76">
        <f>I30/'Nov24'!I30-1</f>
        <v>-9.6084771192295193E-4</v>
      </c>
      <c r="AM30" s="98"/>
    </row>
    <row r="31" spans="2:39" hidden="1" outlineLevel="1" x14ac:dyDescent="0.25">
      <c r="F31" s="7">
        <f t="shared" si="6"/>
        <v>0</v>
      </c>
      <c r="H31" s="3" t="s">
        <v>56</v>
      </c>
      <c r="I31" s="78"/>
      <c r="J31" s="77"/>
      <c r="K31" s="78">
        <f t="shared" si="13"/>
        <v>0</v>
      </c>
      <c r="L31" s="77"/>
      <c r="M31" s="78">
        <f t="shared" si="14"/>
        <v>0</v>
      </c>
      <c r="N31" s="77"/>
      <c r="O31" s="78">
        <f t="shared" si="15"/>
        <v>0</v>
      </c>
      <c r="P31" s="77"/>
      <c r="Q31" s="78">
        <f t="shared" si="16"/>
        <v>0</v>
      </c>
      <c r="R31" s="77"/>
      <c r="S31" s="78">
        <f t="shared" si="17"/>
        <v>0</v>
      </c>
      <c r="T31" s="77"/>
      <c r="U31" s="72">
        <f t="shared" si="18"/>
        <v>0</v>
      </c>
      <c r="Y31" s="12">
        <f>K31-'Nov24'!K31</f>
        <v>0</v>
      </c>
      <c r="Z31" s="12">
        <f>M31-'Nov24'!M31</f>
        <v>0</v>
      </c>
      <c r="AA31" s="12">
        <f>O31-'Nov24'!O31</f>
        <v>0</v>
      </c>
      <c r="AB31" s="12">
        <f>Q31-'Nov24'!Q31</f>
        <v>0</v>
      </c>
      <c r="AC31" s="12">
        <f>+S31-'Nov24'!S31</f>
        <v>0</v>
      </c>
      <c r="AE31" s="28">
        <f>J31-'Nov24'!J31</f>
        <v>0</v>
      </c>
      <c r="AF31" s="28">
        <f>L31-'Nov24'!L31</f>
        <v>0</v>
      </c>
      <c r="AG31" s="28">
        <f>N31-'Nov24'!N31</f>
        <v>0</v>
      </c>
      <c r="AH31" s="28">
        <f>P31-'Nov24'!P31</f>
        <v>0</v>
      </c>
      <c r="AI31" s="28">
        <f>R31-'Nov24'!R31</f>
        <v>0</v>
      </c>
      <c r="AK31" s="10">
        <f>I31-'Nov24'!I31</f>
        <v>0</v>
      </c>
      <c r="AL31" s="76" t="e">
        <f>I31/'Nov24'!I31-1</f>
        <v>#DIV/0!</v>
      </c>
    </row>
    <row r="32" spans="2:39" collapsed="1" x14ac:dyDescent="0.25">
      <c r="F32" s="7">
        <f t="shared" si="6"/>
        <v>1</v>
      </c>
      <c r="H32" s="3" t="s">
        <v>42</v>
      </c>
      <c r="I32" s="84">
        <v>258264431</v>
      </c>
      <c r="J32" s="77">
        <v>0.15</v>
      </c>
      <c r="K32" s="78">
        <f t="shared" si="13"/>
        <v>38739664.649999999</v>
      </c>
      <c r="L32" s="77">
        <v>0.17</v>
      </c>
      <c r="M32" s="78">
        <f t="shared" si="14"/>
        <v>43904953.270000003</v>
      </c>
      <c r="N32" s="77">
        <v>0.4</v>
      </c>
      <c r="O32" s="78">
        <f t="shared" si="15"/>
        <v>103305772.40000001</v>
      </c>
      <c r="P32" s="77">
        <v>0.03</v>
      </c>
      <c r="Q32" s="78">
        <f t="shared" si="16"/>
        <v>7747932.9299999997</v>
      </c>
      <c r="R32" s="77">
        <v>0.2</v>
      </c>
      <c r="S32" s="78">
        <f t="shared" si="17"/>
        <v>51652886.200000003</v>
      </c>
      <c r="T32" s="77">
        <v>0.05</v>
      </c>
      <c r="U32" s="72">
        <f t="shared" si="18"/>
        <v>12913221.550000001</v>
      </c>
      <c r="Y32" s="12">
        <f>K32-'Nov24'!K32</f>
        <v>12343183.649999999</v>
      </c>
      <c r="Z32" s="12">
        <f>M32-'Nov24'!M32</f>
        <v>12229176.070000004</v>
      </c>
      <c r="AA32" s="12">
        <f>O32-'Nov24'!O32</f>
        <v>-41874873.099999994</v>
      </c>
      <c r="AB32" s="12">
        <f>Q32-'Nov24'!Q32</f>
        <v>-171011.37000000011</v>
      </c>
      <c r="AC32" s="12">
        <f>+S32-'Nov24'!S32</f>
        <v>12058164.700000003</v>
      </c>
      <c r="AE32" s="28">
        <f>J32-'Nov24'!J32</f>
        <v>4.9999999999999989E-2</v>
      </c>
      <c r="AF32" s="28">
        <f>L32-'Nov24'!L32</f>
        <v>5.0000000000000017E-2</v>
      </c>
      <c r="AG32" s="28">
        <f>N32-'Nov24'!N32</f>
        <v>-0.15000000000000002</v>
      </c>
      <c r="AH32" s="28">
        <f>P32-'Nov24'!P32</f>
        <v>0</v>
      </c>
      <c r="AI32" s="28">
        <f>R32-'Nov24'!R32</f>
        <v>5.0000000000000017E-2</v>
      </c>
      <c r="AK32" s="10">
        <f>I32-'Nov24'!I32</f>
        <v>-5700379</v>
      </c>
      <c r="AL32" s="76">
        <f>I32/'Nov24'!I32-1</f>
        <v>-2.1595223242067751E-2</v>
      </c>
    </row>
    <row r="33" spans="6:38" x14ac:dyDescent="0.25">
      <c r="F33" s="7">
        <f t="shared" si="6"/>
        <v>1</v>
      </c>
      <c r="H33" s="3" t="s">
        <v>69</v>
      </c>
      <c r="I33" s="84">
        <v>494815267.54000002</v>
      </c>
      <c r="J33" s="77">
        <v>0.15</v>
      </c>
      <c r="K33" s="78">
        <f t="shared" si="13"/>
        <v>74222290.130999997</v>
      </c>
      <c r="L33" s="77">
        <v>0.06</v>
      </c>
      <c r="M33" s="78">
        <f t="shared" si="14"/>
        <v>29688916.0524</v>
      </c>
      <c r="N33" s="77">
        <v>0.62</v>
      </c>
      <c r="O33" s="78">
        <f t="shared" si="15"/>
        <v>306785465.87480003</v>
      </c>
      <c r="P33" s="77">
        <v>0.16</v>
      </c>
      <c r="Q33" s="78">
        <f t="shared" si="16"/>
        <v>79170442.806400001</v>
      </c>
      <c r="R33" s="77"/>
      <c r="S33" s="78">
        <f t="shared" si="17"/>
        <v>0</v>
      </c>
      <c r="T33" s="77">
        <v>0.01</v>
      </c>
      <c r="U33" s="72">
        <f t="shared" si="18"/>
        <v>4948152.6754000001</v>
      </c>
      <c r="Y33" s="12">
        <f>K33-'Nov24'!K33</f>
        <v>-11885355.235199988</v>
      </c>
      <c r="Z33" s="12">
        <f>M33-'Nov24'!M33</f>
        <v>986367.59700000286</v>
      </c>
      <c r="AA33" s="12">
        <f>O33-'Nov24'!O33</f>
        <v>48462529.776200026</v>
      </c>
      <c r="AB33" s="12">
        <f>Q33-'Nov24'!Q33</f>
        <v>-2153444.4838999957</v>
      </c>
      <c r="AC33" s="12">
        <f>+S33-'Nov24'!S33</f>
        <v>0</v>
      </c>
      <c r="AE33" s="28">
        <f>J33-'Nov24'!J33</f>
        <v>-0.03</v>
      </c>
      <c r="AF33" s="28">
        <f>L33-'Nov24'!L33</f>
        <v>0</v>
      </c>
      <c r="AG33" s="28">
        <f>N33-'Nov24'!N33</f>
        <v>7.999999999999996E-2</v>
      </c>
      <c r="AH33" s="28">
        <f>P33-'Nov24'!P33</f>
        <v>-1.0000000000000009E-2</v>
      </c>
      <c r="AI33" s="28">
        <f>R33-'Nov24'!R33</f>
        <v>0</v>
      </c>
      <c r="AK33" s="10">
        <f>I33-'Nov24'!I33</f>
        <v>16439459.950000048</v>
      </c>
      <c r="AL33" s="76">
        <f>I33/'Nov24'!I33-1</f>
        <v>3.4365157453969175E-2</v>
      </c>
    </row>
    <row r="34" spans="6:38" x14ac:dyDescent="0.25">
      <c r="F34" s="7">
        <f t="shared" si="6"/>
        <v>1</v>
      </c>
      <c r="H34" s="3" t="s">
        <v>44</v>
      </c>
      <c r="I34" s="84">
        <v>65973471.340000004</v>
      </c>
      <c r="J34" s="77">
        <v>0.2</v>
      </c>
      <c r="K34" s="78">
        <f t="shared" si="13"/>
        <v>13194694.268000001</v>
      </c>
      <c r="L34" s="77">
        <v>0.04</v>
      </c>
      <c r="M34" s="78">
        <f t="shared" si="14"/>
        <v>2638938.8536</v>
      </c>
      <c r="N34" s="77">
        <v>0.6</v>
      </c>
      <c r="O34" s="78">
        <f t="shared" si="15"/>
        <v>39584082.803999998</v>
      </c>
      <c r="P34" s="77">
        <v>0.02</v>
      </c>
      <c r="Q34" s="78">
        <f t="shared" si="16"/>
        <v>1319469.4268</v>
      </c>
      <c r="R34" s="77">
        <v>0.14000000000000001</v>
      </c>
      <c r="S34" s="78">
        <f t="shared" si="17"/>
        <v>9236285.9876000006</v>
      </c>
      <c r="T34" s="77"/>
      <c r="U34" s="72">
        <f t="shared" si="18"/>
        <v>0</v>
      </c>
      <c r="Y34" s="12">
        <f>K34-'Nov24'!K34</f>
        <v>-3335305.7319999989</v>
      </c>
      <c r="Z34" s="12">
        <f>M34-'Nov24'!M34</f>
        <v>1536938.8536</v>
      </c>
      <c r="AA34" s="12">
        <f>O34-'Nov24'!O34</f>
        <v>10381082.803999998</v>
      </c>
      <c r="AB34" s="12">
        <f>Q34-'Nov24'!Q34</f>
        <v>1319469.4268</v>
      </c>
      <c r="AC34" s="12">
        <f>+S34-'Nov24'!S34</f>
        <v>971285.98760000058</v>
      </c>
      <c r="AE34" s="28">
        <f>J34-'Nov24'!J34</f>
        <v>-9.9999999999999978E-2</v>
      </c>
      <c r="AF34" s="28">
        <f>L34-'Nov24'!L34</f>
        <v>0.02</v>
      </c>
      <c r="AG34" s="28">
        <f>N34-'Nov24'!N34</f>
        <v>6.9999999999999951E-2</v>
      </c>
      <c r="AH34" s="28">
        <f>P34-'Nov24'!P34</f>
        <v>0.02</v>
      </c>
      <c r="AI34" s="28">
        <f>R34-'Nov24'!R34</f>
        <v>-9.9999999999999811E-3</v>
      </c>
      <c r="AK34" s="10">
        <f>I34-'Nov24'!I34</f>
        <v>10873471.340000004</v>
      </c>
      <c r="AL34" s="76">
        <f>I34/'Nov24'!I34-1</f>
        <v>0.19734067767695107</v>
      </c>
    </row>
    <row r="35" spans="6:38" x14ac:dyDescent="0.25">
      <c r="F35" s="7">
        <f t="shared" si="6"/>
        <v>0.99999999999999989</v>
      </c>
      <c r="H35" s="3" t="s">
        <v>66</v>
      </c>
      <c r="I35" s="84">
        <v>287300000</v>
      </c>
      <c r="J35" s="77">
        <v>0.09</v>
      </c>
      <c r="K35" s="78">
        <f t="shared" si="13"/>
        <v>25857000</v>
      </c>
      <c r="L35" s="77"/>
      <c r="M35" s="78">
        <f t="shared" si="14"/>
        <v>0</v>
      </c>
      <c r="N35" s="77">
        <v>0.49</v>
      </c>
      <c r="O35" s="78">
        <f t="shared" si="15"/>
        <v>140777000</v>
      </c>
      <c r="P35" s="77">
        <v>0.28999999999999998</v>
      </c>
      <c r="Q35" s="78">
        <f t="shared" si="16"/>
        <v>83317000</v>
      </c>
      <c r="R35" s="77">
        <v>0.13</v>
      </c>
      <c r="S35" s="78">
        <f t="shared" si="17"/>
        <v>37349000</v>
      </c>
      <c r="T35" s="77"/>
      <c r="U35" s="72">
        <f t="shared" si="18"/>
        <v>0</v>
      </c>
      <c r="Y35" s="12">
        <f>K35-'Nov24'!K35</f>
        <v>1193000</v>
      </c>
      <c r="Z35" s="12">
        <f>M35-'Nov24'!M35</f>
        <v>-12332000</v>
      </c>
      <c r="AA35" s="12">
        <f>O35-'Nov24'!O35</f>
        <v>-7207000</v>
      </c>
      <c r="AB35" s="12">
        <f>Q35-'Nov24'!Q35</f>
        <v>-3007000.0000000149</v>
      </c>
      <c r="AC35" s="12">
        <f>+S35-'Nov24'!S35</f>
        <v>3436000</v>
      </c>
      <c r="AE35" s="28">
        <f>J35-'Nov24'!J35</f>
        <v>9.999999999999995E-3</v>
      </c>
      <c r="AF35" s="28">
        <f>L35-'Nov24'!L35</f>
        <v>-0.04</v>
      </c>
      <c r="AG35" s="28">
        <f>N35-'Nov24'!N35</f>
        <v>1.0000000000000009E-2</v>
      </c>
      <c r="AH35" s="28">
        <f>P35-'Nov24'!P35</f>
        <v>9.9999999999999534E-3</v>
      </c>
      <c r="AI35" s="28">
        <f>R35-'Nov24'!R35</f>
        <v>2.0000000000000004E-2</v>
      </c>
      <c r="AK35" s="10">
        <f>I35-'Nov24'!I35</f>
        <v>-21000000</v>
      </c>
      <c r="AL35" s="76">
        <f>I35/'Nov24'!I35-1</f>
        <v>-6.8115471942912786E-2</v>
      </c>
    </row>
    <row r="36" spans="6:38" s="8" customFormat="1" x14ac:dyDescent="0.25">
      <c r="F36" s="7">
        <f t="shared" si="6"/>
        <v>1</v>
      </c>
      <c r="H36" s="3" t="s">
        <v>45</v>
      </c>
      <c r="I36" s="17">
        <f>SUM(I30:I35)</f>
        <v>1347000819.5799999</v>
      </c>
      <c r="J36" s="15">
        <f>+K36/$I$36</f>
        <v>0.12643115575779762</v>
      </c>
      <c r="K36" s="17">
        <f>SUM(K30:K35)</f>
        <v>170302870.4262</v>
      </c>
      <c r="L36" s="15">
        <f>+M36/$I$36</f>
        <v>9.8042303305782522E-2</v>
      </c>
      <c r="M36" s="17">
        <f>SUM(M30:M35)</f>
        <v>132063062.9064</v>
      </c>
      <c r="N36" s="15">
        <f>+O36/$I$36</f>
        <v>0.52945967965199392</v>
      </c>
      <c r="O36" s="17">
        <f>SUM(O30:O35)</f>
        <v>713182622.42580009</v>
      </c>
      <c r="P36" s="15">
        <f>+Q36/$I$36</f>
        <v>0.14504739688608351</v>
      </c>
      <c r="Q36" s="17">
        <f>SUM(Q30:Q35)</f>
        <v>195378962.4835</v>
      </c>
      <c r="R36" s="15">
        <f>+S36/$I$36</f>
        <v>8.0077217925696914E-2</v>
      </c>
      <c r="S36" s="17">
        <f>SUM(S30:S35)</f>
        <v>107864078.17560001</v>
      </c>
      <c r="T36" s="15">
        <f>+U36/$I$36</f>
        <v>2.0942246472645608E-2</v>
      </c>
      <c r="U36" s="63">
        <f>SUM(U30:U35)</f>
        <v>28209223.162499998</v>
      </c>
      <c r="Y36" s="12">
        <f>K36-'Nov24'!K36</f>
        <v>7692217.440290004</v>
      </c>
      <c r="Z36" s="12">
        <f>M36-'Nov24'!M36</f>
        <v>2366786.5544399917</v>
      </c>
      <c r="AA36" s="12">
        <f>O36-'Nov24'!O36</f>
        <v>-1195858.4684499502</v>
      </c>
      <c r="AB36" s="12">
        <f>Q36-'Nov24'!Q36</f>
        <v>-3794020.694140017</v>
      </c>
      <c r="AC36" s="12">
        <f>+S36-'Nov24'!S36</f>
        <v>13083885.392780006</v>
      </c>
      <c r="AE36" s="28">
        <f>J36-'Nov24'!J36</f>
        <v>5.676460780535228E-3</v>
      </c>
      <c r="AF36" s="28">
        <f>L36-'Nov24'!L36</f>
        <v>1.7298292889374872E-3</v>
      </c>
      <c r="AG36" s="28">
        <f>N36-'Nov24'!N36</f>
        <v>-1.0378860036827087E-3</v>
      </c>
      <c r="AH36" s="28">
        <f>P36-'Nov24'!P36</f>
        <v>-2.8584899035804523E-3</v>
      </c>
      <c r="AI36" s="28">
        <f>R36-'Nov24'!R36</f>
        <v>9.6934327356376637E-3</v>
      </c>
      <c r="AK36" s="92">
        <f>I36-'Nov24'!I36</f>
        <v>381104.15999984741</v>
      </c>
      <c r="AL36" s="76">
        <f>I36/'Nov24'!I36-1</f>
        <v>2.8300800562752748E-4</v>
      </c>
    </row>
    <row r="37" spans="6:38" x14ac:dyDescent="0.25">
      <c r="F37" s="7"/>
    </row>
    <row r="38" spans="6:38" x14ac:dyDescent="0.25">
      <c r="F38" s="7"/>
      <c r="K38"/>
    </row>
    <row r="39" spans="6:38" x14ac:dyDescent="0.25">
      <c r="F39" s="7"/>
      <c r="J39" s="38"/>
    </row>
    <row r="40" spans="6:38" x14ac:dyDescent="0.25">
      <c r="F40" s="7"/>
      <c r="I40" s="30"/>
      <c r="J40" s="35"/>
    </row>
    <row r="41" spans="6:38" x14ac:dyDescent="0.25">
      <c r="F41" s="7"/>
      <c r="I41" s="37"/>
      <c r="J41" s="35"/>
    </row>
    <row r="42" spans="6:38" x14ac:dyDescent="0.25">
      <c r="F42" s="7"/>
      <c r="I42" s="37"/>
      <c r="J42" s="35"/>
    </row>
    <row r="43" spans="6:38" x14ac:dyDescent="0.25">
      <c r="F43" s="7"/>
      <c r="I43" s="37"/>
      <c r="J43" s="35"/>
    </row>
    <row r="44" spans="6:38" x14ac:dyDescent="0.25">
      <c r="F44" s="7"/>
      <c r="I44" s="37"/>
      <c r="J44" s="35"/>
    </row>
    <row r="45" spans="6:38" x14ac:dyDescent="0.25">
      <c r="F45" s="7"/>
      <c r="I45" s="37"/>
      <c r="J45" s="35"/>
      <c r="K45" s="37"/>
    </row>
    <row r="46" spans="6:38" x14ac:dyDescent="0.25">
      <c r="F46" s="7"/>
      <c r="I46" s="37"/>
      <c r="J46" s="35"/>
    </row>
    <row r="47" spans="6:38" x14ac:dyDescent="0.25">
      <c r="F47" s="7"/>
      <c r="I47" s="37"/>
      <c r="J47" s="35"/>
    </row>
    <row r="48" spans="6:38" x14ac:dyDescent="0.25">
      <c r="F48" s="7"/>
      <c r="I48" s="37"/>
      <c r="J48" s="35"/>
    </row>
    <row r="49" spans="9:10" x14ac:dyDescent="0.25">
      <c r="I49" s="37"/>
      <c r="J49" s="35"/>
    </row>
    <row r="50" spans="9:10" x14ac:dyDescent="0.25">
      <c r="I50" s="37"/>
      <c r="J50" s="35"/>
    </row>
    <row r="51" spans="9:10" x14ac:dyDescent="0.25">
      <c r="I51" s="37"/>
      <c r="J51" s="35"/>
    </row>
    <row r="52" spans="9:10" x14ac:dyDescent="0.25">
      <c r="I52" s="37"/>
      <c r="J52" s="35"/>
    </row>
    <row r="53" spans="9:10" x14ac:dyDescent="0.25">
      <c r="I53" s="37"/>
      <c r="J53" s="35"/>
    </row>
    <row r="54" spans="9:10" x14ac:dyDescent="0.25">
      <c r="I54" s="37"/>
      <c r="J54" s="35"/>
    </row>
    <row r="55" spans="9:10" x14ac:dyDescent="0.25">
      <c r="I55" s="37"/>
      <c r="J55" s="35"/>
    </row>
    <row r="56" spans="9:10" x14ac:dyDescent="0.25">
      <c r="I56" s="37"/>
      <c r="J56" s="35"/>
    </row>
    <row r="57" spans="9:10" x14ac:dyDescent="0.25">
      <c r="I57" s="37"/>
      <c r="J57" s="35"/>
    </row>
    <row r="58" spans="9:10" x14ac:dyDescent="0.25">
      <c r="I58" s="37"/>
      <c r="J58" s="35"/>
    </row>
    <row r="59" spans="9:10" x14ac:dyDescent="0.25">
      <c r="I59" s="37"/>
      <c r="J59" s="35"/>
    </row>
    <row r="60" spans="9:10" x14ac:dyDescent="0.25">
      <c r="I60" s="37"/>
      <c r="J60" s="35"/>
    </row>
    <row r="61" spans="9:10" x14ac:dyDescent="0.25">
      <c r="I61" s="37"/>
      <c r="J61" s="35"/>
    </row>
    <row r="62" spans="9:10" x14ac:dyDescent="0.25">
      <c r="I62" s="37"/>
      <c r="J62" s="35"/>
    </row>
    <row r="63" spans="9:10" x14ac:dyDescent="0.25">
      <c r="I63" s="37"/>
      <c r="J63" s="35"/>
    </row>
    <row r="64" spans="9:10" x14ac:dyDescent="0.25">
      <c r="I64" s="37"/>
      <c r="J64" s="35"/>
    </row>
    <row r="65" spans="9:10" x14ac:dyDescent="0.25">
      <c r="I65" s="37"/>
      <c r="J65" s="35"/>
    </row>
    <row r="66" spans="9:10" x14ac:dyDescent="0.25">
      <c r="I66" s="37"/>
      <c r="J66" s="35"/>
    </row>
    <row r="67" spans="9:10" x14ac:dyDescent="0.25">
      <c r="I67" s="37"/>
      <c r="J67" s="35"/>
    </row>
    <row r="68" spans="9:10" x14ac:dyDescent="0.25">
      <c r="I68" s="37"/>
      <c r="J68" s="35"/>
    </row>
    <row r="69" spans="9:10" x14ac:dyDescent="0.25">
      <c r="I69" s="37"/>
      <c r="J69" s="35"/>
    </row>
    <row r="70" spans="9:10" x14ac:dyDescent="0.25">
      <c r="I70" s="37"/>
      <c r="J70" s="35"/>
    </row>
    <row r="71" spans="9:10" x14ac:dyDescent="0.25">
      <c r="I71" s="37"/>
      <c r="J71" s="35"/>
    </row>
    <row r="72" spans="9:10" x14ac:dyDescent="0.25">
      <c r="I72" s="37"/>
      <c r="J72" s="35"/>
    </row>
    <row r="73" spans="9:10" x14ac:dyDescent="0.25">
      <c r="I73" s="37"/>
      <c r="J73" s="35"/>
    </row>
    <row r="74" spans="9:10" x14ac:dyDescent="0.25">
      <c r="I74" s="37"/>
      <c r="J74" s="35"/>
    </row>
    <row r="75" spans="9:10" x14ac:dyDescent="0.25">
      <c r="I75" s="37"/>
      <c r="J75" s="35"/>
    </row>
    <row r="76" spans="9:10" x14ac:dyDescent="0.25">
      <c r="I76" s="37"/>
      <c r="J76" s="35"/>
    </row>
    <row r="77" spans="9:10" x14ac:dyDescent="0.25">
      <c r="I77" s="37"/>
      <c r="J77" s="35"/>
    </row>
    <row r="78" spans="9:10" x14ac:dyDescent="0.25">
      <c r="I78" s="37"/>
      <c r="J78" s="35"/>
    </row>
    <row r="79" spans="9:10" x14ac:dyDescent="0.25">
      <c r="I79" s="37"/>
      <c r="J79" s="35"/>
    </row>
    <row r="80" spans="9:10" x14ac:dyDescent="0.25">
      <c r="I80" s="37"/>
      <c r="J80" s="35"/>
    </row>
    <row r="81" spans="9:10" x14ac:dyDescent="0.25">
      <c r="I81" s="37"/>
      <c r="J81" s="35"/>
    </row>
    <row r="82" spans="9:10" x14ac:dyDescent="0.25">
      <c r="I82" s="37"/>
      <c r="J82" s="35"/>
    </row>
    <row r="83" spans="9:10" x14ac:dyDescent="0.25">
      <c r="I83" s="37"/>
      <c r="J83" s="35"/>
    </row>
    <row r="84" spans="9:10" x14ac:dyDescent="0.25">
      <c r="I84" s="37"/>
      <c r="J84" s="35"/>
    </row>
    <row r="85" spans="9:10" x14ac:dyDescent="0.25">
      <c r="I85" s="37"/>
      <c r="J85" s="35"/>
    </row>
    <row r="86" spans="9:10" x14ac:dyDescent="0.25">
      <c r="I86" s="37"/>
      <c r="J86" s="35"/>
    </row>
    <row r="87" spans="9:10" x14ac:dyDescent="0.25">
      <c r="I87" s="37"/>
      <c r="J87" s="35"/>
    </row>
    <row r="88" spans="9:10" x14ac:dyDescent="0.25">
      <c r="I88" s="37"/>
      <c r="J88" s="35"/>
    </row>
    <row r="89" spans="9:10" x14ac:dyDescent="0.25">
      <c r="I89" s="37"/>
      <c r="J89" s="35"/>
    </row>
    <row r="90" spans="9:10" x14ac:dyDescent="0.25">
      <c r="I90" s="37"/>
      <c r="J90" s="35"/>
    </row>
    <row r="91" spans="9:10" x14ac:dyDescent="0.25">
      <c r="I91" s="37"/>
      <c r="J91" s="35"/>
    </row>
    <row r="92" spans="9:10" x14ac:dyDescent="0.25">
      <c r="I92" s="37"/>
      <c r="J92" s="35"/>
    </row>
    <row r="93" spans="9:10" x14ac:dyDescent="0.25">
      <c r="I93" s="37"/>
      <c r="J93" s="35"/>
    </row>
    <row r="94" spans="9:10" x14ac:dyDescent="0.25">
      <c r="I94" s="37"/>
      <c r="J94" s="35"/>
    </row>
    <row r="95" spans="9:10" x14ac:dyDescent="0.25">
      <c r="I95" s="37"/>
      <c r="J95" s="35"/>
    </row>
    <row r="96" spans="9:10" x14ac:dyDescent="0.25">
      <c r="I96" s="37"/>
      <c r="J96" s="35"/>
    </row>
    <row r="97" spans="9:10" x14ac:dyDescent="0.25">
      <c r="I97" s="37"/>
      <c r="J97" s="35"/>
    </row>
    <row r="98" spans="9:10" x14ac:dyDescent="0.25">
      <c r="I98" s="37"/>
      <c r="J98" s="35"/>
    </row>
    <row r="99" spans="9:10" x14ac:dyDescent="0.25">
      <c r="I99" s="37"/>
      <c r="J99" s="35"/>
    </row>
    <row r="100" spans="9:10" x14ac:dyDescent="0.25">
      <c r="I100" s="37"/>
      <c r="J100" s="35"/>
    </row>
    <row r="101" spans="9:10" x14ac:dyDescent="0.25">
      <c r="I101" s="37"/>
      <c r="J101" s="35"/>
    </row>
    <row r="102" spans="9:10" x14ac:dyDescent="0.25">
      <c r="I102" s="37"/>
      <c r="J102" s="35"/>
    </row>
    <row r="103" spans="9:10" x14ac:dyDescent="0.25">
      <c r="I103" s="37"/>
      <c r="J103" s="35"/>
    </row>
    <row r="104" spans="9:10" x14ac:dyDescent="0.25">
      <c r="I104" s="37"/>
      <c r="J104" s="35"/>
    </row>
    <row r="105" spans="9:10" x14ac:dyDescent="0.25">
      <c r="I105" s="37"/>
      <c r="J105" s="35"/>
    </row>
    <row r="106" spans="9:10" x14ac:dyDescent="0.25">
      <c r="I106" s="37"/>
      <c r="J106" s="35"/>
    </row>
    <row r="107" spans="9:10" x14ac:dyDescent="0.25">
      <c r="I107" s="37"/>
      <c r="J107" s="35"/>
    </row>
    <row r="108" spans="9:10" x14ac:dyDescent="0.25">
      <c r="I108" s="37"/>
      <c r="J108" s="35"/>
    </row>
    <row r="109" spans="9:10" x14ac:dyDescent="0.25">
      <c r="I109" s="37"/>
      <c r="J109" s="35"/>
    </row>
    <row r="110" spans="9:10" x14ac:dyDescent="0.25">
      <c r="I110" s="37"/>
      <c r="J110" s="35"/>
    </row>
    <row r="111" spans="9:10" x14ac:dyDescent="0.25">
      <c r="I111" s="37"/>
      <c r="J111" s="35"/>
    </row>
    <row r="112" spans="9:10" x14ac:dyDescent="0.25">
      <c r="I112" s="37"/>
      <c r="J112" s="35"/>
    </row>
    <row r="113" spans="9:10" x14ac:dyDescent="0.25">
      <c r="I113" s="37"/>
      <c r="J113" s="35"/>
    </row>
    <row r="114" spans="9:10" x14ac:dyDescent="0.25">
      <c r="I114" s="37"/>
      <c r="J114" s="35"/>
    </row>
    <row r="115" spans="9:10" x14ac:dyDescent="0.25">
      <c r="I115" s="37"/>
      <c r="J115" s="35"/>
    </row>
    <row r="116" spans="9:10" x14ac:dyDescent="0.25">
      <c r="I116" s="37"/>
      <c r="J116" s="35"/>
    </row>
    <row r="117" spans="9:10" x14ac:dyDescent="0.25">
      <c r="I117" s="37"/>
      <c r="J117" s="35"/>
    </row>
    <row r="118" spans="9:10" x14ac:dyDescent="0.25">
      <c r="I118" s="37"/>
      <c r="J118" s="35"/>
    </row>
    <row r="119" spans="9:10" x14ac:dyDescent="0.25">
      <c r="I119" s="37"/>
      <c r="J119" s="35"/>
    </row>
    <row r="120" spans="9:10" x14ac:dyDescent="0.25">
      <c r="I120" s="37"/>
      <c r="J120" s="35"/>
    </row>
    <row r="121" spans="9:10" x14ac:dyDescent="0.25">
      <c r="I121" s="37"/>
      <c r="J121" s="35"/>
    </row>
    <row r="122" spans="9:10" x14ac:dyDescent="0.25">
      <c r="I122" s="37"/>
      <c r="J122" s="35"/>
    </row>
    <row r="123" spans="9:10" x14ac:dyDescent="0.25">
      <c r="I123" s="37"/>
      <c r="J123" s="35"/>
    </row>
    <row r="124" spans="9:10" x14ac:dyDescent="0.25">
      <c r="I124" s="37"/>
      <c r="J124" s="35"/>
    </row>
    <row r="125" spans="9:10" x14ac:dyDescent="0.25">
      <c r="I125" s="37"/>
      <c r="J125" s="35"/>
    </row>
    <row r="126" spans="9:10" x14ac:dyDescent="0.25">
      <c r="I126" s="37"/>
      <c r="J126" s="35"/>
    </row>
    <row r="127" spans="9:10" x14ac:dyDescent="0.25">
      <c r="I127" s="37"/>
      <c r="J127" s="35"/>
    </row>
    <row r="128" spans="9:10" x14ac:dyDescent="0.25">
      <c r="I128" s="37"/>
      <c r="J128" s="35"/>
    </row>
    <row r="129" spans="9:10" x14ac:dyDescent="0.25">
      <c r="I129" s="37"/>
      <c r="J129" s="35"/>
    </row>
    <row r="130" spans="9:10" x14ac:dyDescent="0.25">
      <c r="I130" s="37"/>
      <c r="J130" s="35"/>
    </row>
    <row r="131" spans="9:10" x14ac:dyDescent="0.25">
      <c r="I131" s="37"/>
      <c r="J131" s="35"/>
    </row>
    <row r="132" spans="9:10" x14ac:dyDescent="0.25">
      <c r="I132" s="37"/>
      <c r="J132" s="35"/>
    </row>
    <row r="133" spans="9:10" x14ac:dyDescent="0.25">
      <c r="I133" s="37"/>
      <c r="J133" s="35"/>
    </row>
    <row r="134" spans="9:10" x14ac:dyDescent="0.25">
      <c r="I134" s="37"/>
      <c r="J134" s="35"/>
    </row>
    <row r="135" spans="9:10" x14ac:dyDescent="0.25">
      <c r="I135" s="37"/>
      <c r="J135" s="35"/>
    </row>
    <row r="136" spans="9:10" x14ac:dyDescent="0.25">
      <c r="I136" s="37"/>
      <c r="J136" s="35"/>
    </row>
    <row r="137" spans="9:10" x14ac:dyDescent="0.25">
      <c r="I137" s="37"/>
      <c r="J137" s="35"/>
    </row>
    <row r="138" spans="9:10" x14ac:dyDescent="0.25">
      <c r="I138" s="37"/>
      <c r="J138" s="35"/>
    </row>
    <row r="139" spans="9:10" x14ac:dyDescent="0.25">
      <c r="I139" s="37"/>
      <c r="J139" s="35"/>
    </row>
    <row r="140" spans="9:10" x14ac:dyDescent="0.25">
      <c r="I140" s="37"/>
      <c r="J140" s="35"/>
    </row>
    <row r="141" spans="9:10" x14ac:dyDescent="0.25">
      <c r="I141" s="37"/>
      <c r="J141" s="35"/>
    </row>
    <row r="142" spans="9:10" x14ac:dyDescent="0.25">
      <c r="I142" s="37"/>
      <c r="J142" s="35"/>
    </row>
    <row r="143" spans="9:10" x14ac:dyDescent="0.25">
      <c r="I143" s="37"/>
      <c r="J143" s="35"/>
    </row>
    <row r="144" spans="9:10" x14ac:dyDescent="0.25">
      <c r="I144" s="37"/>
      <c r="J144" s="35"/>
    </row>
    <row r="145" spans="9:10" x14ac:dyDescent="0.25">
      <c r="I145" s="37"/>
      <c r="J145" s="35"/>
    </row>
    <row r="146" spans="9:10" x14ac:dyDescent="0.25">
      <c r="I146" s="37"/>
      <c r="J146" s="35"/>
    </row>
    <row r="147" spans="9:10" x14ac:dyDescent="0.25">
      <c r="I147" s="37"/>
      <c r="J147" s="35"/>
    </row>
    <row r="148" spans="9:10" x14ac:dyDescent="0.25">
      <c r="I148" s="37"/>
      <c r="J148" s="35"/>
    </row>
    <row r="149" spans="9:10" x14ac:dyDescent="0.25">
      <c r="I149" s="37"/>
      <c r="J149" s="35"/>
    </row>
    <row r="150" spans="9:10" x14ac:dyDescent="0.25">
      <c r="I150" s="37"/>
      <c r="J150" s="35"/>
    </row>
    <row r="151" spans="9:10" x14ac:dyDescent="0.25">
      <c r="I151" s="37"/>
      <c r="J151" s="35"/>
    </row>
    <row r="152" spans="9:10" x14ac:dyDescent="0.25">
      <c r="I152" s="37"/>
      <c r="J152" s="35"/>
    </row>
    <row r="153" spans="9:10" x14ac:dyDescent="0.25">
      <c r="I153" s="37"/>
      <c r="J153" s="35"/>
    </row>
    <row r="154" spans="9:10" x14ac:dyDescent="0.25">
      <c r="I154" s="37"/>
      <c r="J154" s="35"/>
    </row>
    <row r="155" spans="9:10" x14ac:dyDescent="0.25">
      <c r="I155" s="37"/>
      <c r="J155" s="35"/>
    </row>
    <row r="156" spans="9:10" x14ac:dyDescent="0.25">
      <c r="I156" s="37"/>
      <c r="J156" s="35"/>
    </row>
    <row r="157" spans="9:10" x14ac:dyDescent="0.25">
      <c r="I157" s="37"/>
      <c r="J157" s="35"/>
    </row>
    <row r="158" spans="9:10" x14ac:dyDescent="0.25">
      <c r="I158" s="37"/>
      <c r="J158" s="35"/>
    </row>
    <row r="159" spans="9:10" x14ac:dyDescent="0.25">
      <c r="I159" s="37"/>
      <c r="J159" s="35"/>
    </row>
    <row r="160" spans="9:10" x14ac:dyDescent="0.25">
      <c r="I160" s="37"/>
      <c r="J160" s="35"/>
    </row>
    <row r="161" spans="9:10" x14ac:dyDescent="0.25">
      <c r="I161" s="37"/>
      <c r="J161" s="35"/>
    </row>
    <row r="162" spans="9:10" x14ac:dyDescent="0.25">
      <c r="I162" s="37"/>
      <c r="J162" s="35"/>
    </row>
    <row r="163" spans="9:10" x14ac:dyDescent="0.25">
      <c r="I163" s="37"/>
      <c r="J163" s="35"/>
    </row>
    <row r="164" spans="9:10" x14ac:dyDescent="0.25">
      <c r="I164" s="37"/>
      <c r="J164" s="35"/>
    </row>
    <row r="165" spans="9:10" x14ac:dyDescent="0.25">
      <c r="I165" s="37"/>
      <c r="J165" s="35"/>
    </row>
    <row r="166" spans="9:10" x14ac:dyDescent="0.25">
      <c r="I166" s="37"/>
      <c r="J166" s="35"/>
    </row>
    <row r="167" spans="9:10" x14ac:dyDescent="0.25">
      <c r="I167" s="37"/>
      <c r="J167" s="35"/>
    </row>
    <row r="168" spans="9:10" x14ac:dyDescent="0.25">
      <c r="I168" s="37"/>
      <c r="J168" s="35"/>
    </row>
    <row r="169" spans="9:10" x14ac:dyDescent="0.25">
      <c r="I169" s="37"/>
      <c r="J169" s="35"/>
    </row>
    <row r="170" spans="9:10" x14ac:dyDescent="0.25">
      <c r="I170" s="37"/>
      <c r="J170" s="35"/>
    </row>
    <row r="171" spans="9:10" x14ac:dyDescent="0.25">
      <c r="I171" s="37"/>
      <c r="J171" s="35"/>
    </row>
    <row r="172" spans="9:10" x14ac:dyDescent="0.25">
      <c r="I172" s="37"/>
      <c r="J172" s="35"/>
    </row>
    <row r="173" spans="9:10" x14ac:dyDescent="0.25">
      <c r="I173" s="37"/>
      <c r="J173" s="35"/>
    </row>
    <row r="174" spans="9:10" x14ac:dyDescent="0.25">
      <c r="I174" s="37"/>
      <c r="J174" s="35"/>
    </row>
    <row r="175" spans="9:10" x14ac:dyDescent="0.25">
      <c r="I175" s="37"/>
      <c r="J175" s="35"/>
    </row>
    <row r="176" spans="9:10" x14ac:dyDescent="0.25">
      <c r="I176" s="37"/>
      <c r="J176" s="35"/>
    </row>
    <row r="177" spans="9:10" x14ac:dyDescent="0.25">
      <c r="I177" s="37"/>
      <c r="J177" s="35"/>
    </row>
    <row r="178" spans="9:10" x14ac:dyDescent="0.25">
      <c r="I178" s="37"/>
      <c r="J178" s="35"/>
    </row>
    <row r="179" spans="9:10" x14ac:dyDescent="0.25">
      <c r="I179" s="37"/>
      <c r="J179" s="35"/>
    </row>
    <row r="180" spans="9:10" x14ac:dyDescent="0.25">
      <c r="I180" s="37"/>
      <c r="J180" s="35"/>
    </row>
    <row r="181" spans="9:10" x14ac:dyDescent="0.25">
      <c r="I181" s="37"/>
      <c r="J181" s="35"/>
    </row>
    <row r="182" spans="9:10" x14ac:dyDescent="0.25">
      <c r="I182" s="37"/>
      <c r="J182" s="35"/>
    </row>
    <row r="183" spans="9:10" x14ac:dyDescent="0.25">
      <c r="I183" s="37"/>
      <c r="J183" s="35"/>
    </row>
    <row r="184" spans="9:10" x14ac:dyDescent="0.25">
      <c r="I184" s="37"/>
      <c r="J184" s="35"/>
    </row>
    <row r="185" spans="9:10" x14ac:dyDescent="0.25">
      <c r="I185" s="37"/>
      <c r="J185" s="35"/>
    </row>
    <row r="186" spans="9:10" x14ac:dyDescent="0.25">
      <c r="I186" s="37"/>
      <c r="J186" s="35"/>
    </row>
    <row r="187" spans="9:10" x14ac:dyDescent="0.25">
      <c r="I187" s="37"/>
      <c r="J187" s="35"/>
    </row>
    <row r="188" spans="9:10" x14ac:dyDescent="0.25">
      <c r="I188" s="37"/>
      <c r="J188" s="35"/>
    </row>
    <row r="189" spans="9:10" x14ac:dyDescent="0.25">
      <c r="I189" s="37"/>
      <c r="J189" s="35"/>
    </row>
    <row r="190" spans="9:10" x14ac:dyDescent="0.25">
      <c r="I190" s="37"/>
      <c r="J190" s="35"/>
    </row>
    <row r="191" spans="9:10" x14ac:dyDescent="0.25">
      <c r="I191" s="37"/>
      <c r="J191" s="35"/>
    </row>
    <row r="192" spans="9:10" x14ac:dyDescent="0.25">
      <c r="I192" s="37"/>
      <c r="J192" s="35"/>
    </row>
    <row r="193" spans="9:10" x14ac:dyDescent="0.25">
      <c r="I193" s="37"/>
      <c r="J193" s="35"/>
    </row>
    <row r="194" spans="9:10" x14ac:dyDescent="0.25">
      <c r="I194" s="37"/>
      <c r="J194" s="35"/>
    </row>
    <row r="195" spans="9:10" x14ac:dyDescent="0.25">
      <c r="I195" s="37"/>
      <c r="J195" s="35"/>
    </row>
    <row r="196" spans="9:10" x14ac:dyDescent="0.25">
      <c r="I196" s="37"/>
      <c r="J196" s="35"/>
    </row>
    <row r="197" spans="9:10" x14ac:dyDescent="0.25">
      <c r="I197" s="37"/>
      <c r="J197" s="35"/>
    </row>
    <row r="198" spans="9:10" x14ac:dyDescent="0.25">
      <c r="I198" s="37"/>
      <c r="J198" s="35"/>
    </row>
    <row r="199" spans="9:10" x14ac:dyDescent="0.25">
      <c r="I199" s="37"/>
      <c r="J199" s="35"/>
    </row>
    <row r="200" spans="9:10" x14ac:dyDescent="0.25">
      <c r="I200" s="37"/>
      <c r="J200" s="35"/>
    </row>
    <row r="201" spans="9:10" x14ac:dyDescent="0.25">
      <c r="I201" s="37"/>
      <c r="J201" s="35"/>
    </row>
    <row r="202" spans="9:10" x14ac:dyDescent="0.25">
      <c r="I202" s="37"/>
      <c r="J202" s="35"/>
    </row>
    <row r="203" spans="9:10" x14ac:dyDescent="0.25">
      <c r="I203" s="37"/>
      <c r="J203" s="35"/>
    </row>
    <row r="204" spans="9:10" x14ac:dyDescent="0.25">
      <c r="I204" s="37"/>
      <c r="J204" s="35"/>
    </row>
    <row r="205" spans="9:10" x14ac:dyDescent="0.25">
      <c r="I205" s="37"/>
      <c r="J205" s="35"/>
    </row>
    <row r="206" spans="9:10" x14ac:dyDescent="0.25">
      <c r="I206" s="37"/>
      <c r="J206" s="35"/>
    </row>
    <row r="207" spans="9:10" x14ac:dyDescent="0.25">
      <c r="I207" s="37"/>
      <c r="J207" s="35"/>
    </row>
    <row r="208" spans="9:10" x14ac:dyDescent="0.25">
      <c r="I208" s="37"/>
      <c r="J208" s="35"/>
    </row>
    <row r="209" spans="9:10" x14ac:dyDescent="0.25">
      <c r="I209" s="37"/>
      <c r="J209" s="35"/>
    </row>
    <row r="210" spans="9:10" x14ac:dyDescent="0.25">
      <c r="I210" s="37"/>
      <c r="J210" s="35"/>
    </row>
    <row r="211" spans="9:10" x14ac:dyDescent="0.25">
      <c r="I211" s="37"/>
      <c r="J211" s="35"/>
    </row>
    <row r="212" spans="9:10" x14ac:dyDescent="0.25">
      <c r="I212" s="37"/>
      <c r="J212" s="35"/>
    </row>
    <row r="213" spans="9:10" x14ac:dyDescent="0.25">
      <c r="I213" s="37"/>
      <c r="J213" s="35"/>
    </row>
    <row r="214" spans="9:10" x14ac:dyDescent="0.25">
      <c r="I214" s="37"/>
      <c r="J214" s="35"/>
    </row>
    <row r="215" spans="9:10" x14ac:dyDescent="0.25">
      <c r="I215" s="37"/>
      <c r="J215" s="35"/>
    </row>
    <row r="216" spans="9:10" x14ac:dyDescent="0.25">
      <c r="I216" s="37"/>
      <c r="J216" s="35"/>
    </row>
    <row r="217" spans="9:10" x14ac:dyDescent="0.25">
      <c r="I217" s="37"/>
      <c r="J217" s="35"/>
    </row>
    <row r="218" spans="9:10" x14ac:dyDescent="0.25">
      <c r="I218" s="37"/>
      <c r="J218" s="35"/>
    </row>
    <row r="219" spans="9:10" x14ac:dyDescent="0.25">
      <c r="I219" s="37"/>
      <c r="J219" s="35"/>
    </row>
    <row r="220" spans="9:10" x14ac:dyDescent="0.25">
      <c r="I220" s="37"/>
      <c r="J220" s="35"/>
    </row>
    <row r="221" spans="9:10" x14ac:dyDescent="0.25">
      <c r="I221" s="37"/>
      <c r="J221" s="35"/>
    </row>
    <row r="222" spans="9:10" x14ac:dyDescent="0.25">
      <c r="I222" s="37"/>
      <c r="J222" s="35"/>
    </row>
    <row r="223" spans="9:10" x14ac:dyDescent="0.25">
      <c r="I223" s="37"/>
      <c r="J223" s="35"/>
    </row>
    <row r="224" spans="9:10" x14ac:dyDescent="0.25">
      <c r="I224" s="37"/>
      <c r="J224" s="35"/>
    </row>
    <row r="225" spans="9:10" x14ac:dyDescent="0.25">
      <c r="I225" s="37"/>
      <c r="J225" s="35"/>
    </row>
    <row r="226" spans="9:10" x14ac:dyDescent="0.25">
      <c r="I226" s="37"/>
      <c r="J226" s="35"/>
    </row>
    <row r="227" spans="9:10" x14ac:dyDescent="0.25">
      <c r="I227" s="37"/>
      <c r="J227" s="35"/>
    </row>
    <row r="228" spans="9:10" x14ac:dyDescent="0.25">
      <c r="I228" s="37"/>
      <c r="J228" s="35"/>
    </row>
    <row r="229" spans="9:10" x14ac:dyDescent="0.25">
      <c r="I229" s="37"/>
      <c r="J229" s="35"/>
    </row>
    <row r="230" spans="9:10" x14ac:dyDescent="0.25">
      <c r="I230" s="37"/>
      <c r="J230" s="35"/>
    </row>
    <row r="231" spans="9:10" x14ac:dyDescent="0.25">
      <c r="I231" s="37"/>
      <c r="J231" s="35"/>
    </row>
    <row r="232" spans="9:10" x14ac:dyDescent="0.25">
      <c r="I232" s="37"/>
      <c r="J232" s="35"/>
    </row>
    <row r="233" spans="9:10" x14ac:dyDescent="0.25">
      <c r="I233" s="37"/>
      <c r="J233" s="35"/>
    </row>
    <row r="234" spans="9:10" x14ac:dyDescent="0.25">
      <c r="I234" s="37"/>
      <c r="J234" s="35"/>
    </row>
    <row r="235" spans="9:10" x14ac:dyDescent="0.25">
      <c r="I235" s="37"/>
      <c r="J235" s="35"/>
    </row>
    <row r="236" spans="9:10" x14ac:dyDescent="0.25">
      <c r="I236" s="37"/>
      <c r="J236" s="35"/>
    </row>
    <row r="237" spans="9:10" x14ac:dyDescent="0.25">
      <c r="I237" s="37"/>
      <c r="J237" s="35"/>
    </row>
    <row r="238" spans="9:10" x14ac:dyDescent="0.25">
      <c r="I238" s="37"/>
      <c r="J238" s="35"/>
    </row>
    <row r="239" spans="9:10" x14ac:dyDescent="0.25">
      <c r="I239" s="37"/>
      <c r="J239" s="35"/>
    </row>
    <row r="240" spans="9:10" x14ac:dyDescent="0.25">
      <c r="I240" s="37"/>
      <c r="J240" s="35"/>
    </row>
    <row r="241" spans="9:10" x14ac:dyDescent="0.25">
      <c r="I241" s="37"/>
      <c r="J241" s="35"/>
    </row>
    <row r="242" spans="9:10" x14ac:dyDescent="0.25">
      <c r="I242" s="37"/>
      <c r="J242" s="35"/>
    </row>
    <row r="243" spans="9:10" x14ac:dyDescent="0.25">
      <c r="I243" s="37"/>
      <c r="J243" s="35"/>
    </row>
    <row r="244" spans="9:10" x14ac:dyDescent="0.25">
      <c r="I244" s="37"/>
      <c r="J244" s="35"/>
    </row>
    <row r="245" spans="9:10" x14ac:dyDescent="0.25">
      <c r="I245" s="37"/>
      <c r="J245" s="35"/>
    </row>
    <row r="246" spans="9:10" x14ac:dyDescent="0.25">
      <c r="I246" s="37"/>
      <c r="J246" s="35"/>
    </row>
    <row r="247" spans="9:10" x14ac:dyDescent="0.25">
      <c r="I247" s="37"/>
      <c r="J247" s="35"/>
    </row>
    <row r="248" spans="9:10" x14ac:dyDescent="0.25">
      <c r="I248" s="37"/>
      <c r="J248" s="35"/>
    </row>
    <row r="249" spans="9:10" x14ac:dyDescent="0.25">
      <c r="I249" s="37"/>
      <c r="J249" s="35"/>
    </row>
    <row r="250" spans="9:10" x14ac:dyDescent="0.25">
      <c r="I250" s="37"/>
      <c r="J250" s="35"/>
    </row>
    <row r="251" spans="9:10" x14ac:dyDescent="0.25">
      <c r="I251" s="37"/>
      <c r="J251" s="35"/>
    </row>
    <row r="252" spans="9:10" x14ac:dyDescent="0.25">
      <c r="I252" s="37"/>
      <c r="J252" s="35"/>
    </row>
    <row r="253" spans="9:10" x14ac:dyDescent="0.25">
      <c r="I253" s="37"/>
      <c r="J253" s="35"/>
    </row>
    <row r="254" spans="9:10" x14ac:dyDescent="0.25">
      <c r="I254" s="37"/>
      <c r="J254" s="35"/>
    </row>
    <row r="255" spans="9:10" x14ac:dyDescent="0.25">
      <c r="I255" s="37"/>
      <c r="J255" s="35"/>
    </row>
    <row r="256" spans="9:10" x14ac:dyDescent="0.25">
      <c r="I256" s="37"/>
      <c r="J256" s="35"/>
    </row>
    <row r="257" spans="9:10" x14ac:dyDescent="0.25">
      <c r="I257" s="37"/>
      <c r="J257" s="35"/>
    </row>
    <row r="258" spans="9:10" x14ac:dyDescent="0.25">
      <c r="I258" s="37"/>
      <c r="J258" s="35"/>
    </row>
    <row r="259" spans="9:10" x14ac:dyDescent="0.25">
      <c r="I259" s="37"/>
      <c r="J259" s="35"/>
    </row>
    <row r="260" spans="9:10" x14ac:dyDescent="0.25">
      <c r="I260" s="37"/>
      <c r="J260" s="35"/>
    </row>
    <row r="261" spans="9:10" x14ac:dyDescent="0.25">
      <c r="I261" s="37"/>
      <c r="J261" s="35"/>
    </row>
    <row r="262" spans="9:10" x14ac:dyDescent="0.25">
      <c r="I262" s="37"/>
      <c r="J262" s="35"/>
    </row>
    <row r="263" spans="9:10" x14ac:dyDescent="0.25">
      <c r="I263" s="37"/>
      <c r="J263" s="35"/>
    </row>
    <row r="264" spans="9:10" x14ac:dyDescent="0.25">
      <c r="I264" s="37"/>
      <c r="J264" s="35"/>
    </row>
    <row r="265" spans="9:10" x14ac:dyDescent="0.25">
      <c r="I265" s="37"/>
      <c r="J265" s="35"/>
    </row>
    <row r="266" spans="9:10" x14ac:dyDescent="0.25">
      <c r="I266" s="37"/>
      <c r="J266" s="35"/>
    </row>
    <row r="267" spans="9:10" x14ac:dyDescent="0.25">
      <c r="I267" s="37"/>
      <c r="J267" s="35"/>
    </row>
    <row r="268" spans="9:10" x14ac:dyDescent="0.25">
      <c r="I268" s="37"/>
      <c r="J268" s="35"/>
    </row>
    <row r="269" spans="9:10" x14ac:dyDescent="0.25">
      <c r="I269" s="37"/>
      <c r="J269" s="35"/>
    </row>
    <row r="270" spans="9:10" x14ac:dyDescent="0.25">
      <c r="I270" s="37"/>
      <c r="J270" s="35"/>
    </row>
    <row r="271" spans="9:10" x14ac:dyDescent="0.25">
      <c r="I271" s="37"/>
      <c r="J271" s="35"/>
    </row>
    <row r="272" spans="9:10" x14ac:dyDescent="0.25">
      <c r="I272" s="37"/>
      <c r="J272" s="35"/>
    </row>
    <row r="273" spans="9:10" x14ac:dyDescent="0.25">
      <c r="I273" s="37"/>
      <c r="J273" s="35"/>
    </row>
    <row r="274" spans="9:10" x14ac:dyDescent="0.25">
      <c r="I274" s="37"/>
      <c r="J274" s="35"/>
    </row>
    <row r="275" spans="9:10" x14ac:dyDescent="0.25">
      <c r="I275" s="37"/>
      <c r="J275" s="35"/>
    </row>
    <row r="276" spans="9:10" x14ac:dyDescent="0.25">
      <c r="I276" s="37"/>
      <c r="J276" s="35"/>
    </row>
    <row r="277" spans="9:10" x14ac:dyDescent="0.25">
      <c r="I277" s="37"/>
      <c r="J277" s="35"/>
    </row>
    <row r="278" spans="9:10" x14ac:dyDescent="0.25">
      <c r="I278" s="37"/>
      <c r="J278" s="35"/>
    </row>
    <row r="279" spans="9:10" x14ac:dyDescent="0.25">
      <c r="I279" s="37"/>
      <c r="J279" s="35"/>
    </row>
    <row r="280" spans="9:10" x14ac:dyDescent="0.25">
      <c r="I280" s="37"/>
      <c r="J280" s="35"/>
    </row>
    <row r="281" spans="9:10" x14ac:dyDescent="0.25">
      <c r="I281" s="37"/>
      <c r="J281" s="35"/>
    </row>
    <row r="282" spans="9:10" x14ac:dyDescent="0.25">
      <c r="I282" s="37"/>
      <c r="J282" s="35"/>
    </row>
    <row r="283" spans="9:10" x14ac:dyDescent="0.25">
      <c r="I283" s="37"/>
      <c r="J283" s="35"/>
    </row>
    <row r="284" spans="9:10" x14ac:dyDescent="0.25">
      <c r="I284" s="37"/>
      <c r="J284" s="35"/>
    </row>
    <row r="285" spans="9:10" x14ac:dyDescent="0.25">
      <c r="I285" s="37"/>
      <c r="J285" s="35"/>
    </row>
    <row r="286" spans="9:10" x14ac:dyDescent="0.25">
      <c r="I286" s="37"/>
      <c r="J286" s="35"/>
    </row>
    <row r="287" spans="9:10" x14ac:dyDescent="0.25">
      <c r="I287" s="37"/>
      <c r="J287" s="35"/>
    </row>
    <row r="288" spans="9:10" x14ac:dyDescent="0.25">
      <c r="I288" s="37"/>
      <c r="J288" s="35"/>
    </row>
    <row r="289" spans="9:10" x14ac:dyDescent="0.25">
      <c r="I289" s="37"/>
      <c r="J289" s="35"/>
    </row>
    <row r="290" spans="9:10" x14ac:dyDescent="0.25">
      <c r="I290" s="37"/>
      <c r="J290" s="35"/>
    </row>
    <row r="291" spans="9:10" x14ac:dyDescent="0.25">
      <c r="I291" s="37"/>
      <c r="J291" s="35"/>
    </row>
    <row r="292" spans="9:10" x14ac:dyDescent="0.25">
      <c r="I292" s="37"/>
      <c r="J292" s="35"/>
    </row>
    <row r="293" spans="9:10" x14ac:dyDescent="0.25">
      <c r="I293" s="37"/>
      <c r="J293" s="35"/>
    </row>
    <row r="294" spans="9:10" x14ac:dyDescent="0.25">
      <c r="I294" s="37"/>
      <c r="J294" s="35"/>
    </row>
    <row r="295" spans="9:10" x14ac:dyDescent="0.25">
      <c r="I295" s="37"/>
      <c r="J295" s="35"/>
    </row>
    <row r="296" spans="9:10" x14ac:dyDescent="0.25">
      <c r="I296" s="37"/>
      <c r="J296" s="35"/>
    </row>
    <row r="297" spans="9:10" x14ac:dyDescent="0.25">
      <c r="I297" s="37"/>
      <c r="J297" s="35"/>
    </row>
    <row r="298" spans="9:10" x14ac:dyDescent="0.25">
      <c r="I298" s="37"/>
      <c r="J298" s="35"/>
    </row>
    <row r="299" spans="9:10" x14ac:dyDescent="0.25">
      <c r="I299" s="37"/>
      <c r="J299" s="35"/>
    </row>
    <row r="300" spans="9:10" x14ac:dyDescent="0.25">
      <c r="I300" s="37"/>
      <c r="J300" s="35"/>
    </row>
    <row r="301" spans="9:10" x14ac:dyDescent="0.25">
      <c r="I301" s="37"/>
      <c r="J301" s="35"/>
    </row>
    <row r="302" spans="9:10" x14ac:dyDescent="0.25">
      <c r="I302" s="37"/>
      <c r="J302" s="35"/>
    </row>
    <row r="303" spans="9:10" x14ac:dyDescent="0.25">
      <c r="I303" s="37"/>
      <c r="J303" s="35"/>
    </row>
    <row r="304" spans="9:10" x14ac:dyDescent="0.25">
      <c r="I304" s="37"/>
      <c r="J304" s="35"/>
    </row>
    <row r="305" spans="9:12" x14ac:dyDescent="0.25">
      <c r="I305" s="37"/>
      <c r="J305" s="35"/>
    </row>
    <row r="306" spans="9:12" x14ac:dyDescent="0.25">
      <c r="I306" s="37"/>
      <c r="J306" s="35"/>
    </row>
    <row r="307" spans="9:12" x14ac:dyDescent="0.25">
      <c r="I307" s="37"/>
      <c r="J307" s="35"/>
    </row>
    <row r="308" spans="9:12" x14ac:dyDescent="0.25">
      <c r="I308" s="37"/>
      <c r="J308" s="35"/>
    </row>
    <row r="309" spans="9:12" x14ac:dyDescent="0.25">
      <c r="I309" s="37"/>
      <c r="J309" s="35"/>
    </row>
    <row r="310" spans="9:12" x14ac:dyDescent="0.25">
      <c r="I310" s="37"/>
      <c r="J310" s="35"/>
    </row>
    <row r="311" spans="9:12" x14ac:dyDescent="0.25">
      <c r="I311" s="37"/>
      <c r="J311" s="35"/>
    </row>
    <row r="312" spans="9:12" x14ac:dyDescent="0.25">
      <c r="I312" s="37"/>
      <c r="J312" s="35"/>
      <c r="L312" s="36"/>
    </row>
    <row r="313" spans="9:12" x14ac:dyDescent="0.25">
      <c r="I313" s="37"/>
      <c r="J313" s="35"/>
    </row>
    <row r="314" spans="9:12" x14ac:dyDescent="0.25">
      <c r="I314" s="37"/>
      <c r="J314" s="35"/>
    </row>
    <row r="315" spans="9:12" x14ac:dyDescent="0.25">
      <c r="I315" s="37"/>
      <c r="J315" s="35"/>
    </row>
    <row r="316" spans="9:12" x14ac:dyDescent="0.25">
      <c r="I316" s="37"/>
      <c r="J316" s="35"/>
    </row>
    <row r="317" spans="9:12" x14ac:dyDescent="0.25">
      <c r="I317" s="37"/>
      <c r="J317" s="35"/>
    </row>
    <row r="318" spans="9:12" x14ac:dyDescent="0.25">
      <c r="I318" s="37"/>
      <c r="J318" s="35"/>
    </row>
    <row r="319" spans="9:12" x14ac:dyDescent="0.25">
      <c r="I319" s="37"/>
      <c r="J319" s="35"/>
    </row>
    <row r="320" spans="9:12" x14ac:dyDescent="0.25">
      <c r="I320" s="37"/>
      <c r="J320" s="35"/>
    </row>
    <row r="321" spans="9:10" x14ac:dyDescent="0.25">
      <c r="I321" s="37"/>
      <c r="J321" s="35"/>
    </row>
    <row r="322" spans="9:10" x14ac:dyDescent="0.25">
      <c r="I322" s="37"/>
      <c r="J322" s="35"/>
    </row>
    <row r="323" spans="9:10" x14ac:dyDescent="0.25">
      <c r="I323" s="37"/>
      <c r="J323" s="35"/>
    </row>
    <row r="324" spans="9:10" x14ac:dyDescent="0.25">
      <c r="I324" s="37"/>
      <c r="J324" s="35"/>
    </row>
    <row r="325" spans="9:10" x14ac:dyDescent="0.25">
      <c r="I325" s="37"/>
      <c r="J325" s="35"/>
    </row>
    <row r="326" spans="9:10" x14ac:dyDescent="0.25">
      <c r="I326" s="37"/>
      <c r="J326" s="35"/>
    </row>
    <row r="327" spans="9:10" x14ac:dyDescent="0.25">
      <c r="I327" s="37"/>
      <c r="J327" s="35"/>
    </row>
    <row r="328" spans="9:10" x14ac:dyDescent="0.25">
      <c r="I328" s="37"/>
      <c r="J328" s="35"/>
    </row>
    <row r="329" spans="9:10" x14ac:dyDescent="0.25">
      <c r="I329" s="37"/>
      <c r="J329" s="35"/>
    </row>
    <row r="330" spans="9:10" x14ac:dyDescent="0.25">
      <c r="I330" s="37"/>
      <c r="J330" s="35"/>
    </row>
    <row r="331" spans="9:10" x14ac:dyDescent="0.25">
      <c r="I331" s="37"/>
      <c r="J331" s="35"/>
    </row>
    <row r="332" spans="9:10" x14ac:dyDescent="0.25">
      <c r="I332" s="37"/>
      <c r="J332" s="35"/>
    </row>
    <row r="333" spans="9:10" x14ac:dyDescent="0.25">
      <c r="I333" s="37"/>
      <c r="J333" s="35"/>
    </row>
    <row r="334" spans="9:10" x14ac:dyDescent="0.25">
      <c r="I334" s="37"/>
      <c r="J334" s="35"/>
    </row>
    <row r="335" spans="9:10" x14ac:dyDescent="0.25">
      <c r="I335" s="37"/>
      <c r="J335" s="35"/>
    </row>
    <row r="336" spans="9:10" x14ac:dyDescent="0.25">
      <c r="I336" s="37"/>
      <c r="J336" s="35"/>
    </row>
    <row r="337" spans="9:10" x14ac:dyDescent="0.25">
      <c r="I337" s="37"/>
      <c r="J337" s="35"/>
    </row>
    <row r="338" spans="9:10" x14ac:dyDescent="0.25">
      <c r="I338" s="37"/>
      <c r="J338" s="35"/>
    </row>
    <row r="339" spans="9:10" x14ac:dyDescent="0.25">
      <c r="I339" s="37"/>
      <c r="J339" s="35"/>
    </row>
    <row r="340" spans="9:10" x14ac:dyDescent="0.25">
      <c r="I340" s="37"/>
      <c r="J340" s="35"/>
    </row>
    <row r="341" spans="9:10" x14ac:dyDescent="0.25">
      <c r="I341" s="37"/>
      <c r="J341" s="35"/>
    </row>
    <row r="342" spans="9:10" x14ac:dyDescent="0.25">
      <c r="I342" s="37"/>
      <c r="J342" s="35"/>
    </row>
    <row r="343" spans="9:10" x14ac:dyDescent="0.25">
      <c r="I343" s="37"/>
      <c r="J343" s="35"/>
    </row>
    <row r="344" spans="9:10" x14ac:dyDescent="0.25">
      <c r="I344" s="37"/>
      <c r="J344" s="35"/>
    </row>
    <row r="345" spans="9:10" x14ac:dyDescent="0.25">
      <c r="I345" s="37"/>
      <c r="J345" s="35"/>
    </row>
    <row r="346" spans="9:10" x14ac:dyDescent="0.25">
      <c r="I346" s="37"/>
      <c r="J346" s="35"/>
    </row>
    <row r="347" spans="9:10" x14ac:dyDescent="0.25">
      <c r="I347" s="37"/>
      <c r="J347" s="35"/>
    </row>
    <row r="348" spans="9:10" x14ac:dyDescent="0.25">
      <c r="I348" s="37"/>
      <c r="J348" s="35"/>
    </row>
    <row r="349" spans="9:10" x14ac:dyDescent="0.25">
      <c r="I349" s="37"/>
      <c r="J349" s="35"/>
    </row>
    <row r="350" spans="9:10" x14ac:dyDescent="0.25">
      <c r="I350" s="37"/>
      <c r="J350" s="35"/>
    </row>
    <row r="351" spans="9:10" x14ac:dyDescent="0.25">
      <c r="I351" s="37"/>
      <c r="J351" s="35"/>
    </row>
    <row r="352" spans="9:10" x14ac:dyDescent="0.25">
      <c r="I352" s="37"/>
      <c r="J352" s="35"/>
    </row>
    <row r="353" spans="9:10" x14ac:dyDescent="0.25">
      <c r="I353" s="37"/>
      <c r="J353" s="35"/>
    </row>
    <row r="354" spans="9:10" x14ac:dyDescent="0.25">
      <c r="I354" s="37"/>
      <c r="J354" s="35"/>
    </row>
    <row r="355" spans="9:10" x14ac:dyDescent="0.25">
      <c r="I355" s="37"/>
      <c r="J355" s="35"/>
    </row>
    <row r="356" spans="9:10" x14ac:dyDescent="0.25">
      <c r="I356" s="37"/>
      <c r="J356" s="35"/>
    </row>
    <row r="357" spans="9:10" x14ac:dyDescent="0.25">
      <c r="I357" s="37"/>
      <c r="J357" s="35"/>
    </row>
    <row r="358" spans="9:10" x14ac:dyDescent="0.25">
      <c r="I358" s="37"/>
      <c r="J358" s="35"/>
    </row>
    <row r="359" spans="9:10" x14ac:dyDescent="0.25">
      <c r="I359" s="37"/>
      <c r="J359" s="35"/>
    </row>
    <row r="360" spans="9:10" x14ac:dyDescent="0.25">
      <c r="I360" s="37"/>
      <c r="J360" s="35"/>
    </row>
    <row r="361" spans="9:10" x14ac:dyDescent="0.25">
      <c r="I361" s="37"/>
      <c r="J361" s="35"/>
    </row>
    <row r="362" spans="9:10" x14ac:dyDescent="0.25">
      <c r="I362" s="37"/>
      <c r="J362" s="35"/>
    </row>
    <row r="363" spans="9:10" x14ac:dyDescent="0.25">
      <c r="I363" s="37"/>
      <c r="J363" s="35"/>
    </row>
    <row r="364" spans="9:10" x14ac:dyDescent="0.25">
      <c r="I364" s="37"/>
      <c r="J364" s="35"/>
    </row>
    <row r="365" spans="9:10" x14ac:dyDescent="0.25">
      <c r="I365" s="37"/>
      <c r="J365" s="35"/>
    </row>
    <row r="366" spans="9:10" x14ac:dyDescent="0.25">
      <c r="I366" s="37"/>
      <c r="J366" s="35"/>
    </row>
    <row r="367" spans="9:10" x14ac:dyDescent="0.25">
      <c r="I367" s="37"/>
      <c r="J367" s="35"/>
    </row>
    <row r="368" spans="9:10" x14ac:dyDescent="0.25">
      <c r="I368" s="37"/>
      <c r="J368" s="35"/>
    </row>
    <row r="369" spans="9:10" x14ac:dyDescent="0.25">
      <c r="I369" s="37"/>
      <c r="J369" s="35"/>
    </row>
    <row r="370" spans="9:10" x14ac:dyDescent="0.25">
      <c r="I370" s="37"/>
      <c r="J370" s="35"/>
    </row>
    <row r="371" spans="9:10" x14ac:dyDescent="0.25">
      <c r="I371" s="37"/>
      <c r="J371" s="35"/>
    </row>
    <row r="372" spans="9:10" x14ac:dyDescent="0.25">
      <c r="I372" s="37"/>
      <c r="J372" s="35"/>
    </row>
    <row r="373" spans="9:10" x14ac:dyDescent="0.25">
      <c r="I373" s="37"/>
      <c r="J373" s="35"/>
    </row>
    <row r="374" spans="9:10" x14ac:dyDescent="0.25">
      <c r="I374" s="37"/>
      <c r="J374" s="35"/>
    </row>
    <row r="375" spans="9:10" x14ac:dyDescent="0.25">
      <c r="I375" s="37"/>
      <c r="J375" s="35"/>
    </row>
    <row r="376" spans="9:10" x14ac:dyDescent="0.25">
      <c r="I376" s="37"/>
      <c r="J376" s="35"/>
    </row>
    <row r="377" spans="9:10" x14ac:dyDescent="0.25">
      <c r="I377" s="37"/>
      <c r="J377" s="35"/>
    </row>
    <row r="378" spans="9:10" x14ac:dyDescent="0.25">
      <c r="I378" s="37"/>
      <c r="J378" s="35"/>
    </row>
    <row r="379" spans="9:10" x14ac:dyDescent="0.25">
      <c r="I379" s="37"/>
      <c r="J379" s="35"/>
    </row>
    <row r="380" spans="9:10" x14ac:dyDescent="0.25">
      <c r="I380" s="37"/>
      <c r="J380" s="35"/>
    </row>
    <row r="381" spans="9:10" x14ac:dyDescent="0.25">
      <c r="I381" s="37"/>
      <c r="J381" s="35"/>
    </row>
    <row r="382" spans="9:10" x14ac:dyDescent="0.25">
      <c r="I382" s="37"/>
      <c r="J382" s="35"/>
    </row>
    <row r="383" spans="9:10" x14ac:dyDescent="0.25">
      <c r="I383" s="37"/>
      <c r="J383" s="35"/>
    </row>
    <row r="384" spans="9:10" x14ac:dyDescent="0.25">
      <c r="I384" s="37"/>
      <c r="J384" s="35"/>
    </row>
    <row r="385" spans="9:10" x14ac:dyDescent="0.25">
      <c r="I385" s="37"/>
      <c r="J385" s="35"/>
    </row>
    <row r="386" spans="9:10" x14ac:dyDescent="0.25">
      <c r="I386" s="37"/>
      <c r="J386" s="35"/>
    </row>
    <row r="387" spans="9:10" x14ac:dyDescent="0.25">
      <c r="I387" s="37"/>
      <c r="J387" s="35"/>
    </row>
    <row r="388" spans="9:10" x14ac:dyDescent="0.25">
      <c r="I388" s="37"/>
      <c r="J388" s="35"/>
    </row>
    <row r="389" spans="9:10" x14ac:dyDescent="0.25">
      <c r="I389" s="37"/>
      <c r="J389" s="35"/>
    </row>
    <row r="390" spans="9:10" x14ac:dyDescent="0.25">
      <c r="I390" s="37"/>
      <c r="J390" s="35"/>
    </row>
    <row r="391" spans="9:10" x14ac:dyDescent="0.25">
      <c r="I391" s="37"/>
      <c r="J391" s="35"/>
    </row>
    <row r="392" spans="9:10" x14ac:dyDescent="0.25">
      <c r="I392" s="37"/>
      <c r="J392" s="35"/>
    </row>
    <row r="393" spans="9:10" x14ac:dyDescent="0.25">
      <c r="I393" s="37"/>
      <c r="J393" s="35"/>
    </row>
    <row r="394" spans="9:10" x14ac:dyDescent="0.25">
      <c r="I394" s="37"/>
      <c r="J394" s="35"/>
    </row>
    <row r="395" spans="9:10" x14ac:dyDescent="0.25">
      <c r="I395" s="37"/>
      <c r="J395" s="35"/>
    </row>
    <row r="396" spans="9:10" x14ac:dyDescent="0.25">
      <c r="I396" s="37"/>
      <c r="J396" s="35"/>
    </row>
    <row r="397" spans="9:10" x14ac:dyDescent="0.25">
      <c r="I397" s="37"/>
      <c r="J397" s="35"/>
    </row>
    <row r="398" spans="9:10" x14ac:dyDescent="0.25">
      <c r="I398" s="37"/>
      <c r="J398" s="35"/>
    </row>
    <row r="399" spans="9:10" x14ac:dyDescent="0.25">
      <c r="I399" s="37"/>
      <c r="J399" s="35"/>
    </row>
    <row r="400" spans="9:10" x14ac:dyDescent="0.25">
      <c r="I400" s="37"/>
      <c r="J400" s="35"/>
    </row>
    <row r="401" spans="9:10" x14ac:dyDescent="0.25">
      <c r="I401" s="37"/>
      <c r="J401" s="35"/>
    </row>
    <row r="402" spans="9:10" x14ac:dyDescent="0.25">
      <c r="I402" s="37"/>
      <c r="J402" s="35"/>
    </row>
    <row r="403" spans="9:10" x14ac:dyDescent="0.25">
      <c r="I403" s="37"/>
      <c r="J403" s="35"/>
    </row>
    <row r="404" spans="9:10" x14ac:dyDescent="0.25">
      <c r="I404" s="37"/>
      <c r="J404" s="35"/>
    </row>
    <row r="405" spans="9:10" x14ac:dyDescent="0.25">
      <c r="I405" s="37"/>
      <c r="J405" s="35"/>
    </row>
    <row r="406" spans="9:10" x14ac:dyDescent="0.25">
      <c r="I406" s="37"/>
      <c r="J406" s="35"/>
    </row>
    <row r="407" spans="9:10" x14ac:dyDescent="0.25">
      <c r="I407" s="37"/>
      <c r="J407" s="35"/>
    </row>
    <row r="408" spans="9:10" x14ac:dyDescent="0.25">
      <c r="I408" s="37"/>
      <c r="J408" s="35"/>
    </row>
    <row r="409" spans="9:10" x14ac:dyDescent="0.25">
      <c r="I409" s="37"/>
      <c r="J409" s="35"/>
    </row>
    <row r="410" spans="9:10" x14ac:dyDescent="0.25">
      <c r="I410" s="37"/>
      <c r="J410" s="35"/>
    </row>
    <row r="411" spans="9:10" x14ac:dyDescent="0.25">
      <c r="I411" s="37"/>
      <c r="J411" s="35"/>
    </row>
    <row r="412" spans="9:10" x14ac:dyDescent="0.25">
      <c r="I412" s="37"/>
      <c r="J412" s="35"/>
    </row>
    <row r="413" spans="9:10" x14ac:dyDescent="0.25">
      <c r="I413" s="37"/>
      <c r="J413" s="35"/>
    </row>
    <row r="414" spans="9:10" x14ac:dyDescent="0.25">
      <c r="I414" s="37"/>
      <c r="J414" s="35"/>
    </row>
    <row r="415" spans="9:10" x14ac:dyDescent="0.25">
      <c r="I415" s="37"/>
      <c r="J415" s="35"/>
    </row>
    <row r="416" spans="9:10" x14ac:dyDescent="0.25">
      <c r="I416" s="37"/>
      <c r="J416" s="35"/>
    </row>
    <row r="417" spans="9:10" x14ac:dyDescent="0.25">
      <c r="I417" s="37"/>
      <c r="J417" s="35"/>
    </row>
    <row r="418" spans="9:10" x14ac:dyDescent="0.25">
      <c r="I418" s="37"/>
      <c r="J418" s="35"/>
    </row>
    <row r="419" spans="9:10" x14ac:dyDescent="0.25">
      <c r="I419" s="37"/>
      <c r="J419" s="35"/>
    </row>
    <row r="420" spans="9:10" x14ac:dyDescent="0.25">
      <c r="I420" s="37"/>
      <c r="J420" s="35"/>
    </row>
    <row r="421" spans="9:10" x14ac:dyDescent="0.25">
      <c r="I421" s="37"/>
      <c r="J421" s="35"/>
    </row>
    <row r="422" spans="9:10" x14ac:dyDescent="0.25">
      <c r="I422" s="37"/>
      <c r="J422" s="35"/>
    </row>
    <row r="423" spans="9:10" x14ac:dyDescent="0.25">
      <c r="I423" s="37"/>
      <c r="J423" s="35"/>
    </row>
    <row r="424" spans="9:10" x14ac:dyDescent="0.25">
      <c r="I424" s="37"/>
      <c r="J424" s="35"/>
    </row>
    <row r="425" spans="9:10" x14ac:dyDescent="0.25">
      <c r="I425" s="37"/>
      <c r="J425" s="35"/>
    </row>
    <row r="426" spans="9:10" x14ac:dyDescent="0.25">
      <c r="I426" s="37"/>
      <c r="J426" s="35"/>
    </row>
    <row r="427" spans="9:10" x14ac:dyDescent="0.25">
      <c r="I427" s="37"/>
      <c r="J427" s="35"/>
    </row>
    <row r="428" spans="9:10" x14ac:dyDescent="0.25">
      <c r="I428" s="37"/>
      <c r="J428" s="35"/>
    </row>
    <row r="429" spans="9:10" x14ac:dyDescent="0.25">
      <c r="I429" s="37"/>
      <c r="J429" s="35"/>
    </row>
    <row r="430" spans="9:10" x14ac:dyDescent="0.25">
      <c r="I430" s="37"/>
      <c r="J430" s="35"/>
    </row>
    <row r="431" spans="9:10" x14ac:dyDescent="0.25">
      <c r="I431" s="37"/>
      <c r="J431" s="35"/>
    </row>
    <row r="432" spans="9:10" x14ac:dyDescent="0.25">
      <c r="I432" s="37"/>
      <c r="J432" s="35"/>
    </row>
    <row r="433" spans="9:10" x14ac:dyDescent="0.25">
      <c r="I433" s="37"/>
      <c r="J433" s="35"/>
    </row>
    <row r="434" spans="9:10" x14ac:dyDescent="0.25">
      <c r="I434" s="37"/>
      <c r="J434" s="35"/>
    </row>
    <row r="435" spans="9:10" x14ac:dyDescent="0.25">
      <c r="I435" s="37"/>
      <c r="J435" s="35"/>
    </row>
    <row r="436" spans="9:10" x14ac:dyDescent="0.25">
      <c r="I436" s="37"/>
      <c r="J436" s="35"/>
    </row>
    <row r="437" spans="9:10" x14ac:dyDescent="0.25">
      <c r="I437" s="37"/>
      <c r="J437" s="35"/>
    </row>
    <row r="438" spans="9:10" x14ac:dyDescent="0.25">
      <c r="I438" s="37"/>
      <c r="J438" s="35"/>
    </row>
    <row r="439" spans="9:10" x14ac:dyDescent="0.25">
      <c r="I439" s="37"/>
      <c r="J439" s="35"/>
    </row>
    <row r="440" spans="9:10" x14ac:dyDescent="0.25">
      <c r="I440" s="37"/>
      <c r="J440" s="35"/>
    </row>
    <row r="441" spans="9:10" x14ac:dyDescent="0.25">
      <c r="I441" s="37"/>
      <c r="J441" s="35"/>
    </row>
    <row r="442" spans="9:10" x14ac:dyDescent="0.25">
      <c r="I442" s="37"/>
      <c r="J442" s="35"/>
    </row>
    <row r="443" spans="9:10" x14ac:dyDescent="0.25">
      <c r="I443" s="37"/>
      <c r="J443" s="35"/>
    </row>
    <row r="444" spans="9:10" x14ac:dyDescent="0.25">
      <c r="I444" s="37"/>
      <c r="J444" s="35"/>
    </row>
    <row r="445" spans="9:10" x14ac:dyDescent="0.25">
      <c r="I445" s="37"/>
      <c r="J445" s="35"/>
    </row>
    <row r="446" spans="9:10" x14ac:dyDescent="0.25">
      <c r="I446" s="37"/>
      <c r="J446" s="35"/>
    </row>
    <row r="447" spans="9:10" x14ac:dyDescent="0.25">
      <c r="I447" s="37"/>
      <c r="J447" s="35"/>
    </row>
    <row r="448" spans="9:10" x14ac:dyDescent="0.25">
      <c r="I448" s="37"/>
      <c r="J448" s="35"/>
    </row>
    <row r="449" spans="9:10" x14ac:dyDescent="0.25">
      <c r="I449" s="37"/>
      <c r="J449" s="35"/>
    </row>
    <row r="450" spans="9:10" x14ac:dyDescent="0.25">
      <c r="I450" s="37"/>
      <c r="J450" s="35"/>
    </row>
    <row r="451" spans="9:10" x14ac:dyDescent="0.25">
      <c r="I451" s="37"/>
      <c r="J451" s="35"/>
    </row>
    <row r="452" spans="9:10" x14ac:dyDescent="0.25">
      <c r="I452" s="37"/>
      <c r="J452" s="35"/>
    </row>
    <row r="453" spans="9:10" x14ac:dyDescent="0.25">
      <c r="I453" s="37"/>
      <c r="J453" s="35"/>
    </row>
    <row r="454" spans="9:10" x14ac:dyDescent="0.25">
      <c r="I454" s="37"/>
      <c r="J454" s="35"/>
    </row>
    <row r="455" spans="9:10" x14ac:dyDescent="0.25">
      <c r="I455" s="37"/>
      <c r="J455" s="35"/>
    </row>
    <row r="456" spans="9:10" x14ac:dyDescent="0.25">
      <c r="I456" s="37"/>
      <c r="J456" s="35"/>
    </row>
    <row r="457" spans="9:10" x14ac:dyDescent="0.25">
      <c r="I457" s="37"/>
      <c r="J457" s="35"/>
    </row>
    <row r="458" spans="9:10" x14ac:dyDescent="0.25">
      <c r="I458" s="37"/>
      <c r="J458" s="35"/>
    </row>
    <row r="459" spans="9:10" x14ac:dyDescent="0.25">
      <c r="I459" s="37"/>
      <c r="J459" s="35"/>
    </row>
    <row r="460" spans="9:10" x14ac:dyDescent="0.25">
      <c r="I460" s="37"/>
      <c r="J460" s="35"/>
    </row>
    <row r="461" spans="9:10" x14ac:dyDescent="0.25">
      <c r="I461" s="37"/>
      <c r="J461" s="35"/>
    </row>
    <row r="462" spans="9:10" x14ac:dyDescent="0.25">
      <c r="I462" s="37"/>
      <c r="J462" s="35"/>
    </row>
    <row r="463" spans="9:10" x14ac:dyDescent="0.25">
      <c r="I463" s="37"/>
      <c r="J463" s="35"/>
    </row>
    <row r="464" spans="9:10" x14ac:dyDescent="0.25">
      <c r="I464" s="37"/>
      <c r="J464" s="35"/>
    </row>
    <row r="465" spans="9:10" x14ac:dyDescent="0.25">
      <c r="I465" s="37"/>
      <c r="J465" s="35"/>
    </row>
    <row r="466" spans="9:10" x14ac:dyDescent="0.25">
      <c r="I466" s="37"/>
      <c r="J466" s="35"/>
    </row>
    <row r="467" spans="9:10" x14ac:dyDescent="0.25">
      <c r="I467" s="37"/>
      <c r="J467" s="35"/>
    </row>
    <row r="468" spans="9:10" x14ac:dyDescent="0.25">
      <c r="I468" s="37"/>
      <c r="J468" s="35"/>
    </row>
    <row r="469" spans="9:10" x14ac:dyDescent="0.25">
      <c r="I469" s="37"/>
      <c r="J469" s="35"/>
    </row>
    <row r="470" spans="9:10" x14ac:dyDescent="0.25">
      <c r="I470" s="37"/>
      <c r="J470" s="35"/>
    </row>
    <row r="471" spans="9:10" x14ac:dyDescent="0.25">
      <c r="I471" s="37"/>
      <c r="J471" s="35"/>
    </row>
    <row r="472" spans="9:10" x14ac:dyDescent="0.25">
      <c r="I472" s="37"/>
      <c r="J472" s="35"/>
    </row>
    <row r="473" spans="9:10" x14ac:dyDescent="0.25">
      <c r="I473" s="37"/>
      <c r="J473" s="35"/>
    </row>
    <row r="474" spans="9:10" x14ac:dyDescent="0.25">
      <c r="I474" s="37"/>
      <c r="J474" s="35"/>
    </row>
    <row r="475" spans="9:10" x14ac:dyDescent="0.25">
      <c r="I475" s="37"/>
      <c r="J475" s="35"/>
    </row>
    <row r="476" spans="9:10" x14ac:dyDescent="0.25">
      <c r="I476" s="37"/>
      <c r="J476" s="35"/>
    </row>
    <row r="477" spans="9:10" x14ac:dyDescent="0.25">
      <c r="I477" s="37"/>
      <c r="J477" s="35"/>
    </row>
    <row r="478" spans="9:10" x14ac:dyDescent="0.25">
      <c r="I478" s="37"/>
      <c r="J478" s="35"/>
    </row>
    <row r="479" spans="9:10" x14ac:dyDescent="0.25">
      <c r="I479" s="37"/>
      <c r="J479" s="35"/>
    </row>
    <row r="480" spans="9:10" x14ac:dyDescent="0.25">
      <c r="I480" s="37"/>
      <c r="J480" s="35"/>
    </row>
    <row r="481" spans="9:10" x14ac:dyDescent="0.25">
      <c r="I481" s="37"/>
      <c r="J481" s="35"/>
    </row>
    <row r="482" spans="9:10" x14ac:dyDescent="0.25">
      <c r="I482" s="37"/>
      <c r="J482" s="35"/>
    </row>
    <row r="483" spans="9:10" x14ac:dyDescent="0.25">
      <c r="I483" s="37"/>
      <c r="J483" s="35"/>
    </row>
    <row r="484" spans="9:10" x14ac:dyDescent="0.25">
      <c r="I484" s="37"/>
      <c r="J484" s="35"/>
    </row>
    <row r="485" spans="9:10" x14ac:dyDescent="0.25">
      <c r="I485" s="37"/>
      <c r="J485" s="35"/>
    </row>
    <row r="486" spans="9:10" x14ac:dyDescent="0.25">
      <c r="I486" s="37"/>
      <c r="J486" s="35"/>
    </row>
    <row r="487" spans="9:10" x14ac:dyDescent="0.25">
      <c r="I487" s="37"/>
      <c r="J487" s="35"/>
    </row>
    <row r="488" spans="9:10" x14ac:dyDescent="0.25">
      <c r="I488" s="37"/>
      <c r="J488" s="35"/>
    </row>
    <row r="489" spans="9:10" x14ac:dyDescent="0.25">
      <c r="I489" s="37"/>
      <c r="J489" s="35"/>
    </row>
    <row r="490" spans="9:10" x14ac:dyDescent="0.25">
      <c r="I490" s="37"/>
      <c r="J490" s="35"/>
    </row>
    <row r="491" spans="9:10" x14ac:dyDescent="0.25">
      <c r="I491" s="37"/>
      <c r="J491" s="35"/>
    </row>
    <row r="492" spans="9:10" x14ac:dyDescent="0.25">
      <c r="I492" s="37"/>
      <c r="J492" s="35"/>
    </row>
    <row r="493" spans="9:10" x14ac:dyDescent="0.25">
      <c r="I493" s="37"/>
      <c r="J493" s="35"/>
    </row>
    <row r="494" spans="9:10" x14ac:dyDescent="0.25">
      <c r="I494" s="37"/>
      <c r="J494" s="35"/>
    </row>
    <row r="495" spans="9:10" x14ac:dyDescent="0.25">
      <c r="I495" s="37"/>
      <c r="J495" s="35"/>
    </row>
    <row r="496" spans="9:10" x14ac:dyDescent="0.25">
      <c r="I496" s="37"/>
      <c r="J496" s="35"/>
    </row>
    <row r="497" spans="9:10" x14ac:dyDescent="0.25">
      <c r="I497" s="37"/>
      <c r="J497" s="35"/>
    </row>
    <row r="498" spans="9:10" x14ac:dyDescent="0.25">
      <c r="I498" s="37"/>
      <c r="J498" s="35"/>
    </row>
    <row r="499" spans="9:10" x14ac:dyDescent="0.25">
      <c r="I499" s="37"/>
      <c r="J499" s="35"/>
    </row>
    <row r="500" spans="9:10" x14ac:dyDescent="0.25">
      <c r="I500" s="37"/>
      <c r="J500" s="35"/>
    </row>
    <row r="501" spans="9:10" x14ac:dyDescent="0.25">
      <c r="I501" s="37"/>
      <c r="J501" s="35"/>
    </row>
    <row r="502" spans="9:10" x14ac:dyDescent="0.25">
      <c r="I502" s="37"/>
      <c r="J502" s="35"/>
    </row>
    <row r="503" spans="9:10" x14ac:dyDescent="0.25">
      <c r="I503" s="37"/>
      <c r="J503" s="35"/>
    </row>
    <row r="504" spans="9:10" x14ac:dyDescent="0.25">
      <c r="I504" s="37"/>
      <c r="J504" s="35"/>
    </row>
    <row r="505" spans="9:10" x14ac:dyDescent="0.25">
      <c r="I505" s="37"/>
      <c r="J505" s="35"/>
    </row>
    <row r="506" spans="9:10" x14ac:dyDescent="0.25">
      <c r="I506" s="37"/>
      <c r="J506" s="35"/>
    </row>
    <row r="507" spans="9:10" x14ac:dyDescent="0.25">
      <c r="I507" s="37"/>
      <c r="J507" s="35"/>
    </row>
    <row r="508" spans="9:10" x14ac:dyDescent="0.25">
      <c r="I508" s="37"/>
      <c r="J508" s="35"/>
    </row>
    <row r="509" spans="9:10" x14ac:dyDescent="0.25">
      <c r="I509" s="37"/>
      <c r="J509" s="35"/>
    </row>
    <row r="510" spans="9:10" x14ac:dyDescent="0.25">
      <c r="I510" s="37"/>
      <c r="J510" s="35"/>
    </row>
    <row r="511" spans="9:10" x14ac:dyDescent="0.25">
      <c r="I511" s="37"/>
      <c r="J511" s="35"/>
    </row>
    <row r="512" spans="9:10" x14ac:dyDescent="0.25">
      <c r="I512" s="37"/>
      <c r="J512" s="35"/>
    </row>
    <row r="513" spans="9:10" x14ac:dyDescent="0.25">
      <c r="I513" s="37"/>
      <c r="J513" s="35"/>
    </row>
    <row r="514" spans="9:10" x14ac:dyDescent="0.25">
      <c r="I514" s="37"/>
      <c r="J514" s="35"/>
    </row>
    <row r="515" spans="9:10" x14ac:dyDescent="0.25">
      <c r="I515" s="37"/>
      <c r="J515" s="35"/>
    </row>
    <row r="516" spans="9:10" x14ac:dyDescent="0.25">
      <c r="I516" s="37"/>
      <c r="J516" s="35"/>
    </row>
    <row r="517" spans="9:10" x14ac:dyDescent="0.25">
      <c r="I517" s="37"/>
      <c r="J517" s="35"/>
    </row>
    <row r="518" spans="9:10" x14ac:dyDescent="0.25">
      <c r="I518" s="37"/>
      <c r="J518" s="35"/>
    </row>
    <row r="519" spans="9:10" x14ac:dyDescent="0.25">
      <c r="I519" s="37"/>
      <c r="J519" s="35"/>
    </row>
    <row r="520" spans="9:10" x14ac:dyDescent="0.25">
      <c r="I520" s="37"/>
      <c r="J520" s="35"/>
    </row>
    <row r="521" spans="9:10" x14ac:dyDescent="0.25">
      <c r="I521" s="37"/>
      <c r="J521" s="35"/>
    </row>
    <row r="522" spans="9:10" x14ac:dyDescent="0.25">
      <c r="I522" s="37"/>
      <c r="J522" s="35"/>
    </row>
    <row r="523" spans="9:10" x14ac:dyDescent="0.25">
      <c r="I523" s="37"/>
      <c r="J523" s="35"/>
    </row>
    <row r="524" spans="9:10" x14ac:dyDescent="0.25">
      <c r="I524" s="37"/>
      <c r="J524" s="35"/>
    </row>
    <row r="525" spans="9:10" x14ac:dyDescent="0.25">
      <c r="I525" s="37"/>
      <c r="J525" s="35"/>
    </row>
    <row r="526" spans="9:10" x14ac:dyDescent="0.25">
      <c r="I526" s="37"/>
      <c r="J526" s="35"/>
    </row>
    <row r="527" spans="9:10" x14ac:dyDescent="0.25">
      <c r="I527" s="37"/>
      <c r="J527" s="35"/>
    </row>
    <row r="528" spans="9:10" x14ac:dyDescent="0.25">
      <c r="I528" s="37"/>
      <c r="J528" s="35"/>
    </row>
    <row r="529" spans="9:10" x14ac:dyDescent="0.25">
      <c r="I529" s="37"/>
      <c r="J529" s="35"/>
    </row>
    <row r="530" spans="9:10" x14ac:dyDescent="0.25">
      <c r="I530" s="37"/>
      <c r="J530" s="35"/>
    </row>
    <row r="531" spans="9:10" x14ac:dyDescent="0.25">
      <c r="I531" s="37"/>
      <c r="J531" s="35"/>
    </row>
    <row r="532" spans="9:10" x14ac:dyDescent="0.25">
      <c r="I532" s="37"/>
      <c r="J532" s="35"/>
    </row>
    <row r="533" spans="9:10" x14ac:dyDescent="0.25">
      <c r="I533" s="37"/>
      <c r="J533" s="35"/>
    </row>
    <row r="534" spans="9:10" x14ac:dyDescent="0.25">
      <c r="I534" s="37"/>
      <c r="J534" s="35"/>
    </row>
    <row r="535" spans="9:10" x14ac:dyDescent="0.25">
      <c r="I535" s="37"/>
      <c r="J535" s="35"/>
    </row>
    <row r="536" spans="9:10" x14ac:dyDescent="0.25">
      <c r="I536" s="37"/>
      <c r="J536" s="35"/>
    </row>
    <row r="537" spans="9:10" x14ac:dyDescent="0.25">
      <c r="I537" s="37"/>
      <c r="J537" s="35"/>
    </row>
    <row r="538" spans="9:10" x14ac:dyDescent="0.25">
      <c r="I538" s="37"/>
      <c r="J538" s="35"/>
    </row>
    <row r="539" spans="9:10" x14ac:dyDescent="0.25">
      <c r="I539" s="37"/>
      <c r="J539" s="35"/>
    </row>
    <row r="540" spans="9:10" x14ac:dyDescent="0.25">
      <c r="I540" s="37"/>
      <c r="J540" s="35"/>
    </row>
    <row r="541" spans="9:10" x14ac:dyDescent="0.25">
      <c r="I541" s="37"/>
      <c r="J541" s="35"/>
    </row>
    <row r="542" spans="9:10" x14ac:dyDescent="0.25">
      <c r="I542" s="37"/>
      <c r="J542" s="35"/>
    </row>
    <row r="543" spans="9:10" x14ac:dyDescent="0.25">
      <c r="I543" s="37"/>
      <c r="J543" s="35"/>
    </row>
    <row r="544" spans="9:10" x14ac:dyDescent="0.25">
      <c r="I544" s="37"/>
      <c r="J544" s="35"/>
    </row>
    <row r="545" spans="9:10" x14ac:dyDescent="0.25">
      <c r="I545" s="37"/>
      <c r="J545" s="35"/>
    </row>
    <row r="546" spans="9:10" x14ac:dyDescent="0.25">
      <c r="I546" s="37"/>
      <c r="J546" s="35"/>
    </row>
    <row r="547" spans="9:10" x14ac:dyDescent="0.25">
      <c r="I547" s="37"/>
      <c r="J547" s="35"/>
    </row>
    <row r="548" spans="9:10" x14ac:dyDescent="0.25">
      <c r="I548" s="37"/>
      <c r="J548" s="35"/>
    </row>
    <row r="549" spans="9:10" x14ac:dyDescent="0.25">
      <c r="I549" s="37"/>
      <c r="J549" s="35"/>
    </row>
    <row r="550" spans="9:10" x14ac:dyDescent="0.25">
      <c r="I550" s="37"/>
      <c r="J550" s="35"/>
    </row>
    <row r="551" spans="9:10" x14ac:dyDescent="0.25">
      <c r="I551" s="37"/>
      <c r="J551" s="35"/>
    </row>
    <row r="552" spans="9:10" x14ac:dyDescent="0.25">
      <c r="I552" s="37"/>
      <c r="J552" s="35"/>
    </row>
    <row r="553" spans="9:10" x14ac:dyDescent="0.25">
      <c r="I553" s="37"/>
      <c r="J553" s="35"/>
    </row>
    <row r="554" spans="9:10" x14ac:dyDescent="0.25">
      <c r="I554" s="37"/>
      <c r="J554" s="35"/>
    </row>
    <row r="555" spans="9:10" x14ac:dyDescent="0.25">
      <c r="I555" s="37"/>
      <c r="J555" s="35"/>
    </row>
    <row r="556" spans="9:10" x14ac:dyDescent="0.25">
      <c r="I556" s="37"/>
      <c r="J556" s="35"/>
    </row>
    <row r="557" spans="9:10" x14ac:dyDescent="0.25">
      <c r="I557" s="37"/>
      <c r="J557" s="35"/>
    </row>
    <row r="558" spans="9:10" x14ac:dyDescent="0.25">
      <c r="I558" s="37"/>
      <c r="J558" s="35"/>
    </row>
    <row r="559" spans="9:10" x14ac:dyDescent="0.25">
      <c r="I559" s="37"/>
      <c r="J559" s="35"/>
    </row>
    <row r="560" spans="9:10" x14ac:dyDescent="0.25">
      <c r="I560" s="37"/>
      <c r="J560" s="35"/>
    </row>
    <row r="561" spans="9:10" x14ac:dyDescent="0.25">
      <c r="I561" s="37"/>
      <c r="J561" s="35"/>
    </row>
    <row r="562" spans="9:10" x14ac:dyDescent="0.25">
      <c r="I562" s="37"/>
      <c r="J562" s="35"/>
    </row>
    <row r="563" spans="9:10" x14ac:dyDescent="0.25">
      <c r="I563" s="37"/>
      <c r="J563" s="35"/>
    </row>
    <row r="564" spans="9:10" x14ac:dyDescent="0.25">
      <c r="I564" s="37"/>
      <c r="J564" s="35"/>
    </row>
    <row r="565" spans="9:10" x14ac:dyDescent="0.25">
      <c r="I565" s="37"/>
      <c r="J565" s="35"/>
    </row>
    <row r="566" spans="9:10" x14ac:dyDescent="0.25">
      <c r="I566" s="37"/>
      <c r="J566" s="35"/>
    </row>
    <row r="567" spans="9:10" x14ac:dyDescent="0.25">
      <c r="I567" s="37"/>
      <c r="J567" s="35"/>
    </row>
    <row r="568" spans="9:10" x14ac:dyDescent="0.25">
      <c r="I568" s="37"/>
      <c r="J568" s="35"/>
    </row>
    <row r="569" spans="9:10" x14ac:dyDescent="0.25">
      <c r="I569" s="37"/>
      <c r="J569" s="35"/>
    </row>
    <row r="570" spans="9:10" x14ac:dyDescent="0.25">
      <c r="I570" s="37"/>
      <c r="J570" s="35"/>
    </row>
    <row r="571" spans="9:10" x14ac:dyDescent="0.25">
      <c r="I571" s="37"/>
      <c r="J571" s="35"/>
    </row>
    <row r="572" spans="9:10" x14ac:dyDescent="0.25">
      <c r="I572" s="37"/>
      <c r="J572" s="35"/>
    </row>
    <row r="573" spans="9:10" x14ac:dyDescent="0.25">
      <c r="I573" s="37"/>
      <c r="J573" s="35"/>
    </row>
    <row r="574" spans="9:10" x14ac:dyDescent="0.25">
      <c r="I574" s="37"/>
      <c r="J574" s="35"/>
    </row>
    <row r="575" spans="9:10" x14ac:dyDescent="0.25">
      <c r="I575" s="37"/>
      <c r="J575" s="35"/>
    </row>
    <row r="576" spans="9:10" x14ac:dyDescent="0.25">
      <c r="I576" s="37"/>
      <c r="J576" s="35"/>
    </row>
    <row r="577" spans="9:10" x14ac:dyDescent="0.25">
      <c r="I577" s="37"/>
      <c r="J577" s="35"/>
    </row>
    <row r="578" spans="9:10" x14ac:dyDescent="0.25">
      <c r="I578" s="37"/>
      <c r="J578" s="35"/>
    </row>
    <row r="579" spans="9:10" x14ac:dyDescent="0.25">
      <c r="I579" s="37"/>
      <c r="J579" s="35"/>
    </row>
    <row r="580" spans="9:10" x14ac:dyDescent="0.25">
      <c r="I580" s="37"/>
      <c r="J580" s="35"/>
    </row>
    <row r="581" spans="9:10" x14ac:dyDescent="0.25">
      <c r="I581" s="37"/>
      <c r="J581" s="35"/>
    </row>
    <row r="582" spans="9:10" x14ac:dyDescent="0.25">
      <c r="I582" s="37"/>
      <c r="J582" s="35"/>
    </row>
    <row r="583" spans="9:10" x14ac:dyDescent="0.25">
      <c r="I583" s="37"/>
      <c r="J583" s="35"/>
    </row>
    <row r="584" spans="9:10" x14ac:dyDescent="0.25">
      <c r="I584" s="37"/>
      <c r="J584" s="35"/>
    </row>
    <row r="585" spans="9:10" x14ac:dyDescent="0.25">
      <c r="I585" s="37"/>
      <c r="J585" s="35"/>
    </row>
    <row r="586" spans="9:10" x14ac:dyDescent="0.25">
      <c r="I586" s="37"/>
      <c r="J586" s="35"/>
    </row>
    <row r="587" spans="9:10" x14ac:dyDescent="0.25">
      <c r="I587" s="37"/>
      <c r="J587" s="35"/>
    </row>
    <row r="588" spans="9:10" x14ac:dyDescent="0.25">
      <c r="I588" s="37"/>
      <c r="J588" s="35"/>
    </row>
    <row r="589" spans="9:10" x14ac:dyDescent="0.25">
      <c r="I589" s="37"/>
      <c r="J589" s="35"/>
    </row>
    <row r="590" spans="9:10" x14ac:dyDescent="0.25">
      <c r="I590" s="37"/>
      <c r="J590" s="35"/>
    </row>
    <row r="591" spans="9:10" x14ac:dyDescent="0.25">
      <c r="I591" s="37"/>
      <c r="J591" s="35"/>
    </row>
    <row r="592" spans="9:10" x14ac:dyDescent="0.25">
      <c r="I592" s="37"/>
      <c r="J592" s="35"/>
    </row>
    <row r="593" spans="9:10" x14ac:dyDescent="0.25">
      <c r="I593" s="37"/>
      <c r="J593" s="35"/>
    </row>
    <row r="594" spans="9:10" x14ac:dyDescent="0.25">
      <c r="I594" s="37"/>
      <c r="J594" s="35"/>
    </row>
    <row r="595" spans="9:10" x14ac:dyDescent="0.25">
      <c r="I595" s="37"/>
      <c r="J595" s="35"/>
    </row>
    <row r="596" spans="9:10" x14ac:dyDescent="0.25">
      <c r="I596" s="37"/>
      <c r="J596" s="35"/>
    </row>
    <row r="597" spans="9:10" x14ac:dyDescent="0.25">
      <c r="I597" s="37"/>
      <c r="J597" s="35"/>
    </row>
    <row r="598" spans="9:10" x14ac:dyDescent="0.25">
      <c r="I598" s="37"/>
      <c r="J598" s="35"/>
    </row>
    <row r="599" spans="9:10" x14ac:dyDescent="0.25">
      <c r="I599" s="37"/>
      <c r="J599" s="35"/>
    </row>
    <row r="600" spans="9:10" x14ac:dyDescent="0.25">
      <c r="I600" s="37"/>
      <c r="J600" s="35"/>
    </row>
    <row r="601" spans="9:10" x14ac:dyDescent="0.25">
      <c r="I601" s="37"/>
      <c r="J601" s="35"/>
    </row>
    <row r="602" spans="9:10" x14ac:dyDescent="0.25">
      <c r="I602" s="37"/>
      <c r="J602" s="35"/>
    </row>
    <row r="603" spans="9:10" x14ac:dyDescent="0.25">
      <c r="I603" s="37"/>
      <c r="J603" s="35"/>
    </row>
    <row r="604" spans="9:10" x14ac:dyDescent="0.25">
      <c r="I604" s="37"/>
      <c r="J604" s="35"/>
    </row>
    <row r="605" spans="9:10" x14ac:dyDescent="0.25">
      <c r="I605" s="37"/>
      <c r="J605" s="35"/>
    </row>
    <row r="606" spans="9:10" x14ac:dyDescent="0.25">
      <c r="I606" s="37"/>
      <c r="J606" s="35"/>
    </row>
    <row r="607" spans="9:10" x14ac:dyDescent="0.25">
      <c r="I607" s="37"/>
      <c r="J607" s="35"/>
    </row>
    <row r="608" spans="9:10" x14ac:dyDescent="0.25">
      <c r="I608" s="37"/>
      <c r="J608" s="35"/>
    </row>
    <row r="609" spans="9:10" x14ac:dyDescent="0.25">
      <c r="I609" s="37"/>
      <c r="J609" s="35"/>
    </row>
    <row r="610" spans="9:10" x14ac:dyDescent="0.25">
      <c r="I610" s="37"/>
      <c r="J610" s="35"/>
    </row>
    <row r="611" spans="9:10" x14ac:dyDescent="0.25">
      <c r="I611" s="37"/>
      <c r="J611" s="35"/>
    </row>
    <row r="612" spans="9:10" x14ac:dyDescent="0.25">
      <c r="I612" s="37"/>
      <c r="J612" s="35"/>
    </row>
    <row r="613" spans="9:10" x14ac:dyDescent="0.25">
      <c r="I613" s="37"/>
      <c r="J613" s="35"/>
    </row>
    <row r="614" spans="9:10" x14ac:dyDescent="0.25">
      <c r="I614" s="37"/>
      <c r="J614" s="35"/>
    </row>
    <row r="615" spans="9:10" x14ac:dyDescent="0.25">
      <c r="I615" s="37"/>
      <c r="J615" s="35"/>
    </row>
    <row r="616" spans="9:10" x14ac:dyDescent="0.25">
      <c r="I616" s="37"/>
      <c r="J616" s="35"/>
    </row>
    <row r="617" spans="9:10" x14ac:dyDescent="0.25">
      <c r="I617" s="37"/>
      <c r="J617" s="35"/>
    </row>
    <row r="618" spans="9:10" x14ac:dyDescent="0.25">
      <c r="I618" s="37"/>
      <c r="J618" s="35"/>
    </row>
    <row r="619" spans="9:10" x14ac:dyDescent="0.25">
      <c r="I619" s="37"/>
      <c r="J619" s="35"/>
    </row>
    <row r="620" spans="9:10" x14ac:dyDescent="0.25">
      <c r="I620" s="37"/>
      <c r="J620" s="35"/>
    </row>
    <row r="621" spans="9:10" x14ac:dyDescent="0.25">
      <c r="I621" s="37"/>
      <c r="J621" s="35"/>
    </row>
    <row r="622" spans="9:10" x14ac:dyDescent="0.25">
      <c r="I622" s="37"/>
      <c r="J622" s="35"/>
    </row>
    <row r="623" spans="9:10" x14ac:dyDescent="0.25">
      <c r="I623" s="37"/>
      <c r="J623" s="35"/>
    </row>
    <row r="624" spans="9:10" x14ac:dyDescent="0.25">
      <c r="I624" s="37"/>
      <c r="J624" s="35"/>
    </row>
    <row r="625" spans="9:10" x14ac:dyDescent="0.25">
      <c r="I625" s="37"/>
      <c r="J625" s="35"/>
    </row>
    <row r="626" spans="9:10" x14ac:dyDescent="0.25">
      <c r="I626" s="37"/>
      <c r="J626" s="35"/>
    </row>
    <row r="627" spans="9:10" x14ac:dyDescent="0.25">
      <c r="I627" s="37"/>
      <c r="J627" s="35"/>
    </row>
    <row r="628" spans="9:10" x14ac:dyDescent="0.25">
      <c r="I628" s="37"/>
      <c r="J628" s="35"/>
    </row>
    <row r="629" spans="9:10" x14ac:dyDescent="0.25">
      <c r="I629" s="37"/>
      <c r="J629" s="35"/>
    </row>
    <row r="630" spans="9:10" x14ac:dyDescent="0.25">
      <c r="I630" s="37"/>
      <c r="J630" s="35"/>
    </row>
    <row r="631" spans="9:10" x14ac:dyDescent="0.25">
      <c r="I631" s="37"/>
      <c r="J631" s="35"/>
    </row>
    <row r="632" spans="9:10" x14ac:dyDescent="0.25">
      <c r="I632" s="37"/>
      <c r="J632" s="35"/>
    </row>
    <row r="633" spans="9:10" x14ac:dyDescent="0.25">
      <c r="I633" s="37"/>
      <c r="J633" s="35"/>
    </row>
    <row r="634" spans="9:10" x14ac:dyDescent="0.25">
      <c r="I634" s="37"/>
      <c r="J634" s="35"/>
    </row>
    <row r="635" spans="9:10" x14ac:dyDescent="0.25">
      <c r="I635" s="37"/>
      <c r="J635" s="35"/>
    </row>
    <row r="636" spans="9:10" x14ac:dyDescent="0.25">
      <c r="I636" s="37"/>
      <c r="J636" s="35"/>
    </row>
    <row r="637" spans="9:10" x14ac:dyDescent="0.25">
      <c r="I637" s="37"/>
      <c r="J637" s="35"/>
    </row>
    <row r="638" spans="9:10" x14ac:dyDescent="0.25">
      <c r="I638" s="37"/>
      <c r="J638" s="35"/>
    </row>
    <row r="639" spans="9:10" x14ac:dyDescent="0.25">
      <c r="I639" s="37"/>
      <c r="J639" s="35"/>
    </row>
    <row r="640" spans="9:10" x14ac:dyDescent="0.25">
      <c r="I640" s="37"/>
      <c r="J640" s="35"/>
    </row>
    <row r="641" spans="9:10" x14ac:dyDescent="0.25">
      <c r="I641" s="37"/>
      <c r="J641" s="35"/>
    </row>
    <row r="642" spans="9:10" x14ac:dyDescent="0.25">
      <c r="I642" s="37"/>
      <c r="J642" s="35"/>
    </row>
    <row r="643" spans="9:10" x14ac:dyDescent="0.25">
      <c r="I643" s="37"/>
      <c r="J643" s="35"/>
    </row>
    <row r="644" spans="9:10" x14ac:dyDescent="0.25">
      <c r="I644" s="37"/>
      <c r="J644" s="35"/>
    </row>
    <row r="645" spans="9:10" x14ac:dyDescent="0.25">
      <c r="I645" s="37"/>
      <c r="J645" s="35"/>
    </row>
    <row r="646" spans="9:10" x14ac:dyDescent="0.25">
      <c r="I646" s="37"/>
      <c r="J646" s="35"/>
    </row>
    <row r="647" spans="9:10" x14ac:dyDescent="0.25">
      <c r="I647" s="37"/>
      <c r="J647" s="35"/>
    </row>
    <row r="648" spans="9:10" x14ac:dyDescent="0.25">
      <c r="I648" s="37"/>
      <c r="J648" s="35"/>
    </row>
    <row r="649" spans="9:10" x14ac:dyDescent="0.25">
      <c r="I649" s="37"/>
      <c r="J649" s="35"/>
    </row>
    <row r="650" spans="9:10" x14ac:dyDescent="0.25">
      <c r="I650" s="37"/>
      <c r="J650" s="35"/>
    </row>
    <row r="651" spans="9:10" x14ac:dyDescent="0.25">
      <c r="I651" s="37"/>
      <c r="J651" s="35"/>
    </row>
    <row r="652" spans="9:10" x14ac:dyDescent="0.25">
      <c r="I652" s="37"/>
      <c r="J652" s="35"/>
    </row>
    <row r="653" spans="9:10" x14ac:dyDescent="0.25">
      <c r="I653" s="37"/>
      <c r="J653" s="35"/>
    </row>
    <row r="654" spans="9:10" x14ac:dyDescent="0.25">
      <c r="I654" s="37"/>
      <c r="J654" s="35"/>
    </row>
    <row r="655" spans="9:10" x14ac:dyDescent="0.25">
      <c r="I655" s="37"/>
      <c r="J655" s="35"/>
    </row>
    <row r="656" spans="9:10" x14ac:dyDescent="0.25">
      <c r="I656" s="37"/>
      <c r="J656" s="35"/>
    </row>
    <row r="657" spans="9:10" x14ac:dyDescent="0.25">
      <c r="I657" s="37"/>
      <c r="J657" s="35"/>
    </row>
    <row r="658" spans="9:10" x14ac:dyDescent="0.25">
      <c r="I658" s="37"/>
      <c r="J658" s="35"/>
    </row>
    <row r="659" spans="9:10" x14ac:dyDescent="0.25">
      <c r="I659" s="37"/>
      <c r="J659" s="35"/>
    </row>
    <row r="660" spans="9:10" x14ac:dyDescent="0.25">
      <c r="I660" s="37"/>
      <c r="J660" s="35"/>
    </row>
    <row r="661" spans="9:10" x14ac:dyDescent="0.25">
      <c r="I661" s="37"/>
      <c r="J661" s="35"/>
    </row>
    <row r="662" spans="9:10" x14ac:dyDescent="0.25">
      <c r="I662" s="37"/>
      <c r="J662" s="35"/>
    </row>
    <row r="663" spans="9:10" x14ac:dyDescent="0.25">
      <c r="I663" s="37"/>
      <c r="J663" s="35"/>
    </row>
    <row r="664" spans="9:10" x14ac:dyDescent="0.25">
      <c r="I664" s="37"/>
      <c r="J664" s="35"/>
    </row>
    <row r="665" spans="9:10" x14ac:dyDescent="0.25">
      <c r="I665" s="37"/>
      <c r="J665" s="35"/>
    </row>
    <row r="666" spans="9:10" x14ac:dyDescent="0.25">
      <c r="I666" s="37"/>
      <c r="J666" s="35"/>
    </row>
    <row r="667" spans="9:10" x14ac:dyDescent="0.25">
      <c r="I667" s="37"/>
      <c r="J667" s="35"/>
    </row>
    <row r="668" spans="9:10" x14ac:dyDescent="0.25">
      <c r="I668" s="37"/>
      <c r="J668" s="35"/>
    </row>
    <row r="669" spans="9:10" x14ac:dyDescent="0.25">
      <c r="I669" s="37"/>
      <c r="J669" s="35"/>
    </row>
    <row r="670" spans="9:10" x14ac:dyDescent="0.25">
      <c r="I670" s="37"/>
      <c r="J670" s="35"/>
    </row>
    <row r="671" spans="9:10" x14ac:dyDescent="0.25">
      <c r="I671" s="37"/>
      <c r="J671" s="35"/>
    </row>
    <row r="672" spans="9:10" x14ac:dyDescent="0.25">
      <c r="I672" s="37"/>
      <c r="J672" s="35"/>
    </row>
    <row r="673" spans="9:10" x14ac:dyDescent="0.25">
      <c r="I673" s="37"/>
      <c r="J673" s="35"/>
    </row>
    <row r="674" spans="9:10" x14ac:dyDescent="0.25">
      <c r="I674" s="37"/>
      <c r="J674" s="35"/>
    </row>
    <row r="675" spans="9:10" x14ac:dyDescent="0.25">
      <c r="I675" s="37"/>
      <c r="J675" s="35"/>
    </row>
    <row r="676" spans="9:10" x14ac:dyDescent="0.25">
      <c r="I676" s="37"/>
      <c r="J676" s="35"/>
    </row>
    <row r="677" spans="9:10" x14ac:dyDescent="0.25">
      <c r="I677" s="37"/>
      <c r="J677" s="35"/>
    </row>
    <row r="678" spans="9:10" x14ac:dyDescent="0.25">
      <c r="I678" s="37"/>
      <c r="J678" s="35"/>
    </row>
    <row r="679" spans="9:10" x14ac:dyDescent="0.25">
      <c r="I679" s="37"/>
      <c r="J679" s="35"/>
    </row>
    <row r="680" spans="9:10" x14ac:dyDescent="0.25">
      <c r="I680" s="37"/>
      <c r="J680" s="35"/>
    </row>
    <row r="681" spans="9:10" x14ac:dyDescent="0.25">
      <c r="I681" s="37"/>
      <c r="J681" s="35"/>
    </row>
    <row r="682" spans="9:10" x14ac:dyDescent="0.25">
      <c r="I682" s="37"/>
      <c r="J682" s="35"/>
    </row>
    <row r="683" spans="9:10" x14ac:dyDescent="0.25">
      <c r="I683" s="37"/>
      <c r="J683" s="35"/>
    </row>
    <row r="684" spans="9:10" x14ac:dyDescent="0.25">
      <c r="I684" s="37"/>
      <c r="J684" s="35"/>
    </row>
    <row r="685" spans="9:10" x14ac:dyDescent="0.25">
      <c r="I685" s="37"/>
      <c r="J685" s="35"/>
    </row>
    <row r="686" spans="9:10" x14ac:dyDescent="0.25">
      <c r="I686" s="37"/>
      <c r="J686" s="35"/>
    </row>
    <row r="687" spans="9:10" x14ac:dyDescent="0.25">
      <c r="I687" s="37"/>
      <c r="J687" s="35"/>
    </row>
    <row r="688" spans="9:10" x14ac:dyDescent="0.25">
      <c r="I688" s="37"/>
      <c r="J688" s="35"/>
    </row>
    <row r="689" spans="9:10" x14ac:dyDescent="0.25">
      <c r="I689" s="37"/>
      <c r="J689" s="35"/>
    </row>
    <row r="690" spans="9:10" x14ac:dyDescent="0.25">
      <c r="I690" s="37"/>
      <c r="J690" s="35"/>
    </row>
    <row r="691" spans="9:10" x14ac:dyDescent="0.25">
      <c r="I691" s="37"/>
      <c r="J691" s="35"/>
    </row>
    <row r="692" spans="9:10" x14ac:dyDescent="0.25">
      <c r="I692" s="37"/>
      <c r="J692" s="35"/>
    </row>
    <row r="693" spans="9:10" x14ac:dyDescent="0.25">
      <c r="I693" s="37"/>
      <c r="J693" s="35"/>
    </row>
    <row r="694" spans="9:10" x14ac:dyDescent="0.25">
      <c r="I694" s="37"/>
      <c r="J694" s="35"/>
    </row>
    <row r="695" spans="9:10" x14ac:dyDescent="0.25">
      <c r="I695" s="37"/>
      <c r="J695" s="35"/>
    </row>
    <row r="696" spans="9:10" x14ac:dyDescent="0.25">
      <c r="I696" s="37"/>
      <c r="J696" s="35"/>
    </row>
    <row r="697" spans="9:10" x14ac:dyDescent="0.25">
      <c r="I697" s="37"/>
      <c r="J697" s="35"/>
    </row>
    <row r="698" spans="9:10" x14ac:dyDescent="0.25">
      <c r="I698" s="37"/>
      <c r="J698" s="35"/>
    </row>
    <row r="699" spans="9:10" x14ac:dyDescent="0.25">
      <c r="I699" s="37"/>
      <c r="J699" s="35"/>
    </row>
    <row r="700" spans="9:10" x14ac:dyDescent="0.25">
      <c r="I700" s="37"/>
      <c r="J700" s="35"/>
    </row>
    <row r="701" spans="9:10" x14ac:dyDescent="0.25">
      <c r="I701" s="37"/>
      <c r="J701" s="35"/>
    </row>
    <row r="702" spans="9:10" x14ac:dyDescent="0.25">
      <c r="I702" s="37"/>
      <c r="J702" s="35"/>
    </row>
    <row r="703" spans="9:10" x14ac:dyDescent="0.25">
      <c r="I703" s="37"/>
      <c r="J703" s="35"/>
    </row>
    <row r="704" spans="9:10" x14ac:dyDescent="0.25">
      <c r="I704" s="37"/>
      <c r="J704" s="35"/>
    </row>
    <row r="705" spans="9:10" x14ac:dyDescent="0.25">
      <c r="I705" s="37"/>
      <c r="J705" s="35"/>
    </row>
    <row r="706" spans="9:10" x14ac:dyDescent="0.25">
      <c r="I706" s="37"/>
      <c r="J706" s="35"/>
    </row>
    <row r="707" spans="9:10" x14ac:dyDescent="0.25">
      <c r="I707" s="37"/>
      <c r="J707" s="35"/>
    </row>
    <row r="708" spans="9:10" x14ac:dyDescent="0.25">
      <c r="I708" s="37"/>
      <c r="J708" s="35"/>
    </row>
    <row r="709" spans="9:10" x14ac:dyDescent="0.25">
      <c r="I709" s="37"/>
      <c r="J709" s="35"/>
    </row>
    <row r="710" spans="9:10" x14ac:dyDescent="0.25">
      <c r="I710" s="37"/>
      <c r="J710" s="35"/>
    </row>
    <row r="711" spans="9:10" x14ac:dyDescent="0.25">
      <c r="I711" s="37"/>
      <c r="J711" s="35"/>
    </row>
    <row r="712" spans="9:10" x14ac:dyDescent="0.25">
      <c r="I712" s="37"/>
      <c r="J712" s="35"/>
    </row>
    <row r="713" spans="9:10" x14ac:dyDescent="0.25">
      <c r="I713" s="37"/>
      <c r="J713" s="35"/>
    </row>
    <row r="714" spans="9:10" x14ac:dyDescent="0.25">
      <c r="I714" s="37"/>
      <c r="J714" s="35"/>
    </row>
    <row r="715" spans="9:10" x14ac:dyDescent="0.25">
      <c r="I715" s="37"/>
      <c r="J715" s="35"/>
    </row>
    <row r="716" spans="9:10" x14ac:dyDescent="0.25">
      <c r="I716" s="37"/>
      <c r="J716" s="35"/>
    </row>
    <row r="717" spans="9:10" x14ac:dyDescent="0.25">
      <c r="I717" s="37"/>
      <c r="J717" s="35"/>
    </row>
    <row r="718" spans="9:10" x14ac:dyDescent="0.25">
      <c r="I718" s="37"/>
      <c r="J718" s="35"/>
    </row>
    <row r="719" spans="9:10" x14ac:dyDescent="0.25">
      <c r="I719" s="37"/>
      <c r="J719" s="35"/>
    </row>
    <row r="720" spans="9:10" x14ac:dyDescent="0.25">
      <c r="I720" s="37"/>
      <c r="J720" s="35"/>
    </row>
    <row r="721" spans="9:10" x14ac:dyDescent="0.25">
      <c r="I721" s="37"/>
      <c r="J721" s="35"/>
    </row>
    <row r="722" spans="9:10" x14ac:dyDescent="0.25">
      <c r="I722" s="37"/>
      <c r="J722" s="35"/>
    </row>
    <row r="723" spans="9:10" x14ac:dyDescent="0.25">
      <c r="I723" s="37"/>
      <c r="J723" s="35"/>
    </row>
    <row r="724" spans="9:10" x14ac:dyDescent="0.25">
      <c r="I724" s="37"/>
      <c r="J724" s="35"/>
    </row>
    <row r="725" spans="9:10" x14ac:dyDescent="0.25">
      <c r="I725" s="37"/>
      <c r="J725" s="35"/>
    </row>
    <row r="726" spans="9:10" x14ac:dyDescent="0.25">
      <c r="I726" s="37"/>
      <c r="J726" s="35"/>
    </row>
    <row r="727" spans="9:10" x14ac:dyDescent="0.25">
      <c r="I727" s="37"/>
      <c r="J727" s="35"/>
    </row>
    <row r="728" spans="9:10" x14ac:dyDescent="0.25">
      <c r="I728" s="37"/>
      <c r="J728" s="35"/>
    </row>
    <row r="729" spans="9:10" x14ac:dyDescent="0.25">
      <c r="I729" s="37"/>
      <c r="J729" s="35"/>
    </row>
    <row r="730" spans="9:10" x14ac:dyDescent="0.25">
      <c r="I730" s="37"/>
      <c r="J730" s="35"/>
    </row>
    <row r="731" spans="9:10" x14ac:dyDescent="0.25">
      <c r="I731" s="37"/>
      <c r="J731" s="35"/>
    </row>
    <row r="732" spans="9:10" x14ac:dyDescent="0.25">
      <c r="I732" s="37"/>
      <c r="J732" s="35"/>
    </row>
    <row r="733" spans="9:10" x14ac:dyDescent="0.25">
      <c r="I733" s="37"/>
      <c r="J733" s="35"/>
    </row>
    <row r="734" spans="9:10" x14ac:dyDescent="0.25">
      <c r="I734" s="37"/>
      <c r="J734" s="35"/>
    </row>
    <row r="735" spans="9:10" x14ac:dyDescent="0.25">
      <c r="I735" s="37"/>
      <c r="J735" s="35"/>
    </row>
    <row r="736" spans="9:10" x14ac:dyDescent="0.25">
      <c r="I736" s="37"/>
      <c r="J736" s="35"/>
    </row>
    <row r="737" spans="9:10" x14ac:dyDescent="0.25">
      <c r="I737" s="37"/>
      <c r="J737" s="35"/>
    </row>
    <row r="738" spans="9:10" x14ac:dyDescent="0.25">
      <c r="I738" s="37"/>
      <c r="J738" s="35"/>
    </row>
    <row r="739" spans="9:10" x14ac:dyDescent="0.25">
      <c r="I739" s="37"/>
      <c r="J739" s="35"/>
    </row>
    <row r="740" spans="9:10" x14ac:dyDescent="0.25">
      <c r="I740" s="37"/>
      <c r="J740" s="35"/>
    </row>
    <row r="741" spans="9:10" x14ac:dyDescent="0.25">
      <c r="I741" s="37"/>
      <c r="J741" s="35"/>
    </row>
    <row r="742" spans="9:10" x14ac:dyDescent="0.25">
      <c r="I742" s="37"/>
      <c r="J742" s="35"/>
    </row>
    <row r="743" spans="9:10" x14ac:dyDescent="0.25">
      <c r="I743" s="37"/>
      <c r="J743" s="35"/>
    </row>
    <row r="744" spans="9:10" x14ac:dyDescent="0.25">
      <c r="I744" s="37"/>
      <c r="J744" s="35"/>
    </row>
    <row r="745" spans="9:10" x14ac:dyDescent="0.25">
      <c r="I745" s="37"/>
      <c r="J745" s="35"/>
    </row>
    <row r="746" spans="9:10" x14ac:dyDescent="0.25">
      <c r="I746" s="37"/>
      <c r="J746" s="35"/>
    </row>
    <row r="747" spans="9:10" x14ac:dyDescent="0.25">
      <c r="I747" s="37"/>
      <c r="J747" s="35"/>
    </row>
    <row r="748" spans="9:10" x14ac:dyDescent="0.25">
      <c r="I748" s="37"/>
      <c r="J748" s="35"/>
    </row>
    <row r="749" spans="9:10" x14ac:dyDescent="0.25">
      <c r="I749" s="37"/>
      <c r="J749" s="35"/>
    </row>
    <row r="750" spans="9:10" x14ac:dyDescent="0.25">
      <c r="I750" s="37"/>
      <c r="J750" s="35"/>
    </row>
    <row r="751" spans="9:10" x14ac:dyDescent="0.25">
      <c r="I751" s="37"/>
      <c r="J751" s="35"/>
    </row>
    <row r="752" spans="9:10" x14ac:dyDescent="0.25">
      <c r="I752" s="37"/>
      <c r="J752" s="35"/>
    </row>
    <row r="753" spans="9:10" x14ac:dyDescent="0.25">
      <c r="I753" s="37"/>
      <c r="J753" s="35"/>
    </row>
    <row r="754" spans="9:10" x14ac:dyDescent="0.25">
      <c r="I754" s="37"/>
      <c r="J754" s="35"/>
    </row>
    <row r="755" spans="9:10" x14ac:dyDescent="0.25">
      <c r="I755" s="37"/>
      <c r="J755" s="35"/>
    </row>
    <row r="756" spans="9:10" x14ac:dyDescent="0.25">
      <c r="I756" s="37"/>
      <c r="J756" s="35"/>
    </row>
    <row r="757" spans="9:10" x14ac:dyDescent="0.25">
      <c r="I757" s="37"/>
      <c r="J757" s="35"/>
    </row>
    <row r="758" spans="9:10" x14ac:dyDescent="0.25">
      <c r="I758" s="37"/>
      <c r="J758" s="35"/>
    </row>
    <row r="759" spans="9:10" x14ac:dyDescent="0.25">
      <c r="I759" s="37"/>
      <c r="J759" s="35"/>
    </row>
    <row r="760" spans="9:10" x14ac:dyDescent="0.25">
      <c r="I760" s="37"/>
      <c r="J760" s="35"/>
    </row>
    <row r="761" spans="9:10" x14ac:dyDescent="0.25">
      <c r="I761" s="37"/>
      <c r="J761" s="35"/>
    </row>
    <row r="762" spans="9:10" x14ac:dyDescent="0.25">
      <c r="I762" s="37"/>
      <c r="J762" s="35"/>
    </row>
    <row r="763" spans="9:10" x14ac:dyDescent="0.25">
      <c r="I763" s="37"/>
      <c r="J763" s="35"/>
    </row>
    <row r="764" spans="9:10" x14ac:dyDescent="0.25">
      <c r="I764" s="37"/>
      <c r="J764" s="35"/>
    </row>
    <row r="765" spans="9:10" x14ac:dyDescent="0.25">
      <c r="I765" s="37"/>
      <c r="J765" s="35"/>
    </row>
    <row r="766" spans="9:10" x14ac:dyDescent="0.25">
      <c r="I766" s="37"/>
      <c r="J766" s="35"/>
    </row>
    <row r="767" spans="9:10" x14ac:dyDescent="0.25">
      <c r="I767" s="37"/>
      <c r="J767" s="35"/>
    </row>
    <row r="768" spans="9:10" x14ac:dyDescent="0.25">
      <c r="I768" s="37"/>
      <c r="J768" s="35"/>
    </row>
    <row r="769" spans="9:10" x14ac:dyDescent="0.25">
      <c r="I769" s="37"/>
      <c r="J769" s="35"/>
    </row>
    <row r="770" spans="9:10" x14ac:dyDescent="0.25">
      <c r="I770" s="37"/>
      <c r="J770" s="35"/>
    </row>
    <row r="771" spans="9:10" x14ac:dyDescent="0.25">
      <c r="I771" s="37"/>
      <c r="J771" s="35"/>
    </row>
    <row r="772" spans="9:10" x14ac:dyDescent="0.25">
      <c r="I772" s="37"/>
      <c r="J772" s="35"/>
    </row>
    <row r="773" spans="9:10" x14ac:dyDescent="0.25">
      <c r="I773" s="37"/>
      <c r="J773" s="35"/>
    </row>
    <row r="774" spans="9:10" x14ac:dyDescent="0.25">
      <c r="I774" s="37"/>
      <c r="J774" s="35"/>
    </row>
    <row r="775" spans="9:10" x14ac:dyDescent="0.25">
      <c r="I775" s="37"/>
      <c r="J775" s="35"/>
    </row>
    <row r="776" spans="9:10" x14ac:dyDescent="0.25">
      <c r="I776" s="37"/>
      <c r="J776" s="35"/>
    </row>
    <row r="777" spans="9:10" x14ac:dyDescent="0.25">
      <c r="I777" s="37"/>
      <c r="J777" s="35"/>
    </row>
    <row r="778" spans="9:10" x14ac:dyDescent="0.25">
      <c r="I778" s="37"/>
      <c r="J778" s="35"/>
    </row>
    <row r="779" spans="9:10" x14ac:dyDescent="0.25">
      <c r="I779" s="37"/>
      <c r="J779" s="35"/>
    </row>
    <row r="780" spans="9:10" x14ac:dyDescent="0.25">
      <c r="I780" s="37"/>
      <c r="J780" s="35"/>
    </row>
    <row r="781" spans="9:10" x14ac:dyDescent="0.25">
      <c r="I781" s="37"/>
      <c r="J781" s="35"/>
    </row>
    <row r="782" spans="9:10" x14ac:dyDescent="0.25">
      <c r="I782" s="37"/>
      <c r="J782" s="35"/>
    </row>
    <row r="783" spans="9:10" x14ac:dyDescent="0.25">
      <c r="I783" s="37"/>
      <c r="J783" s="35"/>
    </row>
    <row r="784" spans="9:10" x14ac:dyDescent="0.25">
      <c r="I784" s="37"/>
      <c r="J784" s="35"/>
    </row>
    <row r="785" spans="9:10" x14ac:dyDescent="0.25">
      <c r="I785" s="37"/>
      <c r="J785" s="35"/>
    </row>
    <row r="786" spans="9:10" x14ac:dyDescent="0.25">
      <c r="I786" s="37"/>
      <c r="J786" s="35"/>
    </row>
    <row r="787" spans="9:10" x14ac:dyDescent="0.25">
      <c r="I787" s="37"/>
      <c r="J787" s="35"/>
    </row>
    <row r="788" spans="9:10" x14ac:dyDescent="0.25">
      <c r="I788" s="37"/>
      <c r="J788" s="35"/>
    </row>
    <row r="789" spans="9:10" x14ac:dyDescent="0.25">
      <c r="I789" s="37"/>
      <c r="J789" s="35"/>
    </row>
    <row r="790" spans="9:10" x14ac:dyDescent="0.25">
      <c r="I790" s="37"/>
      <c r="J790" s="35"/>
    </row>
    <row r="791" spans="9:10" x14ac:dyDescent="0.25">
      <c r="I791" s="37"/>
      <c r="J791" s="35"/>
    </row>
    <row r="792" spans="9:10" x14ac:dyDescent="0.25">
      <c r="I792" s="37"/>
      <c r="J792" s="35"/>
    </row>
    <row r="793" spans="9:10" x14ac:dyDescent="0.25">
      <c r="I793" s="37"/>
      <c r="J793" s="35"/>
    </row>
    <row r="794" spans="9:10" x14ac:dyDescent="0.25">
      <c r="I794" s="37"/>
      <c r="J794" s="35"/>
    </row>
    <row r="795" spans="9:10" x14ac:dyDescent="0.25">
      <c r="I795" s="37"/>
      <c r="J795" s="35"/>
    </row>
    <row r="796" spans="9:10" x14ac:dyDescent="0.25">
      <c r="I796" s="37"/>
      <c r="J796" s="35"/>
    </row>
    <row r="797" spans="9:10" x14ac:dyDescent="0.25">
      <c r="I797" s="37"/>
      <c r="J797" s="35"/>
    </row>
    <row r="798" spans="9:10" x14ac:dyDescent="0.25">
      <c r="I798" s="37"/>
      <c r="J798" s="35"/>
    </row>
    <row r="799" spans="9:10" x14ac:dyDescent="0.25">
      <c r="I799" s="37"/>
      <c r="J799" s="35"/>
    </row>
    <row r="800" spans="9:10" x14ac:dyDescent="0.25">
      <c r="I800" s="37"/>
      <c r="J800" s="35"/>
    </row>
    <row r="801" spans="9:10" x14ac:dyDescent="0.25">
      <c r="I801" s="37"/>
      <c r="J801" s="35"/>
    </row>
    <row r="802" spans="9:10" x14ac:dyDescent="0.25">
      <c r="I802" s="37"/>
      <c r="J802" s="35"/>
    </row>
    <row r="803" spans="9:10" x14ac:dyDescent="0.25">
      <c r="I803" s="37"/>
      <c r="J803" s="35"/>
    </row>
    <row r="804" spans="9:10" x14ac:dyDescent="0.25">
      <c r="I804" s="37"/>
      <c r="J804" s="35"/>
    </row>
    <row r="805" spans="9:10" x14ac:dyDescent="0.25">
      <c r="I805" s="37"/>
      <c r="J805" s="35"/>
    </row>
    <row r="806" spans="9:10" x14ac:dyDescent="0.25">
      <c r="I806" s="37"/>
      <c r="J806" s="35"/>
    </row>
    <row r="807" spans="9:10" x14ac:dyDescent="0.25">
      <c r="I807" s="37"/>
      <c r="J807" s="35"/>
    </row>
    <row r="808" spans="9:10" x14ac:dyDescent="0.25">
      <c r="I808" s="37"/>
      <c r="J808" s="35"/>
    </row>
    <row r="809" spans="9:10" x14ac:dyDescent="0.25">
      <c r="I809" s="37"/>
      <c r="J809" s="35"/>
    </row>
    <row r="810" spans="9:10" x14ac:dyDescent="0.25">
      <c r="I810" s="37"/>
      <c r="J810" s="35"/>
    </row>
    <row r="811" spans="9:10" x14ac:dyDescent="0.25">
      <c r="I811" s="37"/>
      <c r="J811" s="35"/>
    </row>
    <row r="812" spans="9:10" x14ac:dyDescent="0.25">
      <c r="I812" s="37"/>
      <c r="J812" s="35"/>
    </row>
    <row r="813" spans="9:10" x14ac:dyDescent="0.25">
      <c r="I813" s="37"/>
      <c r="J813" s="35"/>
    </row>
    <row r="814" spans="9:10" x14ac:dyDescent="0.25">
      <c r="I814" s="37"/>
      <c r="J814" s="35"/>
    </row>
    <row r="815" spans="9:10" x14ac:dyDescent="0.25">
      <c r="I815" s="37"/>
      <c r="J815" s="35"/>
    </row>
    <row r="816" spans="9:10" x14ac:dyDescent="0.25">
      <c r="I816" s="37"/>
      <c r="J816" s="35"/>
    </row>
    <row r="817" spans="9:10" x14ac:dyDescent="0.25">
      <c r="I817" s="37"/>
      <c r="J817" s="35"/>
    </row>
    <row r="818" spans="9:10" x14ac:dyDescent="0.25">
      <c r="I818" s="37"/>
      <c r="J818" s="35"/>
    </row>
    <row r="819" spans="9:10" x14ac:dyDescent="0.25">
      <c r="I819" s="37"/>
      <c r="J819" s="35"/>
    </row>
    <row r="820" spans="9:10" x14ac:dyDescent="0.25">
      <c r="I820" s="37"/>
      <c r="J820" s="35"/>
    </row>
    <row r="821" spans="9:10" x14ac:dyDescent="0.25">
      <c r="I821" s="37"/>
      <c r="J821" s="35"/>
    </row>
    <row r="822" spans="9:10" x14ac:dyDescent="0.25">
      <c r="I822" s="37"/>
      <c r="J822" s="35"/>
    </row>
    <row r="823" spans="9:10" x14ac:dyDescent="0.25">
      <c r="I823" s="37"/>
      <c r="J823" s="35"/>
    </row>
    <row r="824" spans="9:10" x14ac:dyDescent="0.25">
      <c r="I824" s="37"/>
      <c r="J824" s="35"/>
    </row>
    <row r="825" spans="9:10" x14ac:dyDescent="0.25">
      <c r="I825" s="37"/>
      <c r="J825" s="35"/>
    </row>
    <row r="826" spans="9:10" x14ac:dyDescent="0.25">
      <c r="I826" s="37"/>
      <c r="J826" s="35"/>
    </row>
    <row r="827" spans="9:10" x14ac:dyDescent="0.25">
      <c r="I827" s="37"/>
      <c r="J827" s="35"/>
    </row>
    <row r="828" spans="9:10" x14ac:dyDescent="0.25">
      <c r="I828" s="37"/>
      <c r="J828" s="35"/>
    </row>
    <row r="829" spans="9:10" x14ac:dyDescent="0.25">
      <c r="I829" s="37"/>
      <c r="J829" s="35"/>
    </row>
    <row r="830" spans="9:10" x14ac:dyDescent="0.25">
      <c r="I830" s="37"/>
      <c r="J830" s="35"/>
    </row>
    <row r="831" spans="9:10" x14ac:dyDescent="0.25">
      <c r="I831" s="37"/>
      <c r="J831" s="35"/>
    </row>
    <row r="832" spans="9:10" x14ac:dyDescent="0.25">
      <c r="I832" s="37"/>
      <c r="J832" s="35"/>
    </row>
    <row r="833" spans="9:10" x14ac:dyDescent="0.25">
      <c r="I833" s="37"/>
      <c r="J833" s="35"/>
    </row>
    <row r="834" spans="9:10" x14ac:dyDescent="0.25">
      <c r="I834" s="37"/>
      <c r="J834" s="35"/>
    </row>
    <row r="835" spans="9:10" x14ac:dyDescent="0.25">
      <c r="I835" s="37"/>
      <c r="J835" s="35"/>
    </row>
    <row r="836" spans="9:10" x14ac:dyDescent="0.25">
      <c r="I836" s="37"/>
      <c r="J836" s="35"/>
    </row>
    <row r="837" spans="9:10" x14ac:dyDescent="0.25">
      <c r="I837" s="37"/>
      <c r="J837" s="35"/>
    </row>
    <row r="838" spans="9:10" x14ac:dyDescent="0.25">
      <c r="I838" s="37"/>
      <c r="J838" s="35"/>
    </row>
    <row r="839" spans="9:10" x14ac:dyDescent="0.25">
      <c r="I839" s="37"/>
      <c r="J839" s="35"/>
    </row>
    <row r="840" spans="9:10" x14ac:dyDescent="0.25">
      <c r="I840" s="37"/>
      <c r="J840" s="35"/>
    </row>
    <row r="841" spans="9:10" x14ac:dyDescent="0.25">
      <c r="I841" s="37"/>
      <c r="J841" s="35"/>
    </row>
    <row r="842" spans="9:10" x14ac:dyDescent="0.25">
      <c r="I842" s="37"/>
      <c r="J842" s="35"/>
    </row>
    <row r="843" spans="9:10" x14ac:dyDescent="0.25">
      <c r="I843" s="37"/>
      <c r="J843" s="35"/>
    </row>
    <row r="844" spans="9:10" x14ac:dyDescent="0.25">
      <c r="I844" s="37"/>
      <c r="J844" s="35"/>
    </row>
    <row r="845" spans="9:10" x14ac:dyDescent="0.25">
      <c r="I845" s="37"/>
      <c r="J845" s="35"/>
    </row>
    <row r="846" spans="9:10" x14ac:dyDescent="0.25">
      <c r="I846" s="37"/>
      <c r="J846" s="35"/>
    </row>
    <row r="847" spans="9:10" x14ac:dyDescent="0.25">
      <c r="I847" s="37"/>
      <c r="J847" s="35"/>
    </row>
    <row r="848" spans="9:10" x14ac:dyDescent="0.25">
      <c r="I848" s="37"/>
      <c r="J848" s="35"/>
    </row>
    <row r="849" spans="9:10" x14ac:dyDescent="0.25">
      <c r="I849" s="37"/>
      <c r="J849" s="35"/>
    </row>
    <row r="850" spans="9:10" x14ac:dyDescent="0.25">
      <c r="I850" s="37"/>
      <c r="J850" s="35"/>
    </row>
    <row r="851" spans="9:10" x14ac:dyDescent="0.25">
      <c r="I851" s="37"/>
      <c r="J851" s="35"/>
    </row>
    <row r="852" spans="9:10" x14ac:dyDescent="0.25">
      <c r="I852" s="37"/>
      <c r="J852" s="35"/>
    </row>
    <row r="853" spans="9:10" x14ac:dyDescent="0.25">
      <c r="I853" s="37"/>
      <c r="J853" s="35"/>
    </row>
    <row r="854" spans="9:10" x14ac:dyDescent="0.25">
      <c r="I854" s="37"/>
      <c r="J854" s="35"/>
    </row>
    <row r="855" spans="9:10" x14ac:dyDescent="0.25">
      <c r="I855" s="37"/>
      <c r="J855" s="35"/>
    </row>
    <row r="856" spans="9:10" x14ac:dyDescent="0.25">
      <c r="I856" s="37"/>
      <c r="J856" s="35"/>
    </row>
    <row r="857" spans="9:10" x14ac:dyDescent="0.25">
      <c r="I857" s="37"/>
      <c r="J857" s="35"/>
    </row>
    <row r="858" spans="9:10" x14ac:dyDescent="0.25">
      <c r="I858" s="37"/>
      <c r="J858" s="35"/>
    </row>
    <row r="859" spans="9:10" x14ac:dyDescent="0.25">
      <c r="I859" s="37"/>
      <c r="J859" s="35"/>
    </row>
    <row r="860" spans="9:10" x14ac:dyDescent="0.25">
      <c r="I860" s="37"/>
      <c r="J860" s="35"/>
    </row>
    <row r="861" spans="9:10" x14ac:dyDescent="0.25">
      <c r="I861" s="37"/>
      <c r="J861" s="35"/>
    </row>
    <row r="862" spans="9:10" x14ac:dyDescent="0.25">
      <c r="I862" s="37"/>
      <c r="J862" s="35"/>
    </row>
    <row r="863" spans="9:10" x14ac:dyDescent="0.25">
      <c r="I863" s="37"/>
      <c r="J863" s="35"/>
    </row>
    <row r="864" spans="9:10" x14ac:dyDescent="0.25">
      <c r="I864" s="37"/>
      <c r="J864" s="35"/>
    </row>
    <row r="865" spans="9:10" x14ac:dyDescent="0.25">
      <c r="I865" s="37"/>
      <c r="J865" s="35"/>
    </row>
    <row r="866" spans="9:10" x14ac:dyDescent="0.25">
      <c r="I866" s="37"/>
      <c r="J866" s="35"/>
    </row>
    <row r="867" spans="9:10" x14ac:dyDescent="0.25">
      <c r="I867" s="37"/>
      <c r="J867" s="35"/>
    </row>
    <row r="868" spans="9:10" x14ac:dyDescent="0.25">
      <c r="I868" s="37"/>
      <c r="J868" s="35"/>
    </row>
    <row r="869" spans="9:10" x14ac:dyDescent="0.25">
      <c r="I869" s="37"/>
      <c r="J869" s="35"/>
    </row>
    <row r="870" spans="9:10" x14ac:dyDescent="0.25">
      <c r="I870" s="37"/>
      <c r="J870" s="35"/>
    </row>
    <row r="871" spans="9:10" x14ac:dyDescent="0.25">
      <c r="I871" s="37"/>
      <c r="J871" s="35"/>
    </row>
    <row r="872" spans="9:10" x14ac:dyDescent="0.25">
      <c r="I872" s="37"/>
      <c r="J872" s="35"/>
    </row>
    <row r="873" spans="9:10" x14ac:dyDescent="0.25">
      <c r="I873" s="37"/>
      <c r="J873" s="35"/>
    </row>
    <row r="874" spans="9:10" x14ac:dyDescent="0.25">
      <c r="I874" s="37"/>
      <c r="J874" s="35"/>
    </row>
    <row r="875" spans="9:10" x14ac:dyDescent="0.25">
      <c r="I875" s="37"/>
      <c r="J875" s="35"/>
    </row>
    <row r="876" spans="9:10" x14ac:dyDescent="0.25">
      <c r="I876" s="37"/>
      <c r="J876" s="35"/>
    </row>
    <row r="877" spans="9:10" x14ac:dyDescent="0.25">
      <c r="I877" s="37"/>
      <c r="J877" s="35"/>
    </row>
    <row r="878" spans="9:10" x14ac:dyDescent="0.25">
      <c r="I878" s="37"/>
      <c r="J878" s="35"/>
    </row>
    <row r="879" spans="9:10" x14ac:dyDescent="0.25">
      <c r="I879" s="37"/>
      <c r="J879" s="35"/>
    </row>
    <row r="880" spans="9:10" x14ac:dyDescent="0.25">
      <c r="I880" s="37"/>
      <c r="J880" s="35"/>
    </row>
    <row r="881" spans="9:10" x14ac:dyDescent="0.25">
      <c r="I881" s="37"/>
      <c r="J881" s="35"/>
    </row>
    <row r="882" spans="9:10" x14ac:dyDescent="0.25">
      <c r="I882" s="37"/>
      <c r="J882" s="35"/>
    </row>
    <row r="883" spans="9:10" x14ac:dyDescent="0.25">
      <c r="I883" s="37"/>
      <c r="J883" s="35"/>
    </row>
    <row r="884" spans="9:10" x14ac:dyDescent="0.25">
      <c r="I884" s="37"/>
      <c r="J884" s="35"/>
    </row>
    <row r="885" spans="9:10" x14ac:dyDescent="0.25">
      <c r="I885" s="37"/>
      <c r="J885" s="35"/>
    </row>
    <row r="886" spans="9:10" x14ac:dyDescent="0.25">
      <c r="I886" s="37"/>
      <c r="J886" s="35"/>
    </row>
    <row r="887" spans="9:10" x14ac:dyDescent="0.25">
      <c r="I887" s="37"/>
      <c r="J887" s="35"/>
    </row>
    <row r="888" spans="9:10" x14ac:dyDescent="0.25">
      <c r="I888" s="37"/>
      <c r="J888" s="35"/>
    </row>
    <row r="889" spans="9:10" x14ac:dyDescent="0.25">
      <c r="I889" s="37"/>
      <c r="J889" s="35"/>
    </row>
    <row r="890" spans="9:10" x14ac:dyDescent="0.25">
      <c r="I890" s="37"/>
      <c r="J890" s="35"/>
    </row>
    <row r="891" spans="9:10" x14ac:dyDescent="0.25">
      <c r="I891" s="37"/>
      <c r="J891" s="35"/>
    </row>
    <row r="892" spans="9:10" x14ac:dyDescent="0.25">
      <c r="I892" s="37"/>
      <c r="J892" s="35"/>
    </row>
    <row r="893" spans="9:10" x14ac:dyDescent="0.25">
      <c r="I893" s="37"/>
      <c r="J893" s="35"/>
    </row>
    <row r="894" spans="9:10" x14ac:dyDescent="0.25">
      <c r="I894" s="37"/>
      <c r="J894" s="35"/>
    </row>
    <row r="895" spans="9:10" x14ac:dyDescent="0.25">
      <c r="I895" s="37"/>
      <c r="J895" s="35"/>
    </row>
    <row r="896" spans="9:10" x14ac:dyDescent="0.25">
      <c r="I896" s="37"/>
      <c r="J896" s="35"/>
    </row>
    <row r="897" spans="9:10" x14ac:dyDescent="0.25">
      <c r="I897" s="37"/>
      <c r="J897" s="35"/>
    </row>
    <row r="898" spans="9:10" x14ac:dyDescent="0.25">
      <c r="I898" s="37"/>
      <c r="J898" s="35"/>
    </row>
    <row r="899" spans="9:10" x14ac:dyDescent="0.25">
      <c r="I899" s="37"/>
      <c r="J899" s="35"/>
    </row>
    <row r="900" spans="9:10" x14ac:dyDescent="0.25">
      <c r="I900" s="37"/>
      <c r="J900" s="35"/>
    </row>
    <row r="901" spans="9:10" x14ac:dyDescent="0.25">
      <c r="I901" s="37"/>
      <c r="J901" s="35"/>
    </row>
    <row r="902" spans="9:10" x14ac:dyDescent="0.25">
      <c r="I902" s="37"/>
      <c r="J902" s="35"/>
    </row>
    <row r="903" spans="9:10" x14ac:dyDescent="0.25">
      <c r="I903" s="37"/>
      <c r="J903" s="35"/>
    </row>
    <row r="904" spans="9:10" x14ac:dyDescent="0.25">
      <c r="I904" s="37"/>
      <c r="J904" s="35"/>
    </row>
    <row r="905" spans="9:10" x14ac:dyDescent="0.25">
      <c r="I905" s="37"/>
      <c r="J905" s="35"/>
    </row>
    <row r="906" spans="9:10" x14ac:dyDescent="0.25">
      <c r="I906" s="37"/>
      <c r="J906" s="35"/>
    </row>
    <row r="907" spans="9:10" x14ac:dyDescent="0.25">
      <c r="I907" s="37"/>
      <c r="J907" s="35"/>
    </row>
    <row r="908" spans="9:10" x14ac:dyDescent="0.25">
      <c r="I908" s="37"/>
      <c r="J908" s="35"/>
    </row>
    <row r="909" spans="9:10" x14ac:dyDescent="0.25">
      <c r="I909" s="37"/>
      <c r="J909" s="35"/>
    </row>
    <row r="910" spans="9:10" x14ac:dyDescent="0.25">
      <c r="I910" s="37"/>
      <c r="J910" s="35"/>
    </row>
    <row r="911" spans="9:10" x14ac:dyDescent="0.25">
      <c r="I911" s="37"/>
      <c r="J911" s="35"/>
    </row>
    <row r="912" spans="9:10" x14ac:dyDescent="0.25">
      <c r="I912" s="37"/>
      <c r="J912" s="35"/>
    </row>
    <row r="913" spans="9:10" x14ac:dyDescent="0.25">
      <c r="I913" s="37"/>
      <c r="J913" s="35"/>
    </row>
    <row r="914" spans="9:10" x14ac:dyDescent="0.25">
      <c r="I914" s="37"/>
      <c r="J914" s="35"/>
    </row>
    <row r="915" spans="9:10" x14ac:dyDescent="0.25">
      <c r="I915" s="37"/>
      <c r="J915" s="35"/>
    </row>
    <row r="916" spans="9:10" x14ac:dyDescent="0.25">
      <c r="I916" s="37"/>
      <c r="J916" s="35"/>
    </row>
    <row r="917" spans="9:10" x14ac:dyDescent="0.25">
      <c r="I917" s="37"/>
      <c r="J917" s="35"/>
    </row>
    <row r="918" spans="9:10" x14ac:dyDescent="0.25">
      <c r="I918" s="37"/>
      <c r="J918" s="35"/>
    </row>
    <row r="919" spans="9:10" x14ac:dyDescent="0.25">
      <c r="I919" s="37"/>
      <c r="J919" s="35"/>
    </row>
    <row r="920" spans="9:10" x14ac:dyDescent="0.25">
      <c r="I920" s="37"/>
      <c r="J920" s="35"/>
    </row>
    <row r="921" spans="9:10" x14ac:dyDescent="0.25">
      <c r="I921" s="37"/>
      <c r="J921" s="35"/>
    </row>
    <row r="922" spans="9:10" x14ac:dyDescent="0.25">
      <c r="I922" s="37"/>
      <c r="J922" s="35"/>
    </row>
    <row r="923" spans="9:10" x14ac:dyDescent="0.25">
      <c r="I923" s="37"/>
      <c r="J923" s="35"/>
    </row>
    <row r="924" spans="9:10" x14ac:dyDescent="0.25">
      <c r="I924" s="37"/>
      <c r="J924" s="35"/>
    </row>
    <row r="925" spans="9:10" x14ac:dyDescent="0.25">
      <c r="I925" s="37"/>
      <c r="J925" s="35"/>
    </row>
    <row r="926" spans="9:10" x14ac:dyDescent="0.25">
      <c r="I926" s="37"/>
      <c r="J926" s="35"/>
    </row>
    <row r="927" spans="9:10" x14ac:dyDescent="0.25">
      <c r="I927" s="37"/>
      <c r="J927" s="35"/>
    </row>
    <row r="928" spans="9:10" x14ac:dyDescent="0.25">
      <c r="I928" s="37"/>
      <c r="J928" s="35"/>
    </row>
    <row r="929" spans="9:10" x14ac:dyDescent="0.25">
      <c r="I929" s="37"/>
      <c r="J929" s="35"/>
    </row>
    <row r="930" spans="9:10" x14ac:dyDescent="0.25">
      <c r="I930" s="37"/>
      <c r="J930" s="35"/>
    </row>
    <row r="931" spans="9:10" x14ac:dyDescent="0.25">
      <c r="I931" s="37"/>
      <c r="J931" s="35"/>
    </row>
    <row r="932" spans="9:10" x14ac:dyDescent="0.25">
      <c r="I932" s="37"/>
      <c r="J932" s="35"/>
    </row>
    <row r="933" spans="9:10" x14ac:dyDescent="0.25">
      <c r="I933" s="37"/>
      <c r="J933" s="35"/>
    </row>
    <row r="934" spans="9:10" x14ac:dyDescent="0.25">
      <c r="I934" s="37"/>
      <c r="J934" s="35"/>
    </row>
    <row r="935" spans="9:10" x14ac:dyDescent="0.25">
      <c r="I935" s="37"/>
      <c r="J935" s="35"/>
    </row>
    <row r="936" spans="9:10" x14ac:dyDescent="0.25">
      <c r="I936" s="37"/>
      <c r="J936" s="35"/>
    </row>
    <row r="937" spans="9:10" x14ac:dyDescent="0.25">
      <c r="I937" s="37"/>
      <c r="J937" s="35"/>
    </row>
    <row r="938" spans="9:10" x14ac:dyDescent="0.25">
      <c r="I938" s="37"/>
      <c r="J938" s="35"/>
    </row>
    <row r="939" spans="9:10" x14ac:dyDescent="0.25">
      <c r="I939" s="37"/>
      <c r="J939" s="35"/>
    </row>
    <row r="940" spans="9:10" x14ac:dyDescent="0.25">
      <c r="I940" s="37"/>
      <c r="J940" s="35"/>
    </row>
    <row r="941" spans="9:10" x14ac:dyDescent="0.25">
      <c r="I941" s="37"/>
      <c r="J941" s="35"/>
    </row>
    <row r="942" spans="9:10" x14ac:dyDescent="0.25">
      <c r="I942" s="37"/>
      <c r="J942" s="35"/>
    </row>
    <row r="943" spans="9:10" x14ac:dyDescent="0.25">
      <c r="I943" s="37"/>
      <c r="J943" s="35"/>
    </row>
    <row r="944" spans="9:10" x14ac:dyDescent="0.25">
      <c r="I944" s="37"/>
      <c r="J944" s="35"/>
    </row>
    <row r="945" spans="9:10" x14ac:dyDescent="0.25">
      <c r="I945" s="37"/>
      <c r="J945" s="35"/>
    </row>
    <row r="946" spans="9:10" x14ac:dyDescent="0.25">
      <c r="I946" s="37"/>
      <c r="J946" s="35"/>
    </row>
    <row r="947" spans="9:10" x14ac:dyDescent="0.25">
      <c r="I947" s="37"/>
      <c r="J947" s="35"/>
    </row>
    <row r="948" spans="9:10" x14ac:dyDescent="0.25">
      <c r="I948" s="37"/>
      <c r="J948" s="35"/>
    </row>
    <row r="949" spans="9:10" x14ac:dyDescent="0.25">
      <c r="I949" s="37"/>
      <c r="J949" s="35"/>
    </row>
    <row r="950" spans="9:10" x14ac:dyDescent="0.25">
      <c r="I950" s="37"/>
      <c r="J950" s="35"/>
    </row>
    <row r="951" spans="9:10" x14ac:dyDescent="0.25">
      <c r="I951" s="37"/>
      <c r="J951" s="35"/>
    </row>
    <row r="952" spans="9:10" x14ac:dyDescent="0.25">
      <c r="I952" s="37"/>
      <c r="J952" s="35"/>
    </row>
    <row r="953" spans="9:10" x14ac:dyDescent="0.25">
      <c r="I953" s="37"/>
      <c r="J953" s="35"/>
    </row>
    <row r="954" spans="9:10" x14ac:dyDescent="0.25">
      <c r="I954" s="37"/>
      <c r="J954" s="35"/>
    </row>
    <row r="955" spans="9:10" x14ac:dyDescent="0.25">
      <c r="I955" s="37"/>
      <c r="J955" s="35"/>
    </row>
    <row r="956" spans="9:10" x14ac:dyDescent="0.25">
      <c r="I956" s="37"/>
      <c r="J956" s="35"/>
    </row>
    <row r="957" spans="9:10" x14ac:dyDescent="0.25">
      <c r="I957" s="37"/>
      <c r="J957" s="35"/>
    </row>
    <row r="958" spans="9:10" x14ac:dyDescent="0.25">
      <c r="I958" s="37"/>
      <c r="J958" s="35"/>
    </row>
    <row r="959" spans="9:10" x14ac:dyDescent="0.25">
      <c r="I959" s="37"/>
      <c r="J959" s="35"/>
    </row>
    <row r="960" spans="9:10" x14ac:dyDescent="0.25">
      <c r="I960" s="37"/>
      <c r="J960" s="35"/>
    </row>
    <row r="961" spans="9:10" x14ac:dyDescent="0.25">
      <c r="I961" s="37"/>
      <c r="J961" s="35"/>
    </row>
    <row r="962" spans="9:10" x14ac:dyDescent="0.25">
      <c r="I962" s="37"/>
      <c r="J962" s="35"/>
    </row>
    <row r="963" spans="9:10" x14ac:dyDescent="0.25">
      <c r="I963" s="37"/>
      <c r="J963" s="35"/>
    </row>
    <row r="964" spans="9:10" x14ac:dyDescent="0.25">
      <c r="I964" s="37"/>
      <c r="J964" s="35"/>
    </row>
    <row r="965" spans="9:10" x14ac:dyDescent="0.25">
      <c r="I965" s="37"/>
      <c r="J965" s="35"/>
    </row>
    <row r="966" spans="9:10" x14ac:dyDescent="0.25">
      <c r="I966" s="37"/>
      <c r="J966" s="35"/>
    </row>
    <row r="967" spans="9:10" x14ac:dyDescent="0.25">
      <c r="I967" s="37"/>
      <c r="J967" s="35"/>
    </row>
    <row r="968" spans="9:10" x14ac:dyDescent="0.25">
      <c r="I968" s="37"/>
      <c r="J968" s="35"/>
    </row>
    <row r="969" spans="9:10" x14ac:dyDescent="0.25">
      <c r="I969" s="37"/>
      <c r="J969" s="35"/>
    </row>
    <row r="970" spans="9:10" x14ac:dyDescent="0.25">
      <c r="I970" s="37"/>
      <c r="J970" s="35"/>
    </row>
    <row r="971" spans="9:10" x14ac:dyDescent="0.25">
      <c r="I971" s="37"/>
      <c r="J971" s="35"/>
    </row>
    <row r="972" spans="9:10" x14ac:dyDescent="0.25">
      <c r="I972" s="37"/>
      <c r="J972" s="35"/>
    </row>
    <row r="973" spans="9:10" x14ac:dyDescent="0.25">
      <c r="I973" s="37"/>
      <c r="J973" s="35"/>
    </row>
    <row r="974" spans="9:10" x14ac:dyDescent="0.25">
      <c r="I974" s="37"/>
      <c r="J974" s="35"/>
    </row>
    <row r="975" spans="9:10" x14ac:dyDescent="0.25">
      <c r="I975" s="37"/>
      <c r="J975" s="35"/>
    </row>
    <row r="976" spans="9:10" x14ac:dyDescent="0.25">
      <c r="I976" s="37"/>
      <c r="J976" s="35"/>
    </row>
    <row r="977" spans="9:10" x14ac:dyDescent="0.25">
      <c r="I977" s="37"/>
      <c r="J977" s="35"/>
    </row>
    <row r="978" spans="9:10" x14ac:dyDescent="0.25">
      <c r="I978" s="37"/>
      <c r="J978" s="35"/>
    </row>
    <row r="979" spans="9:10" x14ac:dyDescent="0.25">
      <c r="I979" s="37"/>
      <c r="J979" s="35"/>
    </row>
    <row r="980" spans="9:10" x14ac:dyDescent="0.25">
      <c r="I980" s="37"/>
      <c r="J980" s="35"/>
    </row>
    <row r="981" spans="9:10" x14ac:dyDescent="0.25">
      <c r="I981" s="37"/>
      <c r="J981" s="35"/>
    </row>
    <row r="982" spans="9:10" x14ac:dyDescent="0.25">
      <c r="I982" s="37"/>
      <c r="J982" s="35"/>
    </row>
    <row r="983" spans="9:10" x14ac:dyDescent="0.25">
      <c r="I983" s="37"/>
      <c r="J983" s="35"/>
    </row>
    <row r="984" spans="9:10" x14ac:dyDescent="0.25">
      <c r="I984" s="37"/>
      <c r="J984" s="35"/>
    </row>
    <row r="985" spans="9:10" x14ac:dyDescent="0.25">
      <c r="I985" s="37"/>
      <c r="J985" s="35"/>
    </row>
    <row r="986" spans="9:10" x14ac:dyDescent="0.25">
      <c r="I986" s="37"/>
      <c r="J986" s="35"/>
    </row>
    <row r="987" spans="9:10" x14ac:dyDescent="0.25">
      <c r="I987" s="37"/>
      <c r="J987" s="35"/>
    </row>
    <row r="988" spans="9:10" x14ac:dyDescent="0.25">
      <c r="I988" s="37"/>
      <c r="J988" s="35"/>
    </row>
    <row r="989" spans="9:10" x14ac:dyDescent="0.25">
      <c r="I989" s="37"/>
      <c r="J989" s="35"/>
    </row>
    <row r="990" spans="9:10" x14ac:dyDescent="0.25">
      <c r="I990" s="37"/>
      <c r="J990" s="35"/>
    </row>
    <row r="991" spans="9:10" x14ac:dyDescent="0.25">
      <c r="I991" s="37"/>
      <c r="J991" s="35"/>
    </row>
    <row r="992" spans="9:10" x14ac:dyDescent="0.25">
      <c r="I992" s="37"/>
      <c r="J992" s="35"/>
    </row>
    <row r="993" spans="9:10" x14ac:dyDescent="0.25">
      <c r="I993" s="37"/>
      <c r="J993" s="35"/>
    </row>
    <row r="994" spans="9:10" x14ac:dyDescent="0.25">
      <c r="I994" s="37"/>
      <c r="J994" s="35"/>
    </row>
    <row r="995" spans="9:10" x14ac:dyDescent="0.25">
      <c r="I995" s="37"/>
      <c r="J995" s="35"/>
    </row>
    <row r="996" spans="9:10" x14ac:dyDescent="0.25">
      <c r="I996" s="37"/>
      <c r="J996" s="35"/>
    </row>
    <row r="997" spans="9:10" x14ac:dyDescent="0.25">
      <c r="I997" s="37"/>
      <c r="J997" s="35"/>
    </row>
    <row r="998" spans="9:10" x14ac:dyDescent="0.25">
      <c r="I998" s="37"/>
      <c r="J998" s="35"/>
    </row>
    <row r="999" spans="9:10" x14ac:dyDescent="0.25">
      <c r="I999" s="37"/>
      <c r="J999" s="35"/>
    </row>
    <row r="1000" spans="9:10" x14ac:dyDescent="0.25">
      <c r="I1000" s="37"/>
      <c r="J1000" s="35"/>
    </row>
    <row r="1001" spans="9:10" x14ac:dyDescent="0.25">
      <c r="I1001" s="37"/>
      <c r="J1001" s="35"/>
    </row>
    <row r="1002" spans="9:10" x14ac:dyDescent="0.25">
      <c r="I1002" s="37"/>
      <c r="J1002" s="35"/>
    </row>
    <row r="1003" spans="9:10" x14ac:dyDescent="0.25">
      <c r="I1003" s="37"/>
      <c r="J1003" s="35"/>
    </row>
    <row r="1004" spans="9:10" x14ac:dyDescent="0.25">
      <c r="I1004" s="37"/>
      <c r="J1004" s="35"/>
    </row>
    <row r="1005" spans="9:10" x14ac:dyDescent="0.25">
      <c r="I1005" s="37"/>
      <c r="J1005" s="35"/>
    </row>
    <row r="1006" spans="9:10" x14ac:dyDescent="0.25">
      <c r="I1006" s="37"/>
      <c r="J1006" s="35"/>
    </row>
    <row r="1007" spans="9:10" x14ac:dyDescent="0.25">
      <c r="I1007" s="37"/>
      <c r="J1007" s="35"/>
    </row>
    <row r="1008" spans="9:10" x14ac:dyDescent="0.25">
      <c r="I1008" s="37"/>
      <c r="J1008" s="35"/>
    </row>
    <row r="1009" spans="9:10" x14ac:dyDescent="0.25">
      <c r="I1009" s="37"/>
      <c r="J1009" s="35"/>
    </row>
    <row r="1010" spans="9:10" x14ac:dyDescent="0.25">
      <c r="I1010" s="37"/>
      <c r="J1010" s="35"/>
    </row>
    <row r="1011" spans="9:10" x14ac:dyDescent="0.25">
      <c r="I1011" s="37"/>
      <c r="J1011" s="35"/>
    </row>
    <row r="1012" spans="9:10" x14ac:dyDescent="0.25">
      <c r="I1012" s="37"/>
      <c r="J1012" s="35"/>
    </row>
    <row r="1013" spans="9:10" x14ac:dyDescent="0.25">
      <c r="I1013" s="37"/>
      <c r="J1013" s="35"/>
    </row>
    <row r="1014" spans="9:10" x14ac:dyDescent="0.25">
      <c r="I1014" s="37"/>
      <c r="J1014" s="35"/>
    </row>
    <row r="1015" spans="9:10" x14ac:dyDescent="0.25">
      <c r="I1015" s="37"/>
      <c r="J1015" s="35"/>
    </row>
    <row r="1016" spans="9:10" x14ac:dyDescent="0.25">
      <c r="I1016" s="37"/>
      <c r="J1016" s="35"/>
    </row>
    <row r="1017" spans="9:10" x14ac:dyDescent="0.25">
      <c r="I1017" s="37"/>
      <c r="J1017" s="35"/>
    </row>
    <row r="1018" spans="9:10" x14ac:dyDescent="0.25">
      <c r="I1018" s="37"/>
      <c r="J1018" s="35"/>
    </row>
    <row r="1019" spans="9:10" x14ac:dyDescent="0.25">
      <c r="I1019" s="37"/>
      <c r="J1019" s="35"/>
    </row>
    <row r="1020" spans="9:10" x14ac:dyDescent="0.25">
      <c r="I1020" s="37"/>
      <c r="J1020" s="35"/>
    </row>
    <row r="1021" spans="9:10" x14ac:dyDescent="0.25">
      <c r="I1021" s="37"/>
      <c r="J1021" s="35"/>
    </row>
    <row r="1022" spans="9:10" x14ac:dyDescent="0.25">
      <c r="I1022" s="37"/>
      <c r="J1022" s="35"/>
    </row>
    <row r="1023" spans="9:10" x14ac:dyDescent="0.25">
      <c r="I1023" s="37"/>
      <c r="J1023" s="35"/>
    </row>
    <row r="1024" spans="9:10" x14ac:dyDescent="0.25">
      <c r="I1024" s="37"/>
      <c r="J1024" s="35"/>
    </row>
    <row r="1025" spans="9:10" x14ac:dyDescent="0.25">
      <c r="I1025" s="37"/>
      <c r="J1025" s="35"/>
    </row>
    <row r="1026" spans="9:10" x14ac:dyDescent="0.25">
      <c r="I1026" s="37"/>
      <c r="J1026" s="35"/>
    </row>
    <row r="1027" spans="9:10" x14ac:dyDescent="0.25">
      <c r="I1027" s="37"/>
      <c r="J1027" s="35"/>
    </row>
    <row r="1028" spans="9:10" x14ac:dyDescent="0.25">
      <c r="I1028" s="37"/>
      <c r="J1028" s="35"/>
    </row>
    <row r="1029" spans="9:10" x14ac:dyDescent="0.25">
      <c r="I1029" s="37"/>
      <c r="J1029" s="35"/>
    </row>
    <row r="1030" spans="9:10" x14ac:dyDescent="0.25">
      <c r="I1030" s="37"/>
      <c r="J1030" s="35"/>
    </row>
    <row r="1031" spans="9:10" x14ac:dyDescent="0.25">
      <c r="I1031" s="37"/>
      <c r="J1031" s="35"/>
    </row>
    <row r="1032" spans="9:10" x14ac:dyDescent="0.25">
      <c r="I1032" s="37"/>
      <c r="J1032" s="35"/>
    </row>
    <row r="1033" spans="9:10" x14ac:dyDescent="0.25">
      <c r="I1033" s="37"/>
      <c r="J1033" s="35"/>
    </row>
    <row r="1034" spans="9:10" x14ac:dyDescent="0.25">
      <c r="I1034" s="37"/>
      <c r="J1034" s="35"/>
    </row>
    <row r="1035" spans="9:10" x14ac:dyDescent="0.25">
      <c r="I1035" s="37"/>
      <c r="J1035" s="35"/>
    </row>
    <row r="1036" spans="9:10" x14ac:dyDescent="0.25">
      <c r="I1036" s="37"/>
      <c r="J1036" s="35"/>
    </row>
    <row r="1037" spans="9:10" x14ac:dyDescent="0.25">
      <c r="I1037" s="37"/>
      <c r="J1037" s="35"/>
    </row>
    <row r="1038" spans="9:10" x14ac:dyDescent="0.25">
      <c r="I1038" s="37"/>
      <c r="J1038" s="35"/>
    </row>
    <row r="1039" spans="9:10" x14ac:dyDescent="0.25">
      <c r="I1039" s="37"/>
      <c r="J1039" s="35"/>
    </row>
    <row r="1040" spans="9:10" x14ac:dyDescent="0.25">
      <c r="I1040" s="37"/>
      <c r="J1040" s="35"/>
    </row>
    <row r="1041" spans="9:10" x14ac:dyDescent="0.25">
      <c r="I1041" s="37"/>
      <c r="J1041" s="35"/>
    </row>
    <row r="1042" spans="9:10" x14ac:dyDescent="0.25">
      <c r="I1042" s="37"/>
      <c r="J1042" s="35"/>
    </row>
    <row r="1043" spans="9:10" x14ac:dyDescent="0.25">
      <c r="I1043" s="37"/>
      <c r="J1043" s="35"/>
    </row>
    <row r="1044" spans="9:10" x14ac:dyDescent="0.25">
      <c r="I1044" s="37"/>
      <c r="J1044" s="35"/>
    </row>
    <row r="1045" spans="9:10" x14ac:dyDescent="0.25">
      <c r="I1045" s="37"/>
      <c r="J1045" s="35"/>
    </row>
    <row r="1046" spans="9:10" x14ac:dyDescent="0.25">
      <c r="I1046" s="37"/>
      <c r="J1046" s="35"/>
    </row>
    <row r="1047" spans="9:10" x14ac:dyDescent="0.25">
      <c r="I1047" s="37"/>
      <c r="J1047" s="35"/>
    </row>
    <row r="1048" spans="9:10" x14ac:dyDescent="0.25">
      <c r="I1048" s="37"/>
      <c r="J1048" s="35"/>
    </row>
    <row r="1049" spans="9:10" x14ac:dyDescent="0.25">
      <c r="I1049" s="37"/>
      <c r="J1049" s="35"/>
    </row>
    <row r="1050" spans="9:10" x14ac:dyDescent="0.25">
      <c r="I1050" s="37"/>
      <c r="J1050" s="35"/>
    </row>
    <row r="1051" spans="9:10" x14ac:dyDescent="0.25">
      <c r="I1051" s="37"/>
      <c r="J1051" s="35"/>
    </row>
    <row r="1052" spans="9:10" x14ac:dyDescent="0.25">
      <c r="I1052" s="37"/>
      <c r="J1052" s="35"/>
    </row>
    <row r="1053" spans="9:10" x14ac:dyDescent="0.25">
      <c r="I1053" s="37"/>
      <c r="J1053" s="35"/>
    </row>
    <row r="1054" spans="9:10" x14ac:dyDescent="0.25">
      <c r="I1054" s="37"/>
      <c r="J1054" s="35"/>
    </row>
    <row r="1055" spans="9:10" x14ac:dyDescent="0.25">
      <c r="I1055" s="37"/>
      <c r="J1055" s="35"/>
    </row>
    <row r="1056" spans="9:10" x14ac:dyDescent="0.25">
      <c r="I1056" s="37"/>
      <c r="J1056" s="35"/>
    </row>
    <row r="1057" spans="9:10" x14ac:dyDescent="0.25">
      <c r="I1057" s="37"/>
      <c r="J1057" s="35"/>
    </row>
    <row r="1058" spans="9:10" x14ac:dyDescent="0.25">
      <c r="I1058" s="37"/>
      <c r="J1058" s="35"/>
    </row>
    <row r="1059" spans="9:10" x14ac:dyDescent="0.25">
      <c r="I1059" s="37"/>
      <c r="J1059" s="35"/>
    </row>
    <row r="1060" spans="9:10" x14ac:dyDescent="0.25">
      <c r="I1060" s="37"/>
      <c r="J1060" s="35"/>
    </row>
    <row r="1061" spans="9:10" x14ac:dyDescent="0.25">
      <c r="I1061" s="37"/>
      <c r="J1061" s="35"/>
    </row>
    <row r="1062" spans="9:10" x14ac:dyDescent="0.25">
      <c r="I1062" s="37"/>
      <c r="J1062" s="35"/>
    </row>
    <row r="1063" spans="9:10" x14ac:dyDescent="0.25">
      <c r="I1063" s="37"/>
      <c r="J1063" s="35"/>
    </row>
    <row r="1064" spans="9:10" x14ac:dyDescent="0.25">
      <c r="I1064" s="37"/>
      <c r="J1064" s="35"/>
    </row>
    <row r="1065" spans="9:10" x14ac:dyDescent="0.25">
      <c r="I1065" s="37"/>
      <c r="J1065" s="35"/>
    </row>
    <row r="1066" spans="9:10" x14ac:dyDescent="0.25">
      <c r="I1066" s="37"/>
      <c r="J1066" s="35"/>
    </row>
    <row r="1067" spans="9:10" x14ac:dyDescent="0.25">
      <c r="I1067" s="37"/>
      <c r="J1067" s="35"/>
    </row>
    <row r="1068" spans="9:10" x14ac:dyDescent="0.25">
      <c r="I1068" s="37"/>
      <c r="J1068" s="35"/>
    </row>
    <row r="1069" spans="9:10" x14ac:dyDescent="0.25">
      <c r="I1069" s="37"/>
      <c r="J1069" s="35"/>
    </row>
    <row r="1070" spans="9:10" x14ac:dyDescent="0.25">
      <c r="I1070" s="37"/>
      <c r="J1070" s="35"/>
    </row>
    <row r="1071" spans="9:10" x14ac:dyDescent="0.25">
      <c r="I1071" s="37"/>
      <c r="J1071" s="35"/>
    </row>
    <row r="1072" spans="9:10" x14ac:dyDescent="0.25">
      <c r="I1072" s="37"/>
      <c r="J1072" s="35"/>
    </row>
    <row r="1073" spans="9:10" x14ac:dyDescent="0.25">
      <c r="I1073" s="37"/>
      <c r="J1073" s="35"/>
    </row>
    <row r="1074" spans="9:10" x14ac:dyDescent="0.25">
      <c r="I1074" s="37"/>
      <c r="J1074" s="35"/>
    </row>
    <row r="1075" spans="9:10" x14ac:dyDescent="0.25">
      <c r="I1075" s="37"/>
      <c r="J1075" s="35"/>
    </row>
    <row r="1076" spans="9:10" x14ac:dyDescent="0.25">
      <c r="I1076" s="37"/>
      <c r="J1076" s="35"/>
    </row>
    <row r="1077" spans="9:10" x14ac:dyDescent="0.25">
      <c r="I1077" s="37"/>
      <c r="J1077" s="35"/>
    </row>
    <row r="1078" spans="9:10" x14ac:dyDescent="0.25">
      <c r="I1078" s="37"/>
      <c r="J1078" s="35"/>
    </row>
    <row r="1079" spans="9:10" x14ac:dyDescent="0.25">
      <c r="I1079" s="37"/>
      <c r="J1079" s="35"/>
    </row>
    <row r="1080" spans="9:10" x14ac:dyDescent="0.25">
      <c r="I1080" s="37"/>
      <c r="J1080" s="35"/>
    </row>
    <row r="1081" spans="9:10" x14ac:dyDescent="0.25">
      <c r="I1081" s="37"/>
      <c r="J1081" s="35"/>
    </row>
    <row r="1082" spans="9:10" x14ac:dyDescent="0.25">
      <c r="I1082" s="37"/>
      <c r="J1082" s="35"/>
    </row>
    <row r="1083" spans="9:10" x14ac:dyDescent="0.25">
      <c r="I1083" s="37"/>
      <c r="J1083" s="35"/>
    </row>
    <row r="1084" spans="9:10" x14ac:dyDescent="0.25">
      <c r="I1084" s="37"/>
      <c r="J1084" s="35"/>
    </row>
    <row r="1085" spans="9:10" x14ac:dyDescent="0.25">
      <c r="I1085" s="37"/>
      <c r="J1085" s="35"/>
    </row>
    <row r="1086" spans="9:10" x14ac:dyDescent="0.25">
      <c r="I1086" s="37"/>
      <c r="J1086" s="35"/>
    </row>
    <row r="1087" spans="9:10" x14ac:dyDescent="0.25">
      <c r="I1087" s="37"/>
      <c r="J1087" s="35"/>
    </row>
    <row r="1088" spans="9:10" x14ac:dyDescent="0.25">
      <c r="I1088" s="37"/>
      <c r="J1088" s="35"/>
    </row>
    <row r="1089" spans="9:10" x14ac:dyDescent="0.25">
      <c r="I1089" s="37"/>
      <c r="J1089" s="35"/>
    </row>
    <row r="1090" spans="9:10" x14ac:dyDescent="0.25">
      <c r="I1090" s="37"/>
      <c r="J1090" s="35"/>
    </row>
    <row r="1091" spans="9:10" x14ac:dyDescent="0.25">
      <c r="I1091" s="37"/>
      <c r="J1091" s="35"/>
    </row>
    <row r="1092" spans="9:10" x14ac:dyDescent="0.25">
      <c r="I1092" s="37"/>
      <c r="J1092" s="35"/>
    </row>
    <row r="1093" spans="9:10" x14ac:dyDescent="0.25">
      <c r="I1093" s="37"/>
      <c r="J1093" s="35"/>
    </row>
    <row r="1094" spans="9:10" x14ac:dyDescent="0.25">
      <c r="I1094" s="37"/>
      <c r="J1094" s="35"/>
    </row>
    <row r="1095" spans="9:10" x14ac:dyDescent="0.25">
      <c r="I1095" s="37"/>
      <c r="J1095" s="35"/>
    </row>
    <row r="1096" spans="9:10" x14ac:dyDescent="0.25">
      <c r="I1096" s="37"/>
      <c r="J1096" s="35"/>
    </row>
    <row r="1097" spans="9:10" x14ac:dyDescent="0.25">
      <c r="I1097" s="37"/>
      <c r="J1097" s="35"/>
    </row>
    <row r="1098" spans="9:10" x14ac:dyDescent="0.25">
      <c r="I1098" s="37"/>
      <c r="J1098" s="35"/>
    </row>
    <row r="1099" spans="9:10" x14ac:dyDescent="0.25">
      <c r="I1099" s="37"/>
      <c r="J1099" s="35"/>
    </row>
    <row r="1100" spans="9:10" x14ac:dyDescent="0.25">
      <c r="I1100" s="37"/>
      <c r="J1100" s="35"/>
    </row>
    <row r="1101" spans="9:10" x14ac:dyDescent="0.25">
      <c r="I1101" s="37"/>
      <c r="J1101" s="35"/>
    </row>
    <row r="1102" spans="9:10" x14ac:dyDescent="0.25">
      <c r="I1102" s="37"/>
      <c r="J1102" s="35"/>
    </row>
    <row r="1103" spans="9:10" x14ac:dyDescent="0.25">
      <c r="I1103" s="37"/>
      <c r="J1103" s="35"/>
    </row>
    <row r="1104" spans="9:10" x14ac:dyDescent="0.25">
      <c r="I1104" s="37"/>
      <c r="J1104" s="35"/>
    </row>
    <row r="1105" spans="9:10" x14ac:dyDescent="0.25">
      <c r="I1105" s="37"/>
      <c r="J1105" s="35"/>
    </row>
    <row r="1106" spans="9:10" x14ac:dyDescent="0.25">
      <c r="I1106" s="37"/>
      <c r="J1106" s="35"/>
    </row>
    <row r="1107" spans="9:10" x14ac:dyDescent="0.25">
      <c r="I1107" s="37"/>
      <c r="J1107" s="35"/>
    </row>
    <row r="1108" spans="9:10" x14ac:dyDescent="0.25">
      <c r="I1108" s="37"/>
      <c r="J1108" s="35"/>
    </row>
    <row r="1109" spans="9:10" x14ac:dyDescent="0.25">
      <c r="I1109" s="37"/>
      <c r="J1109" s="35"/>
    </row>
    <row r="1110" spans="9:10" x14ac:dyDescent="0.25">
      <c r="I1110" s="37"/>
      <c r="J1110" s="35"/>
    </row>
    <row r="1111" spans="9:10" x14ac:dyDescent="0.25">
      <c r="I1111" s="37"/>
      <c r="J1111" s="35"/>
    </row>
    <row r="1112" spans="9:10" x14ac:dyDescent="0.25">
      <c r="I1112" s="37"/>
      <c r="J1112" s="35"/>
    </row>
    <row r="1113" spans="9:10" x14ac:dyDescent="0.25">
      <c r="I1113" s="37"/>
      <c r="J1113" s="35"/>
    </row>
    <row r="1114" spans="9:10" x14ac:dyDescent="0.25">
      <c r="I1114" s="37"/>
      <c r="J1114" s="35"/>
    </row>
    <row r="1115" spans="9:10" x14ac:dyDescent="0.25">
      <c r="I1115" s="37"/>
      <c r="J1115" s="35"/>
    </row>
    <row r="1116" spans="9:10" x14ac:dyDescent="0.25">
      <c r="I1116" s="37"/>
      <c r="J1116" s="35"/>
    </row>
    <row r="1117" spans="9:10" x14ac:dyDescent="0.25">
      <c r="I1117" s="37"/>
      <c r="J1117" s="35"/>
    </row>
    <row r="1118" spans="9:10" x14ac:dyDescent="0.25">
      <c r="I1118" s="37"/>
      <c r="J1118" s="35"/>
    </row>
    <row r="1119" spans="9:10" x14ac:dyDescent="0.25">
      <c r="I1119" s="37"/>
      <c r="J1119" s="35"/>
    </row>
    <row r="1120" spans="9:10" x14ac:dyDescent="0.25">
      <c r="I1120" s="37"/>
      <c r="J1120" s="35"/>
    </row>
    <row r="1121" spans="9:10" x14ac:dyDescent="0.25">
      <c r="I1121" s="37"/>
      <c r="J1121" s="35"/>
    </row>
    <row r="1122" spans="9:10" x14ac:dyDescent="0.25">
      <c r="I1122" s="37"/>
      <c r="J1122" s="35"/>
    </row>
    <row r="1123" spans="9:10" x14ac:dyDescent="0.25">
      <c r="I1123" s="37"/>
      <c r="J1123" s="35"/>
    </row>
    <row r="1124" spans="9:10" x14ac:dyDescent="0.25">
      <c r="I1124" s="37"/>
      <c r="J1124" s="35"/>
    </row>
    <row r="1125" spans="9:10" x14ac:dyDescent="0.25">
      <c r="I1125" s="37"/>
      <c r="J1125" s="35"/>
    </row>
    <row r="1126" spans="9:10" x14ac:dyDescent="0.25">
      <c r="I1126" s="37"/>
      <c r="J1126" s="35"/>
    </row>
    <row r="1127" spans="9:10" x14ac:dyDescent="0.25">
      <c r="I1127" s="37"/>
      <c r="J1127" s="35"/>
    </row>
    <row r="1128" spans="9:10" x14ac:dyDescent="0.25">
      <c r="I1128" s="37"/>
      <c r="J1128" s="35"/>
    </row>
    <row r="1129" spans="9:10" x14ac:dyDescent="0.25">
      <c r="I1129" s="37"/>
      <c r="J1129" s="35"/>
    </row>
    <row r="1130" spans="9:10" x14ac:dyDescent="0.25">
      <c r="I1130" s="37"/>
      <c r="J1130" s="35"/>
    </row>
    <row r="1131" spans="9:10" x14ac:dyDescent="0.25">
      <c r="I1131" s="37"/>
      <c r="J1131" s="35"/>
    </row>
    <row r="1132" spans="9:10" x14ac:dyDescent="0.25">
      <c r="I1132" s="37"/>
      <c r="J1132" s="35"/>
    </row>
    <row r="1133" spans="9:10" x14ac:dyDescent="0.25">
      <c r="I1133" s="37"/>
      <c r="J1133" s="35"/>
    </row>
    <row r="1134" spans="9:10" x14ac:dyDescent="0.25">
      <c r="I1134" s="37"/>
      <c r="J1134" s="35"/>
    </row>
    <row r="1135" spans="9:10" x14ac:dyDescent="0.25">
      <c r="I1135" s="37"/>
      <c r="J1135" s="35"/>
    </row>
    <row r="1136" spans="9:10" x14ac:dyDescent="0.25">
      <c r="I1136" s="37"/>
      <c r="J1136" s="35"/>
    </row>
    <row r="1137" spans="9:10" x14ac:dyDescent="0.25">
      <c r="I1137" s="37"/>
      <c r="J1137" s="35"/>
    </row>
    <row r="1138" spans="9:10" x14ac:dyDescent="0.25">
      <c r="I1138" s="37"/>
      <c r="J1138" s="35"/>
    </row>
    <row r="1139" spans="9:10" x14ac:dyDescent="0.25">
      <c r="I1139" s="37"/>
      <c r="J1139" s="35"/>
    </row>
    <row r="1140" spans="9:10" x14ac:dyDescent="0.25">
      <c r="I1140" s="37"/>
      <c r="J1140" s="35"/>
    </row>
    <row r="1141" spans="9:10" x14ac:dyDescent="0.25">
      <c r="I1141" s="37"/>
      <c r="J1141" s="35"/>
    </row>
    <row r="1142" spans="9:10" x14ac:dyDescent="0.25">
      <c r="I1142" s="37"/>
      <c r="J1142" s="35"/>
    </row>
    <row r="1143" spans="9:10" x14ac:dyDescent="0.25">
      <c r="I1143" s="37"/>
      <c r="J1143" s="35"/>
    </row>
    <row r="1144" spans="9:10" x14ac:dyDescent="0.25">
      <c r="I1144" s="37"/>
      <c r="J1144" s="35"/>
    </row>
    <row r="1145" spans="9:10" x14ac:dyDescent="0.25">
      <c r="I1145" s="37"/>
      <c r="J1145" s="35"/>
    </row>
    <row r="1146" spans="9:10" x14ac:dyDescent="0.25">
      <c r="I1146" s="37"/>
      <c r="J1146" s="35"/>
    </row>
    <row r="1147" spans="9:10" x14ac:dyDescent="0.25">
      <c r="I1147" s="37"/>
      <c r="J1147" s="35"/>
    </row>
    <row r="1148" spans="9:10" x14ac:dyDescent="0.25">
      <c r="I1148" s="37"/>
      <c r="J1148" s="35"/>
    </row>
    <row r="1149" spans="9:10" x14ac:dyDescent="0.25">
      <c r="I1149" s="37"/>
      <c r="J1149" s="35"/>
    </row>
    <row r="1150" spans="9:10" x14ac:dyDescent="0.25">
      <c r="I1150" s="37"/>
      <c r="J1150" s="35"/>
    </row>
    <row r="1151" spans="9:10" x14ac:dyDescent="0.25">
      <c r="I1151" s="37"/>
      <c r="J1151" s="35"/>
    </row>
    <row r="1152" spans="9:10" x14ac:dyDescent="0.25">
      <c r="I1152" s="37"/>
      <c r="J1152" s="35"/>
    </row>
    <row r="1153" spans="9:10" x14ac:dyDescent="0.25">
      <c r="I1153" s="37"/>
      <c r="J1153" s="35"/>
    </row>
    <row r="1154" spans="9:10" x14ac:dyDescent="0.25">
      <c r="I1154" s="37"/>
      <c r="J1154" s="35"/>
    </row>
    <row r="1155" spans="9:10" x14ac:dyDescent="0.25">
      <c r="I1155" s="37"/>
      <c r="J1155" s="35"/>
    </row>
    <row r="1156" spans="9:10" x14ac:dyDescent="0.25">
      <c r="I1156" s="37"/>
      <c r="J1156" s="35"/>
    </row>
    <row r="1157" spans="9:10" x14ac:dyDescent="0.25">
      <c r="I1157" s="37"/>
      <c r="J1157" s="35"/>
    </row>
    <row r="1158" spans="9:10" x14ac:dyDescent="0.25">
      <c r="I1158" s="37"/>
      <c r="J1158" s="35"/>
    </row>
    <row r="1159" spans="9:10" x14ac:dyDescent="0.25">
      <c r="I1159" s="37"/>
      <c r="J1159" s="35"/>
    </row>
    <row r="1160" spans="9:10" x14ac:dyDescent="0.25">
      <c r="I1160" s="37"/>
      <c r="J1160" s="35"/>
    </row>
    <row r="1161" spans="9:10" x14ac:dyDescent="0.25">
      <c r="I1161" s="37"/>
      <c r="J1161" s="35"/>
    </row>
    <row r="1162" spans="9:10" x14ac:dyDescent="0.25">
      <c r="I1162" s="37"/>
      <c r="J1162" s="35"/>
    </row>
    <row r="1163" spans="9:10" x14ac:dyDescent="0.25">
      <c r="I1163" s="37"/>
      <c r="J1163" s="35"/>
    </row>
    <row r="1164" spans="9:10" x14ac:dyDescent="0.25">
      <c r="I1164" s="37"/>
      <c r="J1164" s="35"/>
    </row>
    <row r="1165" spans="9:10" x14ac:dyDescent="0.25">
      <c r="I1165" s="37"/>
      <c r="J1165" s="35"/>
    </row>
    <row r="1166" spans="9:10" x14ac:dyDescent="0.25">
      <c r="I1166" s="37"/>
      <c r="J1166" s="35"/>
    </row>
    <row r="1167" spans="9:10" x14ac:dyDescent="0.25">
      <c r="I1167" s="37"/>
      <c r="J1167" s="35"/>
    </row>
    <row r="1168" spans="9:10" x14ac:dyDescent="0.25">
      <c r="I1168" s="37"/>
      <c r="J1168" s="35"/>
    </row>
    <row r="1169" spans="9:10" x14ac:dyDescent="0.25">
      <c r="I1169" s="37"/>
      <c r="J1169" s="35"/>
    </row>
    <row r="1170" spans="9:10" x14ac:dyDescent="0.25">
      <c r="I1170" s="37"/>
      <c r="J1170" s="35"/>
    </row>
    <row r="1171" spans="9:10" x14ac:dyDescent="0.25">
      <c r="I1171" s="37"/>
      <c r="J1171" s="35"/>
    </row>
    <row r="1172" spans="9:10" x14ac:dyDescent="0.25">
      <c r="I1172" s="37"/>
      <c r="J1172" s="35"/>
    </row>
    <row r="1173" spans="9:10" x14ac:dyDescent="0.25">
      <c r="I1173" s="37"/>
      <c r="J1173" s="35"/>
    </row>
    <row r="1174" spans="9:10" x14ac:dyDescent="0.25">
      <c r="I1174" s="37"/>
      <c r="J1174" s="35"/>
    </row>
    <row r="1175" spans="9:10" x14ac:dyDescent="0.25">
      <c r="I1175" s="37"/>
      <c r="J1175" s="35"/>
    </row>
    <row r="1176" spans="9:10" x14ac:dyDescent="0.25">
      <c r="I1176" s="37"/>
      <c r="J1176" s="35"/>
    </row>
    <row r="1177" spans="9:10" x14ac:dyDescent="0.25">
      <c r="I1177" s="37"/>
      <c r="J1177" s="35"/>
    </row>
    <row r="1178" spans="9:10" x14ac:dyDescent="0.25">
      <c r="I1178" s="37"/>
      <c r="J1178" s="35"/>
    </row>
    <row r="1179" spans="9:10" x14ac:dyDescent="0.25">
      <c r="I1179" s="37"/>
      <c r="J1179" s="35"/>
    </row>
    <row r="1180" spans="9:10" x14ac:dyDescent="0.25">
      <c r="I1180" s="37"/>
      <c r="J1180" s="35"/>
    </row>
    <row r="1181" spans="9:10" x14ac:dyDescent="0.25">
      <c r="I1181" s="37"/>
      <c r="J1181" s="35"/>
    </row>
    <row r="1182" spans="9:10" x14ac:dyDescent="0.25">
      <c r="I1182" s="37"/>
      <c r="J1182" s="35"/>
    </row>
    <row r="1183" spans="9:10" x14ac:dyDescent="0.25">
      <c r="I1183" s="37"/>
      <c r="J1183" s="35"/>
    </row>
    <row r="1184" spans="9:10" x14ac:dyDescent="0.25">
      <c r="I1184" s="37"/>
      <c r="J1184" s="35"/>
    </row>
    <row r="1185" spans="9:10" x14ac:dyDescent="0.25">
      <c r="I1185" s="37"/>
      <c r="J1185" s="35"/>
    </row>
    <row r="1186" spans="9:10" x14ac:dyDescent="0.25">
      <c r="I1186" s="37"/>
      <c r="J1186" s="35"/>
    </row>
    <row r="1187" spans="9:10" x14ac:dyDescent="0.25">
      <c r="I1187" s="37"/>
      <c r="J1187" s="35"/>
    </row>
    <row r="1188" spans="9:10" x14ac:dyDescent="0.25">
      <c r="I1188" s="37"/>
      <c r="J1188" s="35"/>
    </row>
    <row r="1189" spans="9:10" x14ac:dyDescent="0.25">
      <c r="I1189" s="37"/>
      <c r="J1189" s="35"/>
    </row>
    <row r="1190" spans="9:10" x14ac:dyDescent="0.25">
      <c r="I1190" s="37"/>
      <c r="J1190" s="35"/>
    </row>
    <row r="1191" spans="9:10" x14ac:dyDescent="0.25">
      <c r="I1191" s="37"/>
      <c r="J1191" s="35"/>
    </row>
    <row r="1192" spans="9:10" x14ac:dyDescent="0.25">
      <c r="I1192" s="37"/>
      <c r="J1192" s="35"/>
    </row>
    <row r="1193" spans="9:10" x14ac:dyDescent="0.25">
      <c r="I1193" s="37"/>
      <c r="J1193" s="35"/>
    </row>
    <row r="1194" spans="9:10" x14ac:dyDescent="0.25">
      <c r="I1194" s="37"/>
      <c r="J1194" s="35"/>
    </row>
    <row r="1195" spans="9:10" x14ac:dyDescent="0.25">
      <c r="I1195" s="37"/>
      <c r="J1195" s="35"/>
    </row>
    <row r="1196" spans="9:10" x14ac:dyDescent="0.25">
      <c r="I1196" s="37"/>
      <c r="J1196" s="35"/>
    </row>
    <row r="1197" spans="9:10" x14ac:dyDescent="0.25">
      <c r="I1197" s="37"/>
      <c r="J1197" s="35"/>
    </row>
    <row r="1198" spans="9:10" x14ac:dyDescent="0.25">
      <c r="I1198" s="37"/>
      <c r="J1198" s="35"/>
    </row>
    <row r="1199" spans="9:10" x14ac:dyDescent="0.25">
      <c r="I1199" s="37"/>
      <c r="J1199" s="35"/>
    </row>
    <row r="1200" spans="9:10" x14ac:dyDescent="0.25">
      <c r="I1200" s="37"/>
      <c r="J1200" s="35"/>
    </row>
    <row r="1201" spans="9:10" x14ac:dyDescent="0.25">
      <c r="I1201" s="37"/>
      <c r="J1201" s="35"/>
    </row>
    <row r="1202" spans="9:10" x14ac:dyDescent="0.25">
      <c r="I1202" s="37"/>
      <c r="J1202" s="35"/>
    </row>
    <row r="1203" spans="9:10" x14ac:dyDescent="0.25">
      <c r="I1203" s="37"/>
      <c r="J1203" s="35"/>
    </row>
    <row r="1204" spans="9:10" x14ac:dyDescent="0.25">
      <c r="I1204" s="37"/>
      <c r="J1204" s="35"/>
    </row>
    <row r="1205" spans="9:10" x14ac:dyDescent="0.25">
      <c r="I1205" s="37"/>
      <c r="J1205" s="35"/>
    </row>
    <row r="1206" spans="9:10" x14ac:dyDescent="0.25">
      <c r="I1206" s="37"/>
      <c r="J1206" s="35"/>
    </row>
    <row r="1207" spans="9:10" x14ac:dyDescent="0.25">
      <c r="I1207" s="37"/>
      <c r="J1207" s="35"/>
    </row>
    <row r="1208" spans="9:10" x14ac:dyDescent="0.25">
      <c r="I1208" s="37"/>
      <c r="J1208" s="35"/>
    </row>
    <row r="1209" spans="9:10" x14ac:dyDescent="0.25">
      <c r="I1209" s="37"/>
      <c r="J1209" s="35"/>
    </row>
    <row r="1210" spans="9:10" x14ac:dyDescent="0.25">
      <c r="I1210" s="37"/>
      <c r="J1210" s="35"/>
    </row>
    <row r="1211" spans="9:10" x14ac:dyDescent="0.25">
      <c r="I1211" s="37"/>
      <c r="J1211" s="35"/>
    </row>
    <row r="1212" spans="9:10" x14ac:dyDescent="0.25">
      <c r="I1212" s="37"/>
      <c r="J1212" s="35"/>
    </row>
    <row r="1213" spans="9:10" x14ac:dyDescent="0.25">
      <c r="I1213" s="37"/>
      <c r="J1213" s="35"/>
    </row>
    <row r="1214" spans="9:10" x14ac:dyDescent="0.25">
      <c r="I1214" s="37"/>
      <c r="J1214" s="35"/>
    </row>
    <row r="1215" spans="9:10" x14ac:dyDescent="0.25">
      <c r="I1215" s="37"/>
      <c r="J1215" s="35"/>
    </row>
    <row r="1216" spans="9:10" x14ac:dyDescent="0.25">
      <c r="I1216" s="37"/>
      <c r="J1216" s="35"/>
    </row>
    <row r="1217" spans="9:10" x14ac:dyDescent="0.25">
      <c r="I1217" s="37"/>
      <c r="J1217" s="35"/>
    </row>
    <row r="1218" spans="9:10" x14ac:dyDescent="0.25">
      <c r="I1218" s="37"/>
      <c r="J1218" s="35"/>
    </row>
    <row r="1219" spans="9:10" x14ac:dyDescent="0.25">
      <c r="I1219" s="37"/>
      <c r="J1219" s="35"/>
    </row>
    <row r="1220" spans="9:10" x14ac:dyDescent="0.25">
      <c r="I1220" s="37"/>
      <c r="J1220" s="35"/>
    </row>
    <row r="1221" spans="9:10" x14ac:dyDescent="0.25">
      <c r="I1221" s="37"/>
      <c r="J1221" s="35"/>
    </row>
    <row r="1222" spans="9:10" x14ac:dyDescent="0.25">
      <c r="I1222" s="37"/>
      <c r="J1222" s="35"/>
    </row>
    <row r="1223" spans="9:10" x14ac:dyDescent="0.25">
      <c r="I1223" s="37"/>
      <c r="J1223" s="35"/>
    </row>
    <row r="1224" spans="9:10" x14ac:dyDescent="0.25">
      <c r="I1224" s="37"/>
      <c r="J1224" s="35"/>
    </row>
    <row r="1225" spans="9:10" x14ac:dyDescent="0.25">
      <c r="I1225" s="37"/>
      <c r="J1225" s="35"/>
    </row>
    <row r="1226" spans="9:10" x14ac:dyDescent="0.25">
      <c r="I1226" s="37"/>
      <c r="J1226" s="35"/>
    </row>
    <row r="1227" spans="9:10" x14ac:dyDescent="0.25">
      <c r="I1227" s="37"/>
      <c r="J1227" s="35"/>
    </row>
    <row r="1228" spans="9:10" x14ac:dyDescent="0.25">
      <c r="I1228" s="37"/>
      <c r="J1228" s="35"/>
    </row>
    <row r="1229" spans="9:10" x14ac:dyDescent="0.25">
      <c r="I1229" s="37"/>
      <c r="J1229" s="35"/>
    </row>
    <row r="1230" spans="9:10" x14ac:dyDescent="0.25">
      <c r="I1230" s="37"/>
      <c r="J1230" s="35"/>
    </row>
    <row r="1231" spans="9:10" x14ac:dyDescent="0.25">
      <c r="I1231" s="37"/>
      <c r="J1231" s="35"/>
    </row>
    <row r="1232" spans="9:10" x14ac:dyDescent="0.25">
      <c r="I1232" s="37"/>
      <c r="J1232" s="35"/>
    </row>
    <row r="1233" spans="9:10" x14ac:dyDescent="0.25">
      <c r="I1233" s="37"/>
      <c r="J1233" s="35"/>
    </row>
    <row r="1234" spans="9:10" x14ac:dyDescent="0.25">
      <c r="I1234" s="37"/>
      <c r="J1234" s="35"/>
    </row>
    <row r="1235" spans="9:10" x14ac:dyDescent="0.25">
      <c r="I1235" s="37"/>
      <c r="J1235" s="35"/>
    </row>
    <row r="1236" spans="9:10" x14ac:dyDescent="0.25">
      <c r="I1236" s="37"/>
      <c r="J1236" s="35"/>
    </row>
    <row r="1237" spans="9:10" x14ac:dyDescent="0.25">
      <c r="I1237" s="37"/>
      <c r="J1237" s="35"/>
    </row>
    <row r="1238" spans="9:10" x14ac:dyDescent="0.25">
      <c r="I1238" s="37"/>
      <c r="J1238" s="35"/>
    </row>
    <row r="1239" spans="9:10" x14ac:dyDescent="0.25">
      <c r="I1239" s="37"/>
      <c r="J1239" s="35"/>
    </row>
    <row r="1240" spans="9:10" x14ac:dyDescent="0.25">
      <c r="I1240" s="37"/>
      <c r="J1240" s="35"/>
    </row>
    <row r="1241" spans="9:10" x14ac:dyDescent="0.25">
      <c r="I1241" s="37"/>
      <c r="J1241" s="35"/>
    </row>
    <row r="1242" spans="9:10" x14ac:dyDescent="0.25">
      <c r="I1242" s="37"/>
      <c r="J1242" s="35"/>
    </row>
    <row r="1243" spans="9:10" x14ac:dyDescent="0.25">
      <c r="I1243" s="37"/>
      <c r="J1243" s="35"/>
    </row>
    <row r="1244" spans="9:10" x14ac:dyDescent="0.25">
      <c r="I1244" s="37"/>
      <c r="J1244" s="35"/>
    </row>
    <row r="1245" spans="9:10" x14ac:dyDescent="0.25">
      <c r="I1245" s="37"/>
      <c r="J1245" s="35"/>
    </row>
    <row r="1246" spans="9:10" x14ac:dyDescent="0.25">
      <c r="I1246" s="37"/>
      <c r="J1246" s="35"/>
    </row>
    <row r="1247" spans="9:10" x14ac:dyDescent="0.25">
      <c r="I1247" s="37"/>
      <c r="J1247" s="35"/>
    </row>
    <row r="1248" spans="9:10" x14ac:dyDescent="0.25">
      <c r="I1248" s="37"/>
      <c r="J1248" s="35"/>
    </row>
    <row r="1249" spans="9:10" x14ac:dyDescent="0.25">
      <c r="I1249" s="37"/>
      <c r="J1249" s="35"/>
    </row>
    <row r="1250" spans="9:10" x14ac:dyDescent="0.25">
      <c r="I1250" s="37"/>
      <c r="J1250" s="35"/>
    </row>
    <row r="1251" spans="9:10" x14ac:dyDescent="0.25">
      <c r="I1251" s="37"/>
      <c r="J1251" s="35"/>
    </row>
    <row r="1252" spans="9:10" x14ac:dyDescent="0.25">
      <c r="I1252" s="37"/>
      <c r="J1252" s="35"/>
    </row>
    <row r="1253" spans="9:10" x14ac:dyDescent="0.25">
      <c r="I1253" s="37"/>
      <c r="J1253" s="35"/>
    </row>
    <row r="1254" spans="9:10" x14ac:dyDescent="0.25">
      <c r="I1254" s="37"/>
      <c r="J1254" s="35"/>
    </row>
    <row r="1255" spans="9:10" x14ac:dyDescent="0.25">
      <c r="I1255" s="37"/>
      <c r="J1255" s="35"/>
    </row>
    <row r="1256" spans="9:10" x14ac:dyDescent="0.25">
      <c r="I1256" s="37"/>
      <c r="J1256" s="35"/>
    </row>
    <row r="1257" spans="9:10" x14ac:dyDescent="0.25">
      <c r="I1257" s="37"/>
      <c r="J1257" s="35"/>
    </row>
    <row r="1258" spans="9:10" x14ac:dyDescent="0.25">
      <c r="I1258" s="37"/>
      <c r="J1258" s="35"/>
    </row>
    <row r="1259" spans="9:10" x14ac:dyDescent="0.25">
      <c r="I1259" s="37"/>
      <c r="J1259" s="35"/>
    </row>
    <row r="1260" spans="9:10" x14ac:dyDescent="0.25">
      <c r="I1260" s="37"/>
      <c r="J1260" s="35"/>
    </row>
    <row r="1261" spans="9:10" x14ac:dyDescent="0.25">
      <c r="I1261" s="37"/>
      <c r="J1261" s="35"/>
    </row>
    <row r="1262" spans="9:10" x14ac:dyDescent="0.25">
      <c r="I1262" s="37"/>
      <c r="J1262" s="35"/>
    </row>
    <row r="1263" spans="9:10" x14ac:dyDescent="0.25">
      <c r="I1263" s="37"/>
      <c r="J1263" s="35"/>
    </row>
    <row r="1264" spans="9:10" x14ac:dyDescent="0.25">
      <c r="I1264" s="37"/>
      <c r="J1264" s="35"/>
    </row>
    <row r="1265" spans="9:10" x14ac:dyDescent="0.25">
      <c r="I1265" s="37"/>
      <c r="J1265" s="35"/>
    </row>
    <row r="1266" spans="9:10" x14ac:dyDescent="0.25">
      <c r="I1266" s="37"/>
      <c r="J1266" s="35"/>
    </row>
    <row r="1267" spans="9:10" x14ac:dyDescent="0.25">
      <c r="I1267" s="37"/>
      <c r="J1267" s="35"/>
    </row>
    <row r="1268" spans="9:10" x14ac:dyDescent="0.25">
      <c r="I1268" s="37"/>
      <c r="J1268" s="35"/>
    </row>
    <row r="1269" spans="9:10" x14ac:dyDescent="0.25">
      <c r="I1269" s="37"/>
      <c r="J1269" s="35"/>
    </row>
    <row r="1270" spans="9:10" x14ac:dyDescent="0.25">
      <c r="I1270" s="37"/>
      <c r="J1270" s="35"/>
    </row>
    <row r="1271" spans="9:10" x14ac:dyDescent="0.25">
      <c r="I1271" s="37"/>
      <c r="J1271" s="35"/>
    </row>
    <row r="1272" spans="9:10" x14ac:dyDescent="0.25">
      <c r="I1272" s="37"/>
      <c r="J1272" s="35"/>
    </row>
    <row r="1273" spans="9:10" x14ac:dyDescent="0.25">
      <c r="I1273" s="37"/>
      <c r="J1273" s="35"/>
    </row>
    <row r="1274" spans="9:10" x14ac:dyDescent="0.25">
      <c r="I1274" s="37"/>
      <c r="J1274" s="35"/>
    </row>
    <row r="1275" spans="9:10" x14ac:dyDescent="0.25">
      <c r="I1275" s="37"/>
      <c r="J1275" s="35"/>
    </row>
    <row r="1276" spans="9:10" x14ac:dyDescent="0.25">
      <c r="I1276" s="37"/>
      <c r="J1276" s="35"/>
    </row>
    <row r="1277" spans="9:10" x14ac:dyDescent="0.25">
      <c r="I1277" s="37"/>
      <c r="J1277" s="35"/>
    </row>
    <row r="1278" spans="9:10" x14ac:dyDescent="0.25">
      <c r="I1278" s="37"/>
      <c r="J1278" s="35"/>
    </row>
    <row r="1279" spans="9:10" x14ac:dyDescent="0.25">
      <c r="I1279" s="37"/>
      <c r="J1279" s="35"/>
    </row>
    <row r="1280" spans="9:10" x14ac:dyDescent="0.25">
      <c r="I1280" s="37"/>
      <c r="J1280" s="35"/>
    </row>
    <row r="1281" spans="9:10" x14ac:dyDescent="0.25">
      <c r="I1281" s="37"/>
      <c r="J1281" s="35"/>
    </row>
    <row r="1282" spans="9:10" x14ac:dyDescent="0.25">
      <c r="I1282" s="37"/>
      <c r="J1282" s="35"/>
    </row>
    <row r="1283" spans="9:10" x14ac:dyDescent="0.25">
      <c r="I1283" s="37"/>
      <c r="J1283" s="35"/>
    </row>
    <row r="1284" spans="9:10" x14ac:dyDescent="0.25">
      <c r="I1284" s="37"/>
      <c r="J1284" s="35"/>
    </row>
    <row r="1285" spans="9:10" x14ac:dyDescent="0.25">
      <c r="I1285" s="37"/>
      <c r="J1285" s="35"/>
    </row>
    <row r="1286" spans="9:10" x14ac:dyDescent="0.25">
      <c r="I1286" s="37"/>
      <c r="J1286" s="35"/>
    </row>
    <row r="1287" spans="9:10" x14ac:dyDescent="0.25">
      <c r="I1287" s="37"/>
      <c r="J1287" s="35"/>
    </row>
    <row r="1288" spans="9:10" x14ac:dyDescent="0.25">
      <c r="I1288" s="37"/>
      <c r="J1288" s="35"/>
    </row>
    <row r="1289" spans="9:10" x14ac:dyDescent="0.25">
      <c r="I1289" s="37"/>
      <c r="J1289" s="35"/>
    </row>
    <row r="1290" spans="9:10" x14ac:dyDescent="0.25">
      <c r="I1290" s="37"/>
      <c r="J1290" s="35"/>
    </row>
    <row r="1291" spans="9:10" x14ac:dyDescent="0.25">
      <c r="I1291" s="37"/>
      <c r="J1291" s="35"/>
    </row>
    <row r="1292" spans="9:10" x14ac:dyDescent="0.25">
      <c r="I1292" s="37"/>
      <c r="J1292" s="35"/>
    </row>
    <row r="1293" spans="9:10" x14ac:dyDescent="0.25">
      <c r="I1293" s="37"/>
      <c r="J1293" s="35"/>
    </row>
    <row r="1294" spans="9:10" x14ac:dyDescent="0.25">
      <c r="I1294" s="37"/>
      <c r="J1294" s="35"/>
    </row>
    <row r="1295" spans="9:10" x14ac:dyDescent="0.25">
      <c r="I1295" s="37"/>
      <c r="J1295" s="35"/>
    </row>
    <row r="1296" spans="9:10" x14ac:dyDescent="0.25">
      <c r="I1296" s="37"/>
      <c r="J1296" s="35"/>
    </row>
    <row r="1297" spans="9:10" x14ac:dyDescent="0.25">
      <c r="I1297" s="37"/>
      <c r="J1297" s="35"/>
    </row>
    <row r="1298" spans="9:10" x14ac:dyDescent="0.25">
      <c r="I1298" s="37"/>
      <c r="J1298" s="35"/>
    </row>
    <row r="1299" spans="9:10" x14ac:dyDescent="0.25">
      <c r="I1299" s="37"/>
      <c r="J1299" s="35"/>
    </row>
    <row r="1300" spans="9:10" x14ac:dyDescent="0.25">
      <c r="I1300" s="37"/>
      <c r="J1300" s="35"/>
    </row>
    <row r="1301" spans="9:10" x14ac:dyDescent="0.25">
      <c r="I1301" s="37"/>
      <c r="J1301" s="35"/>
    </row>
    <row r="1302" spans="9:10" x14ac:dyDescent="0.25">
      <c r="I1302" s="37"/>
      <c r="J1302" s="35"/>
    </row>
    <row r="1303" spans="9:10" x14ac:dyDescent="0.25">
      <c r="I1303" s="37"/>
      <c r="J1303" s="35"/>
    </row>
    <row r="1304" spans="9:10" x14ac:dyDescent="0.25">
      <c r="I1304" s="37"/>
      <c r="J1304" s="35"/>
    </row>
    <row r="1305" spans="9:10" x14ac:dyDescent="0.25">
      <c r="I1305" s="37"/>
      <c r="J1305" s="35"/>
    </row>
    <row r="1306" spans="9:10" x14ac:dyDescent="0.25">
      <c r="I1306" s="37"/>
      <c r="J1306" s="35"/>
    </row>
    <row r="1307" spans="9:10" x14ac:dyDescent="0.25">
      <c r="I1307" s="37"/>
      <c r="J1307" s="35"/>
    </row>
    <row r="1308" spans="9:10" x14ac:dyDescent="0.25">
      <c r="I1308" s="37"/>
      <c r="J1308" s="35"/>
    </row>
    <row r="1309" spans="9:10" x14ac:dyDescent="0.25">
      <c r="I1309" s="37"/>
      <c r="J1309" s="35"/>
    </row>
    <row r="1310" spans="9:10" x14ac:dyDescent="0.25">
      <c r="I1310" s="37"/>
      <c r="J1310" s="35"/>
    </row>
    <row r="1311" spans="9:10" x14ac:dyDescent="0.25">
      <c r="I1311" s="37"/>
      <c r="J1311" s="35"/>
    </row>
    <row r="1312" spans="9:10" x14ac:dyDescent="0.25">
      <c r="I1312" s="37"/>
      <c r="J1312" s="35"/>
    </row>
    <row r="1313" spans="9:10" x14ac:dyDescent="0.25">
      <c r="I1313" s="37"/>
      <c r="J1313" s="35"/>
    </row>
    <row r="1314" spans="9:10" x14ac:dyDescent="0.25">
      <c r="I1314" s="37"/>
      <c r="J1314" s="35"/>
    </row>
    <row r="1315" spans="9:10" x14ac:dyDescent="0.25">
      <c r="I1315" s="37"/>
      <c r="J1315" s="35"/>
    </row>
    <row r="1316" spans="9:10" x14ac:dyDescent="0.25">
      <c r="I1316" s="37"/>
      <c r="J1316" s="35"/>
    </row>
    <row r="1317" spans="9:10" x14ac:dyDescent="0.25">
      <c r="I1317" s="37"/>
      <c r="J1317" s="35"/>
    </row>
    <row r="1318" spans="9:10" x14ac:dyDescent="0.25">
      <c r="I1318" s="37"/>
      <c r="J1318" s="35"/>
    </row>
    <row r="1319" spans="9:10" x14ac:dyDescent="0.25">
      <c r="I1319" s="37"/>
      <c r="J1319" s="35"/>
    </row>
    <row r="1320" spans="9:10" x14ac:dyDescent="0.25">
      <c r="I1320" s="37"/>
      <c r="J1320" s="35"/>
    </row>
    <row r="1321" spans="9:10" x14ac:dyDescent="0.25">
      <c r="I1321" s="37"/>
      <c r="J1321" s="35"/>
    </row>
    <row r="1322" spans="9:10" x14ac:dyDescent="0.25">
      <c r="I1322" s="37"/>
      <c r="J1322" s="35"/>
    </row>
    <row r="1323" spans="9:10" x14ac:dyDescent="0.25">
      <c r="I1323" s="37"/>
      <c r="J1323" s="35"/>
    </row>
    <row r="1324" spans="9:10" x14ac:dyDescent="0.25">
      <c r="I1324" s="37"/>
      <c r="J1324" s="35"/>
    </row>
    <row r="1325" spans="9:10" x14ac:dyDescent="0.25">
      <c r="I1325" s="37"/>
      <c r="J1325" s="35"/>
    </row>
    <row r="1326" spans="9:10" x14ac:dyDescent="0.25">
      <c r="I1326" s="37"/>
      <c r="J1326" s="35"/>
    </row>
    <row r="1327" spans="9:10" x14ac:dyDescent="0.25">
      <c r="I1327" s="37"/>
      <c r="J1327" s="35"/>
    </row>
    <row r="1328" spans="9:10" x14ac:dyDescent="0.25">
      <c r="I1328" s="37"/>
      <c r="J1328" s="35"/>
    </row>
    <row r="1329" spans="9:10" x14ac:dyDescent="0.25">
      <c r="I1329" s="37"/>
      <c r="J1329" s="35"/>
    </row>
    <row r="1330" spans="9:10" x14ac:dyDescent="0.25">
      <c r="I1330" s="37"/>
      <c r="J1330" s="35"/>
    </row>
    <row r="1331" spans="9:10" x14ac:dyDescent="0.25">
      <c r="I1331" s="37"/>
      <c r="J1331" s="35"/>
    </row>
    <row r="1332" spans="9:10" x14ac:dyDescent="0.25">
      <c r="I1332" s="37"/>
      <c r="J1332" s="35"/>
    </row>
    <row r="1333" spans="9:10" x14ac:dyDescent="0.25">
      <c r="I1333" s="37"/>
      <c r="J1333" s="35"/>
    </row>
    <row r="1334" spans="9:10" x14ac:dyDescent="0.25">
      <c r="I1334" s="37"/>
      <c r="J1334" s="35"/>
    </row>
  </sheetData>
  <mergeCells count="18">
    <mergeCell ref="T29:U29"/>
    <mergeCell ref="J16:K16"/>
    <mergeCell ref="L16:M16"/>
    <mergeCell ref="N16:O16"/>
    <mergeCell ref="P16:Q16"/>
    <mergeCell ref="R16:S16"/>
    <mergeCell ref="T16:U16"/>
    <mergeCell ref="J29:K29"/>
    <mergeCell ref="L29:M29"/>
    <mergeCell ref="N29:O29"/>
    <mergeCell ref="P29:Q29"/>
    <mergeCell ref="R29:S29"/>
    <mergeCell ref="T2:U2"/>
    <mergeCell ref="J2:K2"/>
    <mergeCell ref="L2:M2"/>
    <mergeCell ref="N2:O2"/>
    <mergeCell ref="P2:Q2"/>
    <mergeCell ref="R2:S2"/>
  </mergeCells>
  <conditionalFormatting sqref="AE3:AI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:AI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0:AI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0904-6DCB-4E81-A3C6-2F64BE486159}">
  <dimension ref="A1:AQ1334"/>
  <sheetViews>
    <sheetView showGridLines="0" zoomScaleNormal="100" workbookViewId="0">
      <selection activeCell="I8" sqref="I8"/>
    </sheetView>
  </sheetViews>
  <sheetFormatPr defaultRowHeight="15" outlineLevelRow="1" outlineLevelCol="1" x14ac:dyDescent="0.25"/>
  <cols>
    <col min="1" max="1" width="2.5703125" customWidth="1"/>
    <col min="3" max="3" width="16.28515625" bestFit="1" customWidth="1"/>
    <col min="4" max="4" width="15.28515625" bestFit="1" customWidth="1"/>
    <col min="5" max="5" width="2.5703125" customWidth="1"/>
    <col min="6" max="6" width="18.140625" bestFit="1" customWidth="1"/>
    <col min="7" max="7" width="2.5703125" customWidth="1"/>
    <col min="8" max="8" width="25.140625" bestFit="1" customWidth="1"/>
    <col min="9" max="9" width="24.28515625" style="11" customWidth="1" outlineLevel="1"/>
    <col min="10" max="10" width="9.42578125" style="6" customWidth="1"/>
    <col min="11" max="11" width="19" style="11" hidden="1" customWidth="1" outlineLevel="1"/>
    <col min="12" max="12" width="9.28515625" style="6" customWidth="1" collapsed="1"/>
    <col min="13" max="13" width="19.5703125" style="11" hidden="1" customWidth="1" outlineLevel="1"/>
    <col min="14" max="14" width="10.42578125" style="6" customWidth="1" collapsed="1"/>
    <col min="15" max="15" width="17.85546875" style="11" hidden="1" customWidth="1" outlineLevel="1"/>
    <col min="16" max="16" width="8.140625" style="6" bestFit="1" customWidth="1" collapsed="1"/>
    <col min="17" max="17" width="18" style="11" hidden="1" customWidth="1" outlineLevel="1"/>
    <col min="18" max="18" width="11.42578125" style="5" customWidth="1" collapsed="1"/>
    <col min="19" max="19" width="19.5703125" style="10" hidden="1" customWidth="1" outlineLevel="1"/>
    <col min="20" max="20" width="8.140625" style="10" bestFit="1" customWidth="1" collapsed="1"/>
    <col min="21" max="21" width="19.5703125" style="10" hidden="1" customWidth="1" outlineLevel="1"/>
    <col min="22" max="22" width="2.5703125" customWidth="1" collapsed="1"/>
    <col min="23" max="24" width="7.140625" hidden="1" customWidth="1" outlineLevel="1"/>
    <col min="25" max="25" width="17.85546875" bestFit="1" customWidth="1" collapsed="1"/>
    <col min="26" max="27" width="17.85546875" bestFit="1" customWidth="1"/>
    <col min="28" max="28" width="16.140625" bestFit="1" customWidth="1"/>
    <col min="29" max="29" width="15.140625" bestFit="1" customWidth="1"/>
    <col min="30" max="30" width="2.5703125" customWidth="1"/>
    <col min="31" max="31" width="7.85546875" bestFit="1" customWidth="1"/>
    <col min="32" max="32" width="11.140625" bestFit="1" customWidth="1"/>
    <col min="33" max="33" width="13.28515625" bestFit="1" customWidth="1"/>
    <col min="34" max="34" width="7.85546875" bestFit="1" customWidth="1"/>
    <col min="35" max="35" width="8.140625" bestFit="1" customWidth="1"/>
    <col min="36" max="36" width="2.5703125" customWidth="1"/>
    <col min="37" max="37" width="17.85546875" bestFit="1" customWidth="1"/>
    <col min="38" max="38" width="8.140625" bestFit="1" customWidth="1"/>
    <col min="39" max="39" width="2.5703125" customWidth="1"/>
    <col min="41" max="41" width="16.28515625" bestFit="1" customWidth="1"/>
  </cols>
  <sheetData>
    <row r="1" spans="1:43" ht="9" customHeight="1" x14ac:dyDescent="0.25"/>
    <row r="2" spans="1:43" x14ac:dyDescent="0.25">
      <c r="B2" s="1"/>
      <c r="C2" s="1" t="s">
        <v>20</v>
      </c>
      <c r="D2" s="1"/>
      <c r="H2" s="4" t="s">
        <v>1</v>
      </c>
      <c r="I2" s="9" t="s">
        <v>4</v>
      </c>
      <c r="J2" s="112" t="s">
        <v>7</v>
      </c>
      <c r="K2" s="112"/>
      <c r="L2" s="112" t="s">
        <v>8</v>
      </c>
      <c r="M2" s="112"/>
      <c r="N2" s="112" t="s">
        <v>10</v>
      </c>
      <c r="O2" s="112"/>
      <c r="P2" s="112" t="s">
        <v>9</v>
      </c>
      <c r="Q2" s="112"/>
      <c r="R2" s="112" t="s">
        <v>21</v>
      </c>
      <c r="S2" s="112"/>
      <c r="T2" s="112" t="s">
        <v>55</v>
      </c>
      <c r="U2" s="112"/>
      <c r="W2" s="1" t="s">
        <v>46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27" t="s">
        <v>49</v>
      </c>
      <c r="AF2" s="27" t="s">
        <v>50</v>
      </c>
      <c r="AG2" s="27" t="s">
        <v>51</v>
      </c>
      <c r="AH2" s="27" t="s">
        <v>52</v>
      </c>
      <c r="AI2" s="27" t="s">
        <v>53</v>
      </c>
      <c r="AK2" s="75" t="s">
        <v>60</v>
      </c>
      <c r="AL2" s="75" t="s">
        <v>61</v>
      </c>
      <c r="AN2" s="1"/>
      <c r="AO2" s="1" t="s">
        <v>20</v>
      </c>
      <c r="AP2" s="1"/>
    </row>
    <row r="3" spans="1:43" x14ac:dyDescent="0.25">
      <c r="A3" s="98"/>
      <c r="B3" t="s">
        <v>11</v>
      </c>
      <c r="C3" s="2" t="s">
        <v>10</v>
      </c>
      <c r="D3" t="s">
        <v>7</v>
      </c>
      <c r="E3" s="98"/>
      <c r="F3" s="7">
        <f>J3+L3+N3+P3+R3+T3</f>
        <v>1</v>
      </c>
      <c r="G3" s="99"/>
      <c r="H3" s="97" t="s">
        <v>5</v>
      </c>
      <c r="I3" s="80">
        <v>508105527.25999999</v>
      </c>
      <c r="J3" s="81">
        <f>49.6%+1%</f>
        <v>0.50600000000000001</v>
      </c>
      <c r="K3" s="80">
        <f>+J3*$I3</f>
        <v>257101396.79356</v>
      </c>
      <c r="L3" s="81">
        <f>9.1%+7.9%+4.8%+3.1%</f>
        <v>0.24899999999999997</v>
      </c>
      <c r="M3" s="80">
        <f>+L3*$I3</f>
        <v>126518276.28773998</v>
      </c>
      <c r="N3" s="81">
        <f>22.2%+0.6%</f>
        <v>0.22800000000000001</v>
      </c>
      <c r="O3" s="80">
        <f>+N3*$I3</f>
        <v>115848060.21528</v>
      </c>
      <c r="P3" s="81">
        <v>3.3000000000000002E-2</v>
      </c>
      <c r="Q3" s="80">
        <f>+P3*$I3</f>
        <v>16767482.39958</v>
      </c>
      <c r="R3" s="82"/>
      <c r="S3" s="80">
        <f>+R3*$I3</f>
        <v>0</v>
      </c>
      <c r="T3" s="81">
        <v>-1.6E-2</v>
      </c>
      <c r="U3" s="65">
        <f t="shared" ref="U3:U13" si="0">+T3*$I3</f>
        <v>-8129688.43616</v>
      </c>
      <c r="V3" s="98"/>
      <c r="Y3" s="12">
        <f>K3-'Out24'!K3</f>
        <v>35034773.026989996</v>
      </c>
      <c r="Z3" s="12">
        <f>M3-'Out24'!M3</f>
        <v>3573161.4492899626</v>
      </c>
      <c r="AA3" s="12">
        <f>O3-'Out24'!O3</f>
        <v>-1834812.353820011</v>
      </c>
      <c r="AB3" s="12">
        <f>Q3-'Out24'!Q3</f>
        <v>23984.269829997793</v>
      </c>
      <c r="AC3" s="12">
        <f>+S3-'Out24'!S3</f>
        <v>0</v>
      </c>
      <c r="AD3" s="98"/>
      <c r="AE3" s="28">
        <f>J3-'Out24'!J3</f>
        <v>4.1800000000000004E-2</v>
      </c>
      <c r="AF3" s="28">
        <f>L3-'Out24'!L3</f>
        <v>-8.0000000000000349E-3</v>
      </c>
      <c r="AG3" s="28">
        <f>N3-'Out24'!N3</f>
        <v>-1.7999999999999988E-2</v>
      </c>
      <c r="AH3" s="28">
        <f>P3-'Out24'!P3</f>
        <v>-2.0000000000000018E-3</v>
      </c>
      <c r="AI3" s="28">
        <f>R3-'Out24'!R3</f>
        <v>0</v>
      </c>
      <c r="AJ3" s="98"/>
      <c r="AK3" s="10">
        <f>I3-'Out24'!I3</f>
        <v>29719866.409999967</v>
      </c>
      <c r="AL3" s="76">
        <f>I3/'Out24'!I3-1</f>
        <v>6.2125328667237634E-2</v>
      </c>
      <c r="AM3" s="98"/>
      <c r="AN3" t="s">
        <v>11</v>
      </c>
      <c r="AO3" s="2" t="s">
        <v>10</v>
      </c>
      <c r="AP3" t="s">
        <v>7</v>
      </c>
      <c r="AQ3" s="98"/>
    </row>
    <row r="4" spans="1:43" x14ac:dyDescent="0.25">
      <c r="B4" t="s">
        <v>12</v>
      </c>
      <c r="C4" s="2" t="s">
        <v>16</v>
      </c>
      <c r="D4" t="s">
        <v>58</v>
      </c>
      <c r="F4" s="7">
        <f t="shared" ref="F4:F36" si="1">J4+L4+N4+P4+R4+T4</f>
        <v>1.0000000000000002</v>
      </c>
      <c r="H4" s="3" t="s">
        <v>0</v>
      </c>
      <c r="I4" s="78">
        <v>1572200774</v>
      </c>
      <c r="J4" s="77">
        <v>0.41</v>
      </c>
      <c r="K4" s="78">
        <f t="shared" ref="K4:K13" si="2">+J4*$I4</f>
        <v>644602317.33999991</v>
      </c>
      <c r="L4" s="77">
        <f>3%+4%+5%+3%+1%</f>
        <v>0.16000000000000003</v>
      </c>
      <c r="M4" s="78">
        <f>+L4*$I4</f>
        <v>251552123.84000006</v>
      </c>
      <c r="N4" s="77">
        <v>0.34</v>
      </c>
      <c r="O4" s="78">
        <f>+N4*$I4</f>
        <v>534548263.16000003</v>
      </c>
      <c r="P4" s="77">
        <v>0.09</v>
      </c>
      <c r="Q4" s="78">
        <f t="shared" ref="Q4:S13" si="3">+P4*$I4</f>
        <v>141498069.66</v>
      </c>
      <c r="R4" s="77"/>
      <c r="S4" s="78">
        <f t="shared" si="3"/>
        <v>0</v>
      </c>
      <c r="T4" s="77"/>
      <c r="U4" s="57">
        <f t="shared" si="0"/>
        <v>0</v>
      </c>
      <c r="Y4" s="12">
        <f>K4-'Out24'!K4</f>
        <v>8366145.5799999237</v>
      </c>
      <c r="Z4" s="12">
        <f>M4-'Out24'!M4</f>
        <v>9176439.3600000143</v>
      </c>
      <c r="AA4" s="12">
        <f>O4-'Out24'!O4</f>
        <v>19499933.639999986</v>
      </c>
      <c r="AB4" s="12">
        <f>Q4-'Out24'!Q4</f>
        <v>20310227.419999987</v>
      </c>
      <c r="AC4" s="12">
        <f>+S4-'Out24'!S4</f>
        <v>0</v>
      </c>
      <c r="AE4" s="28">
        <f>J4-'Out24'!J4</f>
        <v>-1.0000000000000009E-2</v>
      </c>
      <c r="AF4" s="28">
        <f>L4-'Out24'!L4</f>
        <v>0</v>
      </c>
      <c r="AG4" s="28">
        <f>N4-'Out24'!N4</f>
        <v>0</v>
      </c>
      <c r="AH4" s="28">
        <f>P4-'Out24'!P4</f>
        <v>9.999999999999995E-3</v>
      </c>
      <c r="AI4" s="28">
        <f>R4-'Out24'!R4</f>
        <v>0</v>
      </c>
      <c r="AJ4" s="93"/>
      <c r="AK4" s="10">
        <f>I4-'Out24'!I4</f>
        <v>57352746</v>
      </c>
      <c r="AL4" s="76">
        <f>I4/'Out24'!I4-1</f>
        <v>3.7860395854837581E-2</v>
      </c>
      <c r="AN4" t="s">
        <v>12</v>
      </c>
      <c r="AO4" s="2" t="s">
        <v>16</v>
      </c>
      <c r="AP4" t="s">
        <v>58</v>
      </c>
    </row>
    <row r="5" spans="1:43" x14ac:dyDescent="0.25">
      <c r="B5" t="s">
        <v>13</v>
      </c>
      <c r="C5" s="2" t="s">
        <v>17</v>
      </c>
      <c r="D5" t="s">
        <v>59</v>
      </c>
      <c r="F5" s="7">
        <f>J5+L5+N5+P5+R5+T5</f>
        <v>1</v>
      </c>
      <c r="H5" s="3" t="s">
        <v>3</v>
      </c>
      <c r="I5" s="78">
        <v>448777406.64999998</v>
      </c>
      <c r="J5" s="77">
        <v>0.46</v>
      </c>
      <c r="K5" s="78">
        <f t="shared" si="2"/>
        <v>206437607.05899999</v>
      </c>
      <c r="L5" s="77">
        <v>0</v>
      </c>
      <c r="M5" s="78">
        <f t="shared" ref="M5:M13" si="4">+L5*$I5</f>
        <v>0</v>
      </c>
      <c r="N5" s="77">
        <f>0.28</f>
        <v>0.28000000000000003</v>
      </c>
      <c r="O5" s="78">
        <f t="shared" ref="O5:O13" si="5">+N5*$I5</f>
        <v>125657673.862</v>
      </c>
      <c r="P5" s="77">
        <v>0.05</v>
      </c>
      <c r="Q5" s="78">
        <f t="shared" si="3"/>
        <v>22438870.3325</v>
      </c>
      <c r="R5" s="77">
        <v>0.18</v>
      </c>
      <c r="S5" s="78">
        <f t="shared" si="3"/>
        <v>80779933.196999997</v>
      </c>
      <c r="T5" s="77">
        <v>0.03</v>
      </c>
      <c r="U5" s="57">
        <f t="shared" si="0"/>
        <v>13463322.199499998</v>
      </c>
      <c r="Y5" s="12">
        <f>K5-'Out24'!K5</f>
        <v>-5149117.6301999986</v>
      </c>
      <c r="Z5" s="12">
        <f>M5-'Out24'!M5</f>
        <v>0</v>
      </c>
      <c r="AA5" s="12">
        <f>O5-'Out24'!O5</f>
        <v>-31802214.278799996</v>
      </c>
      <c r="AB5" s="12">
        <f>Q5-'Out24'!Q5</f>
        <v>2756384.3148999996</v>
      </c>
      <c r="AC5" s="12">
        <f>+S5-'Out24'!S5</f>
        <v>-12711875.386600003</v>
      </c>
      <c r="AE5" s="28">
        <f>J5-'Out24'!J5</f>
        <v>3.0000000000000027E-2</v>
      </c>
      <c r="AF5" s="28">
        <f>L5-'Out24'!L5</f>
        <v>0</v>
      </c>
      <c r="AG5" s="28">
        <f>N5-'Out24'!N5</f>
        <v>-3.999999999999998E-2</v>
      </c>
      <c r="AH5" s="28">
        <f>P5-'Out24'!P5</f>
        <v>1.0000000000000002E-2</v>
      </c>
      <c r="AI5" s="28">
        <f>R5-'Out24'!R5</f>
        <v>-1.0000000000000009E-2</v>
      </c>
      <c r="AK5" s="10">
        <f>I5-'Out24'!I5</f>
        <v>-43284743.790000021</v>
      </c>
      <c r="AL5" s="76">
        <f>I5/'Out24'!I5-1</f>
        <v>-8.7966009479280127E-2</v>
      </c>
      <c r="AN5" t="s">
        <v>13</v>
      </c>
      <c r="AO5" s="2" t="s">
        <v>17</v>
      </c>
      <c r="AP5" t="s">
        <v>59</v>
      </c>
    </row>
    <row r="6" spans="1:43" x14ac:dyDescent="0.25">
      <c r="B6" t="s">
        <v>14</v>
      </c>
      <c r="C6" s="2" t="s">
        <v>18</v>
      </c>
      <c r="F6" s="7">
        <f t="shared" si="1"/>
        <v>1.0000000000000002</v>
      </c>
      <c r="H6" s="3" t="s">
        <v>62</v>
      </c>
      <c r="I6" s="78">
        <v>4819609468</v>
      </c>
      <c r="J6" s="77">
        <v>0.33300000000000002</v>
      </c>
      <c r="K6" s="78">
        <f t="shared" si="2"/>
        <v>1604929952.8440001</v>
      </c>
      <c r="L6" s="77">
        <f>6.5%+16.1%</f>
        <v>0.22600000000000001</v>
      </c>
      <c r="M6" s="78">
        <f t="shared" si="4"/>
        <v>1089231739.7680001</v>
      </c>
      <c r="N6" s="77">
        <f>36.2%+1.9%</f>
        <v>0.38100000000000006</v>
      </c>
      <c r="O6" s="78">
        <f t="shared" si="5"/>
        <v>1836271207.3080003</v>
      </c>
      <c r="P6" s="77"/>
      <c r="Q6" s="78">
        <f t="shared" si="3"/>
        <v>0</v>
      </c>
      <c r="R6" s="77"/>
      <c r="S6" s="78">
        <f t="shared" si="3"/>
        <v>0</v>
      </c>
      <c r="T6" s="77">
        <v>0.06</v>
      </c>
      <c r="U6" s="57">
        <f t="shared" si="0"/>
        <v>289176568.07999998</v>
      </c>
      <c r="Y6" s="12">
        <f>K6-'Out24'!K6</f>
        <v>735745752.14100003</v>
      </c>
      <c r="Z6" s="12">
        <f>M6-'Out24'!M6</f>
        <v>210496064.33200002</v>
      </c>
      <c r="AA6" s="12">
        <f>O6-'Out24'!O6</f>
        <v>495880919.77700043</v>
      </c>
      <c r="AB6" s="12">
        <f>Q6-'Out24'!Q6</f>
        <v>0</v>
      </c>
      <c r="AC6" s="12">
        <f>+S6-'Out24'!S6</f>
        <v>0</v>
      </c>
      <c r="AE6" s="28">
        <f>J6-'Out24'!J6</f>
        <v>0.06</v>
      </c>
      <c r="AF6" s="28">
        <f>L6-'Out24'!L6</f>
        <v>-5.0000000000000017E-2</v>
      </c>
      <c r="AG6" s="28">
        <f>N6-'Out24'!N6</f>
        <v>-3.9999999999999925E-2</v>
      </c>
      <c r="AH6" s="28">
        <f>P6-'Out24'!P6</f>
        <v>0</v>
      </c>
      <c r="AI6" s="28">
        <f>R6-'Out24'!R6</f>
        <v>0</v>
      </c>
      <c r="AK6" s="10">
        <f>I6-'Out24'!I6</f>
        <v>1635784557</v>
      </c>
      <c r="AL6" s="76">
        <f>I6/'Out24'!I6-1</f>
        <v>0.51377968409896635</v>
      </c>
      <c r="AN6" t="s">
        <v>14</v>
      </c>
      <c r="AO6" s="2" t="s">
        <v>18</v>
      </c>
    </row>
    <row r="7" spans="1:43" x14ac:dyDescent="0.25">
      <c r="B7" t="s">
        <v>15</v>
      </c>
      <c r="C7" s="2" t="s">
        <v>19</v>
      </c>
      <c r="F7" s="7">
        <f t="shared" si="1"/>
        <v>1</v>
      </c>
      <c r="H7" s="3" t="s">
        <v>22</v>
      </c>
      <c r="I7" s="78">
        <v>2758580000</v>
      </c>
      <c r="J7" s="77">
        <v>0.29099999999999998</v>
      </c>
      <c r="K7" s="78">
        <f t="shared" si="2"/>
        <v>802746780</v>
      </c>
      <c r="L7" s="77">
        <v>0.30099999999999999</v>
      </c>
      <c r="M7" s="78">
        <f t="shared" si="4"/>
        <v>830332580</v>
      </c>
      <c r="N7" s="77">
        <f>37.9%+2.1%</f>
        <v>0.4</v>
      </c>
      <c r="O7" s="78">
        <f t="shared" si="5"/>
        <v>1103432000</v>
      </c>
      <c r="P7" s="77">
        <v>7.0000000000000001E-3</v>
      </c>
      <c r="Q7" s="78">
        <f t="shared" si="3"/>
        <v>19310060</v>
      </c>
      <c r="R7" s="77"/>
      <c r="S7" s="78">
        <f t="shared" si="3"/>
        <v>0</v>
      </c>
      <c r="T7" s="77">
        <v>1E-3</v>
      </c>
      <c r="U7" s="57">
        <f t="shared" si="0"/>
        <v>2758580</v>
      </c>
      <c r="Y7" s="12">
        <f>K7-'Out24'!K7</f>
        <v>-89563090</v>
      </c>
      <c r="Z7" s="12">
        <f>M7-'Out24'!M7</f>
        <v>231246350</v>
      </c>
      <c r="AA7" s="12">
        <f>O7-'Out24'!O7</f>
        <v>94843790</v>
      </c>
      <c r="AB7" s="12">
        <f>Q7-'Out24'!Q7</f>
        <v>-8495630</v>
      </c>
      <c r="AC7" s="12">
        <f>+S7-'Out24'!S7</f>
        <v>0</v>
      </c>
      <c r="AE7" s="28">
        <f>J7-'Out24'!J7</f>
        <v>-6.2E-2</v>
      </c>
      <c r="AF7" s="28">
        <f>L7-'Out24'!L7</f>
        <v>6.4000000000000001E-2</v>
      </c>
      <c r="AG7" s="28">
        <f>N7-'Out24'!N7</f>
        <v>1.0000000000000009E-3</v>
      </c>
      <c r="AH7" s="28">
        <f>P7-'Out24'!P7</f>
        <v>-3.9999999999999992E-3</v>
      </c>
      <c r="AI7" s="28">
        <f>R7-'Out24'!R7</f>
        <v>0</v>
      </c>
      <c r="AK7" s="10">
        <f>I7-'Out24'!I7</f>
        <v>230790000</v>
      </c>
      <c r="AL7" s="76">
        <f>I7/'Out24'!I7-1</f>
        <v>9.1301097005684895E-2</v>
      </c>
      <c r="AN7" t="s">
        <v>15</v>
      </c>
      <c r="AO7" s="2" t="s">
        <v>19</v>
      </c>
    </row>
    <row r="8" spans="1:43" x14ac:dyDescent="0.25">
      <c r="B8" t="s">
        <v>57</v>
      </c>
      <c r="F8" s="7">
        <f t="shared" si="1"/>
        <v>1</v>
      </c>
      <c r="H8" s="3" t="s">
        <v>23</v>
      </c>
      <c r="I8" s="78">
        <v>2825818153.0599999</v>
      </c>
      <c r="J8" s="77">
        <v>0.33</v>
      </c>
      <c r="K8" s="78">
        <f t="shared" si="2"/>
        <v>932519990.50980008</v>
      </c>
      <c r="L8" s="77">
        <f xml:space="preserve"> 5%+27%+ 2%</f>
        <v>0.34</v>
      </c>
      <c r="M8" s="78">
        <f t="shared" si="4"/>
        <v>960778172.04040003</v>
      </c>
      <c r="N8" s="77">
        <v>0.22</v>
      </c>
      <c r="O8" s="78">
        <f t="shared" si="5"/>
        <v>621679993.67320001</v>
      </c>
      <c r="P8" s="77">
        <v>0.06</v>
      </c>
      <c r="Q8" s="78">
        <f t="shared" si="3"/>
        <v>169549089.18359998</v>
      </c>
      <c r="R8" s="77"/>
      <c r="S8" s="78">
        <f t="shared" si="3"/>
        <v>0</v>
      </c>
      <c r="T8" s="77">
        <v>0.05</v>
      </c>
      <c r="U8" s="57">
        <f t="shared" si="0"/>
        <v>141290907.653</v>
      </c>
      <c r="Y8" s="12">
        <f>K8-'Out24'!K8</f>
        <v>-159670999.3326</v>
      </c>
      <c r="Z8" s="12">
        <f>M8-'Out24'!M8</f>
        <v>-86528256.575600147</v>
      </c>
      <c r="AA8" s="12">
        <f>O8-'Out24'!O8</f>
        <v>-51588424.722800016</v>
      </c>
      <c r="AB8" s="12">
        <f>Q8-'Out24'!Q8</f>
        <v>49856925.913199961</v>
      </c>
      <c r="AC8" s="12">
        <f>+S8-'Out24'!S8</f>
        <v>0</v>
      </c>
      <c r="AE8" s="28">
        <f>J8-'Out24'!J8</f>
        <v>-3.4999999999999976E-2</v>
      </c>
      <c r="AF8" s="28">
        <f>L8-'Out24'!L8</f>
        <v>-1.0000000000000009E-2</v>
      </c>
      <c r="AG8" s="28">
        <f>N8-'Out24'!N8</f>
        <v>-5.0000000000000044E-3</v>
      </c>
      <c r="AH8" s="28">
        <f>P8-'Out24'!P8</f>
        <v>1.9999999999999997E-2</v>
      </c>
      <c r="AI8" s="28">
        <f>R8-'Out24'!R8</f>
        <v>0</v>
      </c>
      <c r="AK8" s="10">
        <f>I8-'Out24'!I8</f>
        <v>-166485928.70000029</v>
      </c>
      <c r="AL8" s="76">
        <f>I8/'Out24'!I8-1</f>
        <v>-5.5638038164248727E-2</v>
      </c>
      <c r="AN8" t="s">
        <v>57</v>
      </c>
    </row>
    <row r="9" spans="1:43" x14ac:dyDescent="0.25">
      <c r="F9" s="7">
        <f t="shared" si="1"/>
        <v>1</v>
      </c>
      <c r="H9" s="3" t="s">
        <v>24</v>
      </c>
      <c r="I9" s="78">
        <v>1825220235</v>
      </c>
      <c r="J9" s="77">
        <v>0.59309999999999996</v>
      </c>
      <c r="K9" s="78">
        <f t="shared" si="2"/>
        <v>1082538121.3785</v>
      </c>
      <c r="L9" s="77">
        <v>0.12590000000000001</v>
      </c>
      <c r="M9" s="78">
        <f t="shared" si="4"/>
        <v>229795227.58650002</v>
      </c>
      <c r="N9" s="77">
        <v>0.2356</v>
      </c>
      <c r="O9" s="78">
        <f t="shared" si="5"/>
        <v>430021887.366</v>
      </c>
      <c r="P9" s="77">
        <v>4.2599999999999999E-2</v>
      </c>
      <c r="Q9" s="78">
        <f t="shared" si="3"/>
        <v>77754382.010999992</v>
      </c>
      <c r="R9" s="77"/>
      <c r="S9" s="78">
        <f t="shared" si="3"/>
        <v>0</v>
      </c>
      <c r="T9" s="77">
        <v>2.8E-3</v>
      </c>
      <c r="U9" s="57">
        <f t="shared" si="0"/>
        <v>5110616.6579999998</v>
      </c>
      <c r="Y9" s="12">
        <f>K9-'Out24'!K9</f>
        <v>42306365.14560008</v>
      </c>
      <c r="Z9" s="12">
        <f>M9-'Out24'!M9</f>
        <v>-3414718.8367999792</v>
      </c>
      <c r="AA9" s="12">
        <f>O9-'Out24'!O9</f>
        <v>-72319409.837899983</v>
      </c>
      <c r="AB9" s="12">
        <f>Q9-'Out24'!Q9</f>
        <v>-2650004.9442000091</v>
      </c>
      <c r="AC9" s="12">
        <f>+S9-'Out24'!S9</f>
        <v>0</v>
      </c>
      <c r="AE9" s="28">
        <f>J9-'Out24'!J9</f>
        <v>3.4200000000000008E-2</v>
      </c>
      <c r="AF9" s="28">
        <f>L9-'Out24'!L9</f>
        <v>6.0000000000001719E-4</v>
      </c>
      <c r="AG9" s="28">
        <f>N9-'Out24'!N9</f>
        <v>-3.4299999999999969E-2</v>
      </c>
      <c r="AH9" s="28">
        <f>P9-'Out24'!P9</f>
        <v>-6.0000000000000331E-4</v>
      </c>
      <c r="AI9" s="28">
        <f>R9-'Out24'!R9</f>
        <v>0</v>
      </c>
      <c r="AK9" s="10">
        <f>I9-'Out24'!I9</f>
        <v>-35992426</v>
      </c>
      <c r="AL9" s="76">
        <f>I9/'Out24'!I9-1</f>
        <v>-1.9338158800543459E-2</v>
      </c>
    </row>
    <row r="10" spans="1:43" x14ac:dyDescent="0.25">
      <c r="F10" s="7">
        <f t="shared" si="1"/>
        <v>1</v>
      </c>
      <c r="H10" s="3" t="s">
        <v>73</v>
      </c>
      <c r="I10" s="78">
        <v>7688568480.3500004</v>
      </c>
      <c r="J10" s="77">
        <v>0.41199999999999998</v>
      </c>
      <c r="K10" s="78">
        <f t="shared" si="2"/>
        <v>3167690213.9042001</v>
      </c>
      <c r="L10" s="77">
        <f>6.3%+ 32.1%</f>
        <v>0.38400000000000001</v>
      </c>
      <c r="M10" s="78">
        <f t="shared" si="4"/>
        <v>2952410296.4544001</v>
      </c>
      <c r="N10" s="77">
        <v>0.17499999999999999</v>
      </c>
      <c r="O10" s="78">
        <f t="shared" si="5"/>
        <v>1345499484.06125</v>
      </c>
      <c r="P10" s="77">
        <v>2.5000000000000001E-2</v>
      </c>
      <c r="Q10" s="78">
        <f t="shared" si="3"/>
        <v>192214212.00875002</v>
      </c>
      <c r="R10" s="77"/>
      <c r="S10" s="78">
        <f t="shared" si="3"/>
        <v>0</v>
      </c>
      <c r="T10" s="77">
        <v>4.0000000000000001E-3</v>
      </c>
      <c r="U10" s="57">
        <f t="shared" si="0"/>
        <v>30754273.921400003</v>
      </c>
      <c r="Y10" s="12">
        <f>K10-'Out24'!K10</f>
        <v>-895892486.19579983</v>
      </c>
      <c r="Z10" s="12">
        <f>M10-'Out24'!M10</f>
        <v>72974337.054399967</v>
      </c>
      <c r="AA10" s="12">
        <f>O10-'Out24'!O10</f>
        <v>-34585206.538750172</v>
      </c>
      <c r="AB10" s="12">
        <f>Q10-'Out24'!Q10</f>
        <v>-3723737.8912499845</v>
      </c>
      <c r="AC10" s="12">
        <f>+S10-'Out24'!S10</f>
        <v>0</v>
      </c>
      <c r="AE10" s="28">
        <f>J10-'Out24'!J10</f>
        <v>-6.5000000000000002E-2</v>
      </c>
      <c r="AF10" s="28">
        <f>L10-'Out24'!L10</f>
        <v>4.5999999999999985E-2</v>
      </c>
      <c r="AG10" s="28">
        <f>N10-'Out24'!N10</f>
        <v>1.2999999999999984E-2</v>
      </c>
      <c r="AH10" s="28">
        <f>P10-'Out24'!P10</f>
        <v>2.0000000000000018E-3</v>
      </c>
      <c r="AI10" s="28">
        <f>R10-'Out24'!R10</f>
        <v>0</v>
      </c>
      <c r="AJ10" s="93"/>
      <c r="AK10" s="10">
        <f>I10-'Out24'!I10</f>
        <v>-830472819.64999962</v>
      </c>
      <c r="AL10" s="76">
        <f>I10/'Out24'!I10-1</f>
        <v>-9.7484304912337949E-2</v>
      </c>
    </row>
    <row r="11" spans="1:43" x14ac:dyDescent="0.25">
      <c r="F11" s="7">
        <f t="shared" si="1"/>
        <v>1</v>
      </c>
      <c r="H11" s="3" t="s">
        <v>47</v>
      </c>
      <c r="I11" s="78">
        <v>2858930272.2399998</v>
      </c>
      <c r="J11" s="77">
        <f>54.81%+23.52%</f>
        <v>0.7833</v>
      </c>
      <c r="K11" s="78">
        <f t="shared" si="2"/>
        <v>2239400082.2455916</v>
      </c>
      <c r="L11" s="77">
        <v>6.54E-2</v>
      </c>
      <c r="M11" s="78">
        <f t="shared" si="4"/>
        <v>186974039.80449599</v>
      </c>
      <c r="N11" s="77">
        <v>9.0499999999999997E-2</v>
      </c>
      <c r="O11" s="78">
        <f t="shared" si="5"/>
        <v>258733189.63771996</v>
      </c>
      <c r="P11" s="77"/>
      <c r="Q11" s="78">
        <f t="shared" si="3"/>
        <v>0</v>
      </c>
      <c r="R11" s="77"/>
      <c r="S11" s="78">
        <f t="shared" si="3"/>
        <v>0</v>
      </c>
      <c r="T11" s="77">
        <v>6.08E-2</v>
      </c>
      <c r="U11" s="57">
        <f t="shared" si="0"/>
        <v>173822960.55219197</v>
      </c>
      <c r="Y11" s="12">
        <f>K11-'Out24'!K11</f>
        <v>0</v>
      </c>
      <c r="Z11" s="12">
        <f>M11-'Out24'!M11</f>
        <v>0</v>
      </c>
      <c r="AA11" s="12">
        <f>O11-'Out24'!O11</f>
        <v>0</v>
      </c>
      <c r="AB11" s="12">
        <f>Q11-'Out24'!Q11</f>
        <v>0</v>
      </c>
      <c r="AC11" s="12">
        <f>+S11-'Out24'!S12</f>
        <v>0</v>
      </c>
      <c r="AE11" s="28">
        <f>J11-'Out24'!J11</f>
        <v>0</v>
      </c>
      <c r="AF11" s="28">
        <f>L11-'Out24'!L11</f>
        <v>0</v>
      </c>
      <c r="AG11" s="28">
        <f>N11-'Out24'!N11</f>
        <v>0</v>
      </c>
      <c r="AH11" s="28">
        <f>P11-'Out24'!P11</f>
        <v>0</v>
      </c>
      <c r="AI11" s="28">
        <f>R11-'Out24'!R11</f>
        <v>0</v>
      </c>
      <c r="AK11" s="10">
        <f>I11-'Out24'!I11</f>
        <v>0</v>
      </c>
      <c r="AL11" s="76">
        <f>I11/'Out24'!I11-1</f>
        <v>0</v>
      </c>
    </row>
    <row r="12" spans="1:43" x14ac:dyDescent="0.25">
      <c r="B12" t="s">
        <v>70</v>
      </c>
      <c r="F12" s="7">
        <f t="shared" si="1"/>
        <v>1</v>
      </c>
      <c r="H12" s="3" t="s">
        <v>30</v>
      </c>
      <c r="I12" s="78">
        <v>1435352776.4200001</v>
      </c>
      <c r="J12" s="77">
        <v>0.48399999999999999</v>
      </c>
      <c r="K12" s="78">
        <f t="shared" si="2"/>
        <v>694710743.78727996</v>
      </c>
      <c r="L12" s="77">
        <v>0.221</v>
      </c>
      <c r="M12" s="78">
        <f t="shared" si="4"/>
        <v>317212963.58882004</v>
      </c>
      <c r="N12" s="77">
        <v>0.28699999999999998</v>
      </c>
      <c r="O12" s="78">
        <f t="shared" si="5"/>
        <v>411946246.83253998</v>
      </c>
      <c r="P12" s="77">
        <v>8.0000000000000002E-3</v>
      </c>
      <c r="Q12" s="78">
        <f t="shared" si="3"/>
        <v>11482822.21136</v>
      </c>
      <c r="R12" s="77"/>
      <c r="S12" s="78">
        <f t="shared" si="3"/>
        <v>0</v>
      </c>
      <c r="T12" s="77"/>
      <c r="U12" s="57">
        <f t="shared" si="0"/>
        <v>0</v>
      </c>
      <c r="Y12" s="12">
        <f>K12-'Out24'!K12</f>
        <v>165527493.78727996</v>
      </c>
      <c r="Z12" s="12">
        <f>M12-'Out24'!M12</f>
        <v>67661283.58882004</v>
      </c>
      <c r="AA12" s="12">
        <f>O12-'Out24'!O12</f>
        <v>84409666.832539976</v>
      </c>
      <c r="AB12" s="12">
        <f>Q12-'Out24'!Q12</f>
        <v>3684332.2113600001</v>
      </c>
      <c r="AC12" s="12">
        <f>+S12-'Out24'!S12</f>
        <v>0</v>
      </c>
      <c r="AE12" s="28">
        <f>J12-'Out24'!J12</f>
        <v>9.000000000000008E-3</v>
      </c>
      <c r="AF12" s="28">
        <f>L12-'Out24'!L12</f>
        <v>-3.0000000000000027E-3</v>
      </c>
      <c r="AG12" s="28">
        <f>N12-'Out24'!N12</f>
        <v>-7.0000000000000062E-3</v>
      </c>
      <c r="AH12" s="28">
        <f>P12-'Out24'!P12</f>
        <v>1E-3</v>
      </c>
      <c r="AI12" s="28">
        <f>R12-'Out24'!R12</f>
        <v>0</v>
      </c>
      <c r="AJ12" s="93"/>
      <c r="AK12" s="10">
        <f>I12-'Out24'!I12</f>
        <v>321282776.42000008</v>
      </c>
      <c r="AL12" s="76">
        <f>I12/'Out24'!I12-1</f>
        <v>0.28838652546069832</v>
      </c>
    </row>
    <row r="13" spans="1:43" x14ac:dyDescent="0.25">
      <c r="B13" t="s">
        <v>71</v>
      </c>
      <c r="F13" s="7">
        <f t="shared" si="1"/>
        <v>1</v>
      </c>
      <c r="H13" s="3" t="s">
        <v>64</v>
      </c>
      <c r="I13" s="78">
        <v>355862453.08999997</v>
      </c>
      <c r="J13" s="77">
        <v>0.56000000000000005</v>
      </c>
      <c r="K13" s="78">
        <f t="shared" si="2"/>
        <v>199282973.7304</v>
      </c>
      <c r="L13" s="77">
        <v>0.22</v>
      </c>
      <c r="M13" s="78">
        <f t="shared" si="4"/>
        <v>78289739.679799989</v>
      </c>
      <c r="N13" s="77">
        <v>0.18</v>
      </c>
      <c r="O13" s="78">
        <f t="shared" si="5"/>
        <v>64055241.55619999</v>
      </c>
      <c r="P13" s="77">
        <v>0.04</v>
      </c>
      <c r="Q13" s="78">
        <f t="shared" si="3"/>
        <v>14234498.123599999</v>
      </c>
      <c r="R13" s="77"/>
      <c r="S13" s="78">
        <f t="shared" si="3"/>
        <v>0</v>
      </c>
      <c r="T13" s="77"/>
      <c r="U13" s="57">
        <f t="shared" si="0"/>
        <v>0</v>
      </c>
      <c r="Y13" s="12">
        <f>K13-'Out24'!K13</f>
        <v>-890701026.26960003</v>
      </c>
      <c r="Z13" s="12">
        <f>M13-'Out24'!M13</f>
        <v>-369382260.32020003</v>
      </c>
      <c r="AA13" s="12">
        <f>O13-'Out24'!O13</f>
        <v>-286296758.44380003</v>
      </c>
      <c r="AB13" s="12">
        <f>Q13-'Out24'!Q13</f>
        <v>-44157501.876400001</v>
      </c>
      <c r="AC13" s="12">
        <f>+S13-'Out24'!S13</f>
        <v>0</v>
      </c>
      <c r="AE13" s="28">
        <f>J13-'Out24'!J13</f>
        <v>0</v>
      </c>
      <c r="AF13" s="28">
        <f>L13-'Out24'!L13</f>
        <v>-1.0000000000000009E-2</v>
      </c>
      <c r="AG13" s="28">
        <f>N13-'Out24'!N13</f>
        <v>0</v>
      </c>
      <c r="AH13" s="28">
        <f>P13-'Out24'!P13</f>
        <v>1.0000000000000002E-2</v>
      </c>
      <c r="AI13" s="28">
        <f>R13-'Out24'!R13</f>
        <v>0</v>
      </c>
      <c r="AK13" s="10">
        <f>I13-'Out24'!I13</f>
        <v>-1590537546.9100001</v>
      </c>
      <c r="AL13" s="76">
        <f>I13/'Out24'!I13-1</f>
        <v>-0.81716889997431152</v>
      </c>
    </row>
    <row r="14" spans="1:43" s="8" customFormat="1" x14ac:dyDescent="0.25">
      <c r="B14" t="s">
        <v>72</v>
      </c>
      <c r="F14" s="7">
        <f>J14+L14+N14+P14+R14+T14</f>
        <v>1.0000000000000002</v>
      </c>
      <c r="H14" s="21" t="s">
        <v>45</v>
      </c>
      <c r="I14" s="20">
        <f>SUM(I3:I13)</f>
        <v>27097025546.069996</v>
      </c>
      <c r="J14" s="15">
        <f>K14/$I$14</f>
        <v>0.43665162286819237</v>
      </c>
      <c r="K14" s="17">
        <f>SUM(K3:K13)</f>
        <v>11831960179.592331</v>
      </c>
      <c r="L14" s="15">
        <f>M14/$I$14</f>
        <v>0.25918325046819568</v>
      </c>
      <c r="M14" s="20">
        <f>SUM(M3:M13)</f>
        <v>7023095159.0501566</v>
      </c>
      <c r="N14" s="15">
        <f>O14/$I$14</f>
        <v>0.25271014473635989</v>
      </c>
      <c r="O14" s="17">
        <f>SUM(O3:O13)</f>
        <v>6847693247.6721897</v>
      </c>
      <c r="P14" s="15">
        <f>Q14/$I$14</f>
        <v>2.4550646151155663E-2</v>
      </c>
      <c r="Q14" s="17">
        <f>SUM(Q3:Q13)</f>
        <v>665249485.93039</v>
      </c>
      <c r="R14" s="15">
        <f>S14/$I$14</f>
        <v>2.9811365479823254E-3</v>
      </c>
      <c r="S14" s="17">
        <f>SUM(S3:S13)</f>
        <v>80779933.196999997</v>
      </c>
      <c r="T14" s="15">
        <f>U14/$I$14</f>
        <v>2.3923199228114179E-2</v>
      </c>
      <c r="U14" s="63">
        <f>SUM(U3:U13)</f>
        <v>648247540.62793195</v>
      </c>
      <c r="Y14" s="12">
        <f>K14-'Out24'!K14</f>
        <v>-1053996189.7473316</v>
      </c>
      <c r="Z14" s="12">
        <f>M14-'Out24'!M14</f>
        <v>135802400.0519104</v>
      </c>
      <c r="AA14" s="12">
        <f>O14-'Out24'!O14</f>
        <v>216207484.07366943</v>
      </c>
      <c r="AB14" s="12">
        <f>Q14-'Out24'!Q14</f>
        <v>17604979.417439938</v>
      </c>
      <c r="AC14" s="12">
        <f>+S14-'Out24'!S14</f>
        <v>-12711875.386600003</v>
      </c>
      <c r="AE14" s="28">
        <f>J14-'Out24'!J14</f>
        <v>-3.2118348669511521E-2</v>
      </c>
      <c r="AF14" s="28">
        <f>L14-'Out24'!L14</f>
        <v>8.6348287546672009E-3</v>
      </c>
      <c r="AG14" s="28">
        <f>N14-'Out24'!N14</f>
        <v>1.1467562226043004E-2</v>
      </c>
      <c r="AH14" s="28">
        <f>P14-'Out24'!P14</f>
        <v>9.9040054866464736E-4</v>
      </c>
      <c r="AI14" s="28">
        <f>R14-'Out24'!R14</f>
        <v>-4.1994220726015346E-4</v>
      </c>
      <c r="AK14" s="92">
        <f>I14-'Out24'!I14</f>
        <v>-391843519.22000504</v>
      </c>
      <c r="AL14" s="76">
        <f>I14/'Out24'!I14-1</f>
        <v>-1.4254624964356366E-2</v>
      </c>
    </row>
    <row r="15" spans="1:43" x14ac:dyDescent="0.25">
      <c r="F15" s="7"/>
      <c r="I15" s="10"/>
      <c r="J15" s="10"/>
      <c r="K15" s="10"/>
      <c r="L15" s="5"/>
      <c r="M15" s="10"/>
      <c r="N15" s="10"/>
      <c r="O15" s="10"/>
      <c r="P15" s="5"/>
      <c r="Q15" s="10"/>
    </row>
    <row r="16" spans="1:43" x14ac:dyDescent="0.25">
      <c r="F16" s="7"/>
      <c r="H16" s="4" t="s">
        <v>2</v>
      </c>
      <c r="I16" s="9" t="s">
        <v>4</v>
      </c>
      <c r="J16" s="112" t="s">
        <v>7</v>
      </c>
      <c r="K16" s="112"/>
      <c r="L16" s="112" t="s">
        <v>8</v>
      </c>
      <c r="M16" s="112"/>
      <c r="N16" s="112" t="s">
        <v>10</v>
      </c>
      <c r="O16" s="112"/>
      <c r="P16" s="112" t="s">
        <v>9</v>
      </c>
      <c r="Q16" s="112"/>
      <c r="R16" s="112" t="s">
        <v>21</v>
      </c>
      <c r="S16" s="112"/>
      <c r="T16" s="112" t="s">
        <v>55</v>
      </c>
      <c r="U16" s="112"/>
      <c r="Y16" s="27" t="s">
        <v>49</v>
      </c>
      <c r="Z16" s="27" t="s">
        <v>50</v>
      </c>
      <c r="AA16" s="27" t="s">
        <v>51</v>
      </c>
      <c r="AB16" s="27" t="s">
        <v>52</v>
      </c>
      <c r="AC16" s="27" t="s">
        <v>53</v>
      </c>
      <c r="AE16" s="27" t="s">
        <v>49</v>
      </c>
      <c r="AF16" s="27" t="s">
        <v>50</v>
      </c>
      <c r="AG16" s="27" t="s">
        <v>51</v>
      </c>
      <c r="AH16" s="27" t="s">
        <v>52</v>
      </c>
      <c r="AI16" s="27" t="s">
        <v>53</v>
      </c>
    </row>
    <row r="17" spans="2:39" x14ac:dyDescent="0.25">
      <c r="E17" s="98"/>
      <c r="F17" s="7">
        <f t="shared" si="1"/>
        <v>1</v>
      </c>
      <c r="G17" s="99"/>
      <c r="H17" s="21" t="s">
        <v>6</v>
      </c>
      <c r="I17" s="80">
        <v>286902361.02999997</v>
      </c>
      <c r="J17" s="81">
        <f>0.65%+24.85%</f>
        <v>0.255</v>
      </c>
      <c r="K17" s="80">
        <f t="shared" ref="K17:K26" si="6">+J17*$I17</f>
        <v>73160102.062649995</v>
      </c>
      <c r="L17" s="81">
        <f>4.66%+11.29%+6.45%+5.82%</f>
        <v>0.28220000000000001</v>
      </c>
      <c r="M17" s="80">
        <f t="shared" ref="M17:M26" si="7">+L17*$I17</f>
        <v>80963846.282665998</v>
      </c>
      <c r="N17" s="81">
        <f>35.09%+0.94%</f>
        <v>0.36030000000000006</v>
      </c>
      <c r="O17" s="80">
        <f t="shared" ref="O17:O26" si="8">+N17*$I17</f>
        <v>103370920.67910901</v>
      </c>
      <c r="P17" s="81">
        <v>5.0200000000000002E-2</v>
      </c>
      <c r="Q17" s="80">
        <f t="shared" ref="Q17:Q26" si="9">+P17*$I17</f>
        <v>14402498.523705998</v>
      </c>
      <c r="R17" s="81">
        <v>5.9499999999999997E-2</v>
      </c>
      <c r="S17" s="80">
        <f t="shared" ref="S17:S26" si="10">+R17*$I17</f>
        <v>17070690.481284998</v>
      </c>
      <c r="T17" s="81">
        <v>-7.1999999999999998E-3</v>
      </c>
      <c r="U17" s="79">
        <f>T17*$I17</f>
        <v>-2065696.9994159997</v>
      </c>
      <c r="V17" s="98"/>
      <c r="Y17" s="12">
        <f>K17-'Out24'!K17</f>
        <v>9115330.422589995</v>
      </c>
      <c r="Z17" s="12">
        <f>M17-'Out24'!M17</f>
        <v>-14763250.443051994</v>
      </c>
      <c r="AA17" s="12">
        <f>O17-'Out24'!O17</f>
        <v>-1651169.4527769834</v>
      </c>
      <c r="AB17" s="12">
        <f>Q17-'Out24'!Q17</f>
        <v>-4584225.8120640013</v>
      </c>
      <c r="AC17" s="12">
        <f>+S17-'Out24'!S17</f>
        <v>17070690.481284998</v>
      </c>
      <c r="AD17" s="98"/>
      <c r="AE17" s="28">
        <f>J17-'Out24'!J17</f>
        <v>2.8999999999999998E-2</v>
      </c>
      <c r="AF17" s="28">
        <f>L17-'Out24'!L17</f>
        <v>-5.5599999999999983E-2</v>
      </c>
      <c r="AG17" s="28">
        <f>N17-'Out24'!N17</f>
        <v>-1.029999999999992E-2</v>
      </c>
      <c r="AH17" s="28">
        <f>P17-'Out24'!P17</f>
        <v>-1.6800000000000002E-2</v>
      </c>
      <c r="AI17" s="28">
        <f>R17-'Out24'!R17</f>
        <v>5.9499999999999997E-2</v>
      </c>
      <c r="AJ17" s="98"/>
      <c r="AK17" s="10">
        <f>I17-'Out24'!I17</f>
        <v>3518415.719999969</v>
      </c>
      <c r="AL17" s="76">
        <f>I17/'Out24'!I17-1</f>
        <v>1.2415720008947861E-2</v>
      </c>
      <c r="AM17" s="98"/>
    </row>
    <row r="18" spans="2:39" x14ac:dyDescent="0.25">
      <c r="F18" s="7">
        <f t="shared" si="1"/>
        <v>1</v>
      </c>
      <c r="H18" s="3" t="s">
        <v>26</v>
      </c>
      <c r="I18" s="78">
        <v>789830384.30999994</v>
      </c>
      <c r="J18" s="77">
        <v>0.22</v>
      </c>
      <c r="K18" s="78">
        <f t="shared" si="6"/>
        <v>173762684.54819998</v>
      </c>
      <c r="L18" s="77">
        <f>5%+12%</f>
        <v>0.16999999999999998</v>
      </c>
      <c r="M18" s="78">
        <f t="shared" si="7"/>
        <v>134271165.33269998</v>
      </c>
      <c r="N18" s="77">
        <f>38%+2%</f>
        <v>0.4</v>
      </c>
      <c r="O18" s="78">
        <f t="shared" si="8"/>
        <v>315932153.72399998</v>
      </c>
      <c r="P18" s="77">
        <v>0.15</v>
      </c>
      <c r="Q18" s="78">
        <f t="shared" si="9"/>
        <v>118474557.64649999</v>
      </c>
      <c r="R18" s="77">
        <v>0.05</v>
      </c>
      <c r="S18" s="78">
        <f t="shared" si="10"/>
        <v>39491519.215499997</v>
      </c>
      <c r="T18" s="77">
        <v>0.01</v>
      </c>
      <c r="U18" s="57">
        <f>T18*$I18</f>
        <v>7898303.8430999992</v>
      </c>
      <c r="Y18" s="12">
        <f>K18-'Out24'!K18</f>
        <v>-20923597.434300005</v>
      </c>
      <c r="Z18" s="12">
        <f>M18-'Out24'!M18</f>
        <v>1884493.5846000016</v>
      </c>
      <c r="AA18" s="12">
        <f>O18-'Out24'!O18</f>
        <v>27796456.389900029</v>
      </c>
      <c r="AB18" s="12">
        <f>Q18-'Out24'!Q18</f>
        <v>9450239.7362999916</v>
      </c>
      <c r="AC18" s="12">
        <f>+S18-'Out24'!S18</f>
        <v>-15020639.739600003</v>
      </c>
      <c r="AE18" s="28">
        <f>J18-'Out24'!J18</f>
        <v>-0.03</v>
      </c>
      <c r="AF18" s="28">
        <f>L18-'Out24'!L18</f>
        <v>0</v>
      </c>
      <c r="AG18" s="28">
        <f>N18-'Out24'!N18</f>
        <v>3.0000000000000027E-2</v>
      </c>
      <c r="AH18" s="28">
        <f>P18-'Out24'!P18</f>
        <v>9.9999999999999811E-3</v>
      </c>
      <c r="AI18" s="28">
        <f>R18-'Out24'!R18</f>
        <v>-2.0000000000000004E-2</v>
      </c>
      <c r="AK18" s="10">
        <f>I18-'Out24'!I18</f>
        <v>11085256.379999995</v>
      </c>
      <c r="AL18" s="76">
        <f>I18/'Out24'!I18-1</f>
        <v>1.423476819619518E-2</v>
      </c>
    </row>
    <row r="19" spans="2:39" x14ac:dyDescent="0.25">
      <c r="F19" s="7">
        <f t="shared" si="1"/>
        <v>1</v>
      </c>
      <c r="H19" s="3" t="s">
        <v>27</v>
      </c>
      <c r="I19" s="78">
        <v>433810605.06999999</v>
      </c>
      <c r="J19" s="77">
        <v>0.16</v>
      </c>
      <c r="K19" s="78">
        <f t="shared" si="6"/>
        <v>69409696.811199993</v>
      </c>
      <c r="L19" s="77">
        <v>0.18099999999999999</v>
      </c>
      <c r="M19" s="78">
        <f t="shared" si="7"/>
        <v>78519719.517669991</v>
      </c>
      <c r="N19" s="77">
        <f>2.6%+52.7%</f>
        <v>0.55300000000000005</v>
      </c>
      <c r="O19" s="78">
        <f t="shared" si="8"/>
        <v>239897264.60371003</v>
      </c>
      <c r="P19" s="77">
        <v>4.1000000000000002E-2</v>
      </c>
      <c r="Q19" s="78">
        <f t="shared" si="9"/>
        <v>17786234.807870001</v>
      </c>
      <c r="R19" s="77"/>
      <c r="S19" s="78">
        <f t="shared" si="10"/>
        <v>0</v>
      </c>
      <c r="T19" s="77">
        <v>6.5000000000000002E-2</v>
      </c>
      <c r="U19" s="57">
        <f t="shared" ref="U19:U26" si="11">T19*$I19</f>
        <v>28197689.329550002</v>
      </c>
      <c r="Y19" s="12">
        <f>K19-'Out24'!K19</f>
        <v>23965841.296199992</v>
      </c>
      <c r="Z19" s="12">
        <f>M19-'Out24'!M19</f>
        <v>-3279220.4093300104</v>
      </c>
      <c r="AA19" s="12">
        <f>O19-'Out24'!O19</f>
        <v>19790938.326710016</v>
      </c>
      <c r="AB19" s="12">
        <f>Q19-'Out24'!Q19</f>
        <v>1189348.445869999</v>
      </c>
      <c r="AC19" s="12">
        <f>+S19-'Out24'!S19</f>
        <v>0</v>
      </c>
      <c r="AE19" s="28">
        <f>J19-'Out24'!J19</f>
        <v>4.4999999999999998E-2</v>
      </c>
      <c r="AF19" s="28">
        <f>L19-'Out24'!L19</f>
        <v>-2.5999999999999995E-2</v>
      </c>
      <c r="AG19" s="28">
        <f>N19-'Out24'!N19</f>
        <v>-4.0000000000000036E-3</v>
      </c>
      <c r="AH19" s="28">
        <f>P19-'Out24'!P19</f>
        <v>-1.0000000000000009E-3</v>
      </c>
      <c r="AI19" s="28">
        <f>R19-'Out24'!R19</f>
        <v>0</v>
      </c>
      <c r="AJ19" s="93"/>
      <c r="AK19" s="10">
        <f>I19-'Out24'!I19</f>
        <v>38646644.069999993</v>
      </c>
      <c r="AL19" s="76">
        <f>I19/'Out24'!I19-1</f>
        <v>9.7799009738137599E-2</v>
      </c>
    </row>
    <row r="20" spans="2:39" x14ac:dyDescent="0.25">
      <c r="F20" s="7">
        <f t="shared" si="1"/>
        <v>1.0000000000000002</v>
      </c>
      <c r="H20" s="3" t="s">
        <v>67</v>
      </c>
      <c r="I20" s="78">
        <v>1144444534.3</v>
      </c>
      <c r="J20" s="77">
        <v>0.19</v>
      </c>
      <c r="K20" s="78">
        <f t="shared" si="6"/>
        <v>217444461.51699999</v>
      </c>
      <c r="L20" s="77">
        <f>3%+2%+6%+10%</f>
        <v>0.21000000000000002</v>
      </c>
      <c r="M20" s="78">
        <f t="shared" si="7"/>
        <v>240333352.20300001</v>
      </c>
      <c r="N20" s="77">
        <f>46%+1%</f>
        <v>0.47000000000000003</v>
      </c>
      <c r="O20" s="78">
        <f t="shared" si="8"/>
        <v>537888931.12100005</v>
      </c>
      <c r="P20" s="77">
        <v>0.14000000000000001</v>
      </c>
      <c r="Q20" s="78">
        <f t="shared" si="9"/>
        <v>160222234.80200002</v>
      </c>
      <c r="R20" s="77"/>
      <c r="S20" s="78">
        <f t="shared" si="10"/>
        <v>0</v>
      </c>
      <c r="T20" s="77">
        <v>-0.01</v>
      </c>
      <c r="U20" s="57">
        <f t="shared" si="11"/>
        <v>-11444445.343</v>
      </c>
      <c r="Y20" s="12">
        <f>K20-'Out24'!K20</f>
        <v>2793606.7269999981</v>
      </c>
      <c r="Z20" s="12">
        <f>M20-'Out24'!M20</f>
        <v>3087670.5929999948</v>
      </c>
      <c r="AA20" s="12">
        <f>O20-'Out24'!O20</f>
        <v>6910500.8510000706</v>
      </c>
      <c r="AB20" s="12">
        <f>Q20-'Out24'!Q20</f>
        <v>13355860.472000003</v>
      </c>
      <c r="AC20" s="12">
        <f>+S20-'Out24'!S20</f>
        <v>0</v>
      </c>
      <c r="AE20" s="28">
        <f>J20-'Out24'!J20</f>
        <v>0</v>
      </c>
      <c r="AF20" s="28">
        <f>L20-'Out24'!L20</f>
        <v>0</v>
      </c>
      <c r="AG20" s="28">
        <f>N20-'Out24'!N20</f>
        <v>0</v>
      </c>
      <c r="AH20" s="28">
        <f>P20-'Out24'!P20</f>
        <v>1.0000000000000009E-2</v>
      </c>
      <c r="AI20" s="28">
        <f>R20-'Out24'!R20</f>
        <v>0</v>
      </c>
      <c r="AJ20" s="93"/>
      <c r="AK20" s="10">
        <f>I20-'Out24'!I20</f>
        <v>14703193.299999952</v>
      </c>
      <c r="AL20" s="76">
        <f>I20/'Out24'!I20-1</f>
        <v>1.3014654564190042E-2</v>
      </c>
    </row>
    <row r="21" spans="2:39" x14ac:dyDescent="0.25">
      <c r="F21" s="7">
        <f t="shared" si="1"/>
        <v>1.0000000000000002</v>
      </c>
      <c r="H21" s="3" t="s">
        <v>32</v>
      </c>
      <c r="I21" s="78">
        <v>223141325.43000001</v>
      </c>
      <c r="J21" s="77">
        <v>0.19</v>
      </c>
      <c r="K21" s="78">
        <f t="shared" si="6"/>
        <v>42396851.831700005</v>
      </c>
      <c r="L21" s="77">
        <v>0.11</v>
      </c>
      <c r="M21" s="78">
        <f t="shared" si="7"/>
        <v>24545545.7973</v>
      </c>
      <c r="N21" s="77">
        <f>53%+4%</f>
        <v>0.57000000000000006</v>
      </c>
      <c r="O21" s="78">
        <f t="shared" si="8"/>
        <v>127190555.49510002</v>
      </c>
      <c r="P21" s="77">
        <v>0.14000000000000001</v>
      </c>
      <c r="Q21" s="78">
        <f t="shared" si="9"/>
        <v>31239785.560200006</v>
      </c>
      <c r="R21" s="77"/>
      <c r="S21" s="78">
        <f t="shared" si="10"/>
        <v>0</v>
      </c>
      <c r="T21" s="77">
        <v>-0.01</v>
      </c>
      <c r="U21" s="57">
        <f t="shared" si="11"/>
        <v>-2231413.2543000001</v>
      </c>
      <c r="Y21" s="12">
        <f>K21-'Out24'!K21</f>
        <v>-551148.16829999536</v>
      </c>
      <c r="Z21" s="12">
        <f>M21-'Out24'!M21</f>
        <v>-8858454.202700004</v>
      </c>
      <c r="AA21" s="12">
        <f>O21-'Out24'!O21</f>
        <v>-8811444.5048999786</v>
      </c>
      <c r="AB21" s="12">
        <f>Q21-'Out24'!Q21</f>
        <v>4993785.5602000058</v>
      </c>
      <c r="AC21" s="12">
        <f>+S21-'Out24'!S21</f>
        <v>0</v>
      </c>
      <c r="AE21" s="28">
        <f>J21-'Out24'!J21</f>
        <v>1.0000000000000009E-2</v>
      </c>
      <c r="AF21" s="28">
        <f>L21-'Out24'!L21</f>
        <v>-3.0000000000000013E-2</v>
      </c>
      <c r="AG21" s="28">
        <f>N21-'Out24'!N21</f>
        <v>0</v>
      </c>
      <c r="AH21" s="28">
        <f>P21-'Out24'!P21</f>
        <v>3.0000000000000013E-2</v>
      </c>
      <c r="AI21" s="28">
        <f>R21-'Out24'!R21</f>
        <v>0</v>
      </c>
      <c r="AK21" s="10">
        <f>I21-'Out24'!I21</f>
        <v>-15458674.569999993</v>
      </c>
      <c r="AL21" s="76">
        <f>I21/'Out24'!I21-1</f>
        <v>-6.4789080343671368E-2</v>
      </c>
    </row>
    <row r="22" spans="2:39" x14ac:dyDescent="0.25">
      <c r="F22" s="7">
        <f t="shared" si="1"/>
        <v>1</v>
      </c>
      <c r="H22" s="3" t="s">
        <v>33</v>
      </c>
      <c r="I22" s="78">
        <v>1102420749.9300001</v>
      </c>
      <c r="J22" s="77">
        <v>0.3</v>
      </c>
      <c r="K22" s="78">
        <f t="shared" si="6"/>
        <v>330726224.97900003</v>
      </c>
      <c r="L22" s="77">
        <v>0.14000000000000001</v>
      </c>
      <c r="M22" s="78">
        <f t="shared" si="7"/>
        <v>154338904.99020001</v>
      </c>
      <c r="N22" s="77">
        <f>51%+3%</f>
        <v>0.54</v>
      </c>
      <c r="O22" s="78">
        <f t="shared" si="8"/>
        <v>595307204.96220005</v>
      </c>
      <c r="P22" s="77">
        <v>0.02</v>
      </c>
      <c r="Q22" s="78">
        <f t="shared" si="9"/>
        <v>22048414.998600002</v>
      </c>
      <c r="R22" s="77"/>
      <c r="S22" s="78">
        <f t="shared" si="10"/>
        <v>0</v>
      </c>
      <c r="T22" s="77"/>
      <c r="U22" s="57">
        <f t="shared" si="11"/>
        <v>0</v>
      </c>
      <c r="Y22" s="12">
        <f>K22-'Out24'!K22</f>
        <v>-41612775.020999968</v>
      </c>
      <c r="Z22" s="12">
        <f>M22-'Out24'!M22</f>
        <v>-3623095.0098000169</v>
      </c>
      <c r="AA22" s="12">
        <f>O22-'Out24'!O22</f>
        <v>19874204.962200046</v>
      </c>
      <c r="AB22" s="12">
        <f>Q22-'Out24'!Q22</f>
        <v>-517585.00139999762</v>
      </c>
      <c r="AC22" s="12">
        <f>+S22-'Out24'!S22</f>
        <v>0</v>
      </c>
      <c r="AE22" s="28">
        <f>J22-'Out24'!J22</f>
        <v>-3.0000000000000027E-2</v>
      </c>
      <c r="AF22" s="28">
        <f>L22-'Out24'!L22</f>
        <v>0</v>
      </c>
      <c r="AG22" s="28">
        <f>N22-'Out24'!N22</f>
        <v>3.0000000000000027E-2</v>
      </c>
      <c r="AH22" s="28">
        <f>P22-'Out24'!P22</f>
        <v>0</v>
      </c>
      <c r="AI22" s="28">
        <f>R22-'Out24'!R22</f>
        <v>0</v>
      </c>
      <c r="AK22" s="10">
        <f>I22-'Out24'!I22</f>
        <v>-25879250.069999933</v>
      </c>
      <c r="AL22" s="76">
        <f>I22/'Out24'!I22-1</f>
        <v>-2.293649744748727E-2</v>
      </c>
    </row>
    <row r="23" spans="2:39" x14ac:dyDescent="0.25">
      <c r="F23" s="7">
        <f t="shared" si="1"/>
        <v>1</v>
      </c>
      <c r="H23" s="3" t="s">
        <v>68</v>
      </c>
      <c r="I23" s="78">
        <v>221322011.28</v>
      </c>
      <c r="J23" s="77">
        <v>0.39910000000000001</v>
      </c>
      <c r="K23" s="78">
        <f t="shared" si="6"/>
        <v>88329614.701848</v>
      </c>
      <c r="L23" s="77">
        <v>0.1157</v>
      </c>
      <c r="M23" s="78">
        <f t="shared" si="7"/>
        <v>25606956.705095999</v>
      </c>
      <c r="N23" s="77">
        <f>38.56%</f>
        <v>0.3856</v>
      </c>
      <c r="O23" s="78">
        <f t="shared" si="8"/>
        <v>85341767.549567997</v>
      </c>
      <c r="P23" s="77">
        <v>9.9199999999999997E-2</v>
      </c>
      <c r="Q23" s="78">
        <f t="shared" si="9"/>
        <v>21955143.518975999</v>
      </c>
      <c r="R23" s="77"/>
      <c r="S23" s="78">
        <f t="shared" si="10"/>
        <v>0</v>
      </c>
      <c r="T23" s="77">
        <v>4.0000000000000002E-4</v>
      </c>
      <c r="U23" s="57">
        <f t="shared" si="11"/>
        <v>88528.804512000002</v>
      </c>
      <c r="Y23" s="12">
        <f>K23-'Out24'!K23</f>
        <v>2140112.6954479963</v>
      </c>
      <c r="Z23" s="12">
        <f>M23-'Out24'!M23</f>
        <v>132775.03309599683</v>
      </c>
      <c r="AA23" s="12">
        <f>O23-'Out24'!O23</f>
        <v>-3005809.2360320091</v>
      </c>
      <c r="AB23" s="12">
        <f>Q23-'Out24'!Q23</f>
        <v>-448787.43622399867</v>
      </c>
      <c r="AC23" s="12">
        <f>+S23-'Out24'!S23</f>
        <v>0</v>
      </c>
      <c r="AE23" s="28">
        <f>J23-'Out24'!J23</f>
        <v>1.1699999999999988E-2</v>
      </c>
      <c r="AF23" s="28">
        <f>L23-'Out24'!L23</f>
        <v>1.1999999999999927E-3</v>
      </c>
      <c r="AG23" s="28">
        <f>N23-'Out24'!N23</f>
        <v>-1.150000000000001E-2</v>
      </c>
      <c r="AH23" s="28">
        <f>P23-'Out24'!P23</f>
        <v>-1.5000000000000013E-3</v>
      </c>
      <c r="AI23" s="28">
        <f>R23-'Out24'!R23</f>
        <v>0</v>
      </c>
      <c r="AJ23" s="93"/>
      <c r="AK23" s="10">
        <f>I23-'Out24'!I23</f>
        <v>-1159924.7199999988</v>
      </c>
      <c r="AL23" s="76">
        <f>I23/'Out24'!I23-1</f>
        <v>-5.2135680804216156E-3</v>
      </c>
    </row>
    <row r="24" spans="2:39" x14ac:dyDescent="0.25">
      <c r="F24" s="7">
        <f t="shared" si="1"/>
        <v>1</v>
      </c>
      <c r="H24" s="3" t="s">
        <v>35</v>
      </c>
      <c r="I24" s="78">
        <v>426082923.61000001</v>
      </c>
      <c r="J24" s="77">
        <v>0.214</v>
      </c>
      <c r="K24" s="78">
        <f t="shared" si="6"/>
        <v>91181745.652539998</v>
      </c>
      <c r="L24" s="77">
        <f>35.3%+6.8%</f>
        <v>0.42099999999999999</v>
      </c>
      <c r="M24" s="78">
        <f t="shared" si="7"/>
        <v>179380910.83981001</v>
      </c>
      <c r="N24" s="77">
        <v>0.29699999999999999</v>
      </c>
      <c r="O24" s="78">
        <f t="shared" si="8"/>
        <v>126546628.31217</v>
      </c>
      <c r="P24" s="77">
        <v>6.6000000000000003E-2</v>
      </c>
      <c r="Q24" s="78">
        <f t="shared" si="9"/>
        <v>28121472.958260003</v>
      </c>
      <c r="R24" s="77"/>
      <c r="S24" s="78">
        <f t="shared" si="10"/>
        <v>0</v>
      </c>
      <c r="T24" s="77">
        <v>2E-3</v>
      </c>
      <c r="U24" s="57">
        <f t="shared" si="11"/>
        <v>852165.84722</v>
      </c>
      <c r="Y24" s="12">
        <f>K24-'Out24'!K24</f>
        <v>-29481702.715460017</v>
      </c>
      <c r="Z24" s="12">
        <f>M24-'Out24'!M24</f>
        <v>5039972.5728099942</v>
      </c>
      <c r="AA24" s="12">
        <f>O24-'Out24'!O24</f>
        <v>6770411.1821699888</v>
      </c>
      <c r="AB24" s="12">
        <f>Q24-'Out24'!Q24</f>
        <v>-713542.27673999593</v>
      </c>
      <c r="AC24" s="12">
        <f>+S24-'Out24'!S24</f>
        <v>0</v>
      </c>
      <c r="AE24" s="28">
        <f>J24-'Out24'!J24</f>
        <v>-5.8000000000000024E-2</v>
      </c>
      <c r="AF24" s="28">
        <f>L24-'Out24'!L24</f>
        <v>2.7999999999999969E-2</v>
      </c>
      <c r="AG24" s="28">
        <f>N24-'Out24'!N24</f>
        <v>2.6999999999999968E-2</v>
      </c>
      <c r="AH24" s="28">
        <f>P24-'Out24'!P24</f>
        <v>1.0000000000000009E-3</v>
      </c>
      <c r="AI24" s="28">
        <f>R24-'Out24'!R24</f>
        <v>0</v>
      </c>
      <c r="AJ24" s="93"/>
      <c r="AK24" s="10">
        <f>I24-'Out24'!I24</f>
        <v>-17532695.389999986</v>
      </c>
      <c r="AL24" s="76">
        <f>I24/'Out24'!I24-1</f>
        <v>-3.9522268015545148E-2</v>
      </c>
    </row>
    <row r="25" spans="2:39" x14ac:dyDescent="0.25">
      <c r="F25" s="7">
        <f t="shared" si="1"/>
        <v>1</v>
      </c>
      <c r="H25" s="3" t="s">
        <v>36</v>
      </c>
      <c r="I25" s="78">
        <v>766416903.04999995</v>
      </c>
      <c r="J25" s="77">
        <v>0.18</v>
      </c>
      <c r="K25" s="78">
        <f t="shared" si="6"/>
        <v>137955042.54899999</v>
      </c>
      <c r="L25" s="77">
        <f>20%</f>
        <v>0.2</v>
      </c>
      <c r="M25" s="78">
        <f t="shared" si="7"/>
        <v>153283380.60999998</v>
      </c>
      <c r="N25" s="77">
        <f>51%+4%</f>
        <v>0.55000000000000004</v>
      </c>
      <c r="O25" s="78">
        <f t="shared" si="8"/>
        <v>421529296.67750001</v>
      </c>
      <c r="P25" s="77">
        <v>7.0000000000000007E-2</v>
      </c>
      <c r="Q25" s="78">
        <f t="shared" si="9"/>
        <v>53649183.213500001</v>
      </c>
      <c r="R25" s="77"/>
      <c r="S25" s="78">
        <f t="shared" si="10"/>
        <v>0</v>
      </c>
      <c r="T25" s="77"/>
      <c r="U25" s="57">
        <f t="shared" si="11"/>
        <v>0</v>
      </c>
      <c r="Y25" s="12">
        <f>K25-'Out24'!K25</f>
        <v>137955042.54899999</v>
      </c>
      <c r="Z25" s="12">
        <f>M25-'Out24'!M25</f>
        <v>153283380.60999998</v>
      </c>
      <c r="AA25" s="12">
        <f>O25-'Out24'!O25</f>
        <v>421529296.67750001</v>
      </c>
      <c r="AB25" s="12">
        <f>Q25-'Out24'!Q25</f>
        <v>53649183.213500001</v>
      </c>
      <c r="AC25" s="12">
        <f>+S25-'Out24'!S25</f>
        <v>0</v>
      </c>
      <c r="AE25" s="28">
        <f>J25-'Out24'!J25</f>
        <v>0.18</v>
      </c>
      <c r="AF25" s="28">
        <f>L25-'Out24'!L25</f>
        <v>0.2</v>
      </c>
      <c r="AG25" s="28">
        <f>N25-'Out24'!N25</f>
        <v>0.55000000000000004</v>
      </c>
      <c r="AH25" s="28">
        <f>P25-'Out24'!P25</f>
        <v>7.0000000000000007E-2</v>
      </c>
      <c r="AI25" s="28">
        <f>R25-'Out24'!R25</f>
        <v>0</v>
      </c>
      <c r="AJ25" s="93"/>
      <c r="AK25" s="10">
        <f>I25-'Out24'!I25</f>
        <v>766416903.04999995</v>
      </c>
      <c r="AL25" s="76" t="e">
        <f>I25/'Out24'!I25-1</f>
        <v>#DIV/0!</v>
      </c>
    </row>
    <row r="26" spans="2:39" x14ac:dyDescent="0.25">
      <c r="F26" s="7">
        <f t="shared" si="1"/>
        <v>0.99999999999999989</v>
      </c>
      <c r="H26" s="3" t="s">
        <v>65</v>
      </c>
      <c r="I26" s="78">
        <v>880999908.38</v>
      </c>
      <c r="J26" s="77">
        <v>0.28999999999999998</v>
      </c>
      <c r="K26" s="78">
        <f t="shared" si="6"/>
        <v>255489973.43019998</v>
      </c>
      <c r="L26" s="77">
        <v>0.15</v>
      </c>
      <c r="M26" s="78">
        <f t="shared" si="7"/>
        <v>132149986.257</v>
      </c>
      <c r="N26" s="77">
        <v>0.46</v>
      </c>
      <c r="O26" s="78">
        <f t="shared" si="8"/>
        <v>405259957.85479999</v>
      </c>
      <c r="P26" s="77">
        <v>0.1</v>
      </c>
      <c r="Q26" s="78">
        <f t="shared" si="9"/>
        <v>88099990.838</v>
      </c>
      <c r="R26" s="77"/>
      <c r="S26" s="78">
        <f t="shared" si="10"/>
        <v>0</v>
      </c>
      <c r="T26" s="77"/>
      <c r="U26" s="57">
        <f t="shared" si="11"/>
        <v>0</v>
      </c>
      <c r="Y26" s="12">
        <f>K26-'Out24'!K26</f>
        <v>146457973.43019998</v>
      </c>
      <c r="Z26" s="12">
        <f>M26-'Out24'!M26</f>
        <v>85893986.256999999</v>
      </c>
      <c r="AA26" s="12">
        <f>O26-'Out24'!O26</f>
        <v>259883957.85479999</v>
      </c>
      <c r="AB26" s="12">
        <f>Q26-'Out24'!Q26</f>
        <v>58363990.838</v>
      </c>
      <c r="AC26" s="12">
        <f>+S26-'Out24'!S26</f>
        <v>0</v>
      </c>
      <c r="AE26" s="28">
        <f>J26-'Out24'!J26</f>
        <v>-4.0000000000000036E-2</v>
      </c>
      <c r="AF26" s="28">
        <f>L26-'Out24'!L26</f>
        <v>9.9999999999999811E-3</v>
      </c>
      <c r="AG26" s="28">
        <f>N26-'Out24'!N26</f>
        <v>2.0000000000000018E-2</v>
      </c>
      <c r="AH26" s="28">
        <f>P26-'Out24'!P26</f>
        <v>1.0000000000000009E-2</v>
      </c>
      <c r="AI26" s="28">
        <f>R26-'Out24'!R26</f>
        <v>0</v>
      </c>
      <c r="AK26" s="10">
        <f>I26-'Out24'!I26</f>
        <v>550599908.38</v>
      </c>
      <c r="AL26" s="76">
        <f>I26/'Out24'!I26-1</f>
        <v>1.6664646137409203</v>
      </c>
    </row>
    <row r="27" spans="2:39" s="8" customFormat="1" x14ac:dyDescent="0.25">
      <c r="B27"/>
      <c r="C27"/>
      <c r="F27" s="7">
        <f t="shared" si="1"/>
        <v>0.99999999999999989</v>
      </c>
      <c r="H27" s="21" t="s">
        <v>45</v>
      </c>
      <c r="I27" s="20">
        <f>SUM(I17:I26)</f>
        <v>6275371706.3900003</v>
      </c>
      <c r="J27" s="15">
        <f>K27/$I$27</f>
        <v>0.23581971990224096</v>
      </c>
      <c r="K27" s="63">
        <f>SUM(K17:K26)</f>
        <v>1479856398.0833378</v>
      </c>
      <c r="L27" s="15">
        <f>M27/$I$27</f>
        <v>0.1917645399889327</v>
      </c>
      <c r="M27" s="62">
        <f>SUM(M17:M26)</f>
        <v>1203393768.5354421</v>
      </c>
      <c r="N27" s="15">
        <f>O27/$I$27</f>
        <v>0.47140867814520943</v>
      </c>
      <c r="O27" s="63">
        <f>SUM(O17:O26)</f>
        <v>2958264680.9791574</v>
      </c>
      <c r="P27" s="15">
        <f>Q27/$I$27</f>
        <v>8.8600252364566132E-2</v>
      </c>
      <c r="Q27" s="63">
        <f>SUM(Q17:Q26)</f>
        <v>555999516.867612</v>
      </c>
      <c r="R27" s="15">
        <f>S27/$I$27</f>
        <v>9.0133640433107086E-3</v>
      </c>
      <c r="S27" s="63">
        <f>SUM(S17:S26)</f>
        <v>56562209.696784995</v>
      </c>
      <c r="T27" s="15">
        <f>U27/$I$27</f>
        <v>3.39344555574005E-3</v>
      </c>
      <c r="U27" s="17">
        <f>SUM(U17:U26)</f>
        <v>21295132.227666002</v>
      </c>
      <c r="Y27" s="12">
        <f>K27-'Out24'!K27</f>
        <v>229858683.78137779</v>
      </c>
      <c r="Z27" s="12">
        <f>M27-'Out24'!M27</f>
        <v>218798258.58562398</v>
      </c>
      <c r="AA27" s="12">
        <f>O27-'Out24'!O27</f>
        <v>749087343.05057144</v>
      </c>
      <c r="AB27" s="12">
        <f>Q27-'Out24'!Q27</f>
        <v>134738267.73944193</v>
      </c>
      <c r="AC27" s="12">
        <f>+S27-'Out24'!S27</f>
        <v>2050050.7416849956</v>
      </c>
      <c r="AE27" s="28">
        <f>J27-'Out24'!J27</f>
        <v>-1.6683037820024976E-2</v>
      </c>
      <c r="AF27" s="28">
        <f>L27-'Out24'!L27</f>
        <v>-7.1262888972013494E-3</v>
      </c>
      <c r="AG27" s="28">
        <f>N27-'Out24'!N27</f>
        <v>2.5149166034013959E-2</v>
      </c>
      <c r="AH27" s="28">
        <f>P27-'Out24'!P27</f>
        <v>3.5043950607071828E-3</v>
      </c>
      <c r="AI27" s="28">
        <f>R27-'Out24'!R27</f>
        <v>-1.9982324644827482E-3</v>
      </c>
      <c r="AK27" s="92">
        <f>I27-'Out24'!I27</f>
        <v>1324939776.1500006</v>
      </c>
      <c r="AL27" s="76">
        <f>I27/'Out24'!I27-1</f>
        <v>0.26764124723269678</v>
      </c>
    </row>
    <row r="28" spans="2:39" x14ac:dyDescent="0.25">
      <c r="F28" s="7"/>
      <c r="I28" s="10"/>
      <c r="J28" s="10"/>
      <c r="K28" s="10"/>
      <c r="L28" s="5"/>
      <c r="M28" s="10"/>
      <c r="N28" s="10"/>
      <c r="O28" s="10"/>
      <c r="P28" s="5"/>
      <c r="Q28" s="10"/>
    </row>
    <row r="29" spans="2:39" x14ac:dyDescent="0.25">
      <c r="F29" s="7"/>
      <c r="H29" s="4" t="s">
        <v>38</v>
      </c>
      <c r="I29" s="9" t="s">
        <v>4</v>
      </c>
      <c r="J29" s="113" t="s">
        <v>7</v>
      </c>
      <c r="K29" s="113"/>
      <c r="L29" s="112" t="s">
        <v>8</v>
      </c>
      <c r="M29" s="112"/>
      <c r="N29" s="112" t="s">
        <v>10</v>
      </c>
      <c r="O29" s="112"/>
      <c r="P29" s="112" t="s">
        <v>9</v>
      </c>
      <c r="Q29" s="112"/>
      <c r="R29" s="112" t="s">
        <v>40</v>
      </c>
      <c r="S29" s="112"/>
      <c r="T29" s="112" t="s">
        <v>55</v>
      </c>
      <c r="U29" s="112"/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  <c r="AE29" s="27" t="s">
        <v>49</v>
      </c>
      <c r="AF29" s="27" t="s">
        <v>50</v>
      </c>
      <c r="AG29" s="27" t="s">
        <v>51</v>
      </c>
      <c r="AH29" s="27" t="s">
        <v>52</v>
      </c>
      <c r="AI29" s="27" t="s">
        <v>54</v>
      </c>
    </row>
    <row r="30" spans="2:39" x14ac:dyDescent="0.25">
      <c r="E30" s="98"/>
      <c r="F30" s="7">
        <f>J30+L30+N30+P30+R30+T30</f>
        <v>1</v>
      </c>
      <c r="G30" s="98"/>
      <c r="H30" s="21" t="s">
        <v>39</v>
      </c>
      <c r="I30" s="87">
        <v>240879097.83000001</v>
      </c>
      <c r="J30" s="81">
        <f>-3.9%+5%+2.6%</f>
        <v>3.7000000000000005E-2</v>
      </c>
      <c r="K30" s="80">
        <f t="shared" ref="K30:K35" si="12">+J30*$I30</f>
        <v>8912526.6197100021</v>
      </c>
      <c r="L30" s="81">
        <f>0.3%+14%+6.8%+2.1%</f>
        <v>0.23200000000000001</v>
      </c>
      <c r="M30" s="80">
        <f t="shared" ref="M30:M35" si="13">+L30*$I30</f>
        <v>55883950.696560003</v>
      </c>
      <c r="N30" s="81">
        <f>50.2%+3.5%+1.8%</f>
        <v>0.55500000000000005</v>
      </c>
      <c r="O30" s="80">
        <f t="shared" ref="O30:O35" si="14">+N30*$I30</f>
        <v>133687899.29565002</v>
      </c>
      <c r="P30" s="81">
        <v>9.8000000000000004E-2</v>
      </c>
      <c r="Q30" s="80">
        <f t="shared" ref="Q30:Q35" si="15">+P30*$I30</f>
        <v>23606151.587340001</v>
      </c>
      <c r="R30" s="88">
        <v>5.3999999999999999E-2</v>
      </c>
      <c r="S30" s="80">
        <f t="shared" ref="S30:S35" si="16">+R30*$I30</f>
        <v>13007471.282820001</v>
      </c>
      <c r="T30" s="81">
        <v>2.4E-2</v>
      </c>
      <c r="U30" s="65">
        <f t="shared" ref="U30:U35" si="17">+T30*$I30</f>
        <v>5781098.3479200006</v>
      </c>
      <c r="V30" s="98"/>
      <c r="Y30" s="12">
        <f>K30-'Out24'!K30</f>
        <v>-5523650.1799499989</v>
      </c>
      <c r="Z30" s="12">
        <f>M30-'Out24'!M30</f>
        <v>-1624097.866019994</v>
      </c>
      <c r="AA30" s="12">
        <f>O30-'Out24'!O30</f>
        <v>-260888.71430999041</v>
      </c>
      <c r="AB30" s="12">
        <f>Q30-'Out24'!Q30</f>
        <v>-4792884.7398599982</v>
      </c>
      <c r="AC30" s="12">
        <f>+S30-'Out24'!S30</f>
        <v>701222.20770000108</v>
      </c>
      <c r="AD30" s="98"/>
      <c r="AE30" s="28">
        <f>J30-'Out24'!J30</f>
        <v>-2.4E-2</v>
      </c>
      <c r="AF30" s="28">
        <f>L30-'Out24'!L30</f>
        <v>-1.0999999999999982E-2</v>
      </c>
      <c r="AG30" s="28">
        <f>N30-'Out24'!N30</f>
        <v>-1.100000000000001E-2</v>
      </c>
      <c r="AH30" s="28">
        <f>P30-'Out24'!P30</f>
        <v>-2.1999999999999992E-2</v>
      </c>
      <c r="AI30" s="28">
        <f>R30-'Out24'!R30</f>
        <v>2.0000000000000018E-3</v>
      </c>
      <c r="AJ30" s="98"/>
      <c r="AK30" s="10">
        <f>I30-'Out24'!I30</f>
        <v>4220461.7700000107</v>
      </c>
      <c r="AL30" s="76">
        <f>I30/'Out24'!I30-1</f>
        <v>1.7833542186603379E-2</v>
      </c>
      <c r="AM30" s="98"/>
    </row>
    <row r="31" spans="2:39" hidden="1" outlineLevel="1" x14ac:dyDescent="0.25">
      <c r="F31" s="7">
        <f t="shared" si="1"/>
        <v>0</v>
      </c>
      <c r="H31" s="3" t="s">
        <v>56</v>
      </c>
      <c r="I31" s="78"/>
      <c r="J31" s="77"/>
      <c r="K31" s="78">
        <f t="shared" si="12"/>
        <v>0</v>
      </c>
      <c r="L31" s="77"/>
      <c r="M31" s="78">
        <f t="shared" si="13"/>
        <v>0</v>
      </c>
      <c r="N31" s="77"/>
      <c r="O31" s="78">
        <f t="shared" si="14"/>
        <v>0</v>
      </c>
      <c r="P31" s="77"/>
      <c r="Q31" s="78">
        <f t="shared" si="15"/>
        <v>0</v>
      </c>
      <c r="R31" s="77"/>
      <c r="S31" s="78">
        <f t="shared" si="16"/>
        <v>0</v>
      </c>
      <c r="T31" s="77"/>
      <c r="U31" s="72">
        <f t="shared" si="17"/>
        <v>0</v>
      </c>
      <c r="Y31" s="12">
        <f>K31-'Out24'!K31</f>
        <v>0</v>
      </c>
      <c r="Z31" s="12">
        <f>M31-'Out24'!M31</f>
        <v>0</v>
      </c>
      <c r="AA31" s="12">
        <f>O31-'Out24'!O31</f>
        <v>0</v>
      </c>
      <c r="AB31" s="12">
        <f>Q31-'Out24'!Q31</f>
        <v>0</v>
      </c>
      <c r="AC31" s="12">
        <f>+S31-'Out24'!S31</f>
        <v>0</v>
      </c>
      <c r="AE31" s="28">
        <f>J31-'Out24'!J31</f>
        <v>0</v>
      </c>
      <c r="AF31" s="28">
        <f>L31-'Out24'!L31</f>
        <v>0</v>
      </c>
      <c r="AG31" s="28">
        <f>N31-'Out24'!N31</f>
        <v>0</v>
      </c>
      <c r="AH31" s="28">
        <f>P31-'Out24'!P31</f>
        <v>0</v>
      </c>
      <c r="AI31" s="28">
        <f>R31-'Out24'!R31</f>
        <v>0</v>
      </c>
      <c r="AK31" s="10">
        <f>I31-'Out24'!I31</f>
        <v>0</v>
      </c>
      <c r="AL31" s="76" t="e">
        <f>I31/'Out24'!I31-1</f>
        <v>#DIV/0!</v>
      </c>
    </row>
    <row r="32" spans="2:39" collapsed="1" x14ac:dyDescent="0.25">
      <c r="F32" s="7">
        <f t="shared" si="1"/>
        <v>1</v>
      </c>
      <c r="H32" s="3" t="s">
        <v>42</v>
      </c>
      <c r="I32" s="84">
        <v>263964810</v>
      </c>
      <c r="J32" s="77">
        <v>0.1</v>
      </c>
      <c r="K32" s="78">
        <f t="shared" si="12"/>
        <v>26396481</v>
      </c>
      <c r="L32" s="77">
        <v>0.12</v>
      </c>
      <c r="M32" s="78">
        <f t="shared" si="13"/>
        <v>31675777.199999999</v>
      </c>
      <c r="N32" s="77">
        <v>0.55000000000000004</v>
      </c>
      <c r="O32" s="78">
        <f t="shared" si="14"/>
        <v>145180645.5</v>
      </c>
      <c r="P32" s="77">
        <v>0.03</v>
      </c>
      <c r="Q32" s="78">
        <f t="shared" si="15"/>
        <v>7918944.2999999998</v>
      </c>
      <c r="R32" s="77">
        <v>0.15</v>
      </c>
      <c r="S32" s="78">
        <f t="shared" si="16"/>
        <v>39594721.5</v>
      </c>
      <c r="T32" s="77">
        <v>0.05</v>
      </c>
      <c r="U32" s="72">
        <f t="shared" si="17"/>
        <v>13198240.5</v>
      </c>
      <c r="Y32" s="12">
        <f>K32-'Out24'!K32</f>
        <v>6903159.1799999997</v>
      </c>
      <c r="Z32" s="12">
        <f>M32-'Out24'!M32</f>
        <v>-10095626.699999999</v>
      </c>
      <c r="AA32" s="12">
        <f>O32-'Out24'!O32</f>
        <v>3157872.2400000095</v>
      </c>
      <c r="AB32" s="12">
        <f>Q32-'Out24'!Q32</f>
        <v>-3220096.7400000012</v>
      </c>
      <c r="AC32" s="12">
        <f>+S32-'Out24'!S32</f>
        <v>-4961442.6600000039</v>
      </c>
      <c r="AE32" s="28">
        <f>J32-'Out24'!J32</f>
        <v>0.03</v>
      </c>
      <c r="AF32" s="28">
        <f>L32-'Out24'!L32</f>
        <v>-0.03</v>
      </c>
      <c r="AG32" s="28">
        <f>N32-'Out24'!N32</f>
        <v>4.0000000000000036E-2</v>
      </c>
      <c r="AH32" s="28">
        <f>P32-'Out24'!P32</f>
        <v>-1.0000000000000002E-2</v>
      </c>
      <c r="AI32" s="28">
        <f>R32-'Out24'!R32</f>
        <v>-1.0000000000000009E-2</v>
      </c>
      <c r="AK32" s="10">
        <f>I32-'Out24'!I32</f>
        <v>-14511216</v>
      </c>
      <c r="AL32" s="76">
        <f>I32/'Out24'!I32-1</f>
        <v>-5.2109390558453317E-2</v>
      </c>
    </row>
    <row r="33" spans="6:38" x14ac:dyDescent="0.25">
      <c r="F33" s="7">
        <f t="shared" si="1"/>
        <v>1</v>
      </c>
      <c r="H33" s="3" t="s">
        <v>69</v>
      </c>
      <c r="I33" s="84">
        <v>478375807.58999997</v>
      </c>
      <c r="J33" s="77">
        <v>0.18</v>
      </c>
      <c r="K33" s="78">
        <f t="shared" si="12"/>
        <v>86107645.366199985</v>
      </c>
      <c r="L33" s="77">
        <v>0.06</v>
      </c>
      <c r="M33" s="78">
        <f t="shared" si="13"/>
        <v>28702548.455399998</v>
      </c>
      <c r="N33" s="77">
        <f>54%</f>
        <v>0.54</v>
      </c>
      <c r="O33" s="78">
        <f t="shared" si="14"/>
        <v>258322936.0986</v>
      </c>
      <c r="P33" s="77">
        <v>0.17</v>
      </c>
      <c r="Q33" s="78">
        <f t="shared" si="15"/>
        <v>81323887.290299997</v>
      </c>
      <c r="R33" s="77"/>
      <c r="S33" s="78">
        <f t="shared" si="16"/>
        <v>0</v>
      </c>
      <c r="T33" s="77">
        <v>0.05</v>
      </c>
      <c r="U33" s="72">
        <f t="shared" si="17"/>
        <v>23918790.379500002</v>
      </c>
      <c r="Y33" s="12">
        <f>K33-'Out24'!K33</f>
        <v>11053243.926199988</v>
      </c>
      <c r="Z33" s="12">
        <f>M33-'Out24'!M33</f>
        <v>557147.91539999843</v>
      </c>
      <c r="AA33" s="12">
        <f>O33-'Out24'!O33</f>
        <v>-23131069.301399976</v>
      </c>
      <c r="AB33" s="12">
        <f>Q33-'Out24'!Q33</f>
        <v>1578585.7602999955</v>
      </c>
      <c r="AC33" s="12">
        <f>+S33-'Out24'!S33</f>
        <v>0</v>
      </c>
      <c r="AE33" s="28">
        <f>J33-'Out24'!J33</f>
        <v>1.999999999999999E-2</v>
      </c>
      <c r="AF33" s="28">
        <f>L33-'Out24'!L33</f>
        <v>0</v>
      </c>
      <c r="AG33" s="28">
        <f>N33-'Out24'!N33</f>
        <v>-5.9999999999999942E-2</v>
      </c>
      <c r="AH33" s="28">
        <f>P33-'Out24'!P33</f>
        <v>0</v>
      </c>
      <c r="AI33" s="28">
        <f>R33-'Out24'!R33</f>
        <v>0</v>
      </c>
      <c r="AK33" s="10">
        <f>I33-'Out24'!I33</f>
        <v>9285798.5899999738</v>
      </c>
      <c r="AL33" s="76">
        <f>I33/'Out24'!I33-1</f>
        <v>1.9795345054982816E-2</v>
      </c>
    </row>
    <row r="34" spans="6:38" x14ac:dyDescent="0.25">
      <c r="F34" s="7">
        <f t="shared" si="1"/>
        <v>1</v>
      </c>
      <c r="H34" s="3" t="s">
        <v>44</v>
      </c>
      <c r="I34" s="84">
        <v>55100000</v>
      </c>
      <c r="J34" s="77">
        <v>0.3</v>
      </c>
      <c r="K34" s="78">
        <f t="shared" si="12"/>
        <v>16530000</v>
      </c>
      <c r="L34" s="77">
        <v>0.02</v>
      </c>
      <c r="M34" s="78">
        <f t="shared" si="13"/>
        <v>1102000</v>
      </c>
      <c r="N34" s="77">
        <f>2%+1%+50%</f>
        <v>0.53</v>
      </c>
      <c r="O34" s="78">
        <f t="shared" si="14"/>
        <v>29203000</v>
      </c>
      <c r="P34" s="77"/>
      <c r="Q34" s="78">
        <f t="shared" si="15"/>
        <v>0</v>
      </c>
      <c r="R34" s="77">
        <v>0.15</v>
      </c>
      <c r="S34" s="78">
        <f t="shared" si="16"/>
        <v>8265000</v>
      </c>
      <c r="T34" s="77"/>
      <c r="U34" s="72">
        <f t="shared" si="17"/>
        <v>0</v>
      </c>
      <c r="Y34" s="12">
        <f>K34-'Out24'!K34</f>
        <v>3201999.9999999981</v>
      </c>
      <c r="Z34" s="12">
        <f>M34-'Out24'!M34</f>
        <v>-326000</v>
      </c>
      <c r="AA34" s="12">
        <f>O34-'Out24'!O34</f>
        <v>4927000</v>
      </c>
      <c r="AB34" s="12">
        <f>Q34-'Out24'!Q34</f>
        <v>0</v>
      </c>
      <c r="AC34" s="12">
        <f>+S34-'Out24'!S34</f>
        <v>-303000</v>
      </c>
      <c r="AE34" s="28">
        <f>J34-'Out24'!J34</f>
        <v>1.9999999999999962E-2</v>
      </c>
      <c r="AF34" s="28">
        <f>L34-'Out24'!L34</f>
        <v>-9.9999999999999985E-3</v>
      </c>
      <c r="AG34" s="28">
        <f>N34-'Out24'!N34</f>
        <v>2.0000000000000018E-2</v>
      </c>
      <c r="AH34" s="28">
        <f>P34-'Out24'!P34</f>
        <v>0</v>
      </c>
      <c r="AI34" s="28">
        <f>R34-'Out24'!R34</f>
        <v>-0.03</v>
      </c>
      <c r="AK34" s="10">
        <f>I34-'Out24'!I34</f>
        <v>7500000</v>
      </c>
      <c r="AL34" s="76">
        <f>I34/'Out24'!I34-1</f>
        <v>0.15756302521008414</v>
      </c>
    </row>
    <row r="35" spans="6:38" x14ac:dyDescent="0.25">
      <c r="F35" s="7">
        <f t="shared" si="1"/>
        <v>1</v>
      </c>
      <c r="H35" s="3" t="s">
        <v>66</v>
      </c>
      <c r="I35" s="84">
        <v>308300000</v>
      </c>
      <c r="J35" s="77">
        <v>0.08</v>
      </c>
      <c r="K35" s="78">
        <f t="shared" si="12"/>
        <v>24664000</v>
      </c>
      <c r="L35" s="77">
        <v>0.04</v>
      </c>
      <c r="M35" s="78">
        <f t="shared" si="13"/>
        <v>12332000</v>
      </c>
      <c r="N35" s="77">
        <v>0.48</v>
      </c>
      <c r="O35" s="78">
        <f t="shared" si="14"/>
        <v>147984000</v>
      </c>
      <c r="P35" s="77">
        <v>0.28000000000000003</v>
      </c>
      <c r="Q35" s="78">
        <f t="shared" si="15"/>
        <v>86324000.000000015</v>
      </c>
      <c r="R35" s="77">
        <v>0.11</v>
      </c>
      <c r="S35" s="78">
        <f t="shared" si="16"/>
        <v>33913000</v>
      </c>
      <c r="T35" s="77">
        <v>0.01</v>
      </c>
      <c r="U35" s="72">
        <f t="shared" si="17"/>
        <v>3083000</v>
      </c>
      <c r="Y35" s="12">
        <f>K35-'Out24'!K35</f>
        <v>-2669000</v>
      </c>
      <c r="Z35" s="12">
        <f>M35-'Out24'!M35</f>
        <v>-2853000</v>
      </c>
      <c r="AA35" s="12">
        <f>O35-'Out24'!O35</f>
        <v>11319000</v>
      </c>
      <c r="AB35" s="12">
        <f>Q35-'Out24'!Q35</f>
        <v>-7822999.9999999851</v>
      </c>
      <c r="AC35" s="12">
        <f>+S35-'Out24'!S35</f>
        <v>3543000</v>
      </c>
      <c r="AE35" s="28">
        <f>J35-'Out24'!J35</f>
        <v>-9.999999999999995E-3</v>
      </c>
      <c r="AF35" s="28">
        <f>L35-'Out24'!L35</f>
        <v>-1.0000000000000002E-2</v>
      </c>
      <c r="AG35" s="28">
        <f>N35-'Out24'!N35</f>
        <v>2.9999999999999971E-2</v>
      </c>
      <c r="AH35" s="28">
        <f>P35-'Out24'!P35</f>
        <v>-2.9999999999999971E-2</v>
      </c>
      <c r="AI35" s="28">
        <f>R35-'Out24'!R35</f>
        <v>9.999999999999995E-3</v>
      </c>
      <c r="AK35" s="10">
        <f>I35-'Out24'!I35</f>
        <v>4600000</v>
      </c>
      <c r="AL35" s="76">
        <f>I35/'Out24'!I35-1</f>
        <v>1.5146526177148401E-2</v>
      </c>
    </row>
    <row r="36" spans="6:38" s="8" customFormat="1" x14ac:dyDescent="0.25">
      <c r="F36" s="7">
        <f t="shared" si="1"/>
        <v>1</v>
      </c>
      <c r="H36" s="3" t="s">
        <v>45</v>
      </c>
      <c r="I36" s="17">
        <f>SUM(I30:I35)</f>
        <v>1346619715.4200001</v>
      </c>
      <c r="J36" s="15">
        <f>+K36/$I$36</f>
        <v>0.12075469497726239</v>
      </c>
      <c r="K36" s="17">
        <f>SUM(K30:K35)</f>
        <v>162610652.98591</v>
      </c>
      <c r="L36" s="15">
        <f>+M36/$I$36</f>
        <v>9.6312474016845034E-2</v>
      </c>
      <c r="M36" s="17">
        <f>SUM(M30:M35)</f>
        <v>129696276.35196</v>
      </c>
      <c r="N36" s="15">
        <f>+O36/$I$36</f>
        <v>0.53049756565567663</v>
      </c>
      <c r="O36" s="17">
        <f>SUM(O30:O35)</f>
        <v>714378480.89425004</v>
      </c>
      <c r="P36" s="15">
        <f>+Q36/$I$36</f>
        <v>0.14790588678966396</v>
      </c>
      <c r="Q36" s="17">
        <f>SUM(Q30:Q35)</f>
        <v>199172983.17764002</v>
      </c>
      <c r="R36" s="15">
        <f>+S36/$I$36</f>
        <v>7.038378519005925E-2</v>
      </c>
      <c r="S36" s="17">
        <f>SUM(S30:S35)</f>
        <v>94780192.782820001</v>
      </c>
      <c r="T36" s="15">
        <f>+U36/$I$36</f>
        <v>3.4145593370492763E-2</v>
      </c>
      <c r="U36" s="63">
        <f>SUM(U30:U35)</f>
        <v>45981129.227420002</v>
      </c>
      <c r="Y36" s="12">
        <f>K36-'Out24'!K36</f>
        <v>12965752.926249981</v>
      </c>
      <c r="Z36" s="12">
        <f>M36-'Out24'!M36</f>
        <v>-14341576.650619984</v>
      </c>
      <c r="AA36" s="12">
        <f>O36-'Out24'!O36</f>
        <v>-3988085.7757099867</v>
      </c>
      <c r="AB36" s="12">
        <f>Q36-'Out24'!Q36</f>
        <v>-14257395.719559968</v>
      </c>
      <c r="AC36" s="12">
        <f>+S36-'Out24'!S36</f>
        <v>-1020220.4522999972</v>
      </c>
      <c r="AE36" s="28">
        <f>J36-'Out24'!J36</f>
        <v>8.7051736899562276E-3</v>
      </c>
      <c r="AF36" s="28">
        <f>L36-'Out24'!L36</f>
        <v>-1.1538662037614958E-2</v>
      </c>
      <c r="AG36" s="28">
        <f>N36-'Out24'!N36</f>
        <v>-7.3933338810542315E-3</v>
      </c>
      <c r="AH36" s="28">
        <f>P36-'Out24'!P36</f>
        <v>-1.1904248898657876E-2</v>
      </c>
      <c r="AI36" s="28">
        <f>R36-'Out24'!R36</f>
        <v>-1.3486322718238297E-3</v>
      </c>
      <c r="AK36" s="92">
        <f>I36-'Out24'!I36</f>
        <v>11095044.360000134</v>
      </c>
      <c r="AL36" s="76">
        <f>I36/'Out24'!I36-1</f>
        <v>8.3076296532913485E-3</v>
      </c>
    </row>
    <row r="37" spans="6:38" x14ac:dyDescent="0.25">
      <c r="F37" s="7"/>
    </row>
    <row r="38" spans="6:38" x14ac:dyDescent="0.25">
      <c r="F38" s="7"/>
      <c r="K38"/>
    </row>
    <row r="39" spans="6:38" x14ac:dyDescent="0.25">
      <c r="F39" s="7"/>
      <c r="J39" s="38"/>
    </row>
    <row r="40" spans="6:38" x14ac:dyDescent="0.25">
      <c r="F40" s="7"/>
      <c r="I40" s="30"/>
      <c r="J40" s="35"/>
    </row>
    <row r="41" spans="6:38" x14ac:dyDescent="0.25">
      <c r="F41" s="7"/>
      <c r="I41" s="37"/>
      <c r="J41" s="35"/>
    </row>
    <row r="42" spans="6:38" x14ac:dyDescent="0.25">
      <c r="F42" s="7"/>
      <c r="I42" s="37"/>
      <c r="J42" s="35"/>
    </row>
    <row r="43" spans="6:38" x14ac:dyDescent="0.25">
      <c r="F43" s="7"/>
      <c r="I43" s="37"/>
      <c r="J43" s="35"/>
    </row>
    <row r="44" spans="6:38" x14ac:dyDescent="0.25">
      <c r="F44" s="7"/>
      <c r="I44" s="37"/>
      <c r="J44" s="35"/>
    </row>
    <row r="45" spans="6:38" x14ac:dyDescent="0.25">
      <c r="F45" s="7"/>
      <c r="I45" s="37"/>
      <c r="J45" s="35"/>
      <c r="K45" s="37"/>
    </row>
    <row r="46" spans="6:38" x14ac:dyDescent="0.25">
      <c r="F46" s="7"/>
      <c r="I46" s="37"/>
      <c r="J46" s="35"/>
    </row>
    <row r="47" spans="6:38" x14ac:dyDescent="0.25">
      <c r="F47" s="7"/>
      <c r="I47" s="37"/>
      <c r="J47" s="35"/>
    </row>
    <row r="48" spans="6:38" x14ac:dyDescent="0.25">
      <c r="F48" s="7"/>
      <c r="I48" s="37"/>
      <c r="J48" s="35"/>
    </row>
    <row r="49" spans="9:10" x14ac:dyDescent="0.25">
      <c r="I49" s="37"/>
      <c r="J49" s="35"/>
    </row>
    <row r="50" spans="9:10" x14ac:dyDescent="0.25">
      <c r="I50" s="37"/>
      <c r="J50" s="35"/>
    </row>
    <row r="51" spans="9:10" x14ac:dyDescent="0.25">
      <c r="I51" s="37"/>
      <c r="J51" s="35"/>
    </row>
    <row r="52" spans="9:10" x14ac:dyDescent="0.25">
      <c r="I52" s="37"/>
      <c r="J52" s="35"/>
    </row>
    <row r="53" spans="9:10" x14ac:dyDescent="0.25">
      <c r="I53" s="37"/>
      <c r="J53" s="35"/>
    </row>
    <row r="54" spans="9:10" x14ac:dyDescent="0.25">
      <c r="I54" s="37"/>
      <c r="J54" s="35"/>
    </row>
    <row r="55" spans="9:10" x14ac:dyDescent="0.25">
      <c r="I55" s="37"/>
      <c r="J55" s="35"/>
    </row>
    <row r="56" spans="9:10" x14ac:dyDescent="0.25">
      <c r="I56" s="37"/>
      <c r="J56" s="35"/>
    </row>
    <row r="57" spans="9:10" x14ac:dyDescent="0.25">
      <c r="I57" s="37"/>
      <c r="J57" s="35"/>
    </row>
    <row r="58" spans="9:10" x14ac:dyDescent="0.25">
      <c r="I58" s="37"/>
      <c r="J58" s="35"/>
    </row>
    <row r="59" spans="9:10" x14ac:dyDescent="0.25">
      <c r="I59" s="37"/>
      <c r="J59" s="35"/>
    </row>
    <row r="60" spans="9:10" x14ac:dyDescent="0.25">
      <c r="I60" s="37"/>
      <c r="J60" s="35"/>
    </row>
    <row r="61" spans="9:10" x14ac:dyDescent="0.25">
      <c r="I61" s="37"/>
      <c r="J61" s="35"/>
    </row>
    <row r="62" spans="9:10" x14ac:dyDescent="0.25">
      <c r="I62" s="37"/>
      <c r="J62" s="35"/>
    </row>
    <row r="63" spans="9:10" x14ac:dyDescent="0.25">
      <c r="I63" s="37"/>
      <c r="J63" s="35"/>
    </row>
    <row r="64" spans="9:10" x14ac:dyDescent="0.25">
      <c r="I64" s="37"/>
      <c r="J64" s="35"/>
    </row>
    <row r="65" spans="9:10" x14ac:dyDescent="0.25">
      <c r="I65" s="37"/>
      <c r="J65" s="35"/>
    </row>
    <row r="66" spans="9:10" x14ac:dyDescent="0.25">
      <c r="I66" s="37"/>
      <c r="J66" s="35"/>
    </row>
    <row r="67" spans="9:10" x14ac:dyDescent="0.25">
      <c r="I67" s="37"/>
      <c r="J67" s="35"/>
    </row>
    <row r="68" spans="9:10" x14ac:dyDescent="0.25">
      <c r="I68" s="37"/>
      <c r="J68" s="35"/>
    </row>
    <row r="69" spans="9:10" x14ac:dyDescent="0.25">
      <c r="I69" s="37"/>
      <c r="J69" s="35"/>
    </row>
    <row r="70" spans="9:10" x14ac:dyDescent="0.25">
      <c r="I70" s="37"/>
      <c r="J70" s="35"/>
    </row>
    <row r="71" spans="9:10" x14ac:dyDescent="0.25">
      <c r="I71" s="37"/>
      <c r="J71" s="35"/>
    </row>
    <row r="72" spans="9:10" x14ac:dyDescent="0.25">
      <c r="I72" s="37"/>
      <c r="J72" s="35"/>
    </row>
    <row r="73" spans="9:10" x14ac:dyDescent="0.25">
      <c r="I73" s="37"/>
      <c r="J73" s="35"/>
    </row>
    <row r="74" spans="9:10" x14ac:dyDescent="0.25">
      <c r="I74" s="37"/>
      <c r="J74" s="35"/>
    </row>
    <row r="75" spans="9:10" x14ac:dyDescent="0.25">
      <c r="I75" s="37"/>
      <c r="J75" s="35"/>
    </row>
    <row r="76" spans="9:10" x14ac:dyDescent="0.25">
      <c r="I76" s="37"/>
      <c r="J76" s="35"/>
    </row>
    <row r="77" spans="9:10" x14ac:dyDescent="0.25">
      <c r="I77" s="37"/>
      <c r="J77" s="35"/>
    </row>
    <row r="78" spans="9:10" x14ac:dyDescent="0.25">
      <c r="I78" s="37"/>
      <c r="J78" s="35"/>
    </row>
    <row r="79" spans="9:10" x14ac:dyDescent="0.25">
      <c r="I79" s="37"/>
      <c r="J79" s="35"/>
    </row>
    <row r="80" spans="9:10" x14ac:dyDescent="0.25">
      <c r="I80" s="37"/>
      <c r="J80" s="35"/>
    </row>
    <row r="81" spans="9:10" x14ac:dyDescent="0.25">
      <c r="I81" s="37"/>
      <c r="J81" s="35"/>
    </row>
    <row r="82" spans="9:10" x14ac:dyDescent="0.25">
      <c r="I82" s="37"/>
      <c r="J82" s="35"/>
    </row>
    <row r="83" spans="9:10" x14ac:dyDescent="0.25">
      <c r="I83" s="37"/>
      <c r="J83" s="35"/>
    </row>
    <row r="84" spans="9:10" x14ac:dyDescent="0.25">
      <c r="I84" s="37"/>
      <c r="J84" s="35"/>
    </row>
    <row r="85" spans="9:10" x14ac:dyDescent="0.25">
      <c r="I85" s="37"/>
      <c r="J85" s="35"/>
    </row>
    <row r="86" spans="9:10" x14ac:dyDescent="0.25">
      <c r="I86" s="37"/>
      <c r="J86" s="35"/>
    </row>
    <row r="87" spans="9:10" x14ac:dyDescent="0.25">
      <c r="I87" s="37"/>
      <c r="J87" s="35"/>
    </row>
    <row r="88" spans="9:10" x14ac:dyDescent="0.25">
      <c r="I88" s="37"/>
      <c r="J88" s="35"/>
    </row>
    <row r="89" spans="9:10" x14ac:dyDescent="0.25">
      <c r="I89" s="37"/>
      <c r="J89" s="35"/>
    </row>
    <row r="90" spans="9:10" x14ac:dyDescent="0.25">
      <c r="I90" s="37"/>
      <c r="J90" s="35"/>
    </row>
    <row r="91" spans="9:10" x14ac:dyDescent="0.25">
      <c r="I91" s="37"/>
      <c r="J91" s="35"/>
    </row>
    <row r="92" spans="9:10" x14ac:dyDescent="0.25">
      <c r="I92" s="37"/>
      <c r="J92" s="35"/>
    </row>
    <row r="93" spans="9:10" x14ac:dyDescent="0.25">
      <c r="I93" s="37"/>
      <c r="J93" s="35"/>
    </row>
    <row r="94" spans="9:10" x14ac:dyDescent="0.25">
      <c r="I94" s="37"/>
      <c r="J94" s="35"/>
    </row>
    <row r="95" spans="9:10" x14ac:dyDescent="0.25">
      <c r="I95" s="37"/>
      <c r="J95" s="35"/>
    </row>
    <row r="96" spans="9:10" x14ac:dyDescent="0.25">
      <c r="I96" s="37"/>
      <c r="J96" s="35"/>
    </row>
    <row r="97" spans="9:10" x14ac:dyDescent="0.25">
      <c r="I97" s="37"/>
      <c r="J97" s="35"/>
    </row>
    <row r="98" spans="9:10" x14ac:dyDescent="0.25">
      <c r="I98" s="37"/>
      <c r="J98" s="35"/>
    </row>
    <row r="99" spans="9:10" x14ac:dyDescent="0.25">
      <c r="I99" s="37"/>
      <c r="J99" s="35"/>
    </row>
    <row r="100" spans="9:10" x14ac:dyDescent="0.25">
      <c r="I100" s="37"/>
      <c r="J100" s="35"/>
    </row>
    <row r="101" spans="9:10" x14ac:dyDescent="0.25">
      <c r="I101" s="37"/>
      <c r="J101" s="35"/>
    </row>
    <row r="102" spans="9:10" x14ac:dyDescent="0.25">
      <c r="I102" s="37"/>
      <c r="J102" s="35"/>
    </row>
    <row r="103" spans="9:10" x14ac:dyDescent="0.25">
      <c r="I103" s="37"/>
      <c r="J103" s="35"/>
    </row>
    <row r="104" spans="9:10" x14ac:dyDescent="0.25">
      <c r="I104" s="37"/>
      <c r="J104" s="35"/>
    </row>
    <row r="105" spans="9:10" x14ac:dyDescent="0.25">
      <c r="I105" s="37"/>
      <c r="J105" s="35"/>
    </row>
    <row r="106" spans="9:10" x14ac:dyDescent="0.25">
      <c r="I106" s="37"/>
      <c r="J106" s="35"/>
    </row>
    <row r="107" spans="9:10" x14ac:dyDescent="0.25">
      <c r="I107" s="37"/>
      <c r="J107" s="35"/>
    </row>
    <row r="108" spans="9:10" x14ac:dyDescent="0.25">
      <c r="I108" s="37"/>
      <c r="J108" s="35"/>
    </row>
    <row r="109" spans="9:10" x14ac:dyDescent="0.25">
      <c r="I109" s="37"/>
      <c r="J109" s="35"/>
    </row>
    <row r="110" spans="9:10" x14ac:dyDescent="0.25">
      <c r="I110" s="37"/>
      <c r="J110" s="35"/>
    </row>
    <row r="111" spans="9:10" x14ac:dyDescent="0.25">
      <c r="I111" s="37"/>
      <c r="J111" s="35"/>
    </row>
    <row r="112" spans="9:10" x14ac:dyDescent="0.25">
      <c r="I112" s="37"/>
      <c r="J112" s="35"/>
    </row>
    <row r="113" spans="9:10" x14ac:dyDescent="0.25">
      <c r="I113" s="37"/>
      <c r="J113" s="35"/>
    </row>
    <row r="114" spans="9:10" x14ac:dyDescent="0.25">
      <c r="I114" s="37"/>
      <c r="J114" s="35"/>
    </row>
    <row r="115" spans="9:10" x14ac:dyDescent="0.25">
      <c r="I115" s="37"/>
      <c r="J115" s="35"/>
    </row>
    <row r="116" spans="9:10" x14ac:dyDescent="0.25">
      <c r="I116" s="37"/>
      <c r="J116" s="35"/>
    </row>
    <row r="117" spans="9:10" x14ac:dyDescent="0.25">
      <c r="I117" s="37"/>
      <c r="J117" s="35"/>
    </row>
    <row r="118" spans="9:10" x14ac:dyDescent="0.25">
      <c r="I118" s="37"/>
      <c r="J118" s="35"/>
    </row>
    <row r="119" spans="9:10" x14ac:dyDescent="0.25">
      <c r="I119" s="37"/>
      <c r="J119" s="35"/>
    </row>
    <row r="120" spans="9:10" x14ac:dyDescent="0.25">
      <c r="I120" s="37"/>
      <c r="J120" s="35"/>
    </row>
    <row r="121" spans="9:10" x14ac:dyDescent="0.25">
      <c r="I121" s="37"/>
      <c r="J121" s="35"/>
    </row>
    <row r="122" spans="9:10" x14ac:dyDescent="0.25">
      <c r="I122" s="37"/>
      <c r="J122" s="35"/>
    </row>
    <row r="123" spans="9:10" x14ac:dyDescent="0.25">
      <c r="I123" s="37"/>
      <c r="J123" s="35"/>
    </row>
    <row r="124" spans="9:10" x14ac:dyDescent="0.25">
      <c r="I124" s="37"/>
      <c r="J124" s="35"/>
    </row>
    <row r="125" spans="9:10" x14ac:dyDescent="0.25">
      <c r="I125" s="37"/>
      <c r="J125" s="35"/>
    </row>
    <row r="126" spans="9:10" x14ac:dyDescent="0.25">
      <c r="I126" s="37"/>
      <c r="J126" s="35"/>
    </row>
    <row r="127" spans="9:10" x14ac:dyDescent="0.25">
      <c r="I127" s="37"/>
      <c r="J127" s="35"/>
    </row>
    <row r="128" spans="9:10" x14ac:dyDescent="0.25">
      <c r="I128" s="37"/>
      <c r="J128" s="35"/>
    </row>
    <row r="129" spans="9:10" x14ac:dyDescent="0.25">
      <c r="I129" s="37"/>
      <c r="J129" s="35"/>
    </row>
    <row r="130" spans="9:10" x14ac:dyDescent="0.25">
      <c r="I130" s="37"/>
      <c r="J130" s="35"/>
    </row>
    <row r="131" spans="9:10" x14ac:dyDescent="0.25">
      <c r="I131" s="37"/>
      <c r="J131" s="35"/>
    </row>
    <row r="132" spans="9:10" x14ac:dyDescent="0.25">
      <c r="I132" s="37"/>
      <c r="J132" s="35"/>
    </row>
    <row r="133" spans="9:10" x14ac:dyDescent="0.25">
      <c r="I133" s="37"/>
      <c r="J133" s="35"/>
    </row>
    <row r="134" spans="9:10" x14ac:dyDescent="0.25">
      <c r="I134" s="37"/>
      <c r="J134" s="35"/>
    </row>
    <row r="135" spans="9:10" x14ac:dyDescent="0.25">
      <c r="I135" s="37"/>
      <c r="J135" s="35"/>
    </row>
    <row r="136" spans="9:10" x14ac:dyDescent="0.25">
      <c r="I136" s="37"/>
      <c r="J136" s="35"/>
    </row>
    <row r="137" spans="9:10" x14ac:dyDescent="0.25">
      <c r="I137" s="37"/>
      <c r="J137" s="35"/>
    </row>
    <row r="138" spans="9:10" x14ac:dyDescent="0.25">
      <c r="I138" s="37"/>
      <c r="J138" s="35"/>
    </row>
    <row r="139" spans="9:10" x14ac:dyDescent="0.25">
      <c r="I139" s="37"/>
      <c r="J139" s="35"/>
    </row>
    <row r="140" spans="9:10" x14ac:dyDescent="0.25">
      <c r="I140" s="37"/>
      <c r="J140" s="35"/>
    </row>
    <row r="141" spans="9:10" x14ac:dyDescent="0.25">
      <c r="I141" s="37"/>
      <c r="J141" s="35"/>
    </row>
    <row r="142" spans="9:10" x14ac:dyDescent="0.25">
      <c r="I142" s="37"/>
      <c r="J142" s="35"/>
    </row>
    <row r="143" spans="9:10" x14ac:dyDescent="0.25">
      <c r="I143" s="37"/>
      <c r="J143" s="35"/>
    </row>
    <row r="144" spans="9:10" x14ac:dyDescent="0.25">
      <c r="I144" s="37"/>
      <c r="J144" s="35"/>
    </row>
    <row r="145" spans="9:10" x14ac:dyDescent="0.25">
      <c r="I145" s="37"/>
      <c r="J145" s="35"/>
    </row>
    <row r="146" spans="9:10" x14ac:dyDescent="0.25">
      <c r="I146" s="37"/>
      <c r="J146" s="35"/>
    </row>
    <row r="147" spans="9:10" x14ac:dyDescent="0.25">
      <c r="I147" s="37"/>
      <c r="J147" s="35"/>
    </row>
    <row r="148" spans="9:10" x14ac:dyDescent="0.25">
      <c r="I148" s="37"/>
      <c r="J148" s="35"/>
    </row>
    <row r="149" spans="9:10" x14ac:dyDescent="0.25">
      <c r="I149" s="37"/>
      <c r="J149" s="35"/>
    </row>
    <row r="150" spans="9:10" x14ac:dyDescent="0.25">
      <c r="I150" s="37"/>
      <c r="J150" s="35"/>
    </row>
    <row r="151" spans="9:10" x14ac:dyDescent="0.25">
      <c r="I151" s="37"/>
      <c r="J151" s="35"/>
    </row>
    <row r="152" spans="9:10" x14ac:dyDescent="0.25">
      <c r="I152" s="37"/>
      <c r="J152" s="35"/>
    </row>
    <row r="153" spans="9:10" x14ac:dyDescent="0.25">
      <c r="I153" s="37"/>
      <c r="J153" s="35"/>
    </row>
    <row r="154" spans="9:10" x14ac:dyDescent="0.25">
      <c r="I154" s="37"/>
      <c r="J154" s="35"/>
    </row>
    <row r="155" spans="9:10" x14ac:dyDescent="0.25">
      <c r="I155" s="37"/>
      <c r="J155" s="35"/>
    </row>
    <row r="156" spans="9:10" x14ac:dyDescent="0.25">
      <c r="I156" s="37"/>
      <c r="J156" s="35"/>
    </row>
    <row r="157" spans="9:10" x14ac:dyDescent="0.25">
      <c r="I157" s="37"/>
      <c r="J157" s="35"/>
    </row>
    <row r="158" spans="9:10" x14ac:dyDescent="0.25">
      <c r="I158" s="37"/>
      <c r="J158" s="35"/>
    </row>
    <row r="159" spans="9:10" x14ac:dyDescent="0.25">
      <c r="I159" s="37"/>
      <c r="J159" s="35"/>
    </row>
    <row r="160" spans="9:10" x14ac:dyDescent="0.25">
      <c r="I160" s="37"/>
      <c r="J160" s="35"/>
    </row>
    <row r="161" spans="9:10" x14ac:dyDescent="0.25">
      <c r="I161" s="37"/>
      <c r="J161" s="35"/>
    </row>
    <row r="162" spans="9:10" x14ac:dyDescent="0.25">
      <c r="I162" s="37"/>
      <c r="J162" s="35"/>
    </row>
    <row r="163" spans="9:10" x14ac:dyDescent="0.25">
      <c r="I163" s="37"/>
      <c r="J163" s="35"/>
    </row>
    <row r="164" spans="9:10" x14ac:dyDescent="0.25">
      <c r="I164" s="37"/>
      <c r="J164" s="35"/>
    </row>
    <row r="165" spans="9:10" x14ac:dyDescent="0.25">
      <c r="I165" s="37"/>
      <c r="J165" s="35"/>
    </row>
    <row r="166" spans="9:10" x14ac:dyDescent="0.25">
      <c r="I166" s="37"/>
      <c r="J166" s="35"/>
    </row>
    <row r="167" spans="9:10" x14ac:dyDescent="0.25">
      <c r="I167" s="37"/>
      <c r="J167" s="35"/>
    </row>
    <row r="168" spans="9:10" x14ac:dyDescent="0.25">
      <c r="I168" s="37"/>
      <c r="J168" s="35"/>
    </row>
    <row r="169" spans="9:10" x14ac:dyDescent="0.25">
      <c r="I169" s="37"/>
      <c r="J169" s="35"/>
    </row>
    <row r="170" spans="9:10" x14ac:dyDescent="0.25">
      <c r="I170" s="37"/>
      <c r="J170" s="35"/>
    </row>
    <row r="171" spans="9:10" x14ac:dyDescent="0.25">
      <c r="I171" s="37"/>
      <c r="J171" s="35"/>
    </row>
    <row r="172" spans="9:10" x14ac:dyDescent="0.25">
      <c r="I172" s="37"/>
      <c r="J172" s="35"/>
    </row>
    <row r="173" spans="9:10" x14ac:dyDescent="0.25">
      <c r="I173" s="37"/>
      <c r="J173" s="35"/>
    </row>
    <row r="174" spans="9:10" x14ac:dyDescent="0.25">
      <c r="I174" s="37"/>
      <c r="J174" s="35"/>
    </row>
    <row r="175" spans="9:10" x14ac:dyDescent="0.25">
      <c r="I175" s="37"/>
      <c r="J175" s="35"/>
    </row>
    <row r="176" spans="9:10" x14ac:dyDescent="0.25">
      <c r="I176" s="37"/>
      <c r="J176" s="35"/>
    </row>
    <row r="177" spans="9:10" x14ac:dyDescent="0.25">
      <c r="I177" s="37"/>
      <c r="J177" s="35"/>
    </row>
    <row r="178" spans="9:10" x14ac:dyDescent="0.25">
      <c r="I178" s="37"/>
      <c r="J178" s="35"/>
    </row>
    <row r="179" spans="9:10" x14ac:dyDescent="0.25">
      <c r="I179" s="37"/>
      <c r="J179" s="35"/>
    </row>
    <row r="180" spans="9:10" x14ac:dyDescent="0.25">
      <c r="I180" s="37"/>
      <c r="J180" s="35"/>
    </row>
    <row r="181" spans="9:10" x14ac:dyDescent="0.25">
      <c r="I181" s="37"/>
      <c r="J181" s="35"/>
    </row>
    <row r="182" spans="9:10" x14ac:dyDescent="0.25">
      <c r="I182" s="37"/>
      <c r="J182" s="35"/>
    </row>
    <row r="183" spans="9:10" x14ac:dyDescent="0.25">
      <c r="I183" s="37"/>
      <c r="J183" s="35"/>
    </row>
    <row r="184" spans="9:10" x14ac:dyDescent="0.25">
      <c r="I184" s="37"/>
      <c r="J184" s="35"/>
    </row>
    <row r="185" spans="9:10" x14ac:dyDescent="0.25">
      <c r="I185" s="37"/>
      <c r="J185" s="35"/>
    </row>
    <row r="186" spans="9:10" x14ac:dyDescent="0.25">
      <c r="I186" s="37"/>
      <c r="J186" s="35"/>
    </row>
    <row r="187" spans="9:10" x14ac:dyDescent="0.25">
      <c r="I187" s="37"/>
      <c r="J187" s="35"/>
    </row>
    <row r="188" spans="9:10" x14ac:dyDescent="0.25">
      <c r="I188" s="37"/>
      <c r="J188" s="35"/>
    </row>
    <row r="189" spans="9:10" x14ac:dyDescent="0.25">
      <c r="I189" s="37"/>
      <c r="J189" s="35"/>
    </row>
    <row r="190" spans="9:10" x14ac:dyDescent="0.25">
      <c r="I190" s="37"/>
      <c r="J190" s="35"/>
    </row>
    <row r="191" spans="9:10" x14ac:dyDescent="0.25">
      <c r="I191" s="37"/>
      <c r="J191" s="35"/>
    </row>
    <row r="192" spans="9:10" x14ac:dyDescent="0.25">
      <c r="I192" s="37"/>
      <c r="J192" s="35"/>
    </row>
    <row r="193" spans="9:10" x14ac:dyDescent="0.25">
      <c r="I193" s="37"/>
      <c r="J193" s="35"/>
    </row>
    <row r="194" spans="9:10" x14ac:dyDescent="0.25">
      <c r="I194" s="37"/>
      <c r="J194" s="35"/>
    </row>
    <row r="195" spans="9:10" x14ac:dyDescent="0.25">
      <c r="I195" s="37"/>
      <c r="J195" s="35"/>
    </row>
    <row r="196" spans="9:10" x14ac:dyDescent="0.25">
      <c r="I196" s="37"/>
      <c r="J196" s="35"/>
    </row>
    <row r="197" spans="9:10" x14ac:dyDescent="0.25">
      <c r="I197" s="37"/>
      <c r="J197" s="35"/>
    </row>
    <row r="198" spans="9:10" x14ac:dyDescent="0.25">
      <c r="I198" s="37"/>
      <c r="J198" s="35"/>
    </row>
    <row r="199" spans="9:10" x14ac:dyDescent="0.25">
      <c r="I199" s="37"/>
      <c r="J199" s="35"/>
    </row>
    <row r="200" spans="9:10" x14ac:dyDescent="0.25">
      <c r="I200" s="37"/>
      <c r="J200" s="35"/>
    </row>
    <row r="201" spans="9:10" x14ac:dyDescent="0.25">
      <c r="I201" s="37"/>
      <c r="J201" s="35"/>
    </row>
    <row r="202" spans="9:10" x14ac:dyDescent="0.25">
      <c r="I202" s="37"/>
      <c r="J202" s="35"/>
    </row>
    <row r="203" spans="9:10" x14ac:dyDescent="0.25">
      <c r="I203" s="37"/>
      <c r="J203" s="35"/>
    </row>
    <row r="204" spans="9:10" x14ac:dyDescent="0.25">
      <c r="I204" s="37"/>
      <c r="J204" s="35"/>
    </row>
    <row r="205" spans="9:10" x14ac:dyDescent="0.25">
      <c r="I205" s="37"/>
      <c r="J205" s="35"/>
    </row>
    <row r="206" spans="9:10" x14ac:dyDescent="0.25">
      <c r="I206" s="37"/>
      <c r="J206" s="35"/>
    </row>
    <row r="207" spans="9:10" x14ac:dyDescent="0.25">
      <c r="I207" s="37"/>
      <c r="J207" s="35"/>
    </row>
    <row r="208" spans="9:10" x14ac:dyDescent="0.25">
      <c r="I208" s="37"/>
      <c r="J208" s="35"/>
    </row>
    <row r="209" spans="9:10" x14ac:dyDescent="0.25">
      <c r="I209" s="37"/>
      <c r="J209" s="35"/>
    </row>
    <row r="210" spans="9:10" x14ac:dyDescent="0.25">
      <c r="I210" s="37"/>
      <c r="J210" s="35"/>
    </row>
    <row r="211" spans="9:10" x14ac:dyDescent="0.25">
      <c r="I211" s="37"/>
      <c r="J211" s="35"/>
    </row>
    <row r="212" spans="9:10" x14ac:dyDescent="0.25">
      <c r="I212" s="37"/>
      <c r="J212" s="35"/>
    </row>
    <row r="213" spans="9:10" x14ac:dyDescent="0.25">
      <c r="I213" s="37"/>
      <c r="J213" s="35"/>
    </row>
    <row r="214" spans="9:10" x14ac:dyDescent="0.25">
      <c r="I214" s="37"/>
      <c r="J214" s="35"/>
    </row>
    <row r="215" spans="9:10" x14ac:dyDescent="0.25">
      <c r="I215" s="37"/>
      <c r="J215" s="35"/>
    </row>
    <row r="216" spans="9:10" x14ac:dyDescent="0.25">
      <c r="I216" s="37"/>
      <c r="J216" s="35"/>
    </row>
    <row r="217" spans="9:10" x14ac:dyDescent="0.25">
      <c r="I217" s="37"/>
      <c r="J217" s="35"/>
    </row>
    <row r="218" spans="9:10" x14ac:dyDescent="0.25">
      <c r="I218" s="37"/>
      <c r="J218" s="35"/>
    </row>
    <row r="219" spans="9:10" x14ac:dyDescent="0.25">
      <c r="I219" s="37"/>
      <c r="J219" s="35"/>
    </row>
    <row r="220" spans="9:10" x14ac:dyDescent="0.25">
      <c r="I220" s="37"/>
      <c r="J220" s="35"/>
    </row>
    <row r="221" spans="9:10" x14ac:dyDescent="0.25">
      <c r="I221" s="37"/>
      <c r="J221" s="35"/>
    </row>
    <row r="222" spans="9:10" x14ac:dyDescent="0.25">
      <c r="I222" s="37"/>
      <c r="J222" s="35"/>
    </row>
    <row r="223" spans="9:10" x14ac:dyDescent="0.25">
      <c r="I223" s="37"/>
      <c r="J223" s="35"/>
    </row>
    <row r="224" spans="9:10" x14ac:dyDescent="0.25">
      <c r="I224" s="37"/>
      <c r="J224" s="35"/>
    </row>
    <row r="225" spans="9:10" x14ac:dyDescent="0.25">
      <c r="I225" s="37"/>
      <c r="J225" s="35"/>
    </row>
    <row r="226" spans="9:10" x14ac:dyDescent="0.25">
      <c r="I226" s="37"/>
      <c r="J226" s="35"/>
    </row>
    <row r="227" spans="9:10" x14ac:dyDescent="0.25">
      <c r="I227" s="37"/>
      <c r="J227" s="35"/>
    </row>
    <row r="228" spans="9:10" x14ac:dyDescent="0.25">
      <c r="I228" s="37"/>
      <c r="J228" s="35"/>
    </row>
    <row r="229" spans="9:10" x14ac:dyDescent="0.25">
      <c r="I229" s="37"/>
      <c r="J229" s="35"/>
    </row>
    <row r="230" spans="9:10" x14ac:dyDescent="0.25">
      <c r="I230" s="37"/>
      <c r="J230" s="35"/>
    </row>
    <row r="231" spans="9:10" x14ac:dyDescent="0.25">
      <c r="I231" s="37"/>
      <c r="J231" s="35"/>
    </row>
    <row r="232" spans="9:10" x14ac:dyDescent="0.25">
      <c r="I232" s="37"/>
      <c r="J232" s="35"/>
    </row>
    <row r="233" spans="9:10" x14ac:dyDescent="0.25">
      <c r="I233" s="37"/>
      <c r="J233" s="35"/>
    </row>
    <row r="234" spans="9:10" x14ac:dyDescent="0.25">
      <c r="I234" s="37"/>
      <c r="J234" s="35"/>
    </row>
    <row r="235" spans="9:10" x14ac:dyDescent="0.25">
      <c r="I235" s="37"/>
      <c r="J235" s="35"/>
    </row>
    <row r="236" spans="9:10" x14ac:dyDescent="0.25">
      <c r="I236" s="37"/>
      <c r="J236" s="35"/>
    </row>
    <row r="237" spans="9:10" x14ac:dyDescent="0.25">
      <c r="I237" s="37"/>
      <c r="J237" s="35"/>
    </row>
    <row r="238" spans="9:10" x14ac:dyDescent="0.25">
      <c r="I238" s="37"/>
      <c r="J238" s="35"/>
    </row>
    <row r="239" spans="9:10" x14ac:dyDescent="0.25">
      <c r="I239" s="37"/>
      <c r="J239" s="35"/>
    </row>
    <row r="240" spans="9:10" x14ac:dyDescent="0.25">
      <c r="I240" s="37"/>
      <c r="J240" s="35"/>
    </row>
    <row r="241" spans="9:10" x14ac:dyDescent="0.25">
      <c r="I241" s="37"/>
      <c r="J241" s="35"/>
    </row>
    <row r="242" spans="9:10" x14ac:dyDescent="0.25">
      <c r="I242" s="37"/>
      <c r="J242" s="35"/>
    </row>
    <row r="243" spans="9:10" x14ac:dyDescent="0.25">
      <c r="I243" s="37"/>
      <c r="J243" s="35"/>
    </row>
    <row r="244" spans="9:10" x14ac:dyDescent="0.25">
      <c r="I244" s="37"/>
      <c r="J244" s="35"/>
    </row>
    <row r="245" spans="9:10" x14ac:dyDescent="0.25">
      <c r="I245" s="37"/>
      <c r="J245" s="35"/>
    </row>
    <row r="246" spans="9:10" x14ac:dyDescent="0.25">
      <c r="I246" s="37"/>
      <c r="J246" s="35"/>
    </row>
    <row r="247" spans="9:10" x14ac:dyDescent="0.25">
      <c r="I247" s="37"/>
      <c r="J247" s="35"/>
    </row>
    <row r="248" spans="9:10" x14ac:dyDescent="0.25">
      <c r="I248" s="37"/>
      <c r="J248" s="35"/>
    </row>
    <row r="249" spans="9:10" x14ac:dyDescent="0.25">
      <c r="I249" s="37"/>
      <c r="J249" s="35"/>
    </row>
    <row r="250" spans="9:10" x14ac:dyDescent="0.25">
      <c r="I250" s="37"/>
      <c r="J250" s="35"/>
    </row>
    <row r="251" spans="9:10" x14ac:dyDescent="0.25">
      <c r="I251" s="37"/>
      <c r="J251" s="35"/>
    </row>
    <row r="252" spans="9:10" x14ac:dyDescent="0.25">
      <c r="I252" s="37"/>
      <c r="J252" s="35"/>
    </row>
    <row r="253" spans="9:10" x14ac:dyDescent="0.25">
      <c r="I253" s="37"/>
      <c r="J253" s="35"/>
    </row>
    <row r="254" spans="9:10" x14ac:dyDescent="0.25">
      <c r="I254" s="37"/>
      <c r="J254" s="35"/>
    </row>
    <row r="255" spans="9:10" x14ac:dyDescent="0.25">
      <c r="I255" s="37"/>
      <c r="J255" s="35"/>
    </row>
    <row r="256" spans="9:10" x14ac:dyDescent="0.25">
      <c r="I256" s="37"/>
      <c r="J256" s="35"/>
    </row>
    <row r="257" spans="9:10" x14ac:dyDescent="0.25">
      <c r="I257" s="37"/>
      <c r="J257" s="35"/>
    </row>
    <row r="258" spans="9:10" x14ac:dyDescent="0.25">
      <c r="I258" s="37"/>
      <c r="J258" s="35"/>
    </row>
    <row r="259" spans="9:10" x14ac:dyDescent="0.25">
      <c r="I259" s="37"/>
      <c r="J259" s="35"/>
    </row>
    <row r="260" spans="9:10" x14ac:dyDescent="0.25">
      <c r="I260" s="37"/>
      <c r="J260" s="35"/>
    </row>
    <row r="261" spans="9:10" x14ac:dyDescent="0.25">
      <c r="I261" s="37"/>
      <c r="J261" s="35"/>
    </row>
    <row r="262" spans="9:10" x14ac:dyDescent="0.25">
      <c r="I262" s="37"/>
      <c r="J262" s="35"/>
    </row>
    <row r="263" spans="9:10" x14ac:dyDescent="0.25">
      <c r="I263" s="37"/>
      <c r="J263" s="35"/>
    </row>
    <row r="264" spans="9:10" x14ac:dyDescent="0.25">
      <c r="I264" s="37"/>
      <c r="J264" s="35"/>
    </row>
    <row r="265" spans="9:10" x14ac:dyDescent="0.25">
      <c r="I265" s="37"/>
      <c r="J265" s="35"/>
    </row>
    <row r="266" spans="9:10" x14ac:dyDescent="0.25">
      <c r="I266" s="37"/>
      <c r="J266" s="35"/>
    </row>
    <row r="267" spans="9:10" x14ac:dyDescent="0.25">
      <c r="I267" s="37"/>
      <c r="J267" s="35"/>
    </row>
    <row r="268" spans="9:10" x14ac:dyDescent="0.25">
      <c r="I268" s="37"/>
      <c r="J268" s="35"/>
    </row>
    <row r="269" spans="9:10" x14ac:dyDescent="0.25">
      <c r="I269" s="37"/>
      <c r="J269" s="35"/>
    </row>
    <row r="270" spans="9:10" x14ac:dyDescent="0.25">
      <c r="I270" s="37"/>
      <c r="J270" s="35"/>
    </row>
    <row r="271" spans="9:10" x14ac:dyDescent="0.25">
      <c r="I271" s="37"/>
      <c r="J271" s="35"/>
    </row>
    <row r="272" spans="9:10" x14ac:dyDescent="0.25">
      <c r="I272" s="37"/>
      <c r="J272" s="35"/>
    </row>
    <row r="273" spans="9:10" x14ac:dyDescent="0.25">
      <c r="I273" s="37"/>
      <c r="J273" s="35"/>
    </row>
    <row r="274" spans="9:10" x14ac:dyDescent="0.25">
      <c r="I274" s="37"/>
      <c r="J274" s="35"/>
    </row>
    <row r="275" spans="9:10" x14ac:dyDescent="0.25">
      <c r="I275" s="37"/>
      <c r="J275" s="35"/>
    </row>
    <row r="276" spans="9:10" x14ac:dyDescent="0.25">
      <c r="I276" s="37"/>
      <c r="J276" s="35"/>
    </row>
    <row r="277" spans="9:10" x14ac:dyDescent="0.25">
      <c r="I277" s="37"/>
      <c r="J277" s="35"/>
    </row>
    <row r="278" spans="9:10" x14ac:dyDescent="0.25">
      <c r="I278" s="37"/>
      <c r="J278" s="35"/>
    </row>
    <row r="279" spans="9:10" x14ac:dyDescent="0.25">
      <c r="I279" s="37"/>
      <c r="J279" s="35"/>
    </row>
    <row r="280" spans="9:10" x14ac:dyDescent="0.25">
      <c r="I280" s="37"/>
      <c r="J280" s="35"/>
    </row>
    <row r="281" spans="9:10" x14ac:dyDescent="0.25">
      <c r="I281" s="37"/>
      <c r="J281" s="35"/>
    </row>
    <row r="282" spans="9:10" x14ac:dyDescent="0.25">
      <c r="I282" s="37"/>
      <c r="J282" s="35"/>
    </row>
    <row r="283" spans="9:10" x14ac:dyDescent="0.25">
      <c r="I283" s="37"/>
      <c r="J283" s="35"/>
    </row>
    <row r="284" spans="9:10" x14ac:dyDescent="0.25">
      <c r="I284" s="37"/>
      <c r="J284" s="35"/>
    </row>
    <row r="285" spans="9:10" x14ac:dyDescent="0.25">
      <c r="I285" s="37"/>
      <c r="J285" s="35"/>
    </row>
    <row r="286" spans="9:10" x14ac:dyDescent="0.25">
      <c r="I286" s="37"/>
      <c r="J286" s="35"/>
    </row>
    <row r="287" spans="9:10" x14ac:dyDescent="0.25">
      <c r="I287" s="37"/>
      <c r="J287" s="35"/>
    </row>
    <row r="288" spans="9:10" x14ac:dyDescent="0.25">
      <c r="I288" s="37"/>
      <c r="J288" s="35"/>
    </row>
    <row r="289" spans="9:10" x14ac:dyDescent="0.25">
      <c r="I289" s="37"/>
      <c r="J289" s="35"/>
    </row>
    <row r="290" spans="9:10" x14ac:dyDescent="0.25">
      <c r="I290" s="37"/>
      <c r="J290" s="35"/>
    </row>
    <row r="291" spans="9:10" x14ac:dyDescent="0.25">
      <c r="I291" s="37"/>
      <c r="J291" s="35"/>
    </row>
    <row r="292" spans="9:10" x14ac:dyDescent="0.25">
      <c r="I292" s="37"/>
      <c r="J292" s="35"/>
    </row>
    <row r="293" spans="9:10" x14ac:dyDescent="0.25">
      <c r="I293" s="37"/>
      <c r="J293" s="35"/>
    </row>
    <row r="294" spans="9:10" x14ac:dyDescent="0.25">
      <c r="I294" s="37"/>
      <c r="J294" s="35"/>
    </row>
    <row r="295" spans="9:10" x14ac:dyDescent="0.25">
      <c r="I295" s="37"/>
      <c r="J295" s="35"/>
    </row>
    <row r="296" spans="9:10" x14ac:dyDescent="0.25">
      <c r="I296" s="37"/>
      <c r="J296" s="35"/>
    </row>
    <row r="297" spans="9:10" x14ac:dyDescent="0.25">
      <c r="I297" s="37"/>
      <c r="J297" s="35"/>
    </row>
    <row r="298" spans="9:10" x14ac:dyDescent="0.25">
      <c r="I298" s="37"/>
      <c r="J298" s="35"/>
    </row>
    <row r="299" spans="9:10" x14ac:dyDescent="0.25">
      <c r="I299" s="37"/>
      <c r="J299" s="35"/>
    </row>
    <row r="300" spans="9:10" x14ac:dyDescent="0.25">
      <c r="I300" s="37"/>
      <c r="J300" s="35"/>
    </row>
    <row r="301" spans="9:10" x14ac:dyDescent="0.25">
      <c r="I301" s="37"/>
      <c r="J301" s="35"/>
    </row>
    <row r="302" spans="9:10" x14ac:dyDescent="0.25">
      <c r="I302" s="37"/>
      <c r="J302" s="35"/>
    </row>
    <row r="303" spans="9:10" x14ac:dyDescent="0.25">
      <c r="I303" s="37"/>
      <c r="J303" s="35"/>
    </row>
    <row r="304" spans="9:10" x14ac:dyDescent="0.25">
      <c r="I304" s="37"/>
      <c r="J304" s="35"/>
    </row>
    <row r="305" spans="9:12" x14ac:dyDescent="0.25">
      <c r="I305" s="37"/>
      <c r="J305" s="35"/>
    </row>
    <row r="306" spans="9:12" x14ac:dyDescent="0.25">
      <c r="I306" s="37"/>
      <c r="J306" s="35"/>
    </row>
    <row r="307" spans="9:12" x14ac:dyDescent="0.25">
      <c r="I307" s="37"/>
      <c r="J307" s="35"/>
    </row>
    <row r="308" spans="9:12" x14ac:dyDescent="0.25">
      <c r="I308" s="37"/>
      <c r="J308" s="35"/>
    </row>
    <row r="309" spans="9:12" x14ac:dyDescent="0.25">
      <c r="I309" s="37"/>
      <c r="J309" s="35"/>
    </row>
    <row r="310" spans="9:12" x14ac:dyDescent="0.25">
      <c r="I310" s="37"/>
      <c r="J310" s="35"/>
    </row>
    <row r="311" spans="9:12" x14ac:dyDescent="0.25">
      <c r="I311" s="37"/>
      <c r="J311" s="35"/>
    </row>
    <row r="312" spans="9:12" x14ac:dyDescent="0.25">
      <c r="I312" s="37"/>
      <c r="J312" s="35"/>
      <c r="L312" s="36"/>
    </row>
    <row r="313" spans="9:12" x14ac:dyDescent="0.25">
      <c r="I313" s="37"/>
      <c r="J313" s="35"/>
    </row>
    <row r="314" spans="9:12" x14ac:dyDescent="0.25">
      <c r="I314" s="37"/>
      <c r="J314" s="35"/>
    </row>
    <row r="315" spans="9:12" x14ac:dyDescent="0.25">
      <c r="I315" s="37"/>
      <c r="J315" s="35"/>
    </row>
    <row r="316" spans="9:12" x14ac:dyDescent="0.25">
      <c r="I316" s="37"/>
      <c r="J316" s="35"/>
    </row>
    <row r="317" spans="9:12" x14ac:dyDescent="0.25">
      <c r="I317" s="37"/>
      <c r="J317" s="35"/>
    </row>
    <row r="318" spans="9:12" x14ac:dyDescent="0.25">
      <c r="I318" s="37"/>
      <c r="J318" s="35"/>
    </row>
    <row r="319" spans="9:12" x14ac:dyDescent="0.25">
      <c r="I319" s="37"/>
      <c r="J319" s="35"/>
    </row>
    <row r="320" spans="9:12" x14ac:dyDescent="0.25">
      <c r="I320" s="37"/>
      <c r="J320" s="35"/>
    </row>
    <row r="321" spans="9:10" x14ac:dyDescent="0.25">
      <c r="I321" s="37"/>
      <c r="J321" s="35"/>
    </row>
    <row r="322" spans="9:10" x14ac:dyDescent="0.25">
      <c r="I322" s="37"/>
      <c r="J322" s="35"/>
    </row>
    <row r="323" spans="9:10" x14ac:dyDescent="0.25">
      <c r="I323" s="37"/>
      <c r="J323" s="35"/>
    </row>
    <row r="324" spans="9:10" x14ac:dyDescent="0.25">
      <c r="I324" s="37"/>
      <c r="J324" s="35"/>
    </row>
    <row r="325" spans="9:10" x14ac:dyDescent="0.25">
      <c r="I325" s="37"/>
      <c r="J325" s="35"/>
    </row>
    <row r="326" spans="9:10" x14ac:dyDescent="0.25">
      <c r="I326" s="37"/>
      <c r="J326" s="35"/>
    </row>
    <row r="327" spans="9:10" x14ac:dyDescent="0.25">
      <c r="I327" s="37"/>
      <c r="J327" s="35"/>
    </row>
    <row r="328" spans="9:10" x14ac:dyDescent="0.25">
      <c r="I328" s="37"/>
      <c r="J328" s="35"/>
    </row>
    <row r="329" spans="9:10" x14ac:dyDescent="0.25">
      <c r="I329" s="37"/>
      <c r="J329" s="35"/>
    </row>
    <row r="330" spans="9:10" x14ac:dyDescent="0.25">
      <c r="I330" s="37"/>
      <c r="J330" s="35"/>
    </row>
    <row r="331" spans="9:10" x14ac:dyDescent="0.25">
      <c r="I331" s="37"/>
      <c r="J331" s="35"/>
    </row>
    <row r="332" spans="9:10" x14ac:dyDescent="0.25">
      <c r="I332" s="37"/>
      <c r="J332" s="35"/>
    </row>
    <row r="333" spans="9:10" x14ac:dyDescent="0.25">
      <c r="I333" s="37"/>
      <c r="J333" s="35"/>
    </row>
    <row r="334" spans="9:10" x14ac:dyDescent="0.25">
      <c r="I334" s="37"/>
      <c r="J334" s="35"/>
    </row>
    <row r="335" spans="9:10" x14ac:dyDescent="0.25">
      <c r="I335" s="37"/>
      <c r="J335" s="35"/>
    </row>
    <row r="336" spans="9:10" x14ac:dyDescent="0.25">
      <c r="I336" s="37"/>
      <c r="J336" s="35"/>
    </row>
    <row r="337" spans="9:10" x14ac:dyDescent="0.25">
      <c r="I337" s="37"/>
      <c r="J337" s="35"/>
    </row>
    <row r="338" spans="9:10" x14ac:dyDescent="0.25">
      <c r="I338" s="37"/>
      <c r="J338" s="35"/>
    </row>
    <row r="339" spans="9:10" x14ac:dyDescent="0.25">
      <c r="I339" s="37"/>
      <c r="J339" s="35"/>
    </row>
    <row r="340" spans="9:10" x14ac:dyDescent="0.25">
      <c r="I340" s="37"/>
      <c r="J340" s="35"/>
    </row>
    <row r="341" spans="9:10" x14ac:dyDescent="0.25">
      <c r="I341" s="37"/>
      <c r="J341" s="35"/>
    </row>
    <row r="342" spans="9:10" x14ac:dyDescent="0.25">
      <c r="I342" s="37"/>
      <c r="J342" s="35"/>
    </row>
    <row r="343" spans="9:10" x14ac:dyDescent="0.25">
      <c r="I343" s="37"/>
      <c r="J343" s="35"/>
    </row>
    <row r="344" spans="9:10" x14ac:dyDescent="0.25">
      <c r="I344" s="37"/>
      <c r="J344" s="35"/>
    </row>
    <row r="345" spans="9:10" x14ac:dyDescent="0.25">
      <c r="I345" s="37"/>
      <c r="J345" s="35"/>
    </row>
    <row r="346" spans="9:10" x14ac:dyDescent="0.25">
      <c r="I346" s="37"/>
      <c r="J346" s="35"/>
    </row>
    <row r="347" spans="9:10" x14ac:dyDescent="0.25">
      <c r="I347" s="37"/>
      <c r="J347" s="35"/>
    </row>
    <row r="348" spans="9:10" x14ac:dyDescent="0.25">
      <c r="I348" s="37"/>
      <c r="J348" s="35"/>
    </row>
    <row r="349" spans="9:10" x14ac:dyDescent="0.25">
      <c r="I349" s="37"/>
      <c r="J349" s="35"/>
    </row>
    <row r="350" spans="9:10" x14ac:dyDescent="0.25">
      <c r="I350" s="37"/>
      <c r="J350" s="35"/>
    </row>
    <row r="351" spans="9:10" x14ac:dyDescent="0.25">
      <c r="I351" s="37"/>
      <c r="J351" s="35"/>
    </row>
    <row r="352" spans="9:10" x14ac:dyDescent="0.25">
      <c r="I352" s="37"/>
      <c r="J352" s="35"/>
    </row>
    <row r="353" spans="9:10" x14ac:dyDescent="0.25">
      <c r="I353" s="37"/>
      <c r="J353" s="35"/>
    </row>
    <row r="354" spans="9:10" x14ac:dyDescent="0.25">
      <c r="I354" s="37"/>
      <c r="J354" s="35"/>
    </row>
    <row r="355" spans="9:10" x14ac:dyDescent="0.25">
      <c r="I355" s="37"/>
      <c r="J355" s="35"/>
    </row>
    <row r="356" spans="9:10" x14ac:dyDescent="0.25">
      <c r="I356" s="37"/>
      <c r="J356" s="35"/>
    </row>
    <row r="357" spans="9:10" x14ac:dyDescent="0.25">
      <c r="I357" s="37"/>
      <c r="J357" s="35"/>
    </row>
    <row r="358" spans="9:10" x14ac:dyDescent="0.25">
      <c r="I358" s="37"/>
      <c r="J358" s="35"/>
    </row>
    <row r="359" spans="9:10" x14ac:dyDescent="0.25">
      <c r="I359" s="37"/>
      <c r="J359" s="35"/>
    </row>
    <row r="360" spans="9:10" x14ac:dyDescent="0.25">
      <c r="I360" s="37"/>
      <c r="J360" s="35"/>
    </row>
    <row r="361" spans="9:10" x14ac:dyDescent="0.25">
      <c r="I361" s="37"/>
      <c r="J361" s="35"/>
    </row>
    <row r="362" spans="9:10" x14ac:dyDescent="0.25">
      <c r="I362" s="37"/>
      <c r="J362" s="35"/>
    </row>
    <row r="363" spans="9:10" x14ac:dyDescent="0.25">
      <c r="I363" s="37"/>
      <c r="J363" s="35"/>
    </row>
    <row r="364" spans="9:10" x14ac:dyDescent="0.25">
      <c r="I364" s="37"/>
      <c r="J364" s="35"/>
    </row>
    <row r="365" spans="9:10" x14ac:dyDescent="0.25">
      <c r="I365" s="37"/>
      <c r="J365" s="35"/>
    </row>
    <row r="366" spans="9:10" x14ac:dyDescent="0.25">
      <c r="I366" s="37"/>
      <c r="J366" s="35"/>
    </row>
    <row r="367" spans="9:10" x14ac:dyDescent="0.25">
      <c r="I367" s="37"/>
      <c r="J367" s="35"/>
    </row>
    <row r="368" spans="9:10" x14ac:dyDescent="0.25">
      <c r="I368" s="37"/>
      <c r="J368" s="35"/>
    </row>
    <row r="369" spans="9:10" x14ac:dyDescent="0.25">
      <c r="I369" s="37"/>
      <c r="J369" s="35"/>
    </row>
    <row r="370" spans="9:10" x14ac:dyDescent="0.25">
      <c r="I370" s="37"/>
      <c r="J370" s="35"/>
    </row>
    <row r="371" spans="9:10" x14ac:dyDescent="0.25">
      <c r="I371" s="37"/>
      <c r="J371" s="35"/>
    </row>
    <row r="372" spans="9:10" x14ac:dyDescent="0.25">
      <c r="I372" s="37"/>
      <c r="J372" s="35"/>
    </row>
    <row r="373" spans="9:10" x14ac:dyDescent="0.25">
      <c r="I373" s="37"/>
      <c r="J373" s="35"/>
    </row>
    <row r="374" spans="9:10" x14ac:dyDescent="0.25">
      <c r="I374" s="37"/>
      <c r="J374" s="35"/>
    </row>
    <row r="375" spans="9:10" x14ac:dyDescent="0.25">
      <c r="I375" s="37"/>
      <c r="J375" s="35"/>
    </row>
    <row r="376" spans="9:10" x14ac:dyDescent="0.25">
      <c r="I376" s="37"/>
      <c r="J376" s="35"/>
    </row>
    <row r="377" spans="9:10" x14ac:dyDescent="0.25">
      <c r="I377" s="37"/>
      <c r="J377" s="35"/>
    </row>
    <row r="378" spans="9:10" x14ac:dyDescent="0.25">
      <c r="I378" s="37"/>
      <c r="J378" s="35"/>
    </row>
    <row r="379" spans="9:10" x14ac:dyDescent="0.25">
      <c r="I379" s="37"/>
      <c r="J379" s="35"/>
    </row>
    <row r="380" spans="9:10" x14ac:dyDescent="0.25">
      <c r="I380" s="37"/>
      <c r="J380" s="35"/>
    </row>
    <row r="381" spans="9:10" x14ac:dyDescent="0.25">
      <c r="I381" s="37"/>
      <c r="J381" s="35"/>
    </row>
    <row r="382" spans="9:10" x14ac:dyDescent="0.25">
      <c r="I382" s="37"/>
      <c r="J382" s="35"/>
    </row>
    <row r="383" spans="9:10" x14ac:dyDescent="0.25">
      <c r="I383" s="37"/>
      <c r="J383" s="35"/>
    </row>
    <row r="384" spans="9:10" x14ac:dyDescent="0.25">
      <c r="I384" s="37"/>
      <c r="J384" s="35"/>
    </row>
    <row r="385" spans="9:10" x14ac:dyDescent="0.25">
      <c r="I385" s="37"/>
      <c r="J385" s="35"/>
    </row>
    <row r="386" spans="9:10" x14ac:dyDescent="0.25">
      <c r="I386" s="37"/>
      <c r="J386" s="35"/>
    </row>
    <row r="387" spans="9:10" x14ac:dyDescent="0.25">
      <c r="I387" s="37"/>
      <c r="J387" s="35"/>
    </row>
    <row r="388" spans="9:10" x14ac:dyDescent="0.25">
      <c r="I388" s="37"/>
      <c r="J388" s="35"/>
    </row>
    <row r="389" spans="9:10" x14ac:dyDescent="0.25">
      <c r="I389" s="37"/>
      <c r="J389" s="35"/>
    </row>
    <row r="390" spans="9:10" x14ac:dyDescent="0.25">
      <c r="I390" s="37"/>
      <c r="J390" s="35"/>
    </row>
    <row r="391" spans="9:10" x14ac:dyDescent="0.25">
      <c r="I391" s="37"/>
      <c r="J391" s="35"/>
    </row>
    <row r="392" spans="9:10" x14ac:dyDescent="0.25">
      <c r="I392" s="37"/>
      <c r="J392" s="35"/>
    </row>
    <row r="393" spans="9:10" x14ac:dyDescent="0.25">
      <c r="I393" s="37"/>
      <c r="J393" s="35"/>
    </row>
    <row r="394" spans="9:10" x14ac:dyDescent="0.25">
      <c r="I394" s="37"/>
      <c r="J394" s="35"/>
    </row>
    <row r="395" spans="9:10" x14ac:dyDescent="0.25">
      <c r="I395" s="37"/>
      <c r="J395" s="35"/>
    </row>
    <row r="396" spans="9:10" x14ac:dyDescent="0.25">
      <c r="I396" s="37"/>
      <c r="J396" s="35"/>
    </row>
    <row r="397" spans="9:10" x14ac:dyDescent="0.25">
      <c r="I397" s="37"/>
      <c r="J397" s="35"/>
    </row>
    <row r="398" spans="9:10" x14ac:dyDescent="0.25">
      <c r="I398" s="37"/>
      <c r="J398" s="35"/>
    </row>
    <row r="399" spans="9:10" x14ac:dyDescent="0.25">
      <c r="I399" s="37"/>
      <c r="J399" s="35"/>
    </row>
    <row r="400" spans="9:10" x14ac:dyDescent="0.25">
      <c r="I400" s="37"/>
      <c r="J400" s="35"/>
    </row>
    <row r="401" spans="9:10" x14ac:dyDescent="0.25">
      <c r="I401" s="37"/>
      <c r="J401" s="35"/>
    </row>
    <row r="402" spans="9:10" x14ac:dyDescent="0.25">
      <c r="I402" s="37"/>
      <c r="J402" s="35"/>
    </row>
    <row r="403" spans="9:10" x14ac:dyDescent="0.25">
      <c r="I403" s="37"/>
      <c r="J403" s="35"/>
    </row>
    <row r="404" spans="9:10" x14ac:dyDescent="0.25">
      <c r="I404" s="37"/>
      <c r="J404" s="35"/>
    </row>
    <row r="405" spans="9:10" x14ac:dyDescent="0.25">
      <c r="I405" s="37"/>
      <c r="J405" s="35"/>
    </row>
    <row r="406" spans="9:10" x14ac:dyDescent="0.25">
      <c r="I406" s="37"/>
      <c r="J406" s="35"/>
    </row>
    <row r="407" spans="9:10" x14ac:dyDescent="0.25">
      <c r="I407" s="37"/>
      <c r="J407" s="35"/>
    </row>
    <row r="408" spans="9:10" x14ac:dyDescent="0.25">
      <c r="I408" s="37"/>
      <c r="J408" s="35"/>
    </row>
    <row r="409" spans="9:10" x14ac:dyDescent="0.25">
      <c r="I409" s="37"/>
      <c r="J409" s="35"/>
    </row>
    <row r="410" spans="9:10" x14ac:dyDescent="0.25">
      <c r="I410" s="37"/>
      <c r="J410" s="35"/>
    </row>
    <row r="411" spans="9:10" x14ac:dyDescent="0.25">
      <c r="I411" s="37"/>
      <c r="J411" s="35"/>
    </row>
    <row r="412" spans="9:10" x14ac:dyDescent="0.25">
      <c r="I412" s="37"/>
      <c r="J412" s="35"/>
    </row>
    <row r="413" spans="9:10" x14ac:dyDescent="0.25">
      <c r="I413" s="37"/>
      <c r="J413" s="35"/>
    </row>
    <row r="414" spans="9:10" x14ac:dyDescent="0.25">
      <c r="I414" s="37"/>
      <c r="J414" s="35"/>
    </row>
    <row r="415" spans="9:10" x14ac:dyDescent="0.25">
      <c r="I415" s="37"/>
      <c r="J415" s="35"/>
    </row>
    <row r="416" spans="9:10" x14ac:dyDescent="0.25">
      <c r="I416" s="37"/>
      <c r="J416" s="35"/>
    </row>
    <row r="417" spans="9:10" x14ac:dyDescent="0.25">
      <c r="I417" s="37"/>
      <c r="J417" s="35"/>
    </row>
    <row r="418" spans="9:10" x14ac:dyDescent="0.25">
      <c r="I418" s="37"/>
      <c r="J418" s="35"/>
    </row>
    <row r="419" spans="9:10" x14ac:dyDescent="0.25">
      <c r="I419" s="37"/>
      <c r="J419" s="35"/>
    </row>
    <row r="420" spans="9:10" x14ac:dyDescent="0.25">
      <c r="I420" s="37"/>
      <c r="J420" s="35"/>
    </row>
    <row r="421" spans="9:10" x14ac:dyDescent="0.25">
      <c r="I421" s="37"/>
      <c r="J421" s="35"/>
    </row>
    <row r="422" spans="9:10" x14ac:dyDescent="0.25">
      <c r="I422" s="37"/>
      <c r="J422" s="35"/>
    </row>
    <row r="423" spans="9:10" x14ac:dyDescent="0.25">
      <c r="I423" s="37"/>
      <c r="J423" s="35"/>
    </row>
    <row r="424" spans="9:10" x14ac:dyDescent="0.25">
      <c r="I424" s="37"/>
      <c r="J424" s="35"/>
    </row>
    <row r="425" spans="9:10" x14ac:dyDescent="0.25">
      <c r="I425" s="37"/>
      <c r="J425" s="35"/>
    </row>
    <row r="426" spans="9:10" x14ac:dyDescent="0.25">
      <c r="I426" s="37"/>
      <c r="J426" s="35"/>
    </row>
    <row r="427" spans="9:10" x14ac:dyDescent="0.25">
      <c r="I427" s="37"/>
      <c r="J427" s="35"/>
    </row>
    <row r="428" spans="9:10" x14ac:dyDescent="0.25">
      <c r="I428" s="37"/>
      <c r="J428" s="35"/>
    </row>
    <row r="429" spans="9:10" x14ac:dyDescent="0.25">
      <c r="I429" s="37"/>
      <c r="J429" s="35"/>
    </row>
    <row r="430" spans="9:10" x14ac:dyDescent="0.25">
      <c r="I430" s="37"/>
      <c r="J430" s="35"/>
    </row>
    <row r="431" spans="9:10" x14ac:dyDescent="0.25">
      <c r="I431" s="37"/>
      <c r="J431" s="35"/>
    </row>
    <row r="432" spans="9:10" x14ac:dyDescent="0.25">
      <c r="I432" s="37"/>
      <c r="J432" s="35"/>
    </row>
    <row r="433" spans="9:10" x14ac:dyDescent="0.25">
      <c r="I433" s="37"/>
      <c r="J433" s="35"/>
    </row>
    <row r="434" spans="9:10" x14ac:dyDescent="0.25">
      <c r="I434" s="37"/>
      <c r="J434" s="35"/>
    </row>
    <row r="435" spans="9:10" x14ac:dyDescent="0.25">
      <c r="I435" s="37"/>
      <c r="J435" s="35"/>
    </row>
    <row r="436" spans="9:10" x14ac:dyDescent="0.25">
      <c r="I436" s="37"/>
      <c r="J436" s="35"/>
    </row>
    <row r="437" spans="9:10" x14ac:dyDescent="0.25">
      <c r="I437" s="37"/>
      <c r="J437" s="35"/>
    </row>
    <row r="438" spans="9:10" x14ac:dyDescent="0.25">
      <c r="I438" s="37"/>
      <c r="J438" s="35"/>
    </row>
    <row r="439" spans="9:10" x14ac:dyDescent="0.25">
      <c r="I439" s="37"/>
      <c r="J439" s="35"/>
    </row>
    <row r="440" spans="9:10" x14ac:dyDescent="0.25">
      <c r="I440" s="37"/>
      <c r="J440" s="35"/>
    </row>
    <row r="441" spans="9:10" x14ac:dyDescent="0.25">
      <c r="I441" s="37"/>
      <c r="J441" s="35"/>
    </row>
    <row r="442" spans="9:10" x14ac:dyDescent="0.25">
      <c r="I442" s="37"/>
      <c r="J442" s="35"/>
    </row>
    <row r="443" spans="9:10" x14ac:dyDescent="0.25">
      <c r="I443" s="37"/>
      <c r="J443" s="35"/>
    </row>
    <row r="444" spans="9:10" x14ac:dyDescent="0.25">
      <c r="I444" s="37"/>
      <c r="J444" s="35"/>
    </row>
    <row r="445" spans="9:10" x14ac:dyDescent="0.25">
      <c r="I445" s="37"/>
      <c r="J445" s="35"/>
    </row>
    <row r="446" spans="9:10" x14ac:dyDescent="0.25">
      <c r="I446" s="37"/>
      <c r="J446" s="35"/>
    </row>
    <row r="447" spans="9:10" x14ac:dyDescent="0.25">
      <c r="I447" s="37"/>
      <c r="J447" s="35"/>
    </row>
    <row r="448" spans="9:10" x14ac:dyDescent="0.25">
      <c r="I448" s="37"/>
      <c r="J448" s="35"/>
    </row>
    <row r="449" spans="9:10" x14ac:dyDescent="0.25">
      <c r="I449" s="37"/>
      <c r="J449" s="35"/>
    </row>
    <row r="450" spans="9:10" x14ac:dyDescent="0.25">
      <c r="I450" s="37"/>
      <c r="J450" s="35"/>
    </row>
    <row r="451" spans="9:10" x14ac:dyDescent="0.25">
      <c r="I451" s="37"/>
      <c r="J451" s="35"/>
    </row>
    <row r="452" spans="9:10" x14ac:dyDescent="0.25">
      <c r="I452" s="37"/>
      <c r="J452" s="35"/>
    </row>
    <row r="453" spans="9:10" x14ac:dyDescent="0.25">
      <c r="I453" s="37"/>
      <c r="J453" s="35"/>
    </row>
    <row r="454" spans="9:10" x14ac:dyDescent="0.25">
      <c r="I454" s="37"/>
      <c r="J454" s="35"/>
    </row>
    <row r="455" spans="9:10" x14ac:dyDescent="0.25">
      <c r="I455" s="37"/>
      <c r="J455" s="35"/>
    </row>
    <row r="456" spans="9:10" x14ac:dyDescent="0.25">
      <c r="I456" s="37"/>
      <c r="J456" s="35"/>
    </row>
    <row r="457" spans="9:10" x14ac:dyDescent="0.25">
      <c r="I457" s="37"/>
      <c r="J457" s="35"/>
    </row>
    <row r="458" spans="9:10" x14ac:dyDescent="0.25">
      <c r="I458" s="37"/>
      <c r="J458" s="35"/>
    </row>
    <row r="459" spans="9:10" x14ac:dyDescent="0.25">
      <c r="I459" s="37"/>
      <c r="J459" s="35"/>
    </row>
    <row r="460" spans="9:10" x14ac:dyDescent="0.25">
      <c r="I460" s="37"/>
      <c r="J460" s="35"/>
    </row>
    <row r="461" spans="9:10" x14ac:dyDescent="0.25">
      <c r="I461" s="37"/>
      <c r="J461" s="35"/>
    </row>
    <row r="462" spans="9:10" x14ac:dyDescent="0.25">
      <c r="I462" s="37"/>
      <c r="J462" s="35"/>
    </row>
    <row r="463" spans="9:10" x14ac:dyDescent="0.25">
      <c r="I463" s="37"/>
      <c r="J463" s="35"/>
    </row>
    <row r="464" spans="9:10" x14ac:dyDescent="0.25">
      <c r="I464" s="37"/>
      <c r="J464" s="35"/>
    </row>
    <row r="465" spans="9:10" x14ac:dyDescent="0.25">
      <c r="I465" s="37"/>
      <c r="J465" s="35"/>
    </row>
    <row r="466" spans="9:10" x14ac:dyDescent="0.25">
      <c r="I466" s="37"/>
      <c r="J466" s="35"/>
    </row>
    <row r="467" spans="9:10" x14ac:dyDescent="0.25">
      <c r="I467" s="37"/>
      <c r="J467" s="35"/>
    </row>
    <row r="468" spans="9:10" x14ac:dyDescent="0.25">
      <c r="I468" s="37"/>
      <c r="J468" s="35"/>
    </row>
    <row r="469" spans="9:10" x14ac:dyDescent="0.25">
      <c r="I469" s="37"/>
      <c r="J469" s="35"/>
    </row>
    <row r="470" spans="9:10" x14ac:dyDescent="0.25">
      <c r="I470" s="37"/>
      <c r="J470" s="35"/>
    </row>
    <row r="471" spans="9:10" x14ac:dyDescent="0.25">
      <c r="I471" s="37"/>
      <c r="J471" s="35"/>
    </row>
    <row r="472" spans="9:10" x14ac:dyDescent="0.25">
      <c r="I472" s="37"/>
      <c r="J472" s="35"/>
    </row>
    <row r="473" spans="9:10" x14ac:dyDescent="0.25">
      <c r="I473" s="37"/>
      <c r="J473" s="35"/>
    </row>
    <row r="474" spans="9:10" x14ac:dyDescent="0.25">
      <c r="I474" s="37"/>
      <c r="J474" s="35"/>
    </row>
    <row r="475" spans="9:10" x14ac:dyDescent="0.25">
      <c r="I475" s="37"/>
      <c r="J475" s="35"/>
    </row>
    <row r="476" spans="9:10" x14ac:dyDescent="0.25">
      <c r="I476" s="37"/>
      <c r="J476" s="35"/>
    </row>
    <row r="477" spans="9:10" x14ac:dyDescent="0.25">
      <c r="I477" s="37"/>
      <c r="J477" s="35"/>
    </row>
    <row r="478" spans="9:10" x14ac:dyDescent="0.25">
      <c r="I478" s="37"/>
      <c r="J478" s="35"/>
    </row>
    <row r="479" spans="9:10" x14ac:dyDescent="0.25">
      <c r="I479" s="37"/>
      <c r="J479" s="35"/>
    </row>
    <row r="480" spans="9:10" x14ac:dyDescent="0.25">
      <c r="I480" s="37"/>
      <c r="J480" s="35"/>
    </row>
    <row r="481" spans="9:10" x14ac:dyDescent="0.25">
      <c r="I481" s="37"/>
      <c r="J481" s="35"/>
    </row>
    <row r="482" spans="9:10" x14ac:dyDescent="0.25">
      <c r="I482" s="37"/>
      <c r="J482" s="35"/>
    </row>
    <row r="483" spans="9:10" x14ac:dyDescent="0.25">
      <c r="I483" s="37"/>
      <c r="J483" s="35"/>
    </row>
    <row r="484" spans="9:10" x14ac:dyDescent="0.25">
      <c r="I484" s="37"/>
      <c r="J484" s="35"/>
    </row>
    <row r="485" spans="9:10" x14ac:dyDescent="0.25">
      <c r="I485" s="37"/>
      <c r="J485" s="35"/>
    </row>
    <row r="486" spans="9:10" x14ac:dyDescent="0.25">
      <c r="I486" s="37"/>
      <c r="J486" s="35"/>
    </row>
    <row r="487" spans="9:10" x14ac:dyDescent="0.25">
      <c r="I487" s="37"/>
      <c r="J487" s="35"/>
    </row>
    <row r="488" spans="9:10" x14ac:dyDescent="0.25">
      <c r="I488" s="37"/>
      <c r="J488" s="35"/>
    </row>
    <row r="489" spans="9:10" x14ac:dyDescent="0.25">
      <c r="I489" s="37"/>
      <c r="J489" s="35"/>
    </row>
    <row r="490" spans="9:10" x14ac:dyDescent="0.25">
      <c r="I490" s="37"/>
      <c r="J490" s="35"/>
    </row>
    <row r="491" spans="9:10" x14ac:dyDescent="0.25">
      <c r="I491" s="37"/>
      <c r="J491" s="35"/>
    </row>
    <row r="492" spans="9:10" x14ac:dyDescent="0.25">
      <c r="I492" s="37"/>
      <c r="J492" s="35"/>
    </row>
    <row r="493" spans="9:10" x14ac:dyDescent="0.25">
      <c r="I493" s="37"/>
      <c r="J493" s="35"/>
    </row>
    <row r="494" spans="9:10" x14ac:dyDescent="0.25">
      <c r="I494" s="37"/>
      <c r="J494" s="35"/>
    </row>
    <row r="495" spans="9:10" x14ac:dyDescent="0.25">
      <c r="I495" s="37"/>
      <c r="J495" s="35"/>
    </row>
    <row r="496" spans="9:10" x14ac:dyDescent="0.25">
      <c r="I496" s="37"/>
      <c r="J496" s="35"/>
    </row>
    <row r="497" spans="9:10" x14ac:dyDescent="0.25">
      <c r="I497" s="37"/>
      <c r="J497" s="35"/>
    </row>
    <row r="498" spans="9:10" x14ac:dyDescent="0.25">
      <c r="I498" s="37"/>
      <c r="J498" s="35"/>
    </row>
    <row r="499" spans="9:10" x14ac:dyDescent="0.25">
      <c r="I499" s="37"/>
      <c r="J499" s="35"/>
    </row>
    <row r="500" spans="9:10" x14ac:dyDescent="0.25">
      <c r="I500" s="37"/>
      <c r="J500" s="35"/>
    </row>
    <row r="501" spans="9:10" x14ac:dyDescent="0.25">
      <c r="I501" s="37"/>
      <c r="J501" s="35"/>
    </row>
    <row r="502" spans="9:10" x14ac:dyDescent="0.25">
      <c r="I502" s="37"/>
      <c r="J502" s="35"/>
    </row>
    <row r="503" spans="9:10" x14ac:dyDescent="0.25">
      <c r="I503" s="37"/>
      <c r="J503" s="35"/>
    </row>
    <row r="504" spans="9:10" x14ac:dyDescent="0.25">
      <c r="I504" s="37"/>
      <c r="J504" s="35"/>
    </row>
    <row r="505" spans="9:10" x14ac:dyDescent="0.25">
      <c r="I505" s="37"/>
      <c r="J505" s="35"/>
    </row>
    <row r="506" spans="9:10" x14ac:dyDescent="0.25">
      <c r="I506" s="37"/>
      <c r="J506" s="35"/>
    </row>
    <row r="507" spans="9:10" x14ac:dyDescent="0.25">
      <c r="I507" s="37"/>
      <c r="J507" s="35"/>
    </row>
    <row r="508" spans="9:10" x14ac:dyDescent="0.25">
      <c r="I508" s="37"/>
      <c r="J508" s="35"/>
    </row>
    <row r="509" spans="9:10" x14ac:dyDescent="0.25">
      <c r="I509" s="37"/>
      <c r="J509" s="35"/>
    </row>
    <row r="510" spans="9:10" x14ac:dyDescent="0.25">
      <c r="I510" s="37"/>
      <c r="J510" s="35"/>
    </row>
    <row r="511" spans="9:10" x14ac:dyDescent="0.25">
      <c r="I511" s="37"/>
      <c r="J511" s="35"/>
    </row>
    <row r="512" spans="9:10" x14ac:dyDescent="0.25">
      <c r="I512" s="37"/>
      <c r="J512" s="35"/>
    </row>
    <row r="513" spans="9:10" x14ac:dyDescent="0.25">
      <c r="I513" s="37"/>
      <c r="J513" s="35"/>
    </row>
    <row r="514" spans="9:10" x14ac:dyDescent="0.25">
      <c r="I514" s="37"/>
      <c r="J514" s="35"/>
    </row>
    <row r="515" spans="9:10" x14ac:dyDescent="0.25">
      <c r="I515" s="37"/>
      <c r="J515" s="35"/>
    </row>
    <row r="516" spans="9:10" x14ac:dyDescent="0.25">
      <c r="I516" s="37"/>
      <c r="J516" s="35"/>
    </row>
    <row r="517" spans="9:10" x14ac:dyDescent="0.25">
      <c r="I517" s="37"/>
      <c r="J517" s="35"/>
    </row>
    <row r="518" spans="9:10" x14ac:dyDescent="0.25">
      <c r="I518" s="37"/>
      <c r="J518" s="35"/>
    </row>
    <row r="519" spans="9:10" x14ac:dyDescent="0.25">
      <c r="I519" s="37"/>
      <c r="J519" s="35"/>
    </row>
    <row r="520" spans="9:10" x14ac:dyDescent="0.25">
      <c r="I520" s="37"/>
      <c r="J520" s="35"/>
    </row>
    <row r="521" spans="9:10" x14ac:dyDescent="0.25">
      <c r="I521" s="37"/>
      <c r="J521" s="35"/>
    </row>
    <row r="522" spans="9:10" x14ac:dyDescent="0.25">
      <c r="I522" s="37"/>
      <c r="J522" s="35"/>
    </row>
    <row r="523" spans="9:10" x14ac:dyDescent="0.25">
      <c r="I523" s="37"/>
      <c r="J523" s="35"/>
    </row>
    <row r="524" spans="9:10" x14ac:dyDescent="0.25">
      <c r="I524" s="37"/>
      <c r="J524" s="35"/>
    </row>
    <row r="525" spans="9:10" x14ac:dyDescent="0.25">
      <c r="I525" s="37"/>
      <c r="J525" s="35"/>
    </row>
    <row r="526" spans="9:10" x14ac:dyDescent="0.25">
      <c r="I526" s="37"/>
      <c r="J526" s="35"/>
    </row>
    <row r="527" spans="9:10" x14ac:dyDescent="0.25">
      <c r="I527" s="37"/>
      <c r="J527" s="35"/>
    </row>
    <row r="528" spans="9:10" x14ac:dyDescent="0.25">
      <c r="I528" s="37"/>
      <c r="J528" s="35"/>
    </row>
    <row r="529" spans="9:10" x14ac:dyDescent="0.25">
      <c r="I529" s="37"/>
      <c r="J529" s="35"/>
    </row>
    <row r="530" spans="9:10" x14ac:dyDescent="0.25">
      <c r="I530" s="37"/>
      <c r="J530" s="35"/>
    </row>
    <row r="531" spans="9:10" x14ac:dyDescent="0.25">
      <c r="I531" s="37"/>
      <c r="J531" s="35"/>
    </row>
    <row r="532" spans="9:10" x14ac:dyDescent="0.25">
      <c r="I532" s="37"/>
      <c r="J532" s="35"/>
    </row>
    <row r="533" spans="9:10" x14ac:dyDescent="0.25">
      <c r="I533" s="37"/>
      <c r="J533" s="35"/>
    </row>
    <row r="534" spans="9:10" x14ac:dyDescent="0.25">
      <c r="I534" s="37"/>
      <c r="J534" s="35"/>
    </row>
    <row r="535" spans="9:10" x14ac:dyDescent="0.25">
      <c r="I535" s="37"/>
      <c r="J535" s="35"/>
    </row>
    <row r="536" spans="9:10" x14ac:dyDescent="0.25">
      <c r="I536" s="37"/>
      <c r="J536" s="35"/>
    </row>
    <row r="537" spans="9:10" x14ac:dyDescent="0.25">
      <c r="I537" s="37"/>
      <c r="J537" s="35"/>
    </row>
    <row r="538" spans="9:10" x14ac:dyDescent="0.25">
      <c r="I538" s="37"/>
      <c r="J538" s="35"/>
    </row>
    <row r="539" spans="9:10" x14ac:dyDescent="0.25">
      <c r="I539" s="37"/>
      <c r="J539" s="35"/>
    </row>
    <row r="540" spans="9:10" x14ac:dyDescent="0.25">
      <c r="I540" s="37"/>
      <c r="J540" s="35"/>
    </row>
    <row r="541" spans="9:10" x14ac:dyDescent="0.25">
      <c r="I541" s="37"/>
      <c r="J541" s="35"/>
    </row>
    <row r="542" spans="9:10" x14ac:dyDescent="0.25">
      <c r="I542" s="37"/>
      <c r="J542" s="35"/>
    </row>
    <row r="543" spans="9:10" x14ac:dyDescent="0.25">
      <c r="I543" s="37"/>
      <c r="J543" s="35"/>
    </row>
    <row r="544" spans="9:10" x14ac:dyDescent="0.25">
      <c r="I544" s="37"/>
      <c r="J544" s="35"/>
    </row>
    <row r="545" spans="9:10" x14ac:dyDescent="0.25">
      <c r="I545" s="37"/>
      <c r="J545" s="35"/>
    </row>
    <row r="546" spans="9:10" x14ac:dyDescent="0.25">
      <c r="I546" s="37"/>
      <c r="J546" s="35"/>
    </row>
    <row r="547" spans="9:10" x14ac:dyDescent="0.25">
      <c r="I547" s="37"/>
      <c r="J547" s="35"/>
    </row>
    <row r="548" spans="9:10" x14ac:dyDescent="0.25">
      <c r="I548" s="37"/>
      <c r="J548" s="35"/>
    </row>
    <row r="549" spans="9:10" x14ac:dyDescent="0.25">
      <c r="I549" s="37"/>
      <c r="J549" s="35"/>
    </row>
    <row r="550" spans="9:10" x14ac:dyDescent="0.25">
      <c r="I550" s="37"/>
      <c r="J550" s="35"/>
    </row>
    <row r="551" spans="9:10" x14ac:dyDescent="0.25">
      <c r="I551" s="37"/>
      <c r="J551" s="35"/>
    </row>
    <row r="552" spans="9:10" x14ac:dyDescent="0.25">
      <c r="I552" s="37"/>
      <c r="J552" s="35"/>
    </row>
    <row r="553" spans="9:10" x14ac:dyDescent="0.25">
      <c r="I553" s="37"/>
      <c r="J553" s="35"/>
    </row>
    <row r="554" spans="9:10" x14ac:dyDescent="0.25">
      <c r="I554" s="37"/>
      <c r="J554" s="35"/>
    </row>
    <row r="555" spans="9:10" x14ac:dyDescent="0.25">
      <c r="I555" s="37"/>
      <c r="J555" s="35"/>
    </row>
    <row r="556" spans="9:10" x14ac:dyDescent="0.25">
      <c r="I556" s="37"/>
      <c r="J556" s="35"/>
    </row>
    <row r="557" spans="9:10" x14ac:dyDescent="0.25">
      <c r="I557" s="37"/>
      <c r="J557" s="35"/>
    </row>
    <row r="558" spans="9:10" x14ac:dyDescent="0.25">
      <c r="I558" s="37"/>
      <c r="J558" s="35"/>
    </row>
    <row r="559" spans="9:10" x14ac:dyDescent="0.25">
      <c r="I559" s="37"/>
      <c r="J559" s="35"/>
    </row>
    <row r="560" spans="9:10" x14ac:dyDescent="0.25">
      <c r="I560" s="37"/>
      <c r="J560" s="35"/>
    </row>
    <row r="561" spans="9:10" x14ac:dyDescent="0.25">
      <c r="I561" s="37"/>
      <c r="J561" s="35"/>
    </row>
    <row r="562" spans="9:10" x14ac:dyDescent="0.25">
      <c r="I562" s="37"/>
      <c r="J562" s="35"/>
    </row>
    <row r="563" spans="9:10" x14ac:dyDescent="0.25">
      <c r="I563" s="37"/>
      <c r="J563" s="35"/>
    </row>
    <row r="564" spans="9:10" x14ac:dyDescent="0.25">
      <c r="I564" s="37"/>
      <c r="J564" s="35"/>
    </row>
    <row r="565" spans="9:10" x14ac:dyDescent="0.25">
      <c r="I565" s="37"/>
      <c r="J565" s="35"/>
    </row>
    <row r="566" spans="9:10" x14ac:dyDescent="0.25">
      <c r="I566" s="37"/>
      <c r="J566" s="35"/>
    </row>
    <row r="567" spans="9:10" x14ac:dyDescent="0.25">
      <c r="I567" s="37"/>
      <c r="J567" s="35"/>
    </row>
    <row r="568" spans="9:10" x14ac:dyDescent="0.25">
      <c r="I568" s="37"/>
      <c r="J568" s="35"/>
    </row>
    <row r="569" spans="9:10" x14ac:dyDescent="0.25">
      <c r="I569" s="37"/>
      <c r="J569" s="35"/>
    </row>
    <row r="570" spans="9:10" x14ac:dyDescent="0.25">
      <c r="I570" s="37"/>
      <c r="J570" s="35"/>
    </row>
    <row r="571" spans="9:10" x14ac:dyDescent="0.25">
      <c r="I571" s="37"/>
      <c r="J571" s="35"/>
    </row>
    <row r="572" spans="9:10" x14ac:dyDescent="0.25">
      <c r="I572" s="37"/>
      <c r="J572" s="35"/>
    </row>
    <row r="573" spans="9:10" x14ac:dyDescent="0.25">
      <c r="I573" s="37"/>
      <c r="J573" s="35"/>
    </row>
    <row r="574" spans="9:10" x14ac:dyDescent="0.25">
      <c r="I574" s="37"/>
      <c r="J574" s="35"/>
    </row>
    <row r="575" spans="9:10" x14ac:dyDescent="0.25">
      <c r="I575" s="37"/>
      <c r="J575" s="35"/>
    </row>
    <row r="576" spans="9:10" x14ac:dyDescent="0.25">
      <c r="I576" s="37"/>
      <c r="J576" s="35"/>
    </row>
    <row r="577" spans="9:10" x14ac:dyDescent="0.25">
      <c r="I577" s="37"/>
      <c r="J577" s="35"/>
    </row>
    <row r="578" spans="9:10" x14ac:dyDescent="0.25">
      <c r="I578" s="37"/>
      <c r="J578" s="35"/>
    </row>
    <row r="579" spans="9:10" x14ac:dyDescent="0.25">
      <c r="I579" s="37"/>
      <c r="J579" s="35"/>
    </row>
    <row r="580" spans="9:10" x14ac:dyDescent="0.25">
      <c r="I580" s="37"/>
      <c r="J580" s="35"/>
    </row>
    <row r="581" spans="9:10" x14ac:dyDescent="0.25">
      <c r="I581" s="37"/>
      <c r="J581" s="35"/>
    </row>
    <row r="582" spans="9:10" x14ac:dyDescent="0.25">
      <c r="I582" s="37"/>
      <c r="J582" s="35"/>
    </row>
    <row r="583" spans="9:10" x14ac:dyDescent="0.25">
      <c r="I583" s="37"/>
      <c r="J583" s="35"/>
    </row>
    <row r="584" spans="9:10" x14ac:dyDescent="0.25">
      <c r="I584" s="37"/>
      <c r="J584" s="35"/>
    </row>
    <row r="585" spans="9:10" x14ac:dyDescent="0.25">
      <c r="I585" s="37"/>
      <c r="J585" s="35"/>
    </row>
    <row r="586" spans="9:10" x14ac:dyDescent="0.25">
      <c r="I586" s="37"/>
      <c r="J586" s="35"/>
    </row>
    <row r="587" spans="9:10" x14ac:dyDescent="0.25">
      <c r="I587" s="37"/>
      <c r="J587" s="35"/>
    </row>
    <row r="588" spans="9:10" x14ac:dyDescent="0.25">
      <c r="I588" s="37"/>
      <c r="J588" s="35"/>
    </row>
    <row r="589" spans="9:10" x14ac:dyDescent="0.25">
      <c r="I589" s="37"/>
      <c r="J589" s="35"/>
    </row>
    <row r="590" spans="9:10" x14ac:dyDescent="0.25">
      <c r="I590" s="37"/>
      <c r="J590" s="35"/>
    </row>
    <row r="591" spans="9:10" x14ac:dyDescent="0.25">
      <c r="I591" s="37"/>
      <c r="J591" s="35"/>
    </row>
    <row r="592" spans="9:10" x14ac:dyDescent="0.25">
      <c r="I592" s="37"/>
      <c r="J592" s="35"/>
    </row>
    <row r="593" spans="9:10" x14ac:dyDescent="0.25">
      <c r="I593" s="37"/>
      <c r="J593" s="35"/>
    </row>
    <row r="594" spans="9:10" x14ac:dyDescent="0.25">
      <c r="I594" s="37"/>
      <c r="J594" s="35"/>
    </row>
    <row r="595" spans="9:10" x14ac:dyDescent="0.25">
      <c r="I595" s="37"/>
      <c r="J595" s="35"/>
    </row>
    <row r="596" spans="9:10" x14ac:dyDescent="0.25">
      <c r="I596" s="37"/>
      <c r="J596" s="35"/>
    </row>
    <row r="597" spans="9:10" x14ac:dyDescent="0.25">
      <c r="I597" s="37"/>
      <c r="J597" s="35"/>
    </row>
    <row r="598" spans="9:10" x14ac:dyDescent="0.25">
      <c r="I598" s="37"/>
      <c r="J598" s="35"/>
    </row>
    <row r="599" spans="9:10" x14ac:dyDescent="0.25">
      <c r="I599" s="37"/>
      <c r="J599" s="35"/>
    </row>
    <row r="600" spans="9:10" x14ac:dyDescent="0.25">
      <c r="I600" s="37"/>
      <c r="J600" s="35"/>
    </row>
    <row r="601" spans="9:10" x14ac:dyDescent="0.25">
      <c r="I601" s="37"/>
      <c r="J601" s="35"/>
    </row>
    <row r="602" spans="9:10" x14ac:dyDescent="0.25">
      <c r="I602" s="37"/>
      <c r="J602" s="35"/>
    </row>
    <row r="603" spans="9:10" x14ac:dyDescent="0.25">
      <c r="I603" s="37"/>
      <c r="J603" s="35"/>
    </row>
    <row r="604" spans="9:10" x14ac:dyDescent="0.25">
      <c r="I604" s="37"/>
      <c r="J604" s="35"/>
    </row>
    <row r="605" spans="9:10" x14ac:dyDescent="0.25">
      <c r="I605" s="37"/>
      <c r="J605" s="35"/>
    </row>
    <row r="606" spans="9:10" x14ac:dyDescent="0.25">
      <c r="I606" s="37"/>
      <c r="J606" s="35"/>
    </row>
    <row r="607" spans="9:10" x14ac:dyDescent="0.25">
      <c r="I607" s="37"/>
      <c r="J607" s="35"/>
    </row>
    <row r="608" spans="9:10" x14ac:dyDescent="0.25">
      <c r="I608" s="37"/>
      <c r="J608" s="35"/>
    </row>
    <row r="609" spans="9:10" x14ac:dyDescent="0.25">
      <c r="I609" s="37"/>
      <c r="J609" s="35"/>
    </row>
    <row r="610" spans="9:10" x14ac:dyDescent="0.25">
      <c r="I610" s="37"/>
      <c r="J610" s="35"/>
    </row>
    <row r="611" spans="9:10" x14ac:dyDescent="0.25">
      <c r="I611" s="37"/>
      <c r="J611" s="35"/>
    </row>
    <row r="612" spans="9:10" x14ac:dyDescent="0.25">
      <c r="I612" s="37"/>
      <c r="J612" s="35"/>
    </row>
    <row r="613" spans="9:10" x14ac:dyDescent="0.25">
      <c r="I613" s="37"/>
      <c r="J613" s="35"/>
    </row>
    <row r="614" spans="9:10" x14ac:dyDescent="0.25">
      <c r="I614" s="37"/>
      <c r="J614" s="35"/>
    </row>
    <row r="615" spans="9:10" x14ac:dyDescent="0.25">
      <c r="I615" s="37"/>
      <c r="J615" s="35"/>
    </row>
    <row r="616" spans="9:10" x14ac:dyDescent="0.25">
      <c r="I616" s="37"/>
      <c r="J616" s="35"/>
    </row>
    <row r="617" spans="9:10" x14ac:dyDescent="0.25">
      <c r="I617" s="37"/>
      <c r="J617" s="35"/>
    </row>
    <row r="618" spans="9:10" x14ac:dyDescent="0.25">
      <c r="I618" s="37"/>
      <c r="J618" s="35"/>
    </row>
    <row r="619" spans="9:10" x14ac:dyDescent="0.25">
      <c r="I619" s="37"/>
      <c r="J619" s="35"/>
    </row>
    <row r="620" spans="9:10" x14ac:dyDescent="0.25">
      <c r="I620" s="37"/>
      <c r="J620" s="35"/>
    </row>
    <row r="621" spans="9:10" x14ac:dyDescent="0.25">
      <c r="I621" s="37"/>
      <c r="J621" s="35"/>
    </row>
    <row r="622" spans="9:10" x14ac:dyDescent="0.25">
      <c r="I622" s="37"/>
      <c r="J622" s="35"/>
    </row>
    <row r="623" spans="9:10" x14ac:dyDescent="0.25">
      <c r="I623" s="37"/>
      <c r="J623" s="35"/>
    </row>
    <row r="624" spans="9:10" x14ac:dyDescent="0.25">
      <c r="I624" s="37"/>
      <c r="J624" s="35"/>
    </row>
    <row r="625" spans="9:10" x14ac:dyDescent="0.25">
      <c r="I625" s="37"/>
      <c r="J625" s="35"/>
    </row>
    <row r="626" spans="9:10" x14ac:dyDescent="0.25">
      <c r="I626" s="37"/>
      <c r="J626" s="35"/>
    </row>
    <row r="627" spans="9:10" x14ac:dyDescent="0.25">
      <c r="I627" s="37"/>
      <c r="J627" s="35"/>
    </row>
    <row r="628" spans="9:10" x14ac:dyDescent="0.25">
      <c r="I628" s="37"/>
      <c r="J628" s="35"/>
    </row>
    <row r="629" spans="9:10" x14ac:dyDescent="0.25">
      <c r="I629" s="37"/>
      <c r="J629" s="35"/>
    </row>
    <row r="630" spans="9:10" x14ac:dyDescent="0.25">
      <c r="I630" s="37"/>
      <c r="J630" s="35"/>
    </row>
    <row r="631" spans="9:10" x14ac:dyDescent="0.25">
      <c r="I631" s="37"/>
      <c r="J631" s="35"/>
    </row>
    <row r="632" spans="9:10" x14ac:dyDescent="0.25">
      <c r="I632" s="37"/>
      <c r="J632" s="35"/>
    </row>
    <row r="633" spans="9:10" x14ac:dyDescent="0.25">
      <c r="I633" s="37"/>
      <c r="J633" s="35"/>
    </row>
    <row r="634" spans="9:10" x14ac:dyDescent="0.25">
      <c r="I634" s="37"/>
      <c r="J634" s="35"/>
    </row>
    <row r="635" spans="9:10" x14ac:dyDescent="0.25">
      <c r="I635" s="37"/>
      <c r="J635" s="35"/>
    </row>
    <row r="636" spans="9:10" x14ac:dyDescent="0.25">
      <c r="I636" s="37"/>
      <c r="J636" s="35"/>
    </row>
    <row r="637" spans="9:10" x14ac:dyDescent="0.25">
      <c r="I637" s="37"/>
      <c r="J637" s="35"/>
    </row>
    <row r="638" spans="9:10" x14ac:dyDescent="0.25">
      <c r="I638" s="37"/>
      <c r="J638" s="35"/>
    </row>
    <row r="639" spans="9:10" x14ac:dyDescent="0.25">
      <c r="I639" s="37"/>
      <c r="J639" s="35"/>
    </row>
    <row r="640" spans="9:10" x14ac:dyDescent="0.25">
      <c r="I640" s="37"/>
      <c r="J640" s="35"/>
    </row>
    <row r="641" spans="9:10" x14ac:dyDescent="0.25">
      <c r="I641" s="37"/>
      <c r="J641" s="35"/>
    </row>
    <row r="642" spans="9:10" x14ac:dyDescent="0.25">
      <c r="I642" s="37"/>
      <c r="J642" s="35"/>
    </row>
    <row r="643" spans="9:10" x14ac:dyDescent="0.25">
      <c r="I643" s="37"/>
      <c r="J643" s="35"/>
    </row>
    <row r="644" spans="9:10" x14ac:dyDescent="0.25">
      <c r="I644" s="37"/>
      <c r="J644" s="35"/>
    </row>
    <row r="645" spans="9:10" x14ac:dyDescent="0.25">
      <c r="I645" s="37"/>
      <c r="J645" s="35"/>
    </row>
    <row r="646" spans="9:10" x14ac:dyDescent="0.25">
      <c r="I646" s="37"/>
      <c r="J646" s="35"/>
    </row>
    <row r="647" spans="9:10" x14ac:dyDescent="0.25">
      <c r="I647" s="37"/>
      <c r="J647" s="35"/>
    </row>
    <row r="648" spans="9:10" x14ac:dyDescent="0.25">
      <c r="I648" s="37"/>
      <c r="J648" s="35"/>
    </row>
    <row r="649" spans="9:10" x14ac:dyDescent="0.25">
      <c r="I649" s="37"/>
      <c r="J649" s="35"/>
    </row>
    <row r="650" spans="9:10" x14ac:dyDescent="0.25">
      <c r="I650" s="37"/>
      <c r="J650" s="35"/>
    </row>
    <row r="651" spans="9:10" x14ac:dyDescent="0.25">
      <c r="I651" s="37"/>
      <c r="J651" s="35"/>
    </row>
    <row r="652" spans="9:10" x14ac:dyDescent="0.25">
      <c r="I652" s="37"/>
      <c r="J652" s="35"/>
    </row>
    <row r="653" spans="9:10" x14ac:dyDescent="0.25">
      <c r="I653" s="37"/>
      <c r="J653" s="35"/>
    </row>
    <row r="654" spans="9:10" x14ac:dyDescent="0.25">
      <c r="I654" s="37"/>
      <c r="J654" s="35"/>
    </row>
    <row r="655" spans="9:10" x14ac:dyDescent="0.25">
      <c r="I655" s="37"/>
      <c r="J655" s="35"/>
    </row>
    <row r="656" spans="9:10" x14ac:dyDescent="0.25">
      <c r="I656" s="37"/>
      <c r="J656" s="35"/>
    </row>
    <row r="657" spans="9:10" x14ac:dyDescent="0.25">
      <c r="I657" s="37"/>
      <c r="J657" s="35"/>
    </row>
    <row r="658" spans="9:10" x14ac:dyDescent="0.25">
      <c r="I658" s="37"/>
      <c r="J658" s="35"/>
    </row>
    <row r="659" spans="9:10" x14ac:dyDescent="0.25">
      <c r="I659" s="37"/>
      <c r="J659" s="35"/>
    </row>
    <row r="660" spans="9:10" x14ac:dyDescent="0.25">
      <c r="I660" s="37"/>
      <c r="J660" s="35"/>
    </row>
    <row r="661" spans="9:10" x14ac:dyDescent="0.25">
      <c r="I661" s="37"/>
      <c r="J661" s="35"/>
    </row>
    <row r="662" spans="9:10" x14ac:dyDescent="0.25">
      <c r="I662" s="37"/>
      <c r="J662" s="35"/>
    </row>
    <row r="663" spans="9:10" x14ac:dyDescent="0.25">
      <c r="I663" s="37"/>
      <c r="J663" s="35"/>
    </row>
    <row r="664" spans="9:10" x14ac:dyDescent="0.25">
      <c r="I664" s="37"/>
      <c r="J664" s="35"/>
    </row>
    <row r="665" spans="9:10" x14ac:dyDescent="0.25">
      <c r="I665" s="37"/>
      <c r="J665" s="35"/>
    </row>
    <row r="666" spans="9:10" x14ac:dyDescent="0.25">
      <c r="I666" s="37"/>
      <c r="J666" s="35"/>
    </row>
    <row r="667" spans="9:10" x14ac:dyDescent="0.25">
      <c r="I667" s="37"/>
      <c r="J667" s="35"/>
    </row>
    <row r="668" spans="9:10" x14ac:dyDescent="0.25">
      <c r="I668" s="37"/>
      <c r="J668" s="35"/>
    </row>
    <row r="669" spans="9:10" x14ac:dyDescent="0.25">
      <c r="I669" s="37"/>
      <c r="J669" s="35"/>
    </row>
    <row r="670" spans="9:10" x14ac:dyDescent="0.25">
      <c r="I670" s="37"/>
      <c r="J670" s="35"/>
    </row>
    <row r="671" spans="9:10" x14ac:dyDescent="0.25">
      <c r="I671" s="37"/>
      <c r="J671" s="35"/>
    </row>
    <row r="672" spans="9:10" x14ac:dyDescent="0.25">
      <c r="I672" s="37"/>
      <c r="J672" s="35"/>
    </row>
    <row r="673" spans="9:10" x14ac:dyDescent="0.25">
      <c r="I673" s="37"/>
      <c r="J673" s="35"/>
    </row>
    <row r="674" spans="9:10" x14ac:dyDescent="0.25">
      <c r="I674" s="37"/>
      <c r="J674" s="35"/>
    </row>
    <row r="675" spans="9:10" x14ac:dyDescent="0.25">
      <c r="I675" s="37"/>
      <c r="J675" s="35"/>
    </row>
    <row r="676" spans="9:10" x14ac:dyDescent="0.25">
      <c r="I676" s="37"/>
      <c r="J676" s="35"/>
    </row>
    <row r="677" spans="9:10" x14ac:dyDescent="0.25">
      <c r="I677" s="37"/>
      <c r="J677" s="35"/>
    </row>
    <row r="678" spans="9:10" x14ac:dyDescent="0.25">
      <c r="I678" s="37"/>
      <c r="J678" s="35"/>
    </row>
    <row r="679" spans="9:10" x14ac:dyDescent="0.25">
      <c r="I679" s="37"/>
      <c r="J679" s="35"/>
    </row>
    <row r="680" spans="9:10" x14ac:dyDescent="0.25">
      <c r="I680" s="37"/>
      <c r="J680" s="35"/>
    </row>
    <row r="681" spans="9:10" x14ac:dyDescent="0.25">
      <c r="I681" s="37"/>
      <c r="J681" s="35"/>
    </row>
    <row r="682" spans="9:10" x14ac:dyDescent="0.25">
      <c r="I682" s="37"/>
      <c r="J682" s="35"/>
    </row>
    <row r="683" spans="9:10" x14ac:dyDescent="0.25">
      <c r="I683" s="37"/>
      <c r="J683" s="35"/>
    </row>
    <row r="684" spans="9:10" x14ac:dyDescent="0.25">
      <c r="I684" s="37"/>
      <c r="J684" s="35"/>
    </row>
    <row r="685" spans="9:10" x14ac:dyDescent="0.25">
      <c r="I685" s="37"/>
      <c r="J685" s="35"/>
    </row>
    <row r="686" spans="9:10" x14ac:dyDescent="0.25">
      <c r="I686" s="37"/>
      <c r="J686" s="35"/>
    </row>
    <row r="687" spans="9:10" x14ac:dyDescent="0.25">
      <c r="I687" s="37"/>
      <c r="J687" s="35"/>
    </row>
    <row r="688" spans="9:10" x14ac:dyDescent="0.25">
      <c r="I688" s="37"/>
      <c r="J688" s="35"/>
    </row>
    <row r="689" spans="9:10" x14ac:dyDescent="0.25">
      <c r="I689" s="37"/>
      <c r="J689" s="35"/>
    </row>
    <row r="690" spans="9:10" x14ac:dyDescent="0.25">
      <c r="I690" s="37"/>
      <c r="J690" s="35"/>
    </row>
    <row r="691" spans="9:10" x14ac:dyDescent="0.25">
      <c r="I691" s="37"/>
      <c r="J691" s="35"/>
    </row>
    <row r="692" spans="9:10" x14ac:dyDescent="0.25">
      <c r="I692" s="37"/>
      <c r="J692" s="35"/>
    </row>
    <row r="693" spans="9:10" x14ac:dyDescent="0.25">
      <c r="I693" s="37"/>
      <c r="J693" s="35"/>
    </row>
    <row r="694" spans="9:10" x14ac:dyDescent="0.25">
      <c r="I694" s="37"/>
      <c r="J694" s="35"/>
    </row>
    <row r="695" spans="9:10" x14ac:dyDescent="0.25">
      <c r="I695" s="37"/>
      <c r="J695" s="35"/>
    </row>
    <row r="696" spans="9:10" x14ac:dyDescent="0.25">
      <c r="I696" s="37"/>
      <c r="J696" s="35"/>
    </row>
    <row r="697" spans="9:10" x14ac:dyDescent="0.25">
      <c r="I697" s="37"/>
      <c r="J697" s="35"/>
    </row>
    <row r="698" spans="9:10" x14ac:dyDescent="0.25">
      <c r="I698" s="37"/>
      <c r="J698" s="35"/>
    </row>
    <row r="699" spans="9:10" x14ac:dyDescent="0.25">
      <c r="I699" s="37"/>
      <c r="J699" s="35"/>
    </row>
    <row r="700" spans="9:10" x14ac:dyDescent="0.25">
      <c r="I700" s="37"/>
      <c r="J700" s="35"/>
    </row>
    <row r="701" spans="9:10" x14ac:dyDescent="0.25">
      <c r="I701" s="37"/>
      <c r="J701" s="35"/>
    </row>
    <row r="702" spans="9:10" x14ac:dyDescent="0.25">
      <c r="I702" s="37"/>
      <c r="J702" s="35"/>
    </row>
    <row r="703" spans="9:10" x14ac:dyDescent="0.25">
      <c r="I703" s="37"/>
      <c r="J703" s="35"/>
    </row>
    <row r="704" spans="9:10" x14ac:dyDescent="0.25">
      <c r="I704" s="37"/>
      <c r="J704" s="35"/>
    </row>
    <row r="705" spans="9:10" x14ac:dyDescent="0.25">
      <c r="I705" s="37"/>
      <c r="J705" s="35"/>
    </row>
    <row r="706" spans="9:10" x14ac:dyDescent="0.25">
      <c r="I706" s="37"/>
      <c r="J706" s="35"/>
    </row>
    <row r="707" spans="9:10" x14ac:dyDescent="0.25">
      <c r="I707" s="37"/>
      <c r="J707" s="35"/>
    </row>
    <row r="708" spans="9:10" x14ac:dyDescent="0.25">
      <c r="I708" s="37"/>
      <c r="J708" s="35"/>
    </row>
    <row r="709" spans="9:10" x14ac:dyDescent="0.25">
      <c r="I709" s="37"/>
      <c r="J709" s="35"/>
    </row>
    <row r="710" spans="9:10" x14ac:dyDescent="0.25">
      <c r="I710" s="37"/>
      <c r="J710" s="35"/>
    </row>
    <row r="711" spans="9:10" x14ac:dyDescent="0.25">
      <c r="I711" s="37"/>
      <c r="J711" s="35"/>
    </row>
    <row r="712" spans="9:10" x14ac:dyDescent="0.25">
      <c r="I712" s="37"/>
      <c r="J712" s="35"/>
    </row>
    <row r="713" spans="9:10" x14ac:dyDescent="0.25">
      <c r="I713" s="37"/>
      <c r="J713" s="35"/>
    </row>
    <row r="714" spans="9:10" x14ac:dyDescent="0.25">
      <c r="I714" s="37"/>
      <c r="J714" s="35"/>
    </row>
    <row r="715" spans="9:10" x14ac:dyDescent="0.25">
      <c r="I715" s="37"/>
      <c r="J715" s="35"/>
    </row>
    <row r="716" spans="9:10" x14ac:dyDescent="0.25">
      <c r="I716" s="37"/>
      <c r="J716" s="35"/>
    </row>
    <row r="717" spans="9:10" x14ac:dyDescent="0.25">
      <c r="I717" s="37"/>
      <c r="J717" s="35"/>
    </row>
    <row r="718" spans="9:10" x14ac:dyDescent="0.25">
      <c r="I718" s="37"/>
      <c r="J718" s="35"/>
    </row>
    <row r="719" spans="9:10" x14ac:dyDescent="0.25">
      <c r="I719" s="37"/>
      <c r="J719" s="35"/>
    </row>
    <row r="720" spans="9:10" x14ac:dyDescent="0.25">
      <c r="I720" s="37"/>
      <c r="J720" s="35"/>
    </row>
    <row r="721" spans="9:10" x14ac:dyDescent="0.25">
      <c r="I721" s="37"/>
      <c r="J721" s="35"/>
    </row>
    <row r="722" spans="9:10" x14ac:dyDescent="0.25">
      <c r="I722" s="37"/>
      <c r="J722" s="35"/>
    </row>
    <row r="723" spans="9:10" x14ac:dyDescent="0.25">
      <c r="I723" s="37"/>
      <c r="J723" s="35"/>
    </row>
    <row r="724" spans="9:10" x14ac:dyDescent="0.25">
      <c r="I724" s="37"/>
      <c r="J724" s="35"/>
    </row>
    <row r="725" spans="9:10" x14ac:dyDescent="0.25">
      <c r="I725" s="37"/>
      <c r="J725" s="35"/>
    </row>
    <row r="726" spans="9:10" x14ac:dyDescent="0.25">
      <c r="I726" s="37"/>
      <c r="J726" s="35"/>
    </row>
    <row r="727" spans="9:10" x14ac:dyDescent="0.25">
      <c r="I727" s="37"/>
      <c r="J727" s="35"/>
    </row>
    <row r="728" spans="9:10" x14ac:dyDescent="0.25">
      <c r="I728" s="37"/>
      <c r="J728" s="35"/>
    </row>
    <row r="729" spans="9:10" x14ac:dyDescent="0.25">
      <c r="I729" s="37"/>
      <c r="J729" s="35"/>
    </row>
    <row r="730" spans="9:10" x14ac:dyDescent="0.25">
      <c r="I730" s="37"/>
      <c r="J730" s="35"/>
    </row>
    <row r="731" spans="9:10" x14ac:dyDescent="0.25">
      <c r="I731" s="37"/>
      <c r="J731" s="35"/>
    </row>
    <row r="732" spans="9:10" x14ac:dyDescent="0.25">
      <c r="I732" s="37"/>
      <c r="J732" s="35"/>
    </row>
    <row r="733" spans="9:10" x14ac:dyDescent="0.25">
      <c r="I733" s="37"/>
      <c r="J733" s="35"/>
    </row>
    <row r="734" spans="9:10" x14ac:dyDescent="0.25">
      <c r="I734" s="37"/>
      <c r="J734" s="35"/>
    </row>
    <row r="735" spans="9:10" x14ac:dyDescent="0.25">
      <c r="I735" s="37"/>
      <c r="J735" s="35"/>
    </row>
    <row r="736" spans="9:10" x14ac:dyDescent="0.25">
      <c r="I736" s="37"/>
      <c r="J736" s="35"/>
    </row>
    <row r="737" spans="9:10" x14ac:dyDescent="0.25">
      <c r="I737" s="37"/>
      <c r="J737" s="35"/>
    </row>
    <row r="738" spans="9:10" x14ac:dyDescent="0.25">
      <c r="I738" s="37"/>
      <c r="J738" s="35"/>
    </row>
    <row r="739" spans="9:10" x14ac:dyDescent="0.25">
      <c r="I739" s="37"/>
      <c r="J739" s="35"/>
    </row>
    <row r="740" spans="9:10" x14ac:dyDescent="0.25">
      <c r="I740" s="37"/>
      <c r="J740" s="35"/>
    </row>
    <row r="741" spans="9:10" x14ac:dyDescent="0.25">
      <c r="I741" s="37"/>
      <c r="J741" s="35"/>
    </row>
    <row r="742" spans="9:10" x14ac:dyDescent="0.25">
      <c r="I742" s="37"/>
      <c r="J742" s="35"/>
    </row>
    <row r="743" spans="9:10" x14ac:dyDescent="0.25">
      <c r="I743" s="37"/>
      <c r="J743" s="35"/>
    </row>
    <row r="744" spans="9:10" x14ac:dyDescent="0.25">
      <c r="I744" s="37"/>
      <c r="J744" s="35"/>
    </row>
    <row r="745" spans="9:10" x14ac:dyDescent="0.25">
      <c r="I745" s="37"/>
      <c r="J745" s="35"/>
    </row>
    <row r="746" spans="9:10" x14ac:dyDescent="0.25">
      <c r="I746" s="37"/>
      <c r="J746" s="35"/>
    </row>
    <row r="747" spans="9:10" x14ac:dyDescent="0.25">
      <c r="I747" s="37"/>
      <c r="J747" s="35"/>
    </row>
    <row r="748" spans="9:10" x14ac:dyDescent="0.25">
      <c r="I748" s="37"/>
      <c r="J748" s="35"/>
    </row>
    <row r="749" spans="9:10" x14ac:dyDescent="0.25">
      <c r="I749" s="37"/>
      <c r="J749" s="35"/>
    </row>
    <row r="750" spans="9:10" x14ac:dyDescent="0.25">
      <c r="I750" s="37"/>
      <c r="J750" s="35"/>
    </row>
    <row r="751" spans="9:10" x14ac:dyDescent="0.25">
      <c r="I751" s="37"/>
      <c r="J751" s="35"/>
    </row>
    <row r="752" spans="9:10" x14ac:dyDescent="0.25">
      <c r="I752" s="37"/>
      <c r="J752" s="35"/>
    </row>
    <row r="753" spans="9:10" x14ac:dyDescent="0.25">
      <c r="I753" s="37"/>
      <c r="J753" s="35"/>
    </row>
    <row r="754" spans="9:10" x14ac:dyDescent="0.25">
      <c r="I754" s="37"/>
      <c r="J754" s="35"/>
    </row>
    <row r="755" spans="9:10" x14ac:dyDescent="0.25">
      <c r="I755" s="37"/>
      <c r="J755" s="35"/>
    </row>
    <row r="756" spans="9:10" x14ac:dyDescent="0.25">
      <c r="I756" s="37"/>
      <c r="J756" s="35"/>
    </row>
    <row r="757" spans="9:10" x14ac:dyDescent="0.25">
      <c r="I757" s="37"/>
      <c r="J757" s="35"/>
    </row>
    <row r="758" spans="9:10" x14ac:dyDescent="0.25">
      <c r="I758" s="37"/>
      <c r="J758" s="35"/>
    </row>
    <row r="759" spans="9:10" x14ac:dyDescent="0.25">
      <c r="I759" s="37"/>
      <c r="J759" s="35"/>
    </row>
    <row r="760" spans="9:10" x14ac:dyDescent="0.25">
      <c r="I760" s="37"/>
      <c r="J760" s="35"/>
    </row>
    <row r="761" spans="9:10" x14ac:dyDescent="0.25">
      <c r="I761" s="37"/>
      <c r="J761" s="35"/>
    </row>
    <row r="762" spans="9:10" x14ac:dyDescent="0.25">
      <c r="I762" s="37"/>
      <c r="J762" s="35"/>
    </row>
    <row r="763" spans="9:10" x14ac:dyDescent="0.25">
      <c r="I763" s="37"/>
      <c r="J763" s="35"/>
    </row>
    <row r="764" spans="9:10" x14ac:dyDescent="0.25">
      <c r="I764" s="37"/>
      <c r="J764" s="35"/>
    </row>
    <row r="765" spans="9:10" x14ac:dyDescent="0.25">
      <c r="I765" s="37"/>
      <c r="J765" s="35"/>
    </row>
    <row r="766" spans="9:10" x14ac:dyDescent="0.25">
      <c r="I766" s="37"/>
      <c r="J766" s="35"/>
    </row>
    <row r="767" spans="9:10" x14ac:dyDescent="0.25">
      <c r="I767" s="37"/>
      <c r="J767" s="35"/>
    </row>
    <row r="768" spans="9:10" x14ac:dyDescent="0.25">
      <c r="I768" s="37"/>
      <c r="J768" s="35"/>
    </row>
    <row r="769" spans="9:10" x14ac:dyDescent="0.25">
      <c r="I769" s="37"/>
      <c r="J769" s="35"/>
    </row>
    <row r="770" spans="9:10" x14ac:dyDescent="0.25">
      <c r="I770" s="37"/>
      <c r="J770" s="35"/>
    </row>
    <row r="771" spans="9:10" x14ac:dyDescent="0.25">
      <c r="I771" s="37"/>
      <c r="J771" s="35"/>
    </row>
    <row r="772" spans="9:10" x14ac:dyDescent="0.25">
      <c r="I772" s="37"/>
      <c r="J772" s="35"/>
    </row>
    <row r="773" spans="9:10" x14ac:dyDescent="0.25">
      <c r="I773" s="37"/>
      <c r="J773" s="35"/>
    </row>
    <row r="774" spans="9:10" x14ac:dyDescent="0.25">
      <c r="I774" s="37"/>
      <c r="J774" s="35"/>
    </row>
    <row r="775" spans="9:10" x14ac:dyDescent="0.25">
      <c r="I775" s="37"/>
      <c r="J775" s="35"/>
    </row>
    <row r="776" spans="9:10" x14ac:dyDescent="0.25">
      <c r="I776" s="37"/>
      <c r="J776" s="35"/>
    </row>
    <row r="777" spans="9:10" x14ac:dyDescent="0.25">
      <c r="I777" s="37"/>
      <c r="J777" s="35"/>
    </row>
    <row r="778" spans="9:10" x14ac:dyDescent="0.25">
      <c r="I778" s="37"/>
      <c r="J778" s="35"/>
    </row>
    <row r="779" spans="9:10" x14ac:dyDescent="0.25">
      <c r="I779" s="37"/>
      <c r="J779" s="35"/>
    </row>
    <row r="780" spans="9:10" x14ac:dyDescent="0.25">
      <c r="I780" s="37"/>
      <c r="J780" s="35"/>
    </row>
    <row r="781" spans="9:10" x14ac:dyDescent="0.25">
      <c r="I781" s="37"/>
      <c r="J781" s="35"/>
    </row>
    <row r="782" spans="9:10" x14ac:dyDescent="0.25">
      <c r="I782" s="37"/>
      <c r="J782" s="35"/>
    </row>
    <row r="783" spans="9:10" x14ac:dyDescent="0.25">
      <c r="I783" s="37"/>
      <c r="J783" s="35"/>
    </row>
    <row r="784" spans="9:10" x14ac:dyDescent="0.25">
      <c r="I784" s="37"/>
      <c r="J784" s="35"/>
    </row>
    <row r="785" spans="9:10" x14ac:dyDescent="0.25">
      <c r="I785" s="37"/>
      <c r="J785" s="35"/>
    </row>
    <row r="786" spans="9:10" x14ac:dyDescent="0.25">
      <c r="I786" s="37"/>
      <c r="J786" s="35"/>
    </row>
    <row r="787" spans="9:10" x14ac:dyDescent="0.25">
      <c r="I787" s="37"/>
      <c r="J787" s="35"/>
    </row>
    <row r="788" spans="9:10" x14ac:dyDescent="0.25">
      <c r="I788" s="37"/>
      <c r="J788" s="35"/>
    </row>
    <row r="789" spans="9:10" x14ac:dyDescent="0.25">
      <c r="I789" s="37"/>
      <c r="J789" s="35"/>
    </row>
    <row r="790" spans="9:10" x14ac:dyDescent="0.25">
      <c r="I790" s="37"/>
      <c r="J790" s="35"/>
    </row>
    <row r="791" spans="9:10" x14ac:dyDescent="0.25">
      <c r="I791" s="37"/>
      <c r="J791" s="35"/>
    </row>
    <row r="792" spans="9:10" x14ac:dyDescent="0.25">
      <c r="I792" s="37"/>
      <c r="J792" s="35"/>
    </row>
    <row r="793" spans="9:10" x14ac:dyDescent="0.25">
      <c r="I793" s="37"/>
      <c r="J793" s="35"/>
    </row>
    <row r="794" spans="9:10" x14ac:dyDescent="0.25">
      <c r="I794" s="37"/>
      <c r="J794" s="35"/>
    </row>
    <row r="795" spans="9:10" x14ac:dyDescent="0.25">
      <c r="I795" s="37"/>
      <c r="J795" s="35"/>
    </row>
    <row r="796" spans="9:10" x14ac:dyDescent="0.25">
      <c r="I796" s="37"/>
      <c r="J796" s="35"/>
    </row>
    <row r="797" spans="9:10" x14ac:dyDescent="0.25">
      <c r="I797" s="37"/>
      <c r="J797" s="35"/>
    </row>
    <row r="798" spans="9:10" x14ac:dyDescent="0.25">
      <c r="I798" s="37"/>
      <c r="J798" s="35"/>
    </row>
    <row r="799" spans="9:10" x14ac:dyDescent="0.25">
      <c r="I799" s="37"/>
      <c r="J799" s="35"/>
    </row>
    <row r="800" spans="9:10" x14ac:dyDescent="0.25">
      <c r="I800" s="37"/>
      <c r="J800" s="35"/>
    </row>
    <row r="801" spans="9:10" x14ac:dyDescent="0.25">
      <c r="I801" s="37"/>
      <c r="J801" s="35"/>
    </row>
    <row r="802" spans="9:10" x14ac:dyDescent="0.25">
      <c r="I802" s="37"/>
      <c r="J802" s="35"/>
    </row>
    <row r="803" spans="9:10" x14ac:dyDescent="0.25">
      <c r="I803" s="37"/>
      <c r="J803" s="35"/>
    </row>
    <row r="804" spans="9:10" x14ac:dyDescent="0.25">
      <c r="I804" s="37"/>
      <c r="J804" s="35"/>
    </row>
    <row r="805" spans="9:10" x14ac:dyDescent="0.25">
      <c r="I805" s="37"/>
      <c r="J805" s="35"/>
    </row>
    <row r="806" spans="9:10" x14ac:dyDescent="0.25">
      <c r="I806" s="37"/>
      <c r="J806" s="35"/>
    </row>
    <row r="807" spans="9:10" x14ac:dyDescent="0.25">
      <c r="I807" s="37"/>
      <c r="J807" s="35"/>
    </row>
    <row r="808" spans="9:10" x14ac:dyDescent="0.25">
      <c r="I808" s="37"/>
      <c r="J808" s="35"/>
    </row>
    <row r="809" spans="9:10" x14ac:dyDescent="0.25">
      <c r="I809" s="37"/>
      <c r="J809" s="35"/>
    </row>
    <row r="810" spans="9:10" x14ac:dyDescent="0.25">
      <c r="I810" s="37"/>
      <c r="J810" s="35"/>
    </row>
    <row r="811" spans="9:10" x14ac:dyDescent="0.25">
      <c r="I811" s="37"/>
      <c r="J811" s="35"/>
    </row>
    <row r="812" spans="9:10" x14ac:dyDescent="0.25">
      <c r="I812" s="37"/>
      <c r="J812" s="35"/>
    </row>
    <row r="813" spans="9:10" x14ac:dyDescent="0.25">
      <c r="I813" s="37"/>
      <c r="J813" s="35"/>
    </row>
    <row r="814" spans="9:10" x14ac:dyDescent="0.25">
      <c r="I814" s="37"/>
      <c r="J814" s="35"/>
    </row>
    <row r="815" spans="9:10" x14ac:dyDescent="0.25">
      <c r="I815" s="37"/>
      <c r="J815" s="35"/>
    </row>
    <row r="816" spans="9:10" x14ac:dyDescent="0.25">
      <c r="I816" s="37"/>
      <c r="J816" s="35"/>
    </row>
    <row r="817" spans="9:10" x14ac:dyDescent="0.25">
      <c r="I817" s="37"/>
      <c r="J817" s="35"/>
    </row>
    <row r="818" spans="9:10" x14ac:dyDescent="0.25">
      <c r="I818" s="37"/>
      <c r="J818" s="35"/>
    </row>
    <row r="819" spans="9:10" x14ac:dyDescent="0.25">
      <c r="I819" s="37"/>
      <c r="J819" s="35"/>
    </row>
    <row r="820" spans="9:10" x14ac:dyDescent="0.25">
      <c r="I820" s="37"/>
      <c r="J820" s="35"/>
    </row>
    <row r="821" spans="9:10" x14ac:dyDescent="0.25">
      <c r="I821" s="37"/>
      <c r="J821" s="35"/>
    </row>
    <row r="822" spans="9:10" x14ac:dyDescent="0.25">
      <c r="I822" s="37"/>
      <c r="J822" s="35"/>
    </row>
    <row r="823" spans="9:10" x14ac:dyDescent="0.25">
      <c r="I823" s="37"/>
      <c r="J823" s="35"/>
    </row>
    <row r="824" spans="9:10" x14ac:dyDescent="0.25">
      <c r="I824" s="37"/>
      <c r="J824" s="35"/>
    </row>
    <row r="825" spans="9:10" x14ac:dyDescent="0.25">
      <c r="I825" s="37"/>
      <c r="J825" s="35"/>
    </row>
    <row r="826" spans="9:10" x14ac:dyDescent="0.25">
      <c r="I826" s="37"/>
      <c r="J826" s="35"/>
    </row>
    <row r="827" spans="9:10" x14ac:dyDescent="0.25">
      <c r="I827" s="37"/>
      <c r="J827" s="35"/>
    </row>
    <row r="828" spans="9:10" x14ac:dyDescent="0.25">
      <c r="I828" s="37"/>
      <c r="J828" s="35"/>
    </row>
    <row r="829" spans="9:10" x14ac:dyDescent="0.25">
      <c r="I829" s="37"/>
      <c r="J829" s="35"/>
    </row>
    <row r="830" spans="9:10" x14ac:dyDescent="0.25">
      <c r="I830" s="37"/>
      <c r="J830" s="35"/>
    </row>
    <row r="831" spans="9:10" x14ac:dyDescent="0.25">
      <c r="I831" s="37"/>
      <c r="J831" s="35"/>
    </row>
    <row r="832" spans="9:10" x14ac:dyDescent="0.25">
      <c r="I832" s="37"/>
      <c r="J832" s="35"/>
    </row>
    <row r="833" spans="9:10" x14ac:dyDescent="0.25">
      <c r="I833" s="37"/>
      <c r="J833" s="35"/>
    </row>
    <row r="834" spans="9:10" x14ac:dyDescent="0.25">
      <c r="I834" s="37"/>
      <c r="J834" s="35"/>
    </row>
    <row r="835" spans="9:10" x14ac:dyDescent="0.25">
      <c r="I835" s="37"/>
      <c r="J835" s="35"/>
    </row>
    <row r="836" spans="9:10" x14ac:dyDescent="0.25">
      <c r="I836" s="37"/>
      <c r="J836" s="35"/>
    </row>
    <row r="837" spans="9:10" x14ac:dyDescent="0.25">
      <c r="I837" s="37"/>
      <c r="J837" s="35"/>
    </row>
    <row r="838" spans="9:10" x14ac:dyDescent="0.25">
      <c r="I838" s="37"/>
      <c r="J838" s="35"/>
    </row>
    <row r="839" spans="9:10" x14ac:dyDescent="0.25">
      <c r="I839" s="37"/>
      <c r="J839" s="35"/>
    </row>
    <row r="840" spans="9:10" x14ac:dyDescent="0.25">
      <c r="I840" s="37"/>
      <c r="J840" s="35"/>
    </row>
    <row r="841" spans="9:10" x14ac:dyDescent="0.25">
      <c r="I841" s="37"/>
      <c r="J841" s="35"/>
    </row>
    <row r="842" spans="9:10" x14ac:dyDescent="0.25">
      <c r="I842" s="37"/>
      <c r="J842" s="35"/>
    </row>
    <row r="843" spans="9:10" x14ac:dyDescent="0.25">
      <c r="I843" s="37"/>
      <c r="J843" s="35"/>
    </row>
    <row r="844" spans="9:10" x14ac:dyDescent="0.25">
      <c r="I844" s="37"/>
      <c r="J844" s="35"/>
    </row>
    <row r="845" spans="9:10" x14ac:dyDescent="0.25">
      <c r="I845" s="37"/>
      <c r="J845" s="35"/>
    </row>
    <row r="846" spans="9:10" x14ac:dyDescent="0.25">
      <c r="I846" s="37"/>
      <c r="J846" s="35"/>
    </row>
    <row r="847" spans="9:10" x14ac:dyDescent="0.25">
      <c r="I847" s="37"/>
      <c r="J847" s="35"/>
    </row>
    <row r="848" spans="9:10" x14ac:dyDescent="0.25">
      <c r="I848" s="37"/>
      <c r="J848" s="35"/>
    </row>
    <row r="849" spans="9:10" x14ac:dyDescent="0.25">
      <c r="I849" s="37"/>
      <c r="J849" s="35"/>
    </row>
    <row r="850" spans="9:10" x14ac:dyDescent="0.25">
      <c r="I850" s="37"/>
      <c r="J850" s="35"/>
    </row>
    <row r="851" spans="9:10" x14ac:dyDescent="0.25">
      <c r="I851" s="37"/>
      <c r="J851" s="35"/>
    </row>
    <row r="852" spans="9:10" x14ac:dyDescent="0.25">
      <c r="I852" s="37"/>
      <c r="J852" s="35"/>
    </row>
    <row r="853" spans="9:10" x14ac:dyDescent="0.25">
      <c r="I853" s="37"/>
      <c r="J853" s="35"/>
    </row>
    <row r="854" spans="9:10" x14ac:dyDescent="0.25">
      <c r="I854" s="37"/>
      <c r="J854" s="35"/>
    </row>
    <row r="855" spans="9:10" x14ac:dyDescent="0.25">
      <c r="I855" s="37"/>
      <c r="J855" s="35"/>
    </row>
    <row r="856" spans="9:10" x14ac:dyDescent="0.25">
      <c r="I856" s="37"/>
      <c r="J856" s="35"/>
    </row>
    <row r="857" spans="9:10" x14ac:dyDescent="0.25">
      <c r="I857" s="37"/>
      <c r="J857" s="35"/>
    </row>
    <row r="858" spans="9:10" x14ac:dyDescent="0.25">
      <c r="I858" s="37"/>
      <c r="J858" s="35"/>
    </row>
    <row r="859" spans="9:10" x14ac:dyDescent="0.25">
      <c r="I859" s="37"/>
      <c r="J859" s="35"/>
    </row>
    <row r="860" spans="9:10" x14ac:dyDescent="0.25">
      <c r="I860" s="37"/>
      <c r="J860" s="35"/>
    </row>
    <row r="861" spans="9:10" x14ac:dyDescent="0.25">
      <c r="I861" s="37"/>
      <c r="J861" s="35"/>
    </row>
    <row r="862" spans="9:10" x14ac:dyDescent="0.25">
      <c r="I862" s="37"/>
      <c r="J862" s="35"/>
    </row>
    <row r="863" spans="9:10" x14ac:dyDescent="0.25">
      <c r="I863" s="37"/>
      <c r="J863" s="35"/>
    </row>
    <row r="864" spans="9:10" x14ac:dyDescent="0.25">
      <c r="I864" s="37"/>
      <c r="J864" s="35"/>
    </row>
    <row r="865" spans="9:10" x14ac:dyDescent="0.25">
      <c r="I865" s="37"/>
      <c r="J865" s="35"/>
    </row>
    <row r="866" spans="9:10" x14ac:dyDescent="0.25">
      <c r="I866" s="37"/>
      <c r="J866" s="35"/>
    </row>
    <row r="867" spans="9:10" x14ac:dyDescent="0.25">
      <c r="I867" s="37"/>
      <c r="J867" s="35"/>
    </row>
    <row r="868" spans="9:10" x14ac:dyDescent="0.25">
      <c r="I868" s="37"/>
      <c r="J868" s="35"/>
    </row>
    <row r="869" spans="9:10" x14ac:dyDescent="0.25">
      <c r="I869" s="37"/>
      <c r="J869" s="35"/>
    </row>
    <row r="870" spans="9:10" x14ac:dyDescent="0.25">
      <c r="I870" s="37"/>
      <c r="J870" s="35"/>
    </row>
    <row r="871" spans="9:10" x14ac:dyDescent="0.25">
      <c r="I871" s="37"/>
      <c r="J871" s="35"/>
    </row>
    <row r="872" spans="9:10" x14ac:dyDescent="0.25">
      <c r="I872" s="37"/>
      <c r="J872" s="35"/>
    </row>
    <row r="873" spans="9:10" x14ac:dyDescent="0.25">
      <c r="I873" s="37"/>
      <c r="J873" s="35"/>
    </row>
    <row r="874" spans="9:10" x14ac:dyDescent="0.25">
      <c r="I874" s="37"/>
      <c r="J874" s="35"/>
    </row>
    <row r="875" spans="9:10" x14ac:dyDescent="0.25">
      <c r="I875" s="37"/>
      <c r="J875" s="35"/>
    </row>
    <row r="876" spans="9:10" x14ac:dyDescent="0.25">
      <c r="I876" s="37"/>
      <c r="J876" s="35"/>
    </row>
    <row r="877" spans="9:10" x14ac:dyDescent="0.25">
      <c r="I877" s="37"/>
      <c r="J877" s="35"/>
    </row>
    <row r="878" spans="9:10" x14ac:dyDescent="0.25">
      <c r="I878" s="37"/>
      <c r="J878" s="35"/>
    </row>
    <row r="879" spans="9:10" x14ac:dyDescent="0.25">
      <c r="I879" s="37"/>
      <c r="J879" s="35"/>
    </row>
    <row r="880" spans="9:10" x14ac:dyDescent="0.25">
      <c r="I880" s="37"/>
      <c r="J880" s="35"/>
    </row>
    <row r="881" spans="9:10" x14ac:dyDescent="0.25">
      <c r="I881" s="37"/>
      <c r="J881" s="35"/>
    </row>
    <row r="882" spans="9:10" x14ac:dyDescent="0.25">
      <c r="I882" s="37"/>
      <c r="J882" s="35"/>
    </row>
    <row r="883" spans="9:10" x14ac:dyDescent="0.25">
      <c r="I883" s="37"/>
      <c r="J883" s="35"/>
    </row>
    <row r="884" spans="9:10" x14ac:dyDescent="0.25">
      <c r="I884" s="37"/>
      <c r="J884" s="35"/>
    </row>
    <row r="885" spans="9:10" x14ac:dyDescent="0.25">
      <c r="I885" s="37"/>
      <c r="J885" s="35"/>
    </row>
    <row r="886" spans="9:10" x14ac:dyDescent="0.25">
      <c r="I886" s="37"/>
      <c r="J886" s="35"/>
    </row>
    <row r="887" spans="9:10" x14ac:dyDescent="0.25">
      <c r="I887" s="37"/>
      <c r="J887" s="35"/>
    </row>
    <row r="888" spans="9:10" x14ac:dyDescent="0.25">
      <c r="I888" s="37"/>
      <c r="J888" s="35"/>
    </row>
    <row r="889" spans="9:10" x14ac:dyDescent="0.25">
      <c r="I889" s="37"/>
      <c r="J889" s="35"/>
    </row>
    <row r="890" spans="9:10" x14ac:dyDescent="0.25">
      <c r="I890" s="37"/>
      <c r="J890" s="35"/>
    </row>
    <row r="891" spans="9:10" x14ac:dyDescent="0.25">
      <c r="I891" s="37"/>
      <c r="J891" s="35"/>
    </row>
    <row r="892" spans="9:10" x14ac:dyDescent="0.25">
      <c r="I892" s="37"/>
      <c r="J892" s="35"/>
    </row>
    <row r="893" spans="9:10" x14ac:dyDescent="0.25">
      <c r="I893" s="37"/>
      <c r="J893" s="35"/>
    </row>
    <row r="894" spans="9:10" x14ac:dyDescent="0.25">
      <c r="I894" s="37"/>
      <c r="J894" s="35"/>
    </row>
    <row r="895" spans="9:10" x14ac:dyDescent="0.25">
      <c r="I895" s="37"/>
      <c r="J895" s="35"/>
    </row>
    <row r="896" spans="9:10" x14ac:dyDescent="0.25">
      <c r="I896" s="37"/>
      <c r="J896" s="35"/>
    </row>
    <row r="897" spans="9:10" x14ac:dyDescent="0.25">
      <c r="I897" s="37"/>
      <c r="J897" s="35"/>
    </row>
    <row r="898" spans="9:10" x14ac:dyDescent="0.25">
      <c r="I898" s="37"/>
      <c r="J898" s="35"/>
    </row>
    <row r="899" spans="9:10" x14ac:dyDescent="0.25">
      <c r="I899" s="37"/>
      <c r="J899" s="35"/>
    </row>
    <row r="900" spans="9:10" x14ac:dyDescent="0.25">
      <c r="I900" s="37"/>
      <c r="J900" s="35"/>
    </row>
    <row r="901" spans="9:10" x14ac:dyDescent="0.25">
      <c r="I901" s="37"/>
      <c r="J901" s="35"/>
    </row>
    <row r="902" spans="9:10" x14ac:dyDescent="0.25">
      <c r="I902" s="37"/>
      <c r="J902" s="35"/>
    </row>
    <row r="903" spans="9:10" x14ac:dyDescent="0.25">
      <c r="I903" s="37"/>
      <c r="J903" s="35"/>
    </row>
    <row r="904" spans="9:10" x14ac:dyDescent="0.25">
      <c r="I904" s="37"/>
      <c r="J904" s="35"/>
    </row>
    <row r="905" spans="9:10" x14ac:dyDescent="0.25">
      <c r="I905" s="37"/>
      <c r="J905" s="35"/>
    </row>
    <row r="906" spans="9:10" x14ac:dyDescent="0.25">
      <c r="I906" s="37"/>
      <c r="J906" s="35"/>
    </row>
    <row r="907" spans="9:10" x14ac:dyDescent="0.25">
      <c r="I907" s="37"/>
      <c r="J907" s="35"/>
    </row>
    <row r="908" spans="9:10" x14ac:dyDescent="0.25">
      <c r="I908" s="37"/>
      <c r="J908" s="35"/>
    </row>
    <row r="909" spans="9:10" x14ac:dyDescent="0.25">
      <c r="I909" s="37"/>
      <c r="J909" s="35"/>
    </row>
    <row r="910" spans="9:10" x14ac:dyDescent="0.25">
      <c r="I910" s="37"/>
      <c r="J910" s="35"/>
    </row>
    <row r="911" spans="9:10" x14ac:dyDescent="0.25">
      <c r="I911" s="37"/>
      <c r="J911" s="35"/>
    </row>
    <row r="912" spans="9:10" x14ac:dyDescent="0.25">
      <c r="I912" s="37"/>
      <c r="J912" s="35"/>
    </row>
    <row r="913" spans="9:10" x14ac:dyDescent="0.25">
      <c r="I913" s="37"/>
      <c r="J913" s="35"/>
    </row>
    <row r="914" spans="9:10" x14ac:dyDescent="0.25">
      <c r="I914" s="37"/>
      <c r="J914" s="35"/>
    </row>
    <row r="915" spans="9:10" x14ac:dyDescent="0.25">
      <c r="I915" s="37"/>
      <c r="J915" s="35"/>
    </row>
    <row r="916" spans="9:10" x14ac:dyDescent="0.25">
      <c r="I916" s="37"/>
      <c r="J916" s="35"/>
    </row>
    <row r="917" spans="9:10" x14ac:dyDescent="0.25">
      <c r="I917" s="37"/>
      <c r="J917" s="35"/>
    </row>
    <row r="918" spans="9:10" x14ac:dyDescent="0.25">
      <c r="I918" s="37"/>
      <c r="J918" s="35"/>
    </row>
    <row r="919" spans="9:10" x14ac:dyDescent="0.25">
      <c r="I919" s="37"/>
      <c r="J919" s="35"/>
    </row>
    <row r="920" spans="9:10" x14ac:dyDescent="0.25">
      <c r="I920" s="37"/>
      <c r="J920" s="35"/>
    </row>
    <row r="921" spans="9:10" x14ac:dyDescent="0.25">
      <c r="I921" s="37"/>
      <c r="J921" s="35"/>
    </row>
    <row r="922" spans="9:10" x14ac:dyDescent="0.25">
      <c r="I922" s="37"/>
      <c r="J922" s="35"/>
    </row>
    <row r="923" spans="9:10" x14ac:dyDescent="0.25">
      <c r="I923" s="37"/>
      <c r="J923" s="35"/>
    </row>
    <row r="924" spans="9:10" x14ac:dyDescent="0.25">
      <c r="I924" s="37"/>
      <c r="J924" s="35"/>
    </row>
    <row r="925" spans="9:10" x14ac:dyDescent="0.25">
      <c r="I925" s="37"/>
      <c r="J925" s="35"/>
    </row>
    <row r="926" spans="9:10" x14ac:dyDescent="0.25">
      <c r="I926" s="37"/>
      <c r="J926" s="35"/>
    </row>
    <row r="927" spans="9:10" x14ac:dyDescent="0.25">
      <c r="I927" s="37"/>
      <c r="J927" s="35"/>
    </row>
    <row r="928" spans="9:10" x14ac:dyDescent="0.25">
      <c r="I928" s="37"/>
      <c r="J928" s="35"/>
    </row>
    <row r="929" spans="9:10" x14ac:dyDescent="0.25">
      <c r="I929" s="37"/>
      <c r="J929" s="35"/>
    </row>
    <row r="930" spans="9:10" x14ac:dyDescent="0.25">
      <c r="I930" s="37"/>
      <c r="J930" s="35"/>
    </row>
    <row r="931" spans="9:10" x14ac:dyDescent="0.25">
      <c r="I931" s="37"/>
      <c r="J931" s="35"/>
    </row>
    <row r="932" spans="9:10" x14ac:dyDescent="0.25">
      <c r="I932" s="37"/>
      <c r="J932" s="35"/>
    </row>
    <row r="933" spans="9:10" x14ac:dyDescent="0.25">
      <c r="I933" s="37"/>
      <c r="J933" s="35"/>
    </row>
    <row r="934" spans="9:10" x14ac:dyDescent="0.25">
      <c r="I934" s="37"/>
      <c r="J934" s="35"/>
    </row>
    <row r="935" spans="9:10" x14ac:dyDescent="0.25">
      <c r="I935" s="37"/>
      <c r="J935" s="35"/>
    </row>
    <row r="936" spans="9:10" x14ac:dyDescent="0.25">
      <c r="I936" s="37"/>
      <c r="J936" s="35"/>
    </row>
    <row r="937" spans="9:10" x14ac:dyDescent="0.25">
      <c r="I937" s="37"/>
      <c r="J937" s="35"/>
    </row>
    <row r="938" spans="9:10" x14ac:dyDescent="0.25">
      <c r="I938" s="37"/>
      <c r="J938" s="35"/>
    </row>
    <row r="939" spans="9:10" x14ac:dyDescent="0.25">
      <c r="I939" s="37"/>
      <c r="J939" s="35"/>
    </row>
    <row r="940" spans="9:10" x14ac:dyDescent="0.25">
      <c r="I940" s="37"/>
      <c r="J940" s="35"/>
    </row>
    <row r="941" spans="9:10" x14ac:dyDescent="0.25">
      <c r="I941" s="37"/>
      <c r="J941" s="35"/>
    </row>
    <row r="942" spans="9:10" x14ac:dyDescent="0.25">
      <c r="I942" s="37"/>
      <c r="J942" s="35"/>
    </row>
    <row r="943" spans="9:10" x14ac:dyDescent="0.25">
      <c r="I943" s="37"/>
      <c r="J943" s="35"/>
    </row>
    <row r="944" spans="9:10" x14ac:dyDescent="0.25">
      <c r="I944" s="37"/>
      <c r="J944" s="35"/>
    </row>
    <row r="945" spans="9:10" x14ac:dyDescent="0.25">
      <c r="I945" s="37"/>
      <c r="J945" s="35"/>
    </row>
    <row r="946" spans="9:10" x14ac:dyDescent="0.25">
      <c r="I946" s="37"/>
      <c r="J946" s="35"/>
    </row>
    <row r="947" spans="9:10" x14ac:dyDescent="0.25">
      <c r="I947" s="37"/>
      <c r="J947" s="35"/>
    </row>
    <row r="948" spans="9:10" x14ac:dyDescent="0.25">
      <c r="I948" s="37"/>
      <c r="J948" s="35"/>
    </row>
    <row r="949" spans="9:10" x14ac:dyDescent="0.25">
      <c r="I949" s="37"/>
      <c r="J949" s="35"/>
    </row>
    <row r="950" spans="9:10" x14ac:dyDescent="0.25">
      <c r="I950" s="37"/>
      <c r="J950" s="35"/>
    </row>
    <row r="951" spans="9:10" x14ac:dyDescent="0.25">
      <c r="I951" s="37"/>
      <c r="J951" s="35"/>
    </row>
    <row r="952" spans="9:10" x14ac:dyDescent="0.25">
      <c r="I952" s="37"/>
      <c r="J952" s="35"/>
    </row>
    <row r="953" spans="9:10" x14ac:dyDescent="0.25">
      <c r="I953" s="37"/>
      <c r="J953" s="35"/>
    </row>
    <row r="954" spans="9:10" x14ac:dyDescent="0.25">
      <c r="I954" s="37"/>
      <c r="J954" s="35"/>
    </row>
    <row r="955" spans="9:10" x14ac:dyDescent="0.25">
      <c r="I955" s="37"/>
      <c r="J955" s="35"/>
    </row>
    <row r="956" spans="9:10" x14ac:dyDescent="0.25">
      <c r="I956" s="37"/>
      <c r="J956" s="35"/>
    </row>
    <row r="957" spans="9:10" x14ac:dyDescent="0.25">
      <c r="I957" s="37"/>
      <c r="J957" s="35"/>
    </row>
    <row r="958" spans="9:10" x14ac:dyDescent="0.25">
      <c r="I958" s="37"/>
      <c r="J958" s="35"/>
    </row>
    <row r="959" spans="9:10" x14ac:dyDescent="0.25">
      <c r="I959" s="37"/>
      <c r="J959" s="35"/>
    </row>
    <row r="960" spans="9:10" x14ac:dyDescent="0.25">
      <c r="I960" s="37"/>
      <c r="J960" s="35"/>
    </row>
    <row r="961" spans="9:10" x14ac:dyDescent="0.25">
      <c r="I961" s="37"/>
      <c r="J961" s="35"/>
    </row>
    <row r="962" spans="9:10" x14ac:dyDescent="0.25">
      <c r="I962" s="37"/>
      <c r="J962" s="35"/>
    </row>
    <row r="963" spans="9:10" x14ac:dyDescent="0.25">
      <c r="I963" s="37"/>
      <c r="J963" s="35"/>
    </row>
    <row r="964" spans="9:10" x14ac:dyDescent="0.25">
      <c r="I964" s="37"/>
      <c r="J964" s="35"/>
    </row>
    <row r="965" spans="9:10" x14ac:dyDescent="0.25">
      <c r="I965" s="37"/>
      <c r="J965" s="35"/>
    </row>
    <row r="966" spans="9:10" x14ac:dyDescent="0.25">
      <c r="I966" s="37"/>
      <c r="J966" s="35"/>
    </row>
    <row r="967" spans="9:10" x14ac:dyDescent="0.25">
      <c r="I967" s="37"/>
      <c r="J967" s="35"/>
    </row>
    <row r="968" spans="9:10" x14ac:dyDescent="0.25">
      <c r="I968" s="37"/>
      <c r="J968" s="35"/>
    </row>
    <row r="969" spans="9:10" x14ac:dyDescent="0.25">
      <c r="I969" s="37"/>
      <c r="J969" s="35"/>
    </row>
    <row r="970" spans="9:10" x14ac:dyDescent="0.25">
      <c r="I970" s="37"/>
      <c r="J970" s="35"/>
    </row>
    <row r="971" spans="9:10" x14ac:dyDescent="0.25">
      <c r="I971" s="37"/>
      <c r="J971" s="35"/>
    </row>
    <row r="972" spans="9:10" x14ac:dyDescent="0.25">
      <c r="I972" s="37"/>
      <c r="J972" s="35"/>
    </row>
    <row r="973" spans="9:10" x14ac:dyDescent="0.25">
      <c r="I973" s="37"/>
      <c r="J973" s="35"/>
    </row>
    <row r="974" spans="9:10" x14ac:dyDescent="0.25">
      <c r="I974" s="37"/>
      <c r="J974" s="35"/>
    </row>
    <row r="975" spans="9:10" x14ac:dyDescent="0.25">
      <c r="I975" s="37"/>
      <c r="J975" s="35"/>
    </row>
    <row r="976" spans="9:10" x14ac:dyDescent="0.25">
      <c r="I976" s="37"/>
      <c r="J976" s="35"/>
    </row>
    <row r="977" spans="9:10" x14ac:dyDescent="0.25">
      <c r="I977" s="37"/>
      <c r="J977" s="35"/>
    </row>
    <row r="978" spans="9:10" x14ac:dyDescent="0.25">
      <c r="I978" s="37"/>
      <c r="J978" s="35"/>
    </row>
    <row r="979" spans="9:10" x14ac:dyDescent="0.25">
      <c r="I979" s="37"/>
      <c r="J979" s="35"/>
    </row>
    <row r="980" spans="9:10" x14ac:dyDescent="0.25">
      <c r="I980" s="37"/>
      <c r="J980" s="35"/>
    </row>
    <row r="981" spans="9:10" x14ac:dyDescent="0.25">
      <c r="I981" s="37"/>
      <c r="J981" s="35"/>
    </row>
    <row r="982" spans="9:10" x14ac:dyDescent="0.25">
      <c r="I982" s="37"/>
      <c r="J982" s="35"/>
    </row>
    <row r="983" spans="9:10" x14ac:dyDescent="0.25">
      <c r="I983" s="37"/>
      <c r="J983" s="35"/>
    </row>
    <row r="984" spans="9:10" x14ac:dyDescent="0.25">
      <c r="I984" s="37"/>
      <c r="J984" s="35"/>
    </row>
    <row r="985" spans="9:10" x14ac:dyDescent="0.25">
      <c r="I985" s="37"/>
      <c r="J985" s="35"/>
    </row>
    <row r="986" spans="9:10" x14ac:dyDescent="0.25">
      <c r="I986" s="37"/>
      <c r="J986" s="35"/>
    </row>
    <row r="987" spans="9:10" x14ac:dyDescent="0.25">
      <c r="I987" s="37"/>
      <c r="J987" s="35"/>
    </row>
    <row r="988" spans="9:10" x14ac:dyDescent="0.25">
      <c r="I988" s="37"/>
      <c r="J988" s="35"/>
    </row>
    <row r="989" spans="9:10" x14ac:dyDescent="0.25">
      <c r="I989" s="37"/>
      <c r="J989" s="35"/>
    </row>
    <row r="990" spans="9:10" x14ac:dyDescent="0.25">
      <c r="I990" s="37"/>
      <c r="J990" s="35"/>
    </row>
    <row r="991" spans="9:10" x14ac:dyDescent="0.25">
      <c r="I991" s="37"/>
      <c r="J991" s="35"/>
    </row>
    <row r="992" spans="9:10" x14ac:dyDescent="0.25">
      <c r="I992" s="37"/>
      <c r="J992" s="35"/>
    </row>
    <row r="993" spans="9:10" x14ac:dyDescent="0.25">
      <c r="I993" s="37"/>
      <c r="J993" s="35"/>
    </row>
    <row r="994" spans="9:10" x14ac:dyDescent="0.25">
      <c r="I994" s="37"/>
      <c r="J994" s="35"/>
    </row>
    <row r="995" spans="9:10" x14ac:dyDescent="0.25">
      <c r="I995" s="37"/>
      <c r="J995" s="35"/>
    </row>
    <row r="996" spans="9:10" x14ac:dyDescent="0.25">
      <c r="I996" s="37"/>
      <c r="J996" s="35"/>
    </row>
    <row r="997" spans="9:10" x14ac:dyDescent="0.25">
      <c r="I997" s="37"/>
      <c r="J997" s="35"/>
    </row>
    <row r="998" spans="9:10" x14ac:dyDescent="0.25">
      <c r="I998" s="37"/>
      <c r="J998" s="35"/>
    </row>
    <row r="999" spans="9:10" x14ac:dyDescent="0.25">
      <c r="I999" s="37"/>
      <c r="J999" s="35"/>
    </row>
    <row r="1000" spans="9:10" x14ac:dyDescent="0.25">
      <c r="I1000" s="37"/>
      <c r="J1000" s="35"/>
    </row>
    <row r="1001" spans="9:10" x14ac:dyDescent="0.25">
      <c r="I1001" s="37"/>
      <c r="J1001" s="35"/>
    </row>
    <row r="1002" spans="9:10" x14ac:dyDescent="0.25">
      <c r="I1002" s="37"/>
      <c r="J1002" s="35"/>
    </row>
    <row r="1003" spans="9:10" x14ac:dyDescent="0.25">
      <c r="I1003" s="37"/>
      <c r="J1003" s="35"/>
    </row>
    <row r="1004" spans="9:10" x14ac:dyDescent="0.25">
      <c r="I1004" s="37"/>
      <c r="J1004" s="35"/>
    </row>
    <row r="1005" spans="9:10" x14ac:dyDescent="0.25">
      <c r="I1005" s="37"/>
      <c r="J1005" s="35"/>
    </row>
    <row r="1006" spans="9:10" x14ac:dyDescent="0.25">
      <c r="I1006" s="37"/>
      <c r="J1006" s="35"/>
    </row>
    <row r="1007" spans="9:10" x14ac:dyDescent="0.25">
      <c r="I1007" s="37"/>
      <c r="J1007" s="35"/>
    </row>
    <row r="1008" spans="9:10" x14ac:dyDescent="0.25">
      <c r="I1008" s="37"/>
      <c r="J1008" s="35"/>
    </row>
    <row r="1009" spans="9:10" x14ac:dyDescent="0.25">
      <c r="I1009" s="37"/>
      <c r="J1009" s="35"/>
    </row>
    <row r="1010" spans="9:10" x14ac:dyDescent="0.25">
      <c r="I1010" s="37"/>
      <c r="J1010" s="35"/>
    </row>
    <row r="1011" spans="9:10" x14ac:dyDescent="0.25">
      <c r="I1011" s="37"/>
      <c r="J1011" s="35"/>
    </row>
    <row r="1012" spans="9:10" x14ac:dyDescent="0.25">
      <c r="I1012" s="37"/>
      <c r="J1012" s="35"/>
    </row>
    <row r="1013" spans="9:10" x14ac:dyDescent="0.25">
      <c r="I1013" s="37"/>
      <c r="J1013" s="35"/>
    </row>
    <row r="1014" spans="9:10" x14ac:dyDescent="0.25">
      <c r="I1014" s="37"/>
      <c r="J1014" s="35"/>
    </row>
    <row r="1015" spans="9:10" x14ac:dyDescent="0.25">
      <c r="I1015" s="37"/>
      <c r="J1015" s="35"/>
    </row>
    <row r="1016" spans="9:10" x14ac:dyDescent="0.25">
      <c r="I1016" s="37"/>
      <c r="J1016" s="35"/>
    </row>
    <row r="1017" spans="9:10" x14ac:dyDescent="0.25">
      <c r="I1017" s="37"/>
      <c r="J1017" s="35"/>
    </row>
    <row r="1018" spans="9:10" x14ac:dyDescent="0.25">
      <c r="I1018" s="37"/>
      <c r="J1018" s="35"/>
    </row>
    <row r="1019" spans="9:10" x14ac:dyDescent="0.25">
      <c r="I1019" s="37"/>
      <c r="J1019" s="35"/>
    </row>
    <row r="1020" spans="9:10" x14ac:dyDescent="0.25">
      <c r="I1020" s="37"/>
      <c r="J1020" s="35"/>
    </row>
    <row r="1021" spans="9:10" x14ac:dyDescent="0.25">
      <c r="I1021" s="37"/>
      <c r="J1021" s="35"/>
    </row>
    <row r="1022" spans="9:10" x14ac:dyDescent="0.25">
      <c r="I1022" s="37"/>
      <c r="J1022" s="35"/>
    </row>
    <row r="1023" spans="9:10" x14ac:dyDescent="0.25">
      <c r="I1023" s="37"/>
      <c r="J1023" s="35"/>
    </row>
    <row r="1024" spans="9:10" x14ac:dyDescent="0.25">
      <c r="I1024" s="37"/>
      <c r="J1024" s="35"/>
    </row>
    <row r="1025" spans="9:10" x14ac:dyDescent="0.25">
      <c r="I1025" s="37"/>
      <c r="J1025" s="35"/>
    </row>
    <row r="1026" spans="9:10" x14ac:dyDescent="0.25">
      <c r="I1026" s="37"/>
      <c r="J1026" s="35"/>
    </row>
    <row r="1027" spans="9:10" x14ac:dyDescent="0.25">
      <c r="I1027" s="37"/>
      <c r="J1027" s="35"/>
    </row>
    <row r="1028" spans="9:10" x14ac:dyDescent="0.25">
      <c r="I1028" s="37"/>
      <c r="J1028" s="35"/>
    </row>
    <row r="1029" spans="9:10" x14ac:dyDescent="0.25">
      <c r="I1029" s="37"/>
      <c r="J1029" s="35"/>
    </row>
    <row r="1030" spans="9:10" x14ac:dyDescent="0.25">
      <c r="I1030" s="37"/>
      <c r="J1030" s="35"/>
    </row>
    <row r="1031" spans="9:10" x14ac:dyDescent="0.25">
      <c r="I1031" s="37"/>
      <c r="J1031" s="35"/>
    </row>
    <row r="1032" spans="9:10" x14ac:dyDescent="0.25">
      <c r="I1032" s="37"/>
      <c r="J1032" s="35"/>
    </row>
    <row r="1033" spans="9:10" x14ac:dyDescent="0.25">
      <c r="I1033" s="37"/>
      <c r="J1033" s="35"/>
    </row>
    <row r="1034" spans="9:10" x14ac:dyDescent="0.25">
      <c r="I1034" s="37"/>
      <c r="J1034" s="35"/>
    </row>
    <row r="1035" spans="9:10" x14ac:dyDescent="0.25">
      <c r="I1035" s="37"/>
      <c r="J1035" s="35"/>
    </row>
    <row r="1036" spans="9:10" x14ac:dyDescent="0.25">
      <c r="I1036" s="37"/>
      <c r="J1036" s="35"/>
    </row>
    <row r="1037" spans="9:10" x14ac:dyDescent="0.25">
      <c r="I1037" s="37"/>
      <c r="J1037" s="35"/>
    </row>
    <row r="1038" spans="9:10" x14ac:dyDescent="0.25">
      <c r="I1038" s="37"/>
      <c r="J1038" s="35"/>
    </row>
    <row r="1039" spans="9:10" x14ac:dyDescent="0.25">
      <c r="I1039" s="37"/>
      <c r="J1039" s="35"/>
    </row>
    <row r="1040" spans="9:10" x14ac:dyDescent="0.25">
      <c r="I1040" s="37"/>
      <c r="J1040" s="35"/>
    </row>
    <row r="1041" spans="9:10" x14ac:dyDescent="0.25">
      <c r="I1041" s="37"/>
      <c r="J1041" s="35"/>
    </row>
    <row r="1042" spans="9:10" x14ac:dyDescent="0.25">
      <c r="I1042" s="37"/>
      <c r="J1042" s="35"/>
    </row>
    <row r="1043" spans="9:10" x14ac:dyDescent="0.25">
      <c r="I1043" s="37"/>
      <c r="J1043" s="35"/>
    </row>
    <row r="1044" spans="9:10" x14ac:dyDescent="0.25">
      <c r="I1044" s="37"/>
      <c r="J1044" s="35"/>
    </row>
    <row r="1045" spans="9:10" x14ac:dyDescent="0.25">
      <c r="I1045" s="37"/>
      <c r="J1045" s="35"/>
    </row>
    <row r="1046" spans="9:10" x14ac:dyDescent="0.25">
      <c r="I1046" s="37"/>
      <c r="J1046" s="35"/>
    </row>
    <row r="1047" spans="9:10" x14ac:dyDescent="0.25">
      <c r="I1047" s="37"/>
      <c r="J1047" s="35"/>
    </row>
    <row r="1048" spans="9:10" x14ac:dyDescent="0.25">
      <c r="I1048" s="37"/>
      <c r="J1048" s="35"/>
    </row>
    <row r="1049" spans="9:10" x14ac:dyDescent="0.25">
      <c r="I1049" s="37"/>
      <c r="J1049" s="35"/>
    </row>
    <row r="1050" spans="9:10" x14ac:dyDescent="0.25">
      <c r="I1050" s="37"/>
      <c r="J1050" s="35"/>
    </row>
    <row r="1051" spans="9:10" x14ac:dyDescent="0.25">
      <c r="I1051" s="37"/>
      <c r="J1051" s="35"/>
    </row>
    <row r="1052" spans="9:10" x14ac:dyDescent="0.25">
      <c r="I1052" s="37"/>
      <c r="J1052" s="35"/>
    </row>
    <row r="1053" spans="9:10" x14ac:dyDescent="0.25">
      <c r="I1053" s="37"/>
      <c r="J1053" s="35"/>
    </row>
    <row r="1054" spans="9:10" x14ac:dyDescent="0.25">
      <c r="I1054" s="37"/>
      <c r="J1054" s="35"/>
    </row>
    <row r="1055" spans="9:10" x14ac:dyDescent="0.25">
      <c r="I1055" s="37"/>
      <c r="J1055" s="35"/>
    </row>
    <row r="1056" spans="9:10" x14ac:dyDescent="0.25">
      <c r="I1056" s="37"/>
      <c r="J1056" s="35"/>
    </row>
    <row r="1057" spans="9:10" x14ac:dyDescent="0.25">
      <c r="I1057" s="37"/>
      <c r="J1057" s="35"/>
    </row>
    <row r="1058" spans="9:10" x14ac:dyDescent="0.25">
      <c r="I1058" s="37"/>
      <c r="J1058" s="35"/>
    </row>
    <row r="1059" spans="9:10" x14ac:dyDescent="0.25">
      <c r="I1059" s="37"/>
      <c r="J1059" s="35"/>
    </row>
    <row r="1060" spans="9:10" x14ac:dyDescent="0.25">
      <c r="I1060" s="37"/>
      <c r="J1060" s="35"/>
    </row>
    <row r="1061" spans="9:10" x14ac:dyDescent="0.25">
      <c r="I1061" s="37"/>
      <c r="J1061" s="35"/>
    </row>
    <row r="1062" spans="9:10" x14ac:dyDescent="0.25">
      <c r="I1062" s="37"/>
      <c r="J1062" s="35"/>
    </row>
    <row r="1063" spans="9:10" x14ac:dyDescent="0.25">
      <c r="I1063" s="37"/>
      <c r="J1063" s="35"/>
    </row>
    <row r="1064" spans="9:10" x14ac:dyDescent="0.25">
      <c r="I1064" s="37"/>
      <c r="J1064" s="35"/>
    </row>
    <row r="1065" spans="9:10" x14ac:dyDescent="0.25">
      <c r="I1065" s="37"/>
      <c r="J1065" s="35"/>
    </row>
    <row r="1066" spans="9:10" x14ac:dyDescent="0.25">
      <c r="I1066" s="37"/>
      <c r="J1066" s="35"/>
    </row>
    <row r="1067" spans="9:10" x14ac:dyDescent="0.25">
      <c r="I1067" s="37"/>
      <c r="J1067" s="35"/>
    </row>
    <row r="1068" spans="9:10" x14ac:dyDescent="0.25">
      <c r="I1068" s="37"/>
      <c r="J1068" s="35"/>
    </row>
    <row r="1069" spans="9:10" x14ac:dyDescent="0.25">
      <c r="I1069" s="37"/>
      <c r="J1069" s="35"/>
    </row>
    <row r="1070" spans="9:10" x14ac:dyDescent="0.25">
      <c r="I1070" s="37"/>
      <c r="J1070" s="35"/>
    </row>
    <row r="1071" spans="9:10" x14ac:dyDescent="0.25">
      <c r="I1071" s="37"/>
      <c r="J1071" s="35"/>
    </row>
    <row r="1072" spans="9:10" x14ac:dyDescent="0.25">
      <c r="I1072" s="37"/>
      <c r="J1072" s="35"/>
    </row>
    <row r="1073" spans="9:10" x14ac:dyDescent="0.25">
      <c r="I1073" s="37"/>
      <c r="J1073" s="35"/>
    </row>
    <row r="1074" spans="9:10" x14ac:dyDescent="0.25">
      <c r="I1074" s="37"/>
      <c r="J1074" s="35"/>
    </row>
    <row r="1075" spans="9:10" x14ac:dyDescent="0.25">
      <c r="I1075" s="37"/>
      <c r="J1075" s="35"/>
    </row>
    <row r="1076" spans="9:10" x14ac:dyDescent="0.25">
      <c r="I1076" s="37"/>
      <c r="J1076" s="35"/>
    </row>
    <row r="1077" spans="9:10" x14ac:dyDescent="0.25">
      <c r="I1077" s="37"/>
      <c r="J1077" s="35"/>
    </row>
    <row r="1078" spans="9:10" x14ac:dyDescent="0.25">
      <c r="I1078" s="37"/>
      <c r="J1078" s="35"/>
    </row>
    <row r="1079" spans="9:10" x14ac:dyDescent="0.25">
      <c r="I1079" s="37"/>
      <c r="J1079" s="35"/>
    </row>
    <row r="1080" spans="9:10" x14ac:dyDescent="0.25">
      <c r="I1080" s="37"/>
      <c r="J1080" s="35"/>
    </row>
    <row r="1081" spans="9:10" x14ac:dyDescent="0.25">
      <c r="I1081" s="37"/>
      <c r="J1081" s="35"/>
    </row>
    <row r="1082" spans="9:10" x14ac:dyDescent="0.25">
      <c r="I1082" s="37"/>
      <c r="J1082" s="35"/>
    </row>
    <row r="1083" spans="9:10" x14ac:dyDescent="0.25">
      <c r="I1083" s="37"/>
      <c r="J1083" s="35"/>
    </row>
    <row r="1084" spans="9:10" x14ac:dyDescent="0.25">
      <c r="I1084" s="37"/>
      <c r="J1084" s="35"/>
    </row>
    <row r="1085" spans="9:10" x14ac:dyDescent="0.25">
      <c r="I1085" s="37"/>
      <c r="J1085" s="35"/>
    </row>
    <row r="1086" spans="9:10" x14ac:dyDescent="0.25">
      <c r="I1086" s="37"/>
      <c r="J1086" s="35"/>
    </row>
    <row r="1087" spans="9:10" x14ac:dyDescent="0.25">
      <c r="I1087" s="37"/>
      <c r="J1087" s="35"/>
    </row>
    <row r="1088" spans="9:10" x14ac:dyDescent="0.25">
      <c r="I1088" s="37"/>
      <c r="J1088" s="35"/>
    </row>
    <row r="1089" spans="9:10" x14ac:dyDescent="0.25">
      <c r="I1089" s="37"/>
      <c r="J1089" s="35"/>
    </row>
    <row r="1090" spans="9:10" x14ac:dyDescent="0.25">
      <c r="I1090" s="37"/>
      <c r="J1090" s="35"/>
    </row>
    <row r="1091" spans="9:10" x14ac:dyDescent="0.25">
      <c r="I1091" s="37"/>
      <c r="J1091" s="35"/>
    </row>
    <row r="1092" spans="9:10" x14ac:dyDescent="0.25">
      <c r="I1092" s="37"/>
      <c r="J1092" s="35"/>
    </row>
    <row r="1093" spans="9:10" x14ac:dyDescent="0.25">
      <c r="I1093" s="37"/>
      <c r="J1093" s="35"/>
    </row>
    <row r="1094" spans="9:10" x14ac:dyDescent="0.25">
      <c r="I1094" s="37"/>
      <c r="J1094" s="35"/>
    </row>
    <row r="1095" spans="9:10" x14ac:dyDescent="0.25">
      <c r="I1095" s="37"/>
      <c r="J1095" s="35"/>
    </row>
    <row r="1096" spans="9:10" x14ac:dyDescent="0.25">
      <c r="I1096" s="37"/>
      <c r="J1096" s="35"/>
    </row>
    <row r="1097" spans="9:10" x14ac:dyDescent="0.25">
      <c r="I1097" s="37"/>
      <c r="J1097" s="35"/>
    </row>
    <row r="1098" spans="9:10" x14ac:dyDescent="0.25">
      <c r="I1098" s="37"/>
      <c r="J1098" s="35"/>
    </row>
    <row r="1099" spans="9:10" x14ac:dyDescent="0.25">
      <c r="I1099" s="37"/>
      <c r="J1099" s="35"/>
    </row>
    <row r="1100" spans="9:10" x14ac:dyDescent="0.25">
      <c r="I1100" s="37"/>
      <c r="J1100" s="35"/>
    </row>
    <row r="1101" spans="9:10" x14ac:dyDescent="0.25">
      <c r="I1101" s="37"/>
      <c r="J1101" s="35"/>
    </row>
    <row r="1102" spans="9:10" x14ac:dyDescent="0.25">
      <c r="I1102" s="37"/>
      <c r="J1102" s="35"/>
    </row>
    <row r="1103" spans="9:10" x14ac:dyDescent="0.25">
      <c r="I1103" s="37"/>
      <c r="J1103" s="35"/>
    </row>
    <row r="1104" spans="9:10" x14ac:dyDescent="0.25">
      <c r="I1104" s="37"/>
      <c r="J1104" s="35"/>
    </row>
    <row r="1105" spans="9:10" x14ac:dyDescent="0.25">
      <c r="I1105" s="37"/>
      <c r="J1105" s="35"/>
    </row>
    <row r="1106" spans="9:10" x14ac:dyDescent="0.25">
      <c r="I1106" s="37"/>
      <c r="J1106" s="35"/>
    </row>
    <row r="1107" spans="9:10" x14ac:dyDescent="0.25">
      <c r="I1107" s="37"/>
      <c r="J1107" s="35"/>
    </row>
    <row r="1108" spans="9:10" x14ac:dyDescent="0.25">
      <c r="I1108" s="37"/>
      <c r="J1108" s="35"/>
    </row>
    <row r="1109" spans="9:10" x14ac:dyDescent="0.25">
      <c r="I1109" s="37"/>
      <c r="J1109" s="35"/>
    </row>
    <row r="1110" spans="9:10" x14ac:dyDescent="0.25">
      <c r="I1110" s="37"/>
      <c r="J1110" s="35"/>
    </row>
    <row r="1111" spans="9:10" x14ac:dyDescent="0.25">
      <c r="I1111" s="37"/>
      <c r="J1111" s="35"/>
    </row>
    <row r="1112" spans="9:10" x14ac:dyDescent="0.25">
      <c r="I1112" s="37"/>
      <c r="J1112" s="35"/>
    </row>
    <row r="1113" spans="9:10" x14ac:dyDescent="0.25">
      <c r="I1113" s="37"/>
      <c r="J1113" s="35"/>
    </row>
    <row r="1114" spans="9:10" x14ac:dyDescent="0.25">
      <c r="I1114" s="37"/>
      <c r="J1114" s="35"/>
    </row>
    <row r="1115" spans="9:10" x14ac:dyDescent="0.25">
      <c r="I1115" s="37"/>
      <c r="J1115" s="35"/>
    </row>
    <row r="1116" spans="9:10" x14ac:dyDescent="0.25">
      <c r="I1116" s="37"/>
      <c r="J1116" s="35"/>
    </row>
    <row r="1117" spans="9:10" x14ac:dyDescent="0.25">
      <c r="I1117" s="37"/>
      <c r="J1117" s="35"/>
    </row>
    <row r="1118" spans="9:10" x14ac:dyDescent="0.25">
      <c r="I1118" s="37"/>
      <c r="J1118" s="35"/>
    </row>
    <row r="1119" spans="9:10" x14ac:dyDescent="0.25">
      <c r="I1119" s="37"/>
      <c r="J1119" s="35"/>
    </row>
    <row r="1120" spans="9:10" x14ac:dyDescent="0.25">
      <c r="I1120" s="37"/>
      <c r="J1120" s="35"/>
    </row>
    <row r="1121" spans="9:10" x14ac:dyDescent="0.25">
      <c r="I1121" s="37"/>
      <c r="J1121" s="35"/>
    </row>
    <row r="1122" spans="9:10" x14ac:dyDescent="0.25">
      <c r="I1122" s="37"/>
      <c r="J1122" s="35"/>
    </row>
    <row r="1123" spans="9:10" x14ac:dyDescent="0.25">
      <c r="I1123" s="37"/>
      <c r="J1123" s="35"/>
    </row>
    <row r="1124" spans="9:10" x14ac:dyDescent="0.25">
      <c r="I1124" s="37"/>
      <c r="J1124" s="35"/>
    </row>
    <row r="1125" spans="9:10" x14ac:dyDescent="0.25">
      <c r="I1125" s="37"/>
      <c r="J1125" s="35"/>
    </row>
    <row r="1126" spans="9:10" x14ac:dyDescent="0.25">
      <c r="I1126" s="37"/>
      <c r="J1126" s="35"/>
    </row>
    <row r="1127" spans="9:10" x14ac:dyDescent="0.25">
      <c r="I1127" s="37"/>
      <c r="J1127" s="35"/>
    </row>
    <row r="1128" spans="9:10" x14ac:dyDescent="0.25">
      <c r="I1128" s="37"/>
      <c r="J1128" s="35"/>
    </row>
    <row r="1129" spans="9:10" x14ac:dyDescent="0.25">
      <c r="I1129" s="37"/>
      <c r="J1129" s="35"/>
    </row>
    <row r="1130" spans="9:10" x14ac:dyDescent="0.25">
      <c r="I1130" s="37"/>
      <c r="J1130" s="35"/>
    </row>
    <row r="1131" spans="9:10" x14ac:dyDescent="0.25">
      <c r="I1131" s="37"/>
      <c r="J1131" s="35"/>
    </row>
    <row r="1132" spans="9:10" x14ac:dyDescent="0.25">
      <c r="I1132" s="37"/>
      <c r="J1132" s="35"/>
    </row>
    <row r="1133" spans="9:10" x14ac:dyDescent="0.25">
      <c r="I1133" s="37"/>
      <c r="J1133" s="35"/>
    </row>
    <row r="1134" spans="9:10" x14ac:dyDescent="0.25">
      <c r="I1134" s="37"/>
      <c r="J1134" s="35"/>
    </row>
    <row r="1135" spans="9:10" x14ac:dyDescent="0.25">
      <c r="I1135" s="37"/>
      <c r="J1135" s="35"/>
    </row>
    <row r="1136" spans="9:10" x14ac:dyDescent="0.25">
      <c r="I1136" s="37"/>
      <c r="J1136" s="35"/>
    </row>
    <row r="1137" spans="9:10" x14ac:dyDescent="0.25">
      <c r="I1137" s="37"/>
      <c r="J1137" s="35"/>
    </row>
    <row r="1138" spans="9:10" x14ac:dyDescent="0.25">
      <c r="I1138" s="37"/>
      <c r="J1138" s="35"/>
    </row>
    <row r="1139" spans="9:10" x14ac:dyDescent="0.25">
      <c r="I1139" s="37"/>
      <c r="J1139" s="35"/>
    </row>
    <row r="1140" spans="9:10" x14ac:dyDescent="0.25">
      <c r="I1140" s="37"/>
      <c r="J1140" s="35"/>
    </row>
    <row r="1141" spans="9:10" x14ac:dyDescent="0.25">
      <c r="I1141" s="37"/>
      <c r="J1141" s="35"/>
    </row>
    <row r="1142" spans="9:10" x14ac:dyDescent="0.25">
      <c r="I1142" s="37"/>
      <c r="J1142" s="35"/>
    </row>
    <row r="1143" spans="9:10" x14ac:dyDescent="0.25">
      <c r="I1143" s="37"/>
      <c r="J1143" s="35"/>
    </row>
    <row r="1144" spans="9:10" x14ac:dyDescent="0.25">
      <c r="I1144" s="37"/>
      <c r="J1144" s="35"/>
    </row>
    <row r="1145" spans="9:10" x14ac:dyDescent="0.25">
      <c r="I1145" s="37"/>
      <c r="J1145" s="35"/>
    </row>
    <row r="1146" spans="9:10" x14ac:dyDescent="0.25">
      <c r="I1146" s="37"/>
      <c r="J1146" s="35"/>
    </row>
    <row r="1147" spans="9:10" x14ac:dyDescent="0.25">
      <c r="I1147" s="37"/>
      <c r="J1147" s="35"/>
    </row>
    <row r="1148" spans="9:10" x14ac:dyDescent="0.25">
      <c r="I1148" s="37"/>
      <c r="J1148" s="35"/>
    </row>
    <row r="1149" spans="9:10" x14ac:dyDescent="0.25">
      <c r="I1149" s="37"/>
      <c r="J1149" s="35"/>
    </row>
    <row r="1150" spans="9:10" x14ac:dyDescent="0.25">
      <c r="I1150" s="37"/>
      <c r="J1150" s="35"/>
    </row>
    <row r="1151" spans="9:10" x14ac:dyDescent="0.25">
      <c r="I1151" s="37"/>
      <c r="J1151" s="35"/>
    </row>
    <row r="1152" spans="9:10" x14ac:dyDescent="0.25">
      <c r="I1152" s="37"/>
      <c r="J1152" s="35"/>
    </row>
    <row r="1153" spans="9:10" x14ac:dyDescent="0.25">
      <c r="I1153" s="37"/>
      <c r="J1153" s="35"/>
    </row>
    <row r="1154" spans="9:10" x14ac:dyDescent="0.25">
      <c r="I1154" s="37"/>
      <c r="J1154" s="35"/>
    </row>
    <row r="1155" spans="9:10" x14ac:dyDescent="0.25">
      <c r="I1155" s="37"/>
      <c r="J1155" s="35"/>
    </row>
    <row r="1156" spans="9:10" x14ac:dyDescent="0.25">
      <c r="I1156" s="37"/>
      <c r="J1156" s="35"/>
    </row>
    <row r="1157" spans="9:10" x14ac:dyDescent="0.25">
      <c r="I1157" s="37"/>
      <c r="J1157" s="35"/>
    </row>
    <row r="1158" spans="9:10" x14ac:dyDescent="0.25">
      <c r="I1158" s="37"/>
      <c r="J1158" s="35"/>
    </row>
    <row r="1159" spans="9:10" x14ac:dyDescent="0.25">
      <c r="I1159" s="37"/>
      <c r="J1159" s="35"/>
    </row>
    <row r="1160" spans="9:10" x14ac:dyDescent="0.25">
      <c r="I1160" s="37"/>
      <c r="J1160" s="35"/>
    </row>
    <row r="1161" spans="9:10" x14ac:dyDescent="0.25">
      <c r="I1161" s="37"/>
      <c r="J1161" s="35"/>
    </row>
    <row r="1162" spans="9:10" x14ac:dyDescent="0.25">
      <c r="I1162" s="37"/>
      <c r="J1162" s="35"/>
    </row>
    <row r="1163" spans="9:10" x14ac:dyDescent="0.25">
      <c r="I1163" s="37"/>
      <c r="J1163" s="35"/>
    </row>
    <row r="1164" spans="9:10" x14ac:dyDescent="0.25">
      <c r="I1164" s="37"/>
      <c r="J1164" s="35"/>
    </row>
    <row r="1165" spans="9:10" x14ac:dyDescent="0.25">
      <c r="I1165" s="37"/>
      <c r="J1165" s="35"/>
    </row>
    <row r="1166" spans="9:10" x14ac:dyDescent="0.25">
      <c r="I1166" s="37"/>
      <c r="J1166" s="35"/>
    </row>
    <row r="1167" spans="9:10" x14ac:dyDescent="0.25">
      <c r="I1167" s="37"/>
      <c r="J1167" s="35"/>
    </row>
    <row r="1168" spans="9:10" x14ac:dyDescent="0.25">
      <c r="I1168" s="37"/>
      <c r="J1168" s="35"/>
    </row>
    <row r="1169" spans="9:10" x14ac:dyDescent="0.25">
      <c r="I1169" s="37"/>
      <c r="J1169" s="35"/>
    </row>
    <row r="1170" spans="9:10" x14ac:dyDescent="0.25">
      <c r="I1170" s="37"/>
      <c r="J1170" s="35"/>
    </row>
    <row r="1171" spans="9:10" x14ac:dyDescent="0.25">
      <c r="I1171" s="37"/>
      <c r="J1171" s="35"/>
    </row>
    <row r="1172" spans="9:10" x14ac:dyDescent="0.25">
      <c r="I1172" s="37"/>
      <c r="J1172" s="35"/>
    </row>
    <row r="1173" spans="9:10" x14ac:dyDescent="0.25">
      <c r="I1173" s="37"/>
      <c r="J1173" s="35"/>
    </row>
    <row r="1174" spans="9:10" x14ac:dyDescent="0.25">
      <c r="I1174" s="37"/>
      <c r="J1174" s="35"/>
    </row>
    <row r="1175" spans="9:10" x14ac:dyDescent="0.25">
      <c r="I1175" s="37"/>
      <c r="J1175" s="35"/>
    </row>
    <row r="1176" spans="9:10" x14ac:dyDescent="0.25">
      <c r="I1176" s="37"/>
      <c r="J1176" s="35"/>
    </row>
    <row r="1177" spans="9:10" x14ac:dyDescent="0.25">
      <c r="I1177" s="37"/>
      <c r="J1177" s="35"/>
    </row>
    <row r="1178" spans="9:10" x14ac:dyDescent="0.25">
      <c r="I1178" s="37"/>
      <c r="J1178" s="35"/>
    </row>
    <row r="1179" spans="9:10" x14ac:dyDescent="0.25">
      <c r="I1179" s="37"/>
      <c r="J1179" s="35"/>
    </row>
    <row r="1180" spans="9:10" x14ac:dyDescent="0.25">
      <c r="I1180" s="37"/>
      <c r="J1180" s="35"/>
    </row>
    <row r="1181" spans="9:10" x14ac:dyDescent="0.25">
      <c r="I1181" s="37"/>
      <c r="J1181" s="35"/>
    </row>
    <row r="1182" spans="9:10" x14ac:dyDescent="0.25">
      <c r="I1182" s="37"/>
      <c r="J1182" s="35"/>
    </row>
    <row r="1183" spans="9:10" x14ac:dyDescent="0.25">
      <c r="I1183" s="37"/>
      <c r="J1183" s="35"/>
    </row>
    <row r="1184" spans="9:10" x14ac:dyDescent="0.25">
      <c r="I1184" s="37"/>
      <c r="J1184" s="35"/>
    </row>
    <row r="1185" spans="9:10" x14ac:dyDescent="0.25">
      <c r="I1185" s="37"/>
      <c r="J1185" s="35"/>
    </row>
    <row r="1186" spans="9:10" x14ac:dyDescent="0.25">
      <c r="I1186" s="37"/>
      <c r="J1186" s="35"/>
    </row>
    <row r="1187" spans="9:10" x14ac:dyDescent="0.25">
      <c r="I1187" s="37"/>
      <c r="J1187" s="35"/>
    </row>
    <row r="1188" spans="9:10" x14ac:dyDescent="0.25">
      <c r="I1188" s="37"/>
      <c r="J1188" s="35"/>
    </row>
    <row r="1189" spans="9:10" x14ac:dyDescent="0.25">
      <c r="I1189" s="37"/>
      <c r="J1189" s="35"/>
    </row>
    <row r="1190" spans="9:10" x14ac:dyDescent="0.25">
      <c r="I1190" s="37"/>
      <c r="J1190" s="35"/>
    </row>
    <row r="1191" spans="9:10" x14ac:dyDescent="0.25">
      <c r="I1191" s="37"/>
      <c r="J1191" s="35"/>
    </row>
    <row r="1192" spans="9:10" x14ac:dyDescent="0.25">
      <c r="I1192" s="37"/>
      <c r="J1192" s="35"/>
    </row>
    <row r="1193" spans="9:10" x14ac:dyDescent="0.25">
      <c r="I1193" s="37"/>
      <c r="J1193" s="35"/>
    </row>
    <row r="1194" spans="9:10" x14ac:dyDescent="0.25">
      <c r="I1194" s="37"/>
      <c r="J1194" s="35"/>
    </row>
    <row r="1195" spans="9:10" x14ac:dyDescent="0.25">
      <c r="I1195" s="37"/>
      <c r="J1195" s="35"/>
    </row>
    <row r="1196" spans="9:10" x14ac:dyDescent="0.25">
      <c r="I1196" s="37"/>
      <c r="J1196" s="35"/>
    </row>
    <row r="1197" spans="9:10" x14ac:dyDescent="0.25">
      <c r="I1197" s="37"/>
      <c r="J1197" s="35"/>
    </row>
    <row r="1198" spans="9:10" x14ac:dyDescent="0.25">
      <c r="I1198" s="37"/>
      <c r="J1198" s="35"/>
    </row>
    <row r="1199" spans="9:10" x14ac:dyDescent="0.25">
      <c r="I1199" s="37"/>
      <c r="J1199" s="35"/>
    </row>
    <row r="1200" spans="9:10" x14ac:dyDescent="0.25">
      <c r="I1200" s="37"/>
      <c r="J1200" s="35"/>
    </row>
    <row r="1201" spans="9:10" x14ac:dyDescent="0.25">
      <c r="I1201" s="37"/>
      <c r="J1201" s="35"/>
    </row>
    <row r="1202" spans="9:10" x14ac:dyDescent="0.25">
      <c r="I1202" s="37"/>
      <c r="J1202" s="35"/>
    </row>
    <row r="1203" spans="9:10" x14ac:dyDescent="0.25">
      <c r="I1203" s="37"/>
      <c r="J1203" s="35"/>
    </row>
    <row r="1204" spans="9:10" x14ac:dyDescent="0.25">
      <c r="I1204" s="37"/>
      <c r="J1204" s="35"/>
    </row>
    <row r="1205" spans="9:10" x14ac:dyDescent="0.25">
      <c r="I1205" s="37"/>
      <c r="J1205" s="35"/>
    </row>
    <row r="1206" spans="9:10" x14ac:dyDescent="0.25">
      <c r="I1206" s="37"/>
      <c r="J1206" s="35"/>
    </row>
    <row r="1207" spans="9:10" x14ac:dyDescent="0.25">
      <c r="I1207" s="37"/>
      <c r="J1207" s="35"/>
    </row>
    <row r="1208" spans="9:10" x14ac:dyDescent="0.25">
      <c r="I1208" s="37"/>
      <c r="J1208" s="35"/>
    </row>
    <row r="1209" spans="9:10" x14ac:dyDescent="0.25">
      <c r="I1209" s="37"/>
      <c r="J1209" s="35"/>
    </row>
    <row r="1210" spans="9:10" x14ac:dyDescent="0.25">
      <c r="I1210" s="37"/>
      <c r="J1210" s="35"/>
    </row>
    <row r="1211" spans="9:10" x14ac:dyDescent="0.25">
      <c r="I1211" s="37"/>
      <c r="J1211" s="35"/>
    </row>
    <row r="1212" spans="9:10" x14ac:dyDescent="0.25">
      <c r="I1212" s="37"/>
      <c r="J1212" s="35"/>
    </row>
    <row r="1213" spans="9:10" x14ac:dyDescent="0.25">
      <c r="I1213" s="37"/>
      <c r="J1213" s="35"/>
    </row>
    <row r="1214" spans="9:10" x14ac:dyDescent="0.25">
      <c r="I1214" s="37"/>
      <c r="J1214" s="35"/>
    </row>
    <row r="1215" spans="9:10" x14ac:dyDescent="0.25">
      <c r="I1215" s="37"/>
      <c r="J1215" s="35"/>
    </row>
    <row r="1216" spans="9:10" x14ac:dyDescent="0.25">
      <c r="I1216" s="37"/>
      <c r="J1216" s="35"/>
    </row>
    <row r="1217" spans="9:10" x14ac:dyDescent="0.25">
      <c r="I1217" s="37"/>
      <c r="J1217" s="35"/>
    </row>
    <row r="1218" spans="9:10" x14ac:dyDescent="0.25">
      <c r="I1218" s="37"/>
      <c r="J1218" s="35"/>
    </row>
    <row r="1219" spans="9:10" x14ac:dyDescent="0.25">
      <c r="I1219" s="37"/>
      <c r="J1219" s="35"/>
    </row>
    <row r="1220" spans="9:10" x14ac:dyDescent="0.25">
      <c r="I1220" s="37"/>
      <c r="J1220" s="35"/>
    </row>
    <row r="1221" spans="9:10" x14ac:dyDescent="0.25">
      <c r="I1221" s="37"/>
      <c r="J1221" s="35"/>
    </row>
    <row r="1222" spans="9:10" x14ac:dyDescent="0.25">
      <c r="I1222" s="37"/>
      <c r="J1222" s="35"/>
    </row>
    <row r="1223" spans="9:10" x14ac:dyDescent="0.25">
      <c r="I1223" s="37"/>
      <c r="J1223" s="35"/>
    </row>
    <row r="1224" spans="9:10" x14ac:dyDescent="0.25">
      <c r="I1224" s="37"/>
      <c r="J1224" s="35"/>
    </row>
    <row r="1225" spans="9:10" x14ac:dyDescent="0.25">
      <c r="I1225" s="37"/>
      <c r="J1225" s="35"/>
    </row>
    <row r="1226" spans="9:10" x14ac:dyDescent="0.25">
      <c r="I1226" s="37"/>
      <c r="J1226" s="35"/>
    </row>
    <row r="1227" spans="9:10" x14ac:dyDescent="0.25">
      <c r="I1227" s="37"/>
      <c r="J1227" s="35"/>
    </row>
    <row r="1228" spans="9:10" x14ac:dyDescent="0.25">
      <c r="I1228" s="37"/>
      <c r="J1228" s="35"/>
    </row>
    <row r="1229" spans="9:10" x14ac:dyDescent="0.25">
      <c r="I1229" s="37"/>
      <c r="J1229" s="35"/>
    </row>
    <row r="1230" spans="9:10" x14ac:dyDescent="0.25">
      <c r="I1230" s="37"/>
      <c r="J1230" s="35"/>
    </row>
    <row r="1231" spans="9:10" x14ac:dyDescent="0.25">
      <c r="I1231" s="37"/>
      <c r="J1231" s="35"/>
    </row>
    <row r="1232" spans="9:10" x14ac:dyDescent="0.25">
      <c r="I1232" s="37"/>
      <c r="J1232" s="35"/>
    </row>
    <row r="1233" spans="9:10" x14ac:dyDescent="0.25">
      <c r="I1233" s="37"/>
      <c r="J1233" s="35"/>
    </row>
    <row r="1234" spans="9:10" x14ac:dyDescent="0.25">
      <c r="I1234" s="37"/>
      <c r="J1234" s="35"/>
    </row>
    <row r="1235" spans="9:10" x14ac:dyDescent="0.25">
      <c r="I1235" s="37"/>
      <c r="J1235" s="35"/>
    </row>
    <row r="1236" spans="9:10" x14ac:dyDescent="0.25">
      <c r="I1236" s="37"/>
      <c r="J1236" s="35"/>
    </row>
    <row r="1237" spans="9:10" x14ac:dyDescent="0.25">
      <c r="I1237" s="37"/>
      <c r="J1237" s="35"/>
    </row>
    <row r="1238" spans="9:10" x14ac:dyDescent="0.25">
      <c r="I1238" s="37"/>
      <c r="J1238" s="35"/>
    </row>
    <row r="1239" spans="9:10" x14ac:dyDescent="0.25">
      <c r="I1239" s="37"/>
      <c r="J1239" s="35"/>
    </row>
    <row r="1240" spans="9:10" x14ac:dyDescent="0.25">
      <c r="I1240" s="37"/>
      <c r="J1240" s="35"/>
    </row>
    <row r="1241" spans="9:10" x14ac:dyDescent="0.25">
      <c r="I1241" s="37"/>
      <c r="J1241" s="35"/>
    </row>
    <row r="1242" spans="9:10" x14ac:dyDescent="0.25">
      <c r="I1242" s="37"/>
      <c r="J1242" s="35"/>
    </row>
    <row r="1243" spans="9:10" x14ac:dyDescent="0.25">
      <c r="I1243" s="37"/>
      <c r="J1243" s="35"/>
    </row>
    <row r="1244" spans="9:10" x14ac:dyDescent="0.25">
      <c r="I1244" s="37"/>
      <c r="J1244" s="35"/>
    </row>
    <row r="1245" spans="9:10" x14ac:dyDescent="0.25">
      <c r="I1245" s="37"/>
      <c r="J1245" s="35"/>
    </row>
    <row r="1246" spans="9:10" x14ac:dyDescent="0.25">
      <c r="I1246" s="37"/>
      <c r="J1246" s="35"/>
    </row>
    <row r="1247" spans="9:10" x14ac:dyDescent="0.25">
      <c r="I1247" s="37"/>
      <c r="J1247" s="35"/>
    </row>
    <row r="1248" spans="9:10" x14ac:dyDescent="0.25">
      <c r="I1248" s="37"/>
      <c r="J1248" s="35"/>
    </row>
    <row r="1249" spans="9:10" x14ac:dyDescent="0.25">
      <c r="I1249" s="37"/>
      <c r="J1249" s="35"/>
    </row>
    <row r="1250" spans="9:10" x14ac:dyDescent="0.25">
      <c r="I1250" s="37"/>
      <c r="J1250" s="35"/>
    </row>
    <row r="1251" spans="9:10" x14ac:dyDescent="0.25">
      <c r="I1251" s="37"/>
      <c r="J1251" s="35"/>
    </row>
    <row r="1252" spans="9:10" x14ac:dyDescent="0.25">
      <c r="I1252" s="37"/>
      <c r="J1252" s="35"/>
    </row>
    <row r="1253" spans="9:10" x14ac:dyDescent="0.25">
      <c r="I1253" s="37"/>
      <c r="J1253" s="35"/>
    </row>
    <row r="1254" spans="9:10" x14ac:dyDescent="0.25">
      <c r="I1254" s="37"/>
      <c r="J1254" s="35"/>
    </row>
    <row r="1255" spans="9:10" x14ac:dyDescent="0.25">
      <c r="I1255" s="37"/>
      <c r="J1255" s="35"/>
    </row>
    <row r="1256" spans="9:10" x14ac:dyDescent="0.25">
      <c r="I1256" s="37"/>
      <c r="J1256" s="35"/>
    </row>
    <row r="1257" spans="9:10" x14ac:dyDescent="0.25">
      <c r="I1257" s="37"/>
      <c r="J1257" s="35"/>
    </row>
    <row r="1258" spans="9:10" x14ac:dyDescent="0.25">
      <c r="I1258" s="37"/>
      <c r="J1258" s="35"/>
    </row>
    <row r="1259" spans="9:10" x14ac:dyDescent="0.25">
      <c r="I1259" s="37"/>
      <c r="J1259" s="35"/>
    </row>
    <row r="1260" spans="9:10" x14ac:dyDescent="0.25">
      <c r="I1260" s="37"/>
      <c r="J1260" s="35"/>
    </row>
    <row r="1261" spans="9:10" x14ac:dyDescent="0.25">
      <c r="I1261" s="37"/>
      <c r="J1261" s="35"/>
    </row>
    <row r="1262" spans="9:10" x14ac:dyDescent="0.25">
      <c r="I1262" s="37"/>
      <c r="J1262" s="35"/>
    </row>
    <row r="1263" spans="9:10" x14ac:dyDescent="0.25">
      <c r="I1263" s="37"/>
      <c r="J1263" s="35"/>
    </row>
    <row r="1264" spans="9:10" x14ac:dyDescent="0.25">
      <c r="I1264" s="37"/>
      <c r="J1264" s="35"/>
    </row>
    <row r="1265" spans="9:10" x14ac:dyDescent="0.25">
      <c r="I1265" s="37"/>
      <c r="J1265" s="35"/>
    </row>
    <row r="1266" spans="9:10" x14ac:dyDescent="0.25">
      <c r="I1266" s="37"/>
      <c r="J1266" s="35"/>
    </row>
    <row r="1267" spans="9:10" x14ac:dyDescent="0.25">
      <c r="I1267" s="37"/>
      <c r="J1267" s="35"/>
    </row>
    <row r="1268" spans="9:10" x14ac:dyDescent="0.25">
      <c r="I1268" s="37"/>
      <c r="J1268" s="35"/>
    </row>
    <row r="1269" spans="9:10" x14ac:dyDescent="0.25">
      <c r="I1269" s="37"/>
      <c r="J1269" s="35"/>
    </row>
    <row r="1270" spans="9:10" x14ac:dyDescent="0.25">
      <c r="I1270" s="37"/>
      <c r="J1270" s="35"/>
    </row>
    <row r="1271" spans="9:10" x14ac:dyDescent="0.25">
      <c r="I1271" s="37"/>
      <c r="J1271" s="35"/>
    </row>
    <row r="1272" spans="9:10" x14ac:dyDescent="0.25">
      <c r="I1272" s="37"/>
      <c r="J1272" s="35"/>
    </row>
    <row r="1273" spans="9:10" x14ac:dyDescent="0.25">
      <c r="I1273" s="37"/>
      <c r="J1273" s="35"/>
    </row>
    <row r="1274" spans="9:10" x14ac:dyDescent="0.25">
      <c r="I1274" s="37"/>
      <c r="J1274" s="35"/>
    </row>
    <row r="1275" spans="9:10" x14ac:dyDescent="0.25">
      <c r="I1275" s="37"/>
      <c r="J1275" s="35"/>
    </row>
    <row r="1276" spans="9:10" x14ac:dyDescent="0.25">
      <c r="I1276" s="37"/>
      <c r="J1276" s="35"/>
    </row>
    <row r="1277" spans="9:10" x14ac:dyDescent="0.25">
      <c r="I1277" s="37"/>
      <c r="J1277" s="35"/>
    </row>
    <row r="1278" spans="9:10" x14ac:dyDescent="0.25">
      <c r="I1278" s="37"/>
      <c r="J1278" s="35"/>
    </row>
    <row r="1279" spans="9:10" x14ac:dyDescent="0.25">
      <c r="I1279" s="37"/>
      <c r="J1279" s="35"/>
    </row>
    <row r="1280" spans="9:10" x14ac:dyDescent="0.25">
      <c r="I1280" s="37"/>
      <c r="J1280" s="35"/>
    </row>
    <row r="1281" spans="9:10" x14ac:dyDescent="0.25">
      <c r="I1281" s="37"/>
      <c r="J1281" s="35"/>
    </row>
    <row r="1282" spans="9:10" x14ac:dyDescent="0.25">
      <c r="I1282" s="37"/>
      <c r="J1282" s="35"/>
    </row>
    <row r="1283" spans="9:10" x14ac:dyDescent="0.25">
      <c r="I1283" s="37"/>
      <c r="J1283" s="35"/>
    </row>
    <row r="1284" spans="9:10" x14ac:dyDescent="0.25">
      <c r="I1284" s="37"/>
      <c r="J1284" s="35"/>
    </row>
    <row r="1285" spans="9:10" x14ac:dyDescent="0.25">
      <c r="I1285" s="37"/>
      <c r="J1285" s="35"/>
    </row>
    <row r="1286" spans="9:10" x14ac:dyDescent="0.25">
      <c r="I1286" s="37"/>
      <c r="J1286" s="35"/>
    </row>
    <row r="1287" spans="9:10" x14ac:dyDescent="0.25">
      <c r="I1287" s="37"/>
      <c r="J1287" s="35"/>
    </row>
    <row r="1288" spans="9:10" x14ac:dyDescent="0.25">
      <c r="I1288" s="37"/>
      <c r="J1288" s="35"/>
    </row>
    <row r="1289" spans="9:10" x14ac:dyDescent="0.25">
      <c r="I1289" s="37"/>
      <c r="J1289" s="35"/>
    </row>
    <row r="1290" spans="9:10" x14ac:dyDescent="0.25">
      <c r="I1290" s="37"/>
      <c r="J1290" s="35"/>
    </row>
    <row r="1291" spans="9:10" x14ac:dyDescent="0.25">
      <c r="I1291" s="37"/>
      <c r="J1291" s="35"/>
    </row>
    <row r="1292" spans="9:10" x14ac:dyDescent="0.25">
      <c r="I1292" s="37"/>
      <c r="J1292" s="35"/>
    </row>
    <row r="1293" spans="9:10" x14ac:dyDescent="0.25">
      <c r="I1293" s="37"/>
      <c r="J1293" s="35"/>
    </row>
    <row r="1294" spans="9:10" x14ac:dyDescent="0.25">
      <c r="I1294" s="37"/>
      <c r="J1294" s="35"/>
    </row>
    <row r="1295" spans="9:10" x14ac:dyDescent="0.25">
      <c r="I1295" s="37"/>
      <c r="J1295" s="35"/>
    </row>
    <row r="1296" spans="9:10" x14ac:dyDescent="0.25">
      <c r="I1296" s="37"/>
      <c r="J1296" s="35"/>
    </row>
    <row r="1297" spans="9:10" x14ac:dyDescent="0.25">
      <c r="I1297" s="37"/>
      <c r="J1297" s="35"/>
    </row>
    <row r="1298" spans="9:10" x14ac:dyDescent="0.25">
      <c r="I1298" s="37"/>
      <c r="J1298" s="35"/>
    </row>
    <row r="1299" spans="9:10" x14ac:dyDescent="0.25">
      <c r="I1299" s="37"/>
      <c r="J1299" s="35"/>
    </row>
    <row r="1300" spans="9:10" x14ac:dyDescent="0.25">
      <c r="I1300" s="37"/>
      <c r="J1300" s="35"/>
    </row>
    <row r="1301" spans="9:10" x14ac:dyDescent="0.25">
      <c r="I1301" s="37"/>
      <c r="J1301" s="35"/>
    </row>
    <row r="1302" spans="9:10" x14ac:dyDescent="0.25">
      <c r="I1302" s="37"/>
      <c r="J1302" s="35"/>
    </row>
    <row r="1303" spans="9:10" x14ac:dyDescent="0.25">
      <c r="I1303" s="37"/>
      <c r="J1303" s="35"/>
    </row>
    <row r="1304" spans="9:10" x14ac:dyDescent="0.25">
      <c r="I1304" s="37"/>
      <c r="J1304" s="35"/>
    </row>
    <row r="1305" spans="9:10" x14ac:dyDescent="0.25">
      <c r="I1305" s="37"/>
      <c r="J1305" s="35"/>
    </row>
    <row r="1306" spans="9:10" x14ac:dyDescent="0.25">
      <c r="I1306" s="37"/>
      <c r="J1306" s="35"/>
    </row>
    <row r="1307" spans="9:10" x14ac:dyDescent="0.25">
      <c r="I1307" s="37"/>
      <c r="J1307" s="35"/>
    </row>
    <row r="1308" spans="9:10" x14ac:dyDescent="0.25">
      <c r="I1308" s="37"/>
      <c r="J1308" s="35"/>
    </row>
    <row r="1309" spans="9:10" x14ac:dyDescent="0.25">
      <c r="I1309" s="37"/>
      <c r="J1309" s="35"/>
    </row>
    <row r="1310" spans="9:10" x14ac:dyDescent="0.25">
      <c r="I1310" s="37"/>
      <c r="J1310" s="35"/>
    </row>
    <row r="1311" spans="9:10" x14ac:dyDescent="0.25">
      <c r="I1311" s="37"/>
      <c r="J1311" s="35"/>
    </row>
    <row r="1312" spans="9:10" x14ac:dyDescent="0.25">
      <c r="I1312" s="37"/>
      <c r="J1312" s="35"/>
    </row>
    <row r="1313" spans="9:10" x14ac:dyDescent="0.25">
      <c r="I1313" s="37"/>
      <c r="J1313" s="35"/>
    </row>
    <row r="1314" spans="9:10" x14ac:dyDescent="0.25">
      <c r="I1314" s="37"/>
      <c r="J1314" s="35"/>
    </row>
    <row r="1315" spans="9:10" x14ac:dyDescent="0.25">
      <c r="I1315" s="37"/>
      <c r="J1315" s="35"/>
    </row>
    <row r="1316" spans="9:10" x14ac:dyDescent="0.25">
      <c r="I1316" s="37"/>
      <c r="J1316" s="35"/>
    </row>
    <row r="1317" spans="9:10" x14ac:dyDescent="0.25">
      <c r="I1317" s="37"/>
      <c r="J1317" s="35"/>
    </row>
    <row r="1318" spans="9:10" x14ac:dyDescent="0.25">
      <c r="I1318" s="37"/>
      <c r="J1318" s="35"/>
    </row>
    <row r="1319" spans="9:10" x14ac:dyDescent="0.25">
      <c r="I1319" s="37"/>
      <c r="J1319" s="35"/>
    </row>
    <row r="1320" spans="9:10" x14ac:dyDescent="0.25">
      <c r="I1320" s="37"/>
      <c r="J1320" s="35"/>
    </row>
    <row r="1321" spans="9:10" x14ac:dyDescent="0.25">
      <c r="I1321" s="37"/>
      <c r="J1321" s="35"/>
    </row>
    <row r="1322" spans="9:10" x14ac:dyDescent="0.25">
      <c r="I1322" s="37"/>
      <c r="J1322" s="35"/>
    </row>
    <row r="1323" spans="9:10" x14ac:dyDescent="0.25">
      <c r="I1323" s="37"/>
      <c r="J1323" s="35"/>
    </row>
    <row r="1324" spans="9:10" x14ac:dyDescent="0.25">
      <c r="I1324" s="37"/>
      <c r="J1324" s="35"/>
    </row>
    <row r="1325" spans="9:10" x14ac:dyDescent="0.25">
      <c r="I1325" s="37"/>
      <c r="J1325" s="35"/>
    </row>
    <row r="1326" spans="9:10" x14ac:dyDescent="0.25">
      <c r="I1326" s="37"/>
      <c r="J1326" s="35"/>
    </row>
    <row r="1327" spans="9:10" x14ac:dyDescent="0.25">
      <c r="I1327" s="37"/>
      <c r="J1327" s="35"/>
    </row>
    <row r="1328" spans="9:10" x14ac:dyDescent="0.25">
      <c r="I1328" s="37"/>
      <c r="J1328" s="35"/>
    </row>
    <row r="1329" spans="9:10" x14ac:dyDescent="0.25">
      <c r="I1329" s="37"/>
      <c r="J1329" s="35"/>
    </row>
    <row r="1330" spans="9:10" x14ac:dyDescent="0.25">
      <c r="I1330" s="37"/>
      <c r="J1330" s="35"/>
    </row>
    <row r="1331" spans="9:10" x14ac:dyDescent="0.25">
      <c r="I1331" s="37"/>
      <c r="J1331" s="35"/>
    </row>
    <row r="1332" spans="9:10" x14ac:dyDescent="0.25">
      <c r="I1332" s="37"/>
      <c r="J1332" s="35"/>
    </row>
    <row r="1333" spans="9:10" x14ac:dyDescent="0.25">
      <c r="I1333" s="37"/>
      <c r="J1333" s="35"/>
    </row>
    <row r="1334" spans="9:10" x14ac:dyDescent="0.25">
      <c r="I1334" s="37"/>
      <c r="J1334" s="35"/>
    </row>
  </sheetData>
  <mergeCells count="18">
    <mergeCell ref="T29:U29"/>
    <mergeCell ref="J16:K16"/>
    <mergeCell ref="L16:M16"/>
    <mergeCell ref="N16:O16"/>
    <mergeCell ref="P16:Q16"/>
    <mergeCell ref="R16:S16"/>
    <mergeCell ref="T16:U16"/>
    <mergeCell ref="J29:K29"/>
    <mergeCell ref="L29:M29"/>
    <mergeCell ref="N29:O29"/>
    <mergeCell ref="P29:Q29"/>
    <mergeCell ref="R29:S29"/>
    <mergeCell ref="T2:U2"/>
    <mergeCell ref="J2:K2"/>
    <mergeCell ref="L2:M2"/>
    <mergeCell ref="N2:O2"/>
    <mergeCell ref="P2:Q2"/>
    <mergeCell ref="R2:S2"/>
  </mergeCells>
  <conditionalFormatting sqref="AE3:AI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:AI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0:AI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62709-1FAA-48C5-8ECA-3139440503B7}">
  <dimension ref="A1:AQ1334"/>
  <sheetViews>
    <sheetView showGridLines="0" topLeftCell="A5" zoomScaleNormal="100" workbookViewId="0">
      <selection activeCell="AF27" sqref="AF27"/>
    </sheetView>
  </sheetViews>
  <sheetFormatPr defaultRowHeight="15" outlineLevelRow="1" outlineLevelCol="1" x14ac:dyDescent="0.25"/>
  <cols>
    <col min="1" max="1" width="2.5703125" customWidth="1"/>
    <col min="3" max="3" width="16.28515625" bestFit="1" customWidth="1"/>
    <col min="4" max="4" width="15.28515625" bestFit="1" customWidth="1"/>
    <col min="5" max="5" width="2.5703125" customWidth="1"/>
    <col min="6" max="6" width="8.42578125" bestFit="1" customWidth="1"/>
    <col min="7" max="7" width="2.5703125" customWidth="1"/>
    <col min="8" max="8" width="25.140625" bestFit="1" customWidth="1"/>
    <col min="9" max="9" width="24.28515625" style="11" hidden="1" customWidth="1" outlineLevel="1"/>
    <col min="10" max="10" width="9.42578125" style="6" customWidth="1" collapsed="1"/>
    <col min="11" max="11" width="19" style="11" hidden="1" customWidth="1" outlineLevel="1"/>
    <col min="12" max="12" width="9.28515625" style="6" customWidth="1" collapsed="1"/>
    <col min="13" max="13" width="19.5703125" style="11" hidden="1" customWidth="1" outlineLevel="1"/>
    <col min="14" max="14" width="9.140625" style="6" bestFit="1" customWidth="1" collapsed="1"/>
    <col min="15" max="15" width="17.85546875" style="11" hidden="1" customWidth="1" outlineLevel="1"/>
    <col min="16" max="16" width="8.140625" style="6" bestFit="1" customWidth="1" collapsed="1"/>
    <col min="17" max="17" width="18" style="11" hidden="1" customWidth="1" outlineLevel="1"/>
    <col min="18" max="18" width="7.140625" style="5" bestFit="1" customWidth="1" collapsed="1"/>
    <col min="19" max="19" width="19.5703125" style="10" hidden="1" customWidth="1" outlineLevel="1"/>
    <col min="20" max="20" width="8.140625" style="10" bestFit="1" customWidth="1" collapsed="1"/>
    <col min="21" max="21" width="19.5703125" style="10" hidden="1" customWidth="1" outlineLevel="1"/>
    <col min="22" max="22" width="2.5703125" customWidth="1" collapsed="1"/>
    <col min="23" max="24" width="7.140625" hidden="1" customWidth="1" outlineLevel="1"/>
    <col min="25" max="25" width="17.85546875" bestFit="1" customWidth="1" collapsed="1"/>
    <col min="26" max="27" width="17.85546875" bestFit="1" customWidth="1"/>
    <col min="28" max="28" width="16.140625" bestFit="1" customWidth="1"/>
    <col min="29" max="29" width="15.140625" bestFit="1" customWidth="1"/>
    <col min="30" max="30" width="2.5703125" customWidth="1"/>
    <col min="31" max="31" width="7.85546875" bestFit="1" customWidth="1"/>
    <col min="32" max="32" width="11.140625" bestFit="1" customWidth="1"/>
    <col min="33" max="33" width="13.28515625" bestFit="1" customWidth="1"/>
    <col min="34" max="34" width="7.85546875" bestFit="1" customWidth="1"/>
    <col min="35" max="35" width="8.140625" bestFit="1" customWidth="1"/>
    <col min="36" max="36" width="2.5703125" customWidth="1"/>
    <col min="37" max="37" width="17.85546875" bestFit="1" customWidth="1"/>
    <col min="38" max="38" width="8.140625" bestFit="1" customWidth="1"/>
    <col min="39" max="39" width="2.5703125" customWidth="1"/>
    <col min="41" max="41" width="16.28515625" bestFit="1" customWidth="1"/>
  </cols>
  <sheetData>
    <row r="1" spans="1:43" ht="9" customHeight="1" x14ac:dyDescent="0.25"/>
    <row r="2" spans="1:43" x14ac:dyDescent="0.25">
      <c r="B2" s="1"/>
      <c r="C2" s="1" t="s">
        <v>20</v>
      </c>
      <c r="D2" s="1"/>
      <c r="H2" s="4" t="s">
        <v>1</v>
      </c>
      <c r="I2" s="9" t="s">
        <v>4</v>
      </c>
      <c r="J2" s="112" t="s">
        <v>7</v>
      </c>
      <c r="K2" s="112"/>
      <c r="L2" s="112" t="s">
        <v>8</v>
      </c>
      <c r="M2" s="112"/>
      <c r="N2" s="112" t="s">
        <v>10</v>
      </c>
      <c r="O2" s="112"/>
      <c r="P2" s="112" t="s">
        <v>9</v>
      </c>
      <c r="Q2" s="112"/>
      <c r="R2" s="112" t="s">
        <v>21</v>
      </c>
      <c r="S2" s="112"/>
      <c r="T2" s="112" t="s">
        <v>55</v>
      </c>
      <c r="U2" s="112"/>
      <c r="W2" s="1" t="s">
        <v>46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27" t="s">
        <v>49</v>
      </c>
      <c r="AF2" s="27" t="s">
        <v>50</v>
      </c>
      <c r="AG2" s="27" t="s">
        <v>51</v>
      </c>
      <c r="AH2" s="27" t="s">
        <v>52</v>
      </c>
      <c r="AI2" s="27" t="s">
        <v>53</v>
      </c>
      <c r="AK2" s="75" t="s">
        <v>60</v>
      </c>
      <c r="AL2" s="75" t="s">
        <v>61</v>
      </c>
      <c r="AN2" s="1"/>
      <c r="AO2" s="1" t="s">
        <v>20</v>
      </c>
      <c r="AP2" s="1"/>
    </row>
    <row r="3" spans="1:43" x14ac:dyDescent="0.25">
      <c r="A3" s="98"/>
      <c r="B3" t="s">
        <v>11</v>
      </c>
      <c r="C3" s="2" t="s">
        <v>10</v>
      </c>
      <c r="D3" t="s">
        <v>7</v>
      </c>
      <c r="E3" s="98"/>
      <c r="F3" s="7">
        <f>J3+L3+N3+P3+R3+T3</f>
        <v>1</v>
      </c>
      <c r="G3" s="99"/>
      <c r="H3" s="97" t="s">
        <v>5</v>
      </c>
      <c r="I3" s="80">
        <v>478385660.85000002</v>
      </c>
      <c r="J3" s="81">
        <f>45.42%+1%</f>
        <v>0.4642</v>
      </c>
      <c r="K3" s="80">
        <f>+J3*$I3</f>
        <v>222066623.76657</v>
      </c>
      <c r="L3" s="81">
        <f>9.2%+8.2%+5%+3.3%</f>
        <v>0.25700000000000001</v>
      </c>
      <c r="M3" s="80">
        <f t="shared" ref="M3:M13" si="0">+L3*$I3</f>
        <v>122945114.83845001</v>
      </c>
      <c r="N3" s="81">
        <f>24%+0.6%</f>
        <v>0.246</v>
      </c>
      <c r="O3" s="80">
        <f t="shared" ref="O3:O13" si="1">+N3*$I3</f>
        <v>117682872.56910001</v>
      </c>
      <c r="P3" s="81">
        <v>3.5000000000000003E-2</v>
      </c>
      <c r="Q3" s="80">
        <f t="shared" ref="Q3:Q13" si="2">+P3*$I3</f>
        <v>16743498.129750002</v>
      </c>
      <c r="R3" s="82"/>
      <c r="S3" s="80">
        <f t="shared" ref="S3:U13" si="3">+R3*$I3</f>
        <v>0</v>
      </c>
      <c r="T3" s="81">
        <v>-2.2000000000000001E-3</v>
      </c>
      <c r="U3" s="65">
        <f t="shared" si="3"/>
        <v>-1052448.4538700001</v>
      </c>
      <c r="V3" s="98"/>
      <c r="Y3" s="12">
        <f>K3-'Set24'!K3</f>
        <v>39317356.634460002</v>
      </c>
      <c r="Z3" s="12">
        <f>M3-'Set24'!M3</f>
        <v>9215167.1220300049</v>
      </c>
      <c r="AA3" s="12">
        <f>O3-'Set24'!O3</f>
        <v>-3860583.0057000071</v>
      </c>
      <c r="AB3" s="12">
        <f>Q3-'Set24'!Q3</f>
        <v>-185768.89673999697</v>
      </c>
      <c r="AC3" s="12">
        <f>+S3-'Set24'!S3</f>
        <v>0</v>
      </c>
      <c r="AD3" s="98"/>
      <c r="AE3" s="28">
        <f>J3-'Set24'!J3</f>
        <v>4.3200000000000016E-2</v>
      </c>
      <c r="AF3" s="28">
        <f>L3-'Set24'!L3</f>
        <v>-5.0000000000000044E-3</v>
      </c>
      <c r="AG3" s="28">
        <f>N3-'Set24'!N3</f>
        <v>-3.400000000000003E-2</v>
      </c>
      <c r="AH3" s="28">
        <f>P3-'Set24'!P3</f>
        <v>-3.9999999999999966E-3</v>
      </c>
      <c r="AI3" s="28">
        <f>R3-'Set24'!R3</f>
        <v>0</v>
      </c>
      <c r="AJ3" s="98"/>
      <c r="AK3" s="10">
        <f>I3-'Set24'!I3</f>
        <v>44301890.939999998</v>
      </c>
      <c r="AL3" s="76">
        <f>I3/'Set24'!I3-1</f>
        <v>0.10205839059402111</v>
      </c>
      <c r="AM3" s="98"/>
      <c r="AN3" t="s">
        <v>11</v>
      </c>
      <c r="AO3" s="2" t="s">
        <v>10</v>
      </c>
      <c r="AP3" t="s">
        <v>7</v>
      </c>
      <c r="AQ3" s="98"/>
    </row>
    <row r="4" spans="1:43" x14ac:dyDescent="0.25">
      <c r="B4" t="s">
        <v>12</v>
      </c>
      <c r="C4" s="2" t="s">
        <v>16</v>
      </c>
      <c r="D4" t="s">
        <v>58</v>
      </c>
      <c r="F4" s="7">
        <f t="shared" ref="F4:F36" si="4">J4+L4+N4+P4+R4+T4</f>
        <v>1.0000000000000002</v>
      </c>
      <c r="H4" s="3" t="s">
        <v>0</v>
      </c>
      <c r="I4" s="80">
        <v>1514848028</v>
      </c>
      <c r="J4" s="81">
        <v>0.42</v>
      </c>
      <c r="K4" s="80">
        <f>+J4*$I4</f>
        <v>636236171.75999999</v>
      </c>
      <c r="L4" s="81">
        <f>5%+1%+5%+4%+1%</f>
        <v>0.16000000000000003</v>
      </c>
      <c r="M4" s="80">
        <f t="shared" si="0"/>
        <v>242375684.48000005</v>
      </c>
      <c r="N4" s="81">
        <v>0.34</v>
      </c>
      <c r="O4" s="80">
        <f t="shared" si="1"/>
        <v>515048329.52000004</v>
      </c>
      <c r="P4" s="81">
        <v>0.08</v>
      </c>
      <c r="Q4" s="80">
        <f t="shared" si="2"/>
        <v>121187842.24000001</v>
      </c>
      <c r="R4" s="82"/>
      <c r="S4" s="80"/>
      <c r="T4" s="81"/>
      <c r="U4" s="57">
        <f t="shared" si="3"/>
        <v>0</v>
      </c>
      <c r="Y4" s="12">
        <f>K4-'Set24'!K4</f>
        <v>15148480.279999971</v>
      </c>
      <c r="Z4" s="12">
        <f>M4-'Set24'!M4</f>
        <v>30296960.560000032</v>
      </c>
      <c r="AA4" s="12">
        <f>O4-'Set24'!O4</f>
        <v>-60593921.119999945</v>
      </c>
      <c r="AB4" s="12">
        <f>Q4-'Set24'!Q4</f>
        <v>15148480.280000001</v>
      </c>
      <c r="AC4" s="12">
        <f>+S4-'Set24'!S4</f>
        <v>0</v>
      </c>
      <c r="AE4" s="28">
        <f>J4-'Set24'!J4</f>
        <v>1.0000000000000009E-2</v>
      </c>
      <c r="AF4" s="28">
        <f>L4-'Set24'!L4</f>
        <v>2.0000000000000018E-2</v>
      </c>
      <c r="AG4" s="28">
        <f>N4-'Set24'!N4</f>
        <v>-3.999999999999998E-2</v>
      </c>
      <c r="AH4" s="28">
        <f>P4-'Set24'!P4</f>
        <v>9.999999999999995E-3</v>
      </c>
      <c r="AI4" s="28">
        <f>R4-'Set24'!R4</f>
        <v>0</v>
      </c>
      <c r="AJ4" s="93"/>
      <c r="AK4" s="10">
        <f>I4-'Set24'!I4</f>
        <v>0</v>
      </c>
      <c r="AL4" s="76">
        <f>I4/'Set24'!I4-1</f>
        <v>0</v>
      </c>
      <c r="AN4" t="s">
        <v>12</v>
      </c>
      <c r="AO4" s="2" t="s">
        <v>16</v>
      </c>
      <c r="AP4" t="s">
        <v>58</v>
      </c>
    </row>
    <row r="5" spans="1:43" x14ac:dyDescent="0.25">
      <c r="B5" t="s">
        <v>13</v>
      </c>
      <c r="C5" s="2" t="s">
        <v>17</v>
      </c>
      <c r="D5" t="s">
        <v>59</v>
      </c>
      <c r="F5" s="7">
        <f t="shared" si="4"/>
        <v>1</v>
      </c>
      <c r="H5" s="3" t="s">
        <v>3</v>
      </c>
      <c r="I5" s="78">
        <v>492062150.44</v>
      </c>
      <c r="J5" s="77">
        <v>0.43</v>
      </c>
      <c r="K5" s="78">
        <f t="shared" ref="K5:K13" si="5">+J5*$I5</f>
        <v>211586724.68919998</v>
      </c>
      <c r="L5" s="77"/>
      <c r="M5" s="78">
        <f t="shared" si="0"/>
        <v>0</v>
      </c>
      <c r="N5" s="77">
        <v>0.32</v>
      </c>
      <c r="O5" s="78">
        <f t="shared" si="1"/>
        <v>157459888.1408</v>
      </c>
      <c r="P5" s="77">
        <v>0.04</v>
      </c>
      <c r="Q5" s="78">
        <f t="shared" si="2"/>
        <v>19682486.0176</v>
      </c>
      <c r="R5" s="77">
        <v>0.19</v>
      </c>
      <c r="S5" s="78">
        <f t="shared" si="3"/>
        <v>93491808.5836</v>
      </c>
      <c r="T5" s="77">
        <v>0.02</v>
      </c>
      <c r="U5" s="57">
        <f t="shared" si="3"/>
        <v>9841243.0088</v>
      </c>
      <c r="Y5" s="12">
        <f>K5-'Set24'!K5</f>
        <v>-60943441.430900037</v>
      </c>
      <c r="Z5" s="12">
        <f>M5-'Set24'!M5</f>
        <v>0</v>
      </c>
      <c r="AA5" s="12">
        <f>O5-'Set24'!O5</f>
        <v>-14957155.731099993</v>
      </c>
      <c r="AB5" s="12">
        <f>Q5-'Set24'!Q5</f>
        <v>-2564874.4820000008</v>
      </c>
      <c r="AC5" s="12">
        <f>+S5-'Set24'!S5</f>
        <v>10064206.710099995</v>
      </c>
      <c r="AE5" s="28">
        <f>J5-'Set24'!J5</f>
        <v>-0.06</v>
      </c>
      <c r="AF5" s="28">
        <f>L5-'Set24'!L5</f>
        <v>0</v>
      </c>
      <c r="AG5" s="28">
        <f>N5-'Set24'!N5</f>
        <v>1.0000000000000009E-2</v>
      </c>
      <c r="AH5" s="28">
        <f>P5-'Set24'!P5</f>
        <v>0</v>
      </c>
      <c r="AI5" s="28">
        <f>R5-'Set24'!R5</f>
        <v>4.0000000000000008E-2</v>
      </c>
      <c r="AK5" s="10">
        <f>I5-'Set24'!I5</f>
        <v>-64121862.050000012</v>
      </c>
      <c r="AL5" s="76">
        <f>I5/'Set24'!I5-1</f>
        <v>-0.11528893425564424</v>
      </c>
      <c r="AN5" t="s">
        <v>13</v>
      </c>
      <c r="AO5" s="2" t="s">
        <v>17</v>
      </c>
      <c r="AP5" t="s">
        <v>59</v>
      </c>
    </row>
    <row r="6" spans="1:43" x14ac:dyDescent="0.25">
      <c r="B6" t="s">
        <v>14</v>
      </c>
      <c r="C6" s="2" t="s">
        <v>18</v>
      </c>
      <c r="F6" s="7">
        <f t="shared" si="4"/>
        <v>1</v>
      </c>
      <c r="H6" s="3" t="s">
        <v>62</v>
      </c>
      <c r="I6" s="78">
        <v>3183824911</v>
      </c>
      <c r="J6" s="77">
        <v>0.27300000000000002</v>
      </c>
      <c r="K6" s="78">
        <f t="shared" si="5"/>
        <v>869184200.70300007</v>
      </c>
      <c r="L6" s="77">
        <f>18.8%+6.2%+2.6%</f>
        <v>0.27600000000000002</v>
      </c>
      <c r="M6" s="78">
        <f t="shared" si="0"/>
        <v>878735675.43600011</v>
      </c>
      <c r="N6" s="77">
        <f>40.4%+1.7%</f>
        <v>0.42099999999999999</v>
      </c>
      <c r="O6" s="78">
        <f t="shared" si="1"/>
        <v>1340390287.5309999</v>
      </c>
      <c r="P6" s="77"/>
      <c r="Q6" s="78">
        <f t="shared" si="2"/>
        <v>0</v>
      </c>
      <c r="R6" s="77"/>
      <c r="S6" s="78">
        <f t="shared" si="3"/>
        <v>0</v>
      </c>
      <c r="T6" s="77">
        <v>0.03</v>
      </c>
      <c r="U6" s="57">
        <f t="shared" si="3"/>
        <v>95514747.329999998</v>
      </c>
      <c r="Y6" s="12">
        <f>K6-'Set24'!K6</f>
        <v>-188745619.47099996</v>
      </c>
      <c r="Z6" s="12">
        <f>M6-'Set24'!M6</f>
        <v>-193237460.93499982</v>
      </c>
      <c r="AA6" s="12">
        <f>O6-'Set24'!O6</f>
        <v>-1065697887.5550001</v>
      </c>
      <c r="AB6" s="12">
        <f>Q6-'Set24'!Q6</f>
        <v>0</v>
      </c>
      <c r="AC6" s="12">
        <f>+S6-'Set24'!S6</f>
        <v>0</v>
      </c>
      <c r="AE6" s="28">
        <f>J6-'Set24'!J6</f>
        <v>4.7000000000000014E-2</v>
      </c>
      <c r="AF6" s="28">
        <f>L6-'Set24'!L6</f>
        <v>4.7000000000000042E-2</v>
      </c>
      <c r="AG6" s="28">
        <f>N6-'Set24'!N6</f>
        <v>-9.3000000000000027E-2</v>
      </c>
      <c r="AH6" s="28">
        <f>P6-'Set24'!P6</f>
        <v>0</v>
      </c>
      <c r="AI6" s="28">
        <f>R6-'Set24'!R6</f>
        <v>0</v>
      </c>
      <c r="AK6" s="10">
        <f>I6-'Set24'!I6</f>
        <v>-1497280488</v>
      </c>
      <c r="AL6" s="76">
        <f>I6/'Set24'!I6-1</f>
        <v>-0.31985617933743948</v>
      </c>
      <c r="AN6" t="s">
        <v>14</v>
      </c>
      <c r="AO6" s="2" t="s">
        <v>18</v>
      </c>
    </row>
    <row r="7" spans="1:43" x14ac:dyDescent="0.25">
      <c r="B7" t="s">
        <v>15</v>
      </c>
      <c r="C7" s="2" t="s">
        <v>19</v>
      </c>
      <c r="F7" s="7">
        <f t="shared" si="4"/>
        <v>1</v>
      </c>
      <c r="H7" s="3" t="s">
        <v>22</v>
      </c>
      <c r="I7" s="78">
        <v>2527790000</v>
      </c>
      <c r="J7" s="77">
        <v>0.35299999999999998</v>
      </c>
      <c r="K7" s="78">
        <f t="shared" si="5"/>
        <v>892309870</v>
      </c>
      <c r="L7" s="77">
        <v>0.23699999999999999</v>
      </c>
      <c r="M7" s="78">
        <f t="shared" si="0"/>
        <v>599086230</v>
      </c>
      <c r="N7" s="77">
        <f>2.4%+37.5%</f>
        <v>0.39900000000000002</v>
      </c>
      <c r="O7" s="78">
        <f t="shared" si="1"/>
        <v>1008588210</v>
      </c>
      <c r="P7" s="77">
        <v>1.0999999999999999E-2</v>
      </c>
      <c r="Q7" s="78">
        <f t="shared" si="2"/>
        <v>27805690</v>
      </c>
      <c r="R7" s="77"/>
      <c r="S7" s="78">
        <f t="shared" si="3"/>
        <v>0</v>
      </c>
      <c r="T7" s="77"/>
      <c r="U7" s="57">
        <f t="shared" si="3"/>
        <v>0</v>
      </c>
      <c r="Y7" s="12">
        <f>K7-'Set24'!K7</f>
        <v>247858270</v>
      </c>
      <c r="Z7" s="12">
        <f>M7-'Set24'!M7</f>
        <v>97157580</v>
      </c>
      <c r="AA7" s="12">
        <f>O7-'Set24'!O7</f>
        <v>128663909.99999988</v>
      </c>
      <c r="AB7" s="12">
        <f>Q7-'Set24'!Q7</f>
        <v>-11439760</v>
      </c>
      <c r="AC7" s="12">
        <f>+S7-'Set24'!S7</f>
        <v>0</v>
      </c>
      <c r="AE7" s="28">
        <f>J7-'Set24'!J7</f>
        <v>4.0999999999999981E-2</v>
      </c>
      <c r="AF7" s="28">
        <f>L7-'Set24'!L7</f>
        <v>-6.0000000000000053E-3</v>
      </c>
      <c r="AG7" s="28">
        <f>N7-'Set24'!N7</f>
        <v>-2.7000000000000024E-2</v>
      </c>
      <c r="AH7" s="28">
        <f>P7-'Set24'!P7</f>
        <v>-8.0000000000000002E-3</v>
      </c>
      <c r="AI7" s="28">
        <f>R7-'Set24'!R7</f>
        <v>0</v>
      </c>
      <c r="AK7" s="10">
        <f>I7-'Set24'!I7</f>
        <v>462240000</v>
      </c>
      <c r="AL7" s="76">
        <f>I7/'Set24'!I7-1</f>
        <v>0.22378543245140525</v>
      </c>
      <c r="AN7" t="s">
        <v>15</v>
      </c>
      <c r="AO7" s="2" t="s">
        <v>19</v>
      </c>
    </row>
    <row r="8" spans="1:43" x14ac:dyDescent="0.25">
      <c r="B8" t="s">
        <v>57</v>
      </c>
      <c r="F8" s="7">
        <f t="shared" si="4"/>
        <v>1</v>
      </c>
      <c r="H8" s="3" t="s">
        <v>23</v>
      </c>
      <c r="I8" s="78">
        <v>2992304081.7600002</v>
      </c>
      <c r="J8" s="77">
        <v>0.36499999999999999</v>
      </c>
      <c r="K8" s="78">
        <f t="shared" si="5"/>
        <v>1092190989.8424001</v>
      </c>
      <c r="L8" s="77">
        <f>5%+1%+2%+27%</f>
        <v>0.35000000000000003</v>
      </c>
      <c r="M8" s="78">
        <f t="shared" si="0"/>
        <v>1047306428.6160002</v>
      </c>
      <c r="N8" s="77">
        <v>0.22500000000000001</v>
      </c>
      <c r="O8" s="78">
        <f t="shared" si="1"/>
        <v>673268418.39600003</v>
      </c>
      <c r="P8" s="77">
        <v>0.04</v>
      </c>
      <c r="Q8" s="78">
        <f t="shared" si="2"/>
        <v>119692163.27040002</v>
      </c>
      <c r="R8" s="77"/>
      <c r="S8" s="78">
        <f t="shared" si="3"/>
        <v>0</v>
      </c>
      <c r="T8" s="77">
        <v>0.02</v>
      </c>
      <c r="U8" s="57">
        <f t="shared" si="3"/>
        <v>59846081.635200009</v>
      </c>
      <c r="Y8" s="12">
        <f>K8-'Set24'!K8</f>
        <v>-30901175.757600069</v>
      </c>
      <c r="Z8" s="12">
        <f>M8-'Set24'!M8</f>
        <v>176910000.27600014</v>
      </c>
      <c r="AA8" s="12">
        <f>O8-'Set24'!O8</f>
        <v>55567727.315999985</v>
      </c>
      <c r="AB8" s="12">
        <f>Q8-'Set24'!Q8</f>
        <v>-20694357.4296</v>
      </c>
      <c r="AC8" s="12">
        <f>+S8-'Set24'!S8</f>
        <v>0</v>
      </c>
      <c r="AE8" s="28">
        <f>J8-'Set24'!J8</f>
        <v>-3.5000000000000031E-2</v>
      </c>
      <c r="AF8" s="28">
        <f>L8-'Set24'!L8</f>
        <v>4.0000000000000036E-2</v>
      </c>
      <c r="AG8" s="28">
        <f>N8-'Set24'!N8</f>
        <v>5.0000000000000044E-3</v>
      </c>
      <c r="AH8" s="28">
        <f>P8-'Set24'!P8</f>
        <v>-1.0000000000000002E-2</v>
      </c>
      <c r="AI8" s="28">
        <f>R8-'Set24'!R8</f>
        <v>0</v>
      </c>
      <c r="AK8" s="10">
        <f>I8-'Set24'!I8</f>
        <v>184573667.76000023</v>
      </c>
      <c r="AL8" s="76">
        <f>I8/'Set24'!I8-1</f>
        <v>6.5737674400531132E-2</v>
      </c>
      <c r="AN8" t="s">
        <v>57</v>
      </c>
    </row>
    <row r="9" spans="1:43" x14ac:dyDescent="0.25">
      <c r="F9" s="7">
        <f t="shared" si="4"/>
        <v>1.00003</v>
      </c>
      <c r="H9" s="3" t="s">
        <v>24</v>
      </c>
      <c r="I9" s="78">
        <v>1861212661</v>
      </c>
      <c r="J9" s="77">
        <v>0.55889999999999995</v>
      </c>
      <c r="K9" s="78">
        <f t="shared" si="5"/>
        <v>1040231756.2328999</v>
      </c>
      <c r="L9" s="77">
        <v>0.12529999999999999</v>
      </c>
      <c r="M9" s="78">
        <f t="shared" si="0"/>
        <v>233209946.4233</v>
      </c>
      <c r="N9" s="77">
        <v>0.26989999999999997</v>
      </c>
      <c r="O9" s="78">
        <f t="shared" si="1"/>
        <v>502341297.20389998</v>
      </c>
      <c r="P9" s="77">
        <v>4.3200000000000002E-2</v>
      </c>
      <c r="Q9" s="78">
        <f t="shared" si="2"/>
        <v>80404386.955200002</v>
      </c>
      <c r="R9" s="77"/>
      <c r="S9" s="78">
        <f t="shared" si="3"/>
        <v>0</v>
      </c>
      <c r="T9" s="77">
        <v>2.7299999999999998E-3</v>
      </c>
      <c r="U9" s="57">
        <f t="shared" si="3"/>
        <v>5081110.5645299992</v>
      </c>
      <c r="Y9" s="12">
        <f>K9-'Set24'!K9</f>
        <v>111531919.62569988</v>
      </c>
      <c r="Z9" s="12">
        <f>M9-'Set24'!M9</f>
        <v>-6791134.9470999837</v>
      </c>
      <c r="AA9" s="12">
        <f>O9-'Set24'!O9</f>
        <v>-49085475.210100055</v>
      </c>
      <c r="AB9" s="12">
        <f>Q9-'Set24'!Q9</f>
        <v>1603432.2023999989</v>
      </c>
      <c r="AC9" s="12">
        <f>+S9-'Set24'!S9</f>
        <v>0</v>
      </c>
      <c r="AE9" s="28">
        <f>J9-'Set24'!J9</f>
        <v>4.269999999999996E-2</v>
      </c>
      <c r="AF9" s="28">
        <f>L9-'Set24'!L9</f>
        <v>-8.0999999999999961E-3</v>
      </c>
      <c r="AG9" s="28">
        <f>N9-'Set24'!N9</f>
        <v>-3.6600000000000021E-2</v>
      </c>
      <c r="AH9" s="28">
        <f>P9-'Set24'!P9</f>
        <v>-5.9999999999999637E-4</v>
      </c>
      <c r="AI9" s="28">
        <f>R9-'Set24'!R9</f>
        <v>0</v>
      </c>
      <c r="AK9" s="10">
        <f>I9-'Set24'!I9</f>
        <v>62104105</v>
      </c>
      <c r="AL9" s="76">
        <f>I9/'Set24'!I9-1</f>
        <v>3.4519376161534998E-2</v>
      </c>
    </row>
    <row r="10" spans="1:43" x14ac:dyDescent="0.25">
      <c r="F10" s="7">
        <f t="shared" si="4"/>
        <v>1</v>
      </c>
      <c r="H10" s="3" t="s">
        <v>73</v>
      </c>
      <c r="I10" s="78">
        <v>8519041300</v>
      </c>
      <c r="J10" s="77">
        <v>0.47699999999999998</v>
      </c>
      <c r="K10" s="78">
        <f t="shared" si="5"/>
        <v>4063582700.0999999</v>
      </c>
      <c r="L10" s="77">
        <f>28.3%+5.5%</f>
        <v>0.33800000000000002</v>
      </c>
      <c r="M10" s="78">
        <f t="shared" si="0"/>
        <v>2879435959.4000001</v>
      </c>
      <c r="N10" s="77">
        <v>0.16200000000000001</v>
      </c>
      <c r="O10" s="78">
        <f t="shared" si="1"/>
        <v>1380084690.6000001</v>
      </c>
      <c r="P10" s="77">
        <v>2.3E-2</v>
      </c>
      <c r="Q10" s="78">
        <f t="shared" si="2"/>
        <v>195937949.90000001</v>
      </c>
      <c r="R10" s="77"/>
      <c r="S10" s="78">
        <f t="shared" si="3"/>
        <v>0</v>
      </c>
      <c r="T10" s="77"/>
      <c r="U10" s="57">
        <f t="shared" si="3"/>
        <v>0</v>
      </c>
      <c r="Y10" s="12">
        <f>K10-'Set24'!K10</f>
        <v>247121314.3579998</v>
      </c>
      <c r="Z10" s="12">
        <f>M10-'Set24'!M10</f>
        <v>-35104573.693999767</v>
      </c>
      <c r="AA10" s="12">
        <f>O10-'Set24'!O10</f>
        <v>-47956659.42599988</v>
      </c>
      <c r="AB10" s="12">
        <f>Q10-'Set24'!Q10</f>
        <v>3862212.7619999945</v>
      </c>
      <c r="AC10" s="12">
        <f>+S10-'Set24'!S10</f>
        <v>0</v>
      </c>
      <c r="AE10" s="28">
        <f>J10-'Set24'!J10</f>
        <v>1.9999999999999962E-2</v>
      </c>
      <c r="AF10" s="28">
        <f>L10-'Set24'!L10</f>
        <v>-1.0999999999999954E-2</v>
      </c>
      <c r="AG10" s="28">
        <f>N10-'Set24'!N10</f>
        <v>-9.000000000000008E-3</v>
      </c>
      <c r="AH10" s="28">
        <f>P10-'Set24'!P10</f>
        <v>0</v>
      </c>
      <c r="AI10" s="28">
        <f>R10-'Set24'!R10</f>
        <v>0</v>
      </c>
      <c r="AJ10" s="93"/>
      <c r="AK10" s="10">
        <f>I10-'Set24'!I10</f>
        <v>167922294</v>
      </c>
      <c r="AL10" s="76">
        <f>I10/'Set24'!I10-1</f>
        <v>2.0107759676200709E-2</v>
      </c>
    </row>
    <row r="11" spans="1:43" x14ac:dyDescent="0.25">
      <c r="F11" s="7">
        <f t="shared" si="4"/>
        <v>1</v>
      </c>
      <c r="H11" s="3" t="s">
        <v>47</v>
      </c>
      <c r="I11" s="78">
        <v>2858930272.2399998</v>
      </c>
      <c r="J11" s="77">
        <f>54.81%+23.52%</f>
        <v>0.7833</v>
      </c>
      <c r="K11" s="78">
        <f t="shared" si="5"/>
        <v>2239400082.2455916</v>
      </c>
      <c r="L11" s="77">
        <v>6.54E-2</v>
      </c>
      <c r="M11" s="78">
        <f t="shared" si="0"/>
        <v>186974039.80449599</v>
      </c>
      <c r="N11" s="77">
        <v>9.0499999999999997E-2</v>
      </c>
      <c r="O11" s="78">
        <f t="shared" si="1"/>
        <v>258733189.63771996</v>
      </c>
      <c r="P11" s="77"/>
      <c r="Q11" s="78">
        <f t="shared" si="2"/>
        <v>0</v>
      </c>
      <c r="R11" s="77"/>
      <c r="S11" s="78">
        <f t="shared" si="3"/>
        <v>0</v>
      </c>
      <c r="T11" s="77">
        <v>6.08E-2</v>
      </c>
      <c r="U11" s="57">
        <f t="shared" si="3"/>
        <v>173822960.55219197</v>
      </c>
      <c r="Y11" s="12">
        <f>K11-'Set24'!K11</f>
        <v>357245101.88520789</v>
      </c>
      <c r="Z11" s="12">
        <f>M11-'Set24'!M11</f>
        <v>-77978851.706515998</v>
      </c>
      <c r="AA11" s="12">
        <f>O11-'Set24'!O11</f>
        <v>-156011533.69227704</v>
      </c>
      <c r="AB11" s="12">
        <f>Q11-'Set24'!Q11</f>
        <v>0</v>
      </c>
      <c r="AC11" s="12">
        <f>+S11-'Set24'!S12</f>
        <v>0</v>
      </c>
      <c r="AE11" s="28">
        <f>J11-'Set24'!J11</f>
        <v>9.8500000000000032E-2</v>
      </c>
      <c r="AF11" s="28">
        <f>L11-'Set24'!L11</f>
        <v>-3.1E-2</v>
      </c>
      <c r="AG11" s="28">
        <f>N11-'Set24'!N11</f>
        <v>-6.0400000000000009E-2</v>
      </c>
      <c r="AH11" s="28">
        <f>P11-'Set24'!P11</f>
        <v>0</v>
      </c>
      <c r="AI11" s="28">
        <f>R11-'Set24'!R11</f>
        <v>0</v>
      </c>
      <c r="AK11" s="10">
        <f>I11-'Set24'!I11</f>
        <v>110456293.90999985</v>
      </c>
      <c r="AL11" s="76">
        <f>I11/'Set24'!I11-1</f>
        <v>4.0188226186923526E-2</v>
      </c>
    </row>
    <row r="12" spans="1:43" x14ac:dyDescent="0.25">
      <c r="B12" t="s">
        <v>70</v>
      </c>
      <c r="F12" s="7">
        <f t="shared" si="4"/>
        <v>0.99999999999999989</v>
      </c>
      <c r="H12" s="3" t="s">
        <v>30</v>
      </c>
      <c r="I12" s="78">
        <v>1114070000</v>
      </c>
      <c r="J12" s="77">
        <v>0.47499999999999998</v>
      </c>
      <c r="K12" s="78">
        <f t="shared" si="5"/>
        <v>529183250</v>
      </c>
      <c r="L12" s="77">
        <f>11.5%+10.9%</f>
        <v>0.224</v>
      </c>
      <c r="M12" s="78">
        <f t="shared" si="0"/>
        <v>249551680</v>
      </c>
      <c r="N12" s="77">
        <v>0.29399999999999998</v>
      </c>
      <c r="O12" s="78">
        <f t="shared" si="1"/>
        <v>327536580</v>
      </c>
      <c r="P12" s="77">
        <v>7.0000000000000001E-3</v>
      </c>
      <c r="Q12" s="78">
        <f t="shared" si="2"/>
        <v>7798490</v>
      </c>
      <c r="R12" s="77"/>
      <c r="S12" s="78">
        <f t="shared" si="3"/>
        <v>0</v>
      </c>
      <c r="T12" s="77"/>
      <c r="U12" s="57">
        <f t="shared" si="3"/>
        <v>0</v>
      </c>
      <c r="Y12" s="12">
        <f>K12-'Set24'!K12</f>
        <v>-126375390</v>
      </c>
      <c r="Z12" s="12">
        <f>M12-'Set24'!M12</f>
        <v>-49783980</v>
      </c>
      <c r="AA12" s="12">
        <f>O12-'Set24'!O12</f>
        <v>-61193439.99999994</v>
      </c>
      <c r="AB12" s="12">
        <f>Q12-'Set24'!Q12</f>
        <v>-3037190</v>
      </c>
      <c r="AC12" s="12">
        <f>+S12-'Set24'!S12</f>
        <v>0</v>
      </c>
      <c r="AE12" s="28">
        <f>J12-'Set24'!J12</f>
        <v>-9.000000000000008E-3</v>
      </c>
      <c r="AF12" s="28">
        <f>L12-'Set24'!L12</f>
        <v>3.0000000000000027E-3</v>
      </c>
      <c r="AG12" s="28">
        <f>N12-'Set24'!N12</f>
        <v>7.0000000000000062E-3</v>
      </c>
      <c r="AH12" s="28">
        <f>P12-'Set24'!P12</f>
        <v>-1E-3</v>
      </c>
      <c r="AI12" s="28">
        <f>R12-'Set24'!R12</f>
        <v>0</v>
      </c>
      <c r="AJ12" s="93"/>
      <c r="AK12" s="10">
        <f>I12-'Set24'!I12</f>
        <v>-240390000</v>
      </c>
      <c r="AL12" s="76">
        <f>I12/'Set24'!I12-1</f>
        <v>-0.1774803242620675</v>
      </c>
    </row>
    <row r="13" spans="1:43" x14ac:dyDescent="0.25">
      <c r="B13" t="s">
        <v>71</v>
      </c>
      <c r="F13" s="7">
        <f t="shared" si="4"/>
        <v>1</v>
      </c>
      <c r="H13" s="3" t="s">
        <v>64</v>
      </c>
      <c r="I13" s="78">
        <v>1946400000</v>
      </c>
      <c r="J13" s="77">
        <v>0.56000000000000005</v>
      </c>
      <c r="K13" s="78">
        <f t="shared" si="5"/>
        <v>1089984000</v>
      </c>
      <c r="L13" s="77">
        <v>0.23</v>
      </c>
      <c r="M13" s="78">
        <f t="shared" si="0"/>
        <v>447672000</v>
      </c>
      <c r="N13" s="77">
        <v>0.18</v>
      </c>
      <c r="O13" s="78">
        <f t="shared" si="1"/>
        <v>350352000</v>
      </c>
      <c r="P13" s="77">
        <v>0.03</v>
      </c>
      <c r="Q13" s="78">
        <f t="shared" si="2"/>
        <v>58392000</v>
      </c>
      <c r="R13" s="77"/>
      <c r="S13" s="78">
        <f t="shared" si="3"/>
        <v>0</v>
      </c>
      <c r="T13" s="77"/>
      <c r="U13" s="57">
        <f t="shared" si="3"/>
        <v>0</v>
      </c>
      <c r="Y13" s="12">
        <f>K13-'Set24'!K13</f>
        <v>458717000</v>
      </c>
      <c r="Z13" s="12">
        <f>M13-'Set24'!M13</f>
        <v>99831000</v>
      </c>
      <c r="AA13" s="12">
        <f>O13-'Set24'!O13</f>
        <v>66926000</v>
      </c>
      <c r="AB13" s="12">
        <f>Q13-'Set24'!Q13</f>
        <v>32626000</v>
      </c>
      <c r="AC13" s="12">
        <f>+S13-'Set24'!S13</f>
        <v>0</v>
      </c>
      <c r="AE13" s="28">
        <f>J13-'Set24'!J13</f>
        <v>7.0000000000000062E-2</v>
      </c>
      <c r="AF13" s="28">
        <f>L13-'Set24'!L13</f>
        <v>-4.0000000000000008E-2</v>
      </c>
      <c r="AG13" s="28">
        <f>N13-'Set24'!N13</f>
        <v>-4.0000000000000008E-2</v>
      </c>
      <c r="AH13" s="28">
        <f>P13-'Set24'!P13</f>
        <v>9.9999999999999985E-3</v>
      </c>
      <c r="AI13" s="28">
        <f>R13-'Set24'!R13</f>
        <v>0</v>
      </c>
      <c r="AK13" s="10">
        <f>I13-'Set24'!I13</f>
        <v>658100000</v>
      </c>
      <c r="AL13" s="76">
        <f>I13/'Set24'!I13-1</f>
        <v>0.5108282232399286</v>
      </c>
    </row>
    <row r="14" spans="1:43" s="8" customFormat="1" x14ac:dyDescent="0.25">
      <c r="B14" t="s">
        <v>72</v>
      </c>
      <c r="F14" s="7">
        <f>J14+L14+N14+P14+R14+T14</f>
        <v>1.0000020312359776</v>
      </c>
      <c r="H14" s="21" t="s">
        <v>45</v>
      </c>
      <c r="I14" s="20">
        <f>SUM(I3:I13)</f>
        <v>27488869065.290001</v>
      </c>
      <c r="J14" s="15">
        <f>K14/$I$14</f>
        <v>0.46876997153770389</v>
      </c>
      <c r="K14" s="17">
        <f>SUM(K3:K13)</f>
        <v>12885956369.339663</v>
      </c>
      <c r="L14" s="15">
        <f>M14/$I$14</f>
        <v>0.25054842171352848</v>
      </c>
      <c r="M14" s="20">
        <f>SUM(M3:M13)</f>
        <v>6887292758.9982462</v>
      </c>
      <c r="N14" s="15">
        <f>O14/$I$14</f>
        <v>0.24124258251031688</v>
      </c>
      <c r="O14" s="17">
        <f>SUM(O3:O13)</f>
        <v>6631485763.5985203</v>
      </c>
      <c r="P14" s="15">
        <f>Q14/$I$14</f>
        <v>2.3560245602491016E-2</v>
      </c>
      <c r="Q14" s="17">
        <f>SUM(Q3:Q13)</f>
        <v>647644506.51295006</v>
      </c>
      <c r="R14" s="15">
        <f>S14/$I$14</f>
        <v>3.4010787552424789E-3</v>
      </c>
      <c r="S14" s="17">
        <f>SUM(S3:S13)</f>
        <v>93491808.5836</v>
      </c>
      <c r="T14" s="15">
        <f>U14/$I$14</f>
        <v>1.2479731116694918E-2</v>
      </c>
      <c r="U14" s="63">
        <f>SUM(U3:U13)</f>
        <v>343053694.63685197</v>
      </c>
      <c r="Y14" s="12">
        <f>K14-'Set24'!K14</f>
        <v>1069973816.1238689</v>
      </c>
      <c r="Z14" s="12">
        <f>M14-'Set24'!M14</f>
        <v>50514706.675414085</v>
      </c>
      <c r="AA14" s="12">
        <f>O14-'Set24'!O14</f>
        <v>-1208199018.4241772</v>
      </c>
      <c r="AB14" s="12">
        <f>Q14-'Set24'!Q14</f>
        <v>15318174.436060071</v>
      </c>
      <c r="AC14" s="12">
        <f>+S14-'Set24'!S14</f>
        <v>10064206.710099995</v>
      </c>
      <c r="AE14" s="28">
        <f>J14-'Set24'!J14</f>
        <v>4.0669601158492164E-2</v>
      </c>
      <c r="AF14" s="28">
        <f>L14-'Set24'!L14</f>
        <v>2.847716061816441E-3</v>
      </c>
      <c r="AG14" s="28">
        <f>N14-'Set24'!N14</f>
        <v>-4.2794055469212222E-2</v>
      </c>
      <c r="AH14" s="28">
        <f>P14-'Set24'!P14</f>
        <v>6.5067073273356382E-4</v>
      </c>
      <c r="AI14" s="28">
        <f>R14-'Set24'!R14</f>
        <v>3.7844503849121264E-4</v>
      </c>
      <c r="AK14" s="92">
        <f>I14-'Set24'!I14</f>
        <v>-112094098.44000244</v>
      </c>
      <c r="AL14" s="76">
        <f>I14/'Set24'!I14-1</f>
        <v>-4.0612386522548283E-3</v>
      </c>
    </row>
    <row r="15" spans="1:43" x14ac:dyDescent="0.25">
      <c r="F15" s="7"/>
      <c r="I15" s="10"/>
      <c r="J15" s="10"/>
      <c r="K15" s="10"/>
      <c r="L15" s="5"/>
      <c r="M15" s="10"/>
      <c r="N15" s="10"/>
      <c r="O15" s="10"/>
      <c r="P15" s="5"/>
      <c r="Q15" s="10"/>
    </row>
    <row r="16" spans="1:43" x14ac:dyDescent="0.25">
      <c r="F16" s="7"/>
      <c r="H16" s="4" t="s">
        <v>2</v>
      </c>
      <c r="I16" s="9" t="s">
        <v>4</v>
      </c>
      <c r="J16" s="112" t="s">
        <v>7</v>
      </c>
      <c r="K16" s="112"/>
      <c r="L16" s="112" t="s">
        <v>8</v>
      </c>
      <c r="M16" s="112"/>
      <c r="N16" s="112" t="s">
        <v>10</v>
      </c>
      <c r="O16" s="112"/>
      <c r="P16" s="112" t="s">
        <v>9</v>
      </c>
      <c r="Q16" s="112"/>
      <c r="R16" s="112" t="s">
        <v>21</v>
      </c>
      <c r="S16" s="112"/>
      <c r="T16" s="112" t="s">
        <v>55</v>
      </c>
      <c r="U16" s="112"/>
      <c r="Y16" s="27" t="s">
        <v>49</v>
      </c>
      <c r="Z16" s="27" t="s">
        <v>50</v>
      </c>
      <c r="AA16" s="27" t="s">
        <v>51</v>
      </c>
      <c r="AB16" s="27" t="s">
        <v>52</v>
      </c>
      <c r="AC16" s="27" t="s">
        <v>53</v>
      </c>
      <c r="AE16" s="27" t="s">
        <v>49</v>
      </c>
      <c r="AF16" s="27" t="s">
        <v>50</v>
      </c>
      <c r="AG16" s="27" t="s">
        <v>51</v>
      </c>
      <c r="AH16" s="27" t="s">
        <v>52</v>
      </c>
      <c r="AI16" s="27" t="s">
        <v>53</v>
      </c>
    </row>
    <row r="17" spans="5:39" x14ac:dyDescent="0.25">
      <c r="E17" s="98"/>
      <c r="F17" s="7">
        <f t="shared" si="4"/>
        <v>0.99999999999999989</v>
      </c>
      <c r="G17" s="99"/>
      <c r="H17" s="21" t="s">
        <v>6</v>
      </c>
      <c r="I17" s="80">
        <v>283383945.31</v>
      </c>
      <c r="J17" s="81">
        <f>21.95%+0.65%</f>
        <v>0.22600000000000001</v>
      </c>
      <c r="K17" s="80">
        <f t="shared" ref="K17:K26" si="6">+J17*$I17</f>
        <v>64044771.64006</v>
      </c>
      <c r="L17" s="81">
        <f>11.11%+6.56%+5.98%+5.72%+4.41%</f>
        <v>0.33779999999999999</v>
      </c>
      <c r="M17" s="80">
        <f t="shared" ref="M17:M26" si="7">+L17*$I17</f>
        <v>95727096.725717992</v>
      </c>
      <c r="N17" s="81">
        <f>36.11%+0.95%</f>
        <v>0.37059999999999998</v>
      </c>
      <c r="O17" s="80">
        <f t="shared" ref="O17:O26" si="8">+N17*$I17</f>
        <v>105022090.13188599</v>
      </c>
      <c r="P17" s="81">
        <v>6.7000000000000004E-2</v>
      </c>
      <c r="Q17" s="80">
        <f t="shared" ref="Q17:Q26" si="9">+P17*$I17</f>
        <v>18986724.33577</v>
      </c>
      <c r="R17" s="81"/>
      <c r="S17" s="80">
        <f t="shared" ref="S17:S26" si="10">+R17*$I17</f>
        <v>0</v>
      </c>
      <c r="T17" s="81">
        <v>-1.4E-3</v>
      </c>
      <c r="U17" s="79">
        <f>T17*$I17</f>
        <v>-396737.52343399997</v>
      </c>
      <c r="V17" s="98"/>
      <c r="Y17" s="12">
        <f>K17-'Set24'!K17</f>
        <v>10032323.717052996</v>
      </c>
      <c r="Z17" s="12">
        <f>M17-'Set24'!M17</f>
        <v>2657046.5491079986</v>
      </c>
      <c r="AA17" s="12">
        <f>O17-'Set24'!O17</f>
        <v>-351237.33302800357</v>
      </c>
      <c r="AB17" s="12">
        <f>Q17-'Set24'!Q17</f>
        <v>293167.24901499972</v>
      </c>
      <c r="AC17" s="12">
        <f>+S17-'Set24'!S17</f>
        <v>0</v>
      </c>
      <c r="AD17" s="98"/>
      <c r="AE17" s="28">
        <f>J17-'Set24'!J17</f>
        <v>2.2300000000000014E-2</v>
      </c>
      <c r="AF17" s="28">
        <f>L17-'Set24'!L17</f>
        <v>-1.319999999999999E-2</v>
      </c>
      <c r="AG17" s="28">
        <f>N17-'Set24'!N17</f>
        <v>-2.679999999999999E-2</v>
      </c>
      <c r="AH17" s="28">
        <f>P17-'Set24'!P17</f>
        <v>-3.4999999999999892E-3</v>
      </c>
      <c r="AI17" s="28">
        <f>R17-'Set24'!R17</f>
        <v>0</v>
      </c>
      <c r="AJ17" s="98"/>
      <c r="AK17" s="10">
        <f>I17-'Set24'!I17</f>
        <v>18227107.199999988</v>
      </c>
      <c r="AL17" s="76">
        <f>I17/'Set24'!I17-1</f>
        <v>6.8740852885108339E-2</v>
      </c>
      <c r="AM17" s="98"/>
    </row>
    <row r="18" spans="5:39" x14ac:dyDescent="0.25">
      <c r="F18" s="7">
        <f t="shared" si="4"/>
        <v>1</v>
      </c>
      <c r="H18" s="3" t="s">
        <v>26</v>
      </c>
      <c r="I18" s="78">
        <v>778745127.92999995</v>
      </c>
      <c r="J18" s="77">
        <v>0.25</v>
      </c>
      <c r="K18" s="78">
        <f t="shared" si="6"/>
        <v>194686281.98249999</v>
      </c>
      <c r="L18" s="77">
        <f>1%+4%+12%</f>
        <v>0.16999999999999998</v>
      </c>
      <c r="M18" s="78">
        <f t="shared" si="7"/>
        <v>132386671.74809998</v>
      </c>
      <c r="N18" s="77">
        <v>0.37</v>
      </c>
      <c r="O18" s="78">
        <f t="shared" si="8"/>
        <v>288135697.33409995</v>
      </c>
      <c r="P18" s="77">
        <v>0.14000000000000001</v>
      </c>
      <c r="Q18" s="78">
        <f t="shared" si="9"/>
        <v>109024317.9102</v>
      </c>
      <c r="R18" s="77">
        <v>7.0000000000000007E-2</v>
      </c>
      <c r="S18" s="78">
        <f t="shared" si="10"/>
        <v>54512158.9551</v>
      </c>
      <c r="T18" s="77"/>
      <c r="U18" s="57">
        <f>T18*$I18</f>
        <v>0</v>
      </c>
      <c r="Y18" s="12">
        <f>K18-'Set24'!K18</f>
        <v>-21638703.719500035</v>
      </c>
      <c r="Z18" s="12">
        <f>M18-'Set24'!M18</f>
        <v>8772394.204099983</v>
      </c>
      <c r="AA18" s="12">
        <f>O18-'Set24'!O18</f>
        <v>17729465.206599951</v>
      </c>
      <c r="AB18" s="12">
        <f>Q18-'Set24'!Q18</f>
        <v>-6864067.2872999907</v>
      </c>
      <c r="AC18" s="12">
        <f>+S18-'Set24'!S18</f>
        <v>8156804.8761000037</v>
      </c>
      <c r="AE18" s="28">
        <f>J18-'Set24'!J18</f>
        <v>-3.0000000000000027E-2</v>
      </c>
      <c r="AF18" s="28">
        <f>L18-'Set24'!L18</f>
        <v>9.9999999999999811E-3</v>
      </c>
      <c r="AG18" s="28">
        <f>N18-'Set24'!N18</f>
        <v>2.0000000000000018E-2</v>
      </c>
      <c r="AH18" s="28">
        <f>P18-'Set24'!P18</f>
        <v>-9.9999999999999811E-3</v>
      </c>
      <c r="AI18" s="28">
        <f>R18-'Set24'!R18</f>
        <v>1.0000000000000009E-2</v>
      </c>
      <c r="AK18" s="10">
        <f>I18-'Set24'!I18</f>
        <v>6155893.2799999714</v>
      </c>
      <c r="AL18" s="76">
        <f>I18/'Set24'!I18-1</f>
        <v>7.9678734881527546E-3</v>
      </c>
    </row>
    <row r="19" spans="5:39" x14ac:dyDescent="0.25">
      <c r="F19" s="7">
        <f t="shared" si="4"/>
        <v>1</v>
      </c>
      <c r="H19" s="3" t="s">
        <v>27</v>
      </c>
      <c r="I19" s="78">
        <v>395163961</v>
      </c>
      <c r="J19" s="77">
        <f>6.5%+5%</f>
        <v>0.115</v>
      </c>
      <c r="K19" s="78">
        <f t="shared" si="6"/>
        <v>45443855.515000001</v>
      </c>
      <c r="L19" s="77">
        <v>0.20699999999999999</v>
      </c>
      <c r="M19" s="78">
        <f t="shared" si="7"/>
        <v>81798939.927000001</v>
      </c>
      <c r="N19" s="77">
        <v>0.55700000000000005</v>
      </c>
      <c r="O19" s="78">
        <f t="shared" si="8"/>
        <v>220106326.27700001</v>
      </c>
      <c r="P19" s="77">
        <v>4.2000000000000003E-2</v>
      </c>
      <c r="Q19" s="78">
        <f t="shared" si="9"/>
        <v>16596886.362000002</v>
      </c>
      <c r="R19" s="77"/>
      <c r="S19" s="78">
        <f t="shared" si="10"/>
        <v>0</v>
      </c>
      <c r="T19" s="77">
        <v>7.9000000000000001E-2</v>
      </c>
      <c r="U19" s="57">
        <f t="shared" ref="U19:U26" si="11">T19*$I19</f>
        <v>31217952.919</v>
      </c>
      <c r="Y19" s="12">
        <f>K19-'Set24'!K19</f>
        <v>45443855.515000001</v>
      </c>
      <c r="Z19" s="12">
        <f>M19-'Set24'!M19</f>
        <v>-22919509.738000005</v>
      </c>
      <c r="AA19" s="12">
        <f>O19-'Set24'!O19</f>
        <v>-49000331.164000034</v>
      </c>
      <c r="AB19" s="12">
        <f>Q19-'Set24'!Q19</f>
        <v>-395163.96099999733</v>
      </c>
      <c r="AC19" s="12">
        <f>+S19-'Set24'!S19</f>
        <v>0</v>
      </c>
      <c r="AE19" s="28">
        <f>J19-'Set24'!J19</f>
        <v>0.115</v>
      </c>
      <c r="AF19" s="28">
        <f>L19-'Set24'!L19</f>
        <v>-5.8000000000000024E-2</v>
      </c>
      <c r="AG19" s="28">
        <f>N19-'Set24'!N19</f>
        <v>-0.124</v>
      </c>
      <c r="AH19" s="28">
        <f>P19-'Set24'!P19</f>
        <v>-9.9999999999999395E-4</v>
      </c>
      <c r="AI19" s="28">
        <f>R19-'Set24'!R19</f>
        <v>0</v>
      </c>
      <c r="AJ19" s="93"/>
      <c r="AK19" s="10">
        <f>I19-'Set24'!I19</f>
        <v>0</v>
      </c>
      <c r="AL19" s="76">
        <f>I19/'Set24'!I19-1</f>
        <v>0</v>
      </c>
    </row>
    <row r="20" spans="5:39" x14ac:dyDescent="0.25">
      <c r="F20" s="7">
        <f t="shared" si="4"/>
        <v>1</v>
      </c>
      <c r="H20" s="3" t="s">
        <v>67</v>
      </c>
      <c r="I20" s="78">
        <v>1129741341</v>
      </c>
      <c r="J20" s="77">
        <v>0.19</v>
      </c>
      <c r="K20" s="78">
        <f t="shared" si="6"/>
        <v>214650854.78999999</v>
      </c>
      <c r="L20" s="77">
        <f>10%+5%+4%+2%</f>
        <v>0.21000000000000002</v>
      </c>
      <c r="M20" s="78">
        <f t="shared" si="7"/>
        <v>237245681.61000001</v>
      </c>
      <c r="N20" s="77">
        <v>0.47</v>
      </c>
      <c r="O20" s="78">
        <f t="shared" si="8"/>
        <v>530978430.26999998</v>
      </c>
      <c r="P20" s="77">
        <v>0.13</v>
      </c>
      <c r="Q20" s="78">
        <f t="shared" si="9"/>
        <v>146866374.33000001</v>
      </c>
      <c r="R20" s="77"/>
      <c r="S20" s="78">
        <f t="shared" si="10"/>
        <v>0</v>
      </c>
      <c r="T20" s="77"/>
      <c r="U20" s="57">
        <f t="shared" si="11"/>
        <v>0</v>
      </c>
      <c r="Y20" s="12">
        <f>K20-'Set24'!K20</f>
        <v>56487067.049999982</v>
      </c>
      <c r="Z20" s="12">
        <f>M20-'Set24'!M20</f>
        <v>0</v>
      </c>
      <c r="AA20" s="12">
        <f>O20-'Set24'!O20</f>
        <v>-56487067.050000072</v>
      </c>
      <c r="AB20" s="12">
        <f>Q20-'Set24'!Q20</f>
        <v>0</v>
      </c>
      <c r="AC20" s="12">
        <f>+S20-'Set24'!S20</f>
        <v>0</v>
      </c>
      <c r="AE20" s="28">
        <f>J20-'Set24'!J20</f>
        <v>4.9999999999999989E-2</v>
      </c>
      <c r="AF20" s="28">
        <f>L20-'Set24'!L20</f>
        <v>0</v>
      </c>
      <c r="AG20" s="28">
        <f>N20-'Set24'!N20</f>
        <v>-5.0000000000000044E-2</v>
      </c>
      <c r="AH20" s="28">
        <f>P20-'Set24'!P20</f>
        <v>0</v>
      </c>
      <c r="AI20" s="28">
        <f>R20-'Set24'!R20</f>
        <v>0</v>
      </c>
      <c r="AJ20" s="93"/>
      <c r="AK20" s="10">
        <f>I20-'Set24'!I20</f>
        <v>0</v>
      </c>
      <c r="AL20" s="76">
        <f>I20/'Set24'!I20-1</f>
        <v>0</v>
      </c>
    </row>
    <row r="21" spans="5:39" x14ac:dyDescent="0.25">
      <c r="F21" s="7">
        <f t="shared" si="4"/>
        <v>1.0000000000000002</v>
      </c>
      <c r="H21" s="3" t="s">
        <v>32</v>
      </c>
      <c r="I21" s="78">
        <v>238600000</v>
      </c>
      <c r="J21" s="77">
        <v>0.18</v>
      </c>
      <c r="K21" s="78">
        <f t="shared" si="6"/>
        <v>42948000</v>
      </c>
      <c r="L21" s="77">
        <v>0.14000000000000001</v>
      </c>
      <c r="M21" s="78">
        <f t="shared" si="7"/>
        <v>33404000.000000004</v>
      </c>
      <c r="N21" s="77">
        <f>54%+3%</f>
        <v>0.57000000000000006</v>
      </c>
      <c r="O21" s="78">
        <f t="shared" si="8"/>
        <v>136002000</v>
      </c>
      <c r="P21" s="77">
        <v>0.11</v>
      </c>
      <c r="Q21" s="78">
        <f t="shared" si="9"/>
        <v>26246000</v>
      </c>
      <c r="R21" s="77"/>
      <c r="S21" s="78">
        <f t="shared" si="10"/>
        <v>0</v>
      </c>
      <c r="T21" s="77"/>
      <c r="U21" s="57">
        <f t="shared" si="11"/>
        <v>0</v>
      </c>
      <c r="Y21" s="12">
        <f>K21-'Set24'!K21</f>
        <v>11605000</v>
      </c>
      <c r="Z21" s="12">
        <f>M21-'Set24'!M21</f>
        <v>-349999.99999999627</v>
      </c>
      <c r="AA21" s="12">
        <f>O21-'Set24'!O21</f>
        <v>-13480000</v>
      </c>
      <c r="AB21" s="12">
        <f>Q21-'Set24'!Q21</f>
        <v>-275000</v>
      </c>
      <c r="AC21" s="12">
        <f>+S21-'Set24'!S21</f>
        <v>0</v>
      </c>
      <c r="AE21" s="28">
        <f>J21-'Set24'!J21</f>
        <v>4.9999999999999989E-2</v>
      </c>
      <c r="AF21" s="28">
        <f>L21-'Set24'!L21</f>
        <v>0</v>
      </c>
      <c r="AG21" s="28">
        <f>N21-'Set24'!N21</f>
        <v>-4.9999999999999933E-2</v>
      </c>
      <c r="AH21" s="28">
        <f>P21-'Set24'!P21</f>
        <v>0</v>
      </c>
      <c r="AI21" s="28">
        <f>R21-'Set24'!R21</f>
        <v>0</v>
      </c>
      <c r="AK21" s="10">
        <f>I21-'Set24'!I21</f>
        <v>-2500000</v>
      </c>
      <c r="AL21" s="76">
        <f>I21/'Set24'!I21-1</f>
        <v>-1.0369141435089158E-2</v>
      </c>
    </row>
    <row r="22" spans="5:39" x14ac:dyDescent="0.25">
      <c r="F22" s="7">
        <f t="shared" si="4"/>
        <v>1</v>
      </c>
      <c r="H22" s="3" t="s">
        <v>33</v>
      </c>
      <c r="I22" s="84">
        <v>1128300000</v>
      </c>
      <c r="J22" s="77">
        <v>0.33</v>
      </c>
      <c r="K22" s="78">
        <f t="shared" si="6"/>
        <v>372339000</v>
      </c>
      <c r="L22" s="77">
        <v>0.14000000000000001</v>
      </c>
      <c r="M22" s="78">
        <f t="shared" si="7"/>
        <v>157962000.00000003</v>
      </c>
      <c r="N22" s="77">
        <v>0.51</v>
      </c>
      <c r="O22" s="78">
        <f t="shared" si="8"/>
        <v>575433000</v>
      </c>
      <c r="P22" s="77">
        <v>0.02</v>
      </c>
      <c r="Q22" s="78">
        <f t="shared" si="9"/>
        <v>22566000</v>
      </c>
      <c r="R22" s="77"/>
      <c r="S22" s="78">
        <f t="shared" si="10"/>
        <v>0</v>
      </c>
      <c r="T22" s="77"/>
      <c r="U22" s="57">
        <f t="shared" si="11"/>
        <v>0</v>
      </c>
      <c r="Y22" s="12">
        <f>K22-'Set24'!K22</f>
        <v>95589000</v>
      </c>
      <c r="Z22" s="12">
        <f>M22-'Set24'!M22</f>
        <v>14462000.00000003</v>
      </c>
      <c r="AA22" s="12">
        <f>O22-'Set24'!O22</f>
        <v>-8817000</v>
      </c>
      <c r="AB22" s="12">
        <f>Q22-'Set24'!Q22</f>
        <v>2066000</v>
      </c>
      <c r="AC22" s="12">
        <f>+S22-'Set24'!S22</f>
        <v>0</v>
      </c>
      <c r="AE22" s="28">
        <f>J22-'Set24'!J22</f>
        <v>0.06</v>
      </c>
      <c r="AF22" s="28">
        <f>L22-'Set24'!L22</f>
        <v>0</v>
      </c>
      <c r="AG22" s="28">
        <f>N22-'Set24'!N22</f>
        <v>-5.9999999999999942E-2</v>
      </c>
      <c r="AH22" s="28">
        <f>P22-'Set24'!P22</f>
        <v>0</v>
      </c>
      <c r="AI22" s="28">
        <f>R22-'Set24'!R22</f>
        <v>0</v>
      </c>
      <c r="AK22" s="10">
        <f>I22-'Set24'!I22</f>
        <v>103300000</v>
      </c>
      <c r="AL22" s="76">
        <f>I22/'Set24'!I22-1</f>
        <v>0.10078048780487814</v>
      </c>
    </row>
    <row r="23" spans="5:39" x14ac:dyDescent="0.25">
      <c r="F23" s="7">
        <f t="shared" si="4"/>
        <v>1</v>
      </c>
      <c r="H23" s="3" t="s">
        <v>68</v>
      </c>
      <c r="I23" s="84">
        <v>222481936</v>
      </c>
      <c r="J23" s="77">
        <v>0.38740000000000002</v>
      </c>
      <c r="K23" s="78">
        <f t="shared" si="6"/>
        <v>86189502.006400004</v>
      </c>
      <c r="L23" s="77">
        <v>0.1145</v>
      </c>
      <c r="M23" s="78">
        <f t="shared" si="7"/>
        <v>25474181.672000002</v>
      </c>
      <c r="N23" s="77">
        <v>0.39710000000000001</v>
      </c>
      <c r="O23" s="78">
        <f t="shared" si="8"/>
        <v>88347576.785600007</v>
      </c>
      <c r="P23" s="77">
        <v>0.1007</v>
      </c>
      <c r="Q23" s="78">
        <f t="shared" si="9"/>
        <v>22403930.955199998</v>
      </c>
      <c r="R23" s="77"/>
      <c r="S23" s="78">
        <f t="shared" si="10"/>
        <v>0</v>
      </c>
      <c r="T23" s="77">
        <v>2.9999999999999997E-4</v>
      </c>
      <c r="U23" s="57">
        <f t="shared" si="11"/>
        <v>66744.580799999996</v>
      </c>
      <c r="Y23" s="12">
        <f>K23-'Set24'!K23</f>
        <v>8847114.7089000046</v>
      </c>
      <c r="Z23" s="12">
        <f>M23-'Set24'!M23</f>
        <v>-2435848.1614000015</v>
      </c>
      <c r="AA23" s="12">
        <f>O23-'Set24'!O23</f>
        <v>-6956049.8066000044</v>
      </c>
      <c r="AB23" s="12">
        <f>Q23-'Set24'!Q23</f>
        <v>458724.08459999785</v>
      </c>
      <c r="AC23" s="12">
        <f>+S23-'Set24'!S23</f>
        <v>0</v>
      </c>
      <c r="AE23" s="28">
        <f>J23-'Set24'!J23</f>
        <v>3.9900000000000047E-2</v>
      </c>
      <c r="AF23" s="28">
        <f>L23-'Set24'!L23</f>
        <v>-1.0900000000000007E-2</v>
      </c>
      <c r="AG23" s="28">
        <f>N23-'Set24'!N23</f>
        <v>-3.1100000000000017E-2</v>
      </c>
      <c r="AH23" s="28">
        <f>P23-'Set24'!P23</f>
        <v>2.1000000000000046E-3</v>
      </c>
      <c r="AI23" s="28">
        <f>R23-'Set24'!R23</f>
        <v>0</v>
      </c>
      <c r="AJ23" s="93"/>
      <c r="AK23" s="10">
        <f>I23-'Set24'!I23</f>
        <v>-86085</v>
      </c>
      <c r="AL23" s="76">
        <f>I23/'Set24'!I23-1</f>
        <v>-3.8678063278463348E-4</v>
      </c>
    </row>
    <row r="24" spans="5:39" x14ac:dyDescent="0.25">
      <c r="F24" s="7">
        <f t="shared" si="4"/>
        <v>1</v>
      </c>
      <c r="H24" s="3" t="s">
        <v>35</v>
      </c>
      <c r="I24" s="84">
        <v>443615619</v>
      </c>
      <c r="J24" s="77">
        <v>0.27200000000000002</v>
      </c>
      <c r="K24" s="78">
        <f t="shared" si="6"/>
        <v>120663448.36800002</v>
      </c>
      <c r="L24" s="77">
        <f>32.4%+6.6%+0.3%</f>
        <v>0.39300000000000002</v>
      </c>
      <c r="M24" s="78">
        <f t="shared" si="7"/>
        <v>174340938.26700002</v>
      </c>
      <c r="N24" s="77">
        <v>0.27</v>
      </c>
      <c r="O24" s="78">
        <f t="shared" si="8"/>
        <v>119776217.13000001</v>
      </c>
      <c r="P24" s="77">
        <v>6.5000000000000002E-2</v>
      </c>
      <c r="Q24" s="78">
        <f t="shared" si="9"/>
        <v>28835015.234999999</v>
      </c>
      <c r="R24" s="77"/>
      <c r="S24" s="78">
        <f t="shared" si="10"/>
        <v>0</v>
      </c>
      <c r="T24" s="77"/>
      <c r="U24" s="57">
        <f t="shared" si="11"/>
        <v>0</v>
      </c>
      <c r="Y24" s="12">
        <f>K24-'Set24'!K24</f>
        <v>51071661.182000011</v>
      </c>
      <c r="Z24" s="12">
        <f>M24-'Set24'!M24</f>
        <v>-2943167.6369999945</v>
      </c>
      <c r="AA24" s="12">
        <f>O24-'Set24'!O24</f>
        <v>-2300996.145999983</v>
      </c>
      <c r="AB24" s="12">
        <f>Q24-'Set24'!Q24</f>
        <v>9007187.6009999998</v>
      </c>
      <c r="AC24" s="12">
        <f>+S24-'Set24'!S24</f>
        <v>0</v>
      </c>
      <c r="AE24" s="28">
        <f>J24-'Set24'!J24</f>
        <v>9.3000000000000027E-2</v>
      </c>
      <c r="AF24" s="28">
        <f>L24-'Set24'!L24</f>
        <v>-6.3E-2</v>
      </c>
      <c r="AG24" s="28">
        <f>N24-'Set24'!N24</f>
        <v>-4.3999999999999984E-2</v>
      </c>
      <c r="AH24" s="28">
        <f>P24-'Set24'!P24</f>
        <v>1.4000000000000005E-2</v>
      </c>
      <c r="AI24" s="28">
        <f>R24-'Set24'!R24</f>
        <v>0</v>
      </c>
      <c r="AJ24" s="93"/>
      <c r="AK24" s="10">
        <f>I24-'Set24'!I24</f>
        <v>54834685</v>
      </c>
      <c r="AL24" s="76">
        <f>I24/'Set24'!I24-1</f>
        <v>0.14104262890628272</v>
      </c>
    </row>
    <row r="25" spans="5:39" x14ac:dyDescent="0.25">
      <c r="F25" s="7">
        <f t="shared" si="4"/>
        <v>0</v>
      </c>
      <c r="H25" s="3" t="s">
        <v>36</v>
      </c>
      <c r="I25" s="100"/>
      <c r="J25" s="91"/>
      <c r="K25" s="90">
        <f t="shared" si="6"/>
        <v>0</v>
      </c>
      <c r="L25" s="91"/>
      <c r="M25" s="90">
        <f t="shared" si="7"/>
        <v>0</v>
      </c>
      <c r="N25" s="91"/>
      <c r="O25" s="90">
        <f t="shared" si="8"/>
        <v>0</v>
      </c>
      <c r="P25" s="91"/>
      <c r="Q25" s="90">
        <f t="shared" si="9"/>
        <v>0</v>
      </c>
      <c r="R25" s="91"/>
      <c r="S25" s="90">
        <f t="shared" si="10"/>
        <v>0</v>
      </c>
      <c r="T25" s="91"/>
      <c r="U25" s="57">
        <f t="shared" si="11"/>
        <v>0</v>
      </c>
      <c r="Y25" s="12">
        <f>K25-'Set24'!K25</f>
        <v>-122054900.00000001</v>
      </c>
      <c r="Z25" s="12">
        <f>M25-'Set24'!M25</f>
        <v>-150773700</v>
      </c>
      <c r="AA25" s="12">
        <f>O25-'Set24'!O25</f>
        <v>-402063200.00000006</v>
      </c>
      <c r="AB25" s="12">
        <f>Q25-'Set24'!Q25</f>
        <v>-43078200</v>
      </c>
      <c r="AC25" s="12">
        <f>+S25-'Set24'!S25</f>
        <v>0</v>
      </c>
      <c r="AE25" s="28">
        <f>J25-'Set24'!J25</f>
        <v>-0.17</v>
      </c>
      <c r="AF25" s="28">
        <f>L25-'Set24'!L25</f>
        <v>-0.21</v>
      </c>
      <c r="AG25" s="28">
        <f>N25-'Set24'!N25</f>
        <v>-0.56000000000000005</v>
      </c>
      <c r="AH25" s="28">
        <f>P25-'Set24'!P25</f>
        <v>-0.06</v>
      </c>
      <c r="AI25" s="28">
        <f>R25-'Set24'!R25</f>
        <v>0</v>
      </c>
      <c r="AJ25" s="93"/>
      <c r="AK25" s="10">
        <f>I25-'Set24'!I25</f>
        <v>-717970000</v>
      </c>
      <c r="AL25" s="76">
        <f>I25/'Set24'!I25-1</f>
        <v>-1</v>
      </c>
    </row>
    <row r="26" spans="5:39" x14ac:dyDescent="0.25">
      <c r="F26" s="7">
        <f t="shared" si="4"/>
        <v>1</v>
      </c>
      <c r="H26" s="3" t="s">
        <v>65</v>
      </c>
      <c r="I26" s="78">
        <v>330400000</v>
      </c>
      <c r="J26" s="77">
        <v>0.33</v>
      </c>
      <c r="K26" s="78">
        <f t="shared" si="6"/>
        <v>109032000</v>
      </c>
      <c r="L26" s="77">
        <v>0.14000000000000001</v>
      </c>
      <c r="M26" s="78">
        <f t="shared" si="7"/>
        <v>46256000.000000007</v>
      </c>
      <c r="N26" s="77">
        <v>0.44</v>
      </c>
      <c r="O26" s="78">
        <f t="shared" si="8"/>
        <v>145376000</v>
      </c>
      <c r="P26" s="77">
        <v>0.09</v>
      </c>
      <c r="Q26" s="78">
        <f t="shared" si="9"/>
        <v>29736000</v>
      </c>
      <c r="R26" s="77"/>
      <c r="S26" s="78">
        <f t="shared" si="10"/>
        <v>0</v>
      </c>
      <c r="T26" s="77"/>
      <c r="U26" s="57">
        <f t="shared" si="11"/>
        <v>0</v>
      </c>
      <c r="Y26" s="12">
        <f>K26-'Set24'!K26</f>
        <v>27774000</v>
      </c>
      <c r="Z26" s="12">
        <f>M26-'Set24'!M26</f>
        <v>1424000.0000000075</v>
      </c>
      <c r="AA26" s="12">
        <f>O26-'Set24'!O26</f>
        <v>13682000.000000015</v>
      </c>
      <c r="AB26" s="12">
        <f>Q26-'Set24'!Q26</f>
        <v>7320000</v>
      </c>
      <c r="AC26" s="12">
        <f>+S26-'Set24'!S26</f>
        <v>0</v>
      </c>
      <c r="AE26" s="28">
        <f>J26-'Set24'!J26</f>
        <v>4.0000000000000036E-2</v>
      </c>
      <c r="AF26" s="28">
        <f>L26-'Set24'!L26</f>
        <v>-1.999999999999999E-2</v>
      </c>
      <c r="AG26" s="28">
        <f>N26-'Set24'!N26</f>
        <v>-2.9999999999999971E-2</v>
      </c>
      <c r="AH26" s="28">
        <f>P26-'Set24'!P26</f>
        <v>9.999999999999995E-3</v>
      </c>
      <c r="AI26" s="28">
        <f>R26-'Set24'!R26</f>
        <v>0</v>
      </c>
      <c r="AK26" s="10">
        <f>I26-'Set24'!I26</f>
        <v>50200000</v>
      </c>
      <c r="AL26" s="76">
        <f>I26/'Set24'!I26-1</f>
        <v>0.17915774446823707</v>
      </c>
    </row>
    <row r="27" spans="5:39" s="8" customFormat="1" x14ac:dyDescent="0.25">
      <c r="F27" s="7">
        <f t="shared" si="4"/>
        <v>1</v>
      </c>
      <c r="H27" s="21" t="s">
        <v>45</v>
      </c>
      <c r="I27" s="20">
        <f>SUM(I17:I26)</f>
        <v>4950431930.2399998</v>
      </c>
      <c r="J27" s="15">
        <f>K27/$I$27</f>
        <v>0.25250275772226594</v>
      </c>
      <c r="K27" s="63">
        <f>SUM(K17:K26)</f>
        <v>1249997714.30196</v>
      </c>
      <c r="L27" s="15">
        <f>M27/$I$27</f>
        <v>0.19889082888613405</v>
      </c>
      <c r="M27" s="62">
        <f>SUM(M17:M26)</f>
        <v>984595509.94981813</v>
      </c>
      <c r="N27" s="15">
        <f>O27/$I$27</f>
        <v>0.44625951211119547</v>
      </c>
      <c r="O27" s="63">
        <f>SUM(O17:O26)</f>
        <v>2209177337.928586</v>
      </c>
      <c r="P27" s="15">
        <f>Q27/$I$27</f>
        <v>8.5095857303858949E-2</v>
      </c>
      <c r="Q27" s="63">
        <f>SUM(Q17:Q26)</f>
        <v>421261249.12817007</v>
      </c>
      <c r="R27" s="15">
        <f>S27/$I$27</f>
        <v>1.1011596507793457E-2</v>
      </c>
      <c r="S27" s="63">
        <f>SUM(S17:S26)</f>
        <v>54512158.9551</v>
      </c>
      <c r="T27" s="15">
        <f>U27/$I$27</f>
        <v>6.2394474687521937E-3</v>
      </c>
      <c r="U27" s="17">
        <f>SUM(U17:U26)</f>
        <v>30887959.976366002</v>
      </c>
      <c r="Y27" s="12">
        <f>K27-'Set24'!K27</f>
        <v>163156418.45345306</v>
      </c>
      <c r="Z27" s="12">
        <f>M27-'Set24'!M27</f>
        <v>-152106784.78319192</v>
      </c>
      <c r="AA27" s="12">
        <f>O27-'Set24'!O27</f>
        <v>-508044416.29302788</v>
      </c>
      <c r="AB27" s="12">
        <f>Q27-'Set24'!Q27</f>
        <v>-31467352.31368494</v>
      </c>
      <c r="AC27" s="12">
        <f>+S27-'Set24'!S27</f>
        <v>8156804.8761000037</v>
      </c>
      <c r="AE27" s="28">
        <f>J27-'Set24'!J27</f>
        <v>5.265221151073346E-2</v>
      </c>
      <c r="AF27" s="28">
        <f>L27-'Set24'!L27</f>
        <v>-1.0128257295110382E-2</v>
      </c>
      <c r="AG27" s="28">
        <f>N27-'Set24'!N27</f>
        <v>-5.3388646118836702E-2</v>
      </c>
      <c r="AH27" s="28">
        <f>P27-'Set24'!P27</f>
        <v>1.8472186761733234E-3</v>
      </c>
      <c r="AI27" s="28">
        <f>R27-'Set24'!R27</f>
        <v>2.4876815002352112E-3</v>
      </c>
      <c r="AK27" s="92">
        <f>I27-'Set24'!I27</f>
        <v>-487838399.52000046</v>
      </c>
      <c r="AL27" s="76">
        <f>I27/'Set24'!I27-1</f>
        <v>-8.9704698357929824E-2</v>
      </c>
    </row>
    <row r="28" spans="5:39" x14ac:dyDescent="0.25">
      <c r="F28" s="7"/>
      <c r="I28" s="10"/>
      <c r="J28" s="10"/>
      <c r="K28" s="10"/>
      <c r="L28" s="5"/>
      <c r="M28" s="10"/>
      <c r="N28" s="10"/>
      <c r="O28" s="10"/>
      <c r="P28" s="5"/>
      <c r="Q28" s="10"/>
    </row>
    <row r="29" spans="5:39" x14ac:dyDescent="0.25">
      <c r="F29" s="7"/>
      <c r="H29" s="4" t="s">
        <v>38</v>
      </c>
      <c r="I29" s="9" t="s">
        <v>4</v>
      </c>
      <c r="J29" s="113" t="s">
        <v>7</v>
      </c>
      <c r="K29" s="113"/>
      <c r="L29" s="112" t="s">
        <v>8</v>
      </c>
      <c r="M29" s="112"/>
      <c r="N29" s="112" t="s">
        <v>10</v>
      </c>
      <c r="O29" s="112"/>
      <c r="P29" s="112" t="s">
        <v>9</v>
      </c>
      <c r="Q29" s="112"/>
      <c r="R29" s="112" t="s">
        <v>40</v>
      </c>
      <c r="S29" s="112"/>
      <c r="T29" s="112" t="s">
        <v>55</v>
      </c>
      <c r="U29" s="112"/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  <c r="AE29" s="27" t="s">
        <v>49</v>
      </c>
      <c r="AF29" s="27" t="s">
        <v>50</v>
      </c>
      <c r="AG29" s="27" t="s">
        <v>51</v>
      </c>
      <c r="AH29" s="27" t="s">
        <v>52</v>
      </c>
      <c r="AI29" s="27" t="s">
        <v>54</v>
      </c>
    </row>
    <row r="30" spans="5:39" x14ac:dyDescent="0.25">
      <c r="E30" s="98"/>
      <c r="F30" s="7">
        <f>J30+L30+N30+P30+R30+T30</f>
        <v>1</v>
      </c>
      <c r="G30" s="98"/>
      <c r="H30" s="21" t="s">
        <v>39</v>
      </c>
      <c r="I30" s="87">
        <v>236658636.06</v>
      </c>
      <c r="J30" s="81">
        <f>3.5%+2.6%</f>
        <v>6.1000000000000006E-2</v>
      </c>
      <c r="K30" s="80">
        <f t="shared" ref="K30:K35" si="12">+J30*$I30</f>
        <v>14436176.799660001</v>
      </c>
      <c r="L30" s="81">
        <f>14.1%+7%+2.1%+1.1%</f>
        <v>0.24299999999999999</v>
      </c>
      <c r="M30" s="80">
        <f t="shared" ref="M30:M35" si="13">+L30*$I30</f>
        <v>57508048.562579997</v>
      </c>
      <c r="N30" s="81">
        <f>51.2%+3.6%+1.8%</f>
        <v>0.56600000000000006</v>
      </c>
      <c r="O30" s="80">
        <f t="shared" ref="O30:O35" si="14">+N30*$I30</f>
        <v>133948788.00996001</v>
      </c>
      <c r="P30" s="81">
        <v>0.12</v>
      </c>
      <c r="Q30" s="80">
        <f t="shared" ref="Q30:Q35" si="15">+P30*$I30</f>
        <v>28399036.327199999</v>
      </c>
      <c r="R30" s="88">
        <v>5.1999999999999998E-2</v>
      </c>
      <c r="S30" s="80">
        <f t="shared" ref="S30:S35" si="16">+R30*$I30</f>
        <v>12306249.07512</v>
      </c>
      <c r="T30" s="81">
        <v>-4.2000000000000003E-2</v>
      </c>
      <c r="U30" s="65">
        <f>$I30*T30</f>
        <v>-9939662.7145199999</v>
      </c>
      <c r="V30" s="98"/>
      <c r="Y30" s="12">
        <f>K30-'Set24'!K30</f>
        <v>-7982705.9870400019</v>
      </c>
      <c r="Z30" s="12">
        <f>M30-'Set24'!M30</f>
        <v>2758776.9150599912</v>
      </c>
      <c r="AA30" s="12">
        <f>O30-'Set24'!O30</f>
        <v>-2452414.6291200072</v>
      </c>
      <c r="AB30" s="12">
        <f>Q30-'Set24'!Q30</f>
        <v>3384282.9020399973</v>
      </c>
      <c r="AC30" s="12">
        <f>+S30-'Set24'!S30</f>
        <v>-909092.35704000108</v>
      </c>
      <c r="AD30" s="98"/>
      <c r="AE30" s="28">
        <f>J30-'Set24'!J30</f>
        <v>-3.3999999999999996E-2</v>
      </c>
      <c r="AF30" s="28">
        <f>L30-'Set24'!L30</f>
        <v>1.0999999999999982E-2</v>
      </c>
      <c r="AG30" s="28">
        <f>N30-'Set24'!N30</f>
        <v>-1.2000000000000011E-2</v>
      </c>
      <c r="AH30" s="28">
        <f>P30-'Set24'!P30</f>
        <v>1.3999999999999999E-2</v>
      </c>
      <c r="AI30" s="28">
        <f>R30-'Set24'!R30</f>
        <v>-4.0000000000000036E-3</v>
      </c>
      <c r="AJ30" s="98"/>
      <c r="AK30" s="10">
        <f>I30-'Set24'!I30</f>
        <v>670396.19999998808</v>
      </c>
      <c r="AL30" s="76">
        <f>I30/'Set24'!I30-1</f>
        <v>2.84080342477111E-3</v>
      </c>
      <c r="AM30" s="98"/>
    </row>
    <row r="31" spans="5:39" hidden="1" outlineLevel="1" x14ac:dyDescent="0.25">
      <c r="F31" s="7">
        <f t="shared" si="4"/>
        <v>0</v>
      </c>
      <c r="H31" s="3" t="s">
        <v>56</v>
      </c>
      <c r="I31" s="78"/>
      <c r="J31" s="77"/>
      <c r="K31" s="78">
        <f t="shared" si="12"/>
        <v>0</v>
      </c>
      <c r="L31" s="77"/>
      <c r="M31" s="78">
        <f t="shared" si="13"/>
        <v>0</v>
      </c>
      <c r="N31" s="77"/>
      <c r="O31" s="78">
        <f t="shared" si="14"/>
        <v>0</v>
      </c>
      <c r="P31" s="77"/>
      <c r="Q31" s="78">
        <f t="shared" si="15"/>
        <v>0</v>
      </c>
      <c r="R31" s="77"/>
      <c r="S31" s="78">
        <f t="shared" si="16"/>
        <v>0</v>
      </c>
      <c r="T31" s="77"/>
      <c r="U31" s="72"/>
      <c r="Y31" s="12">
        <f>K31-'Set24'!K31</f>
        <v>0</v>
      </c>
      <c r="Z31" s="12">
        <f>M31-'Set24'!M31</f>
        <v>0</v>
      </c>
      <c r="AA31" s="12">
        <f>O31-'Set24'!O31</f>
        <v>0</v>
      </c>
      <c r="AB31" s="12">
        <f>Q31-'Set24'!Q31</f>
        <v>0</v>
      </c>
      <c r="AC31" s="12">
        <f>+S31-'Set24'!S31</f>
        <v>0</v>
      </c>
      <c r="AE31" s="28">
        <f>J31-'Set24'!J31</f>
        <v>0</v>
      </c>
      <c r="AF31" s="28">
        <f>L31-'Set24'!L31</f>
        <v>0</v>
      </c>
      <c r="AG31" s="28">
        <f>N31-'Set24'!N31</f>
        <v>0</v>
      </c>
      <c r="AH31" s="28">
        <f>P31-'Set24'!P31</f>
        <v>0</v>
      </c>
      <c r="AI31" s="28">
        <f>R31-'Set24'!R31</f>
        <v>0</v>
      </c>
      <c r="AK31" s="10">
        <f>I31-'Set24'!I31</f>
        <v>0</v>
      </c>
      <c r="AL31" s="76" t="e">
        <f>I31/'Set24'!I31-1</f>
        <v>#DIV/0!</v>
      </c>
    </row>
    <row r="32" spans="5:39" collapsed="1" x14ac:dyDescent="0.25">
      <c r="F32" s="7">
        <f t="shared" si="4"/>
        <v>1</v>
      </c>
      <c r="H32" s="3" t="s">
        <v>42</v>
      </c>
      <c r="I32" s="84">
        <v>278476026</v>
      </c>
      <c r="J32" s="77">
        <v>7.0000000000000007E-2</v>
      </c>
      <c r="K32" s="78">
        <f t="shared" si="12"/>
        <v>19493321.82</v>
      </c>
      <c r="L32" s="77">
        <v>0.15</v>
      </c>
      <c r="M32" s="78">
        <f t="shared" si="13"/>
        <v>41771403.899999999</v>
      </c>
      <c r="N32" s="77">
        <f>46%+5%</f>
        <v>0.51</v>
      </c>
      <c r="O32" s="78">
        <f t="shared" si="14"/>
        <v>142022773.25999999</v>
      </c>
      <c r="P32" s="77">
        <v>0.04</v>
      </c>
      <c r="Q32" s="78">
        <f t="shared" si="15"/>
        <v>11139041.040000001</v>
      </c>
      <c r="R32" s="77">
        <v>0.16</v>
      </c>
      <c r="S32" s="78">
        <f t="shared" si="16"/>
        <v>44556164.160000004</v>
      </c>
      <c r="T32" s="77">
        <v>7.0000000000000007E-2</v>
      </c>
      <c r="U32" s="72">
        <f>$I32*T32</f>
        <v>19493321.82</v>
      </c>
      <c r="Y32" s="12">
        <f>K32-'Set24'!K32</f>
        <v>-10959644.57</v>
      </c>
      <c r="Z32" s="12">
        <f>M32-'Set24'!M32</f>
        <v>5781534.5299999937</v>
      </c>
      <c r="AA32" s="12">
        <f>O32-'Set24'!O32</f>
        <v>831747.26999998093</v>
      </c>
      <c r="AB32" s="12">
        <f>Q32-'Set24'!Q32</f>
        <v>65235.080000000075</v>
      </c>
      <c r="AC32" s="12">
        <f>+S32-'Set24'!S32</f>
        <v>5797843.299999997</v>
      </c>
      <c r="AE32" s="28">
        <f>J32-'Set24'!J32</f>
        <v>-3.9999999999999994E-2</v>
      </c>
      <c r="AF32" s="28">
        <f>L32-'Set24'!L32</f>
        <v>1.999999999999999E-2</v>
      </c>
      <c r="AG32" s="28">
        <f>N32-'Set24'!N32</f>
        <v>0</v>
      </c>
      <c r="AH32" s="28">
        <f>P32-'Set24'!P32</f>
        <v>0</v>
      </c>
      <c r="AI32" s="28">
        <f>R32-'Set24'!R32</f>
        <v>1.999999999999999E-2</v>
      </c>
      <c r="AK32" s="10">
        <f>I32-'Set24'!I32</f>
        <v>1630877</v>
      </c>
      <c r="AL32" s="76">
        <f>I32/'Set24'!I32-1</f>
        <v>5.8909358025269754E-3</v>
      </c>
    </row>
    <row r="33" spans="6:38" x14ac:dyDescent="0.25">
      <c r="F33" s="7">
        <f t="shared" si="4"/>
        <v>1</v>
      </c>
      <c r="H33" s="3" t="s">
        <v>69</v>
      </c>
      <c r="I33" s="84">
        <v>469090009</v>
      </c>
      <c r="J33" s="77">
        <v>0.16</v>
      </c>
      <c r="K33" s="78">
        <f t="shared" si="12"/>
        <v>75054401.439999998</v>
      </c>
      <c r="L33" s="77">
        <f>4%+2%</f>
        <v>0.06</v>
      </c>
      <c r="M33" s="78">
        <f t="shared" si="13"/>
        <v>28145400.539999999</v>
      </c>
      <c r="N33" s="77">
        <f>57%+3%</f>
        <v>0.6</v>
      </c>
      <c r="O33" s="78">
        <f t="shared" si="14"/>
        <v>281454005.39999998</v>
      </c>
      <c r="P33" s="77">
        <v>0.17</v>
      </c>
      <c r="Q33" s="78">
        <f t="shared" si="15"/>
        <v>79745301.530000001</v>
      </c>
      <c r="R33" s="77"/>
      <c r="S33" s="78">
        <f t="shared" si="16"/>
        <v>0</v>
      </c>
      <c r="T33" s="77">
        <v>0.01</v>
      </c>
      <c r="U33" s="72">
        <f t="shared" ref="U33:U35" si="17">$I33*T33</f>
        <v>4690900.09</v>
      </c>
      <c r="Y33" s="12">
        <f>K33-'Set24'!K33</f>
        <v>11588847.679999992</v>
      </c>
      <c r="Z33" s="12">
        <f>M33-'Set24'!M33</f>
        <v>945877.5</v>
      </c>
      <c r="AA33" s="12">
        <f>O33-'Set24'!O33</f>
        <v>392267.31999999285</v>
      </c>
      <c r="AB33" s="12">
        <f>Q33-'Set24'!Q33</f>
        <v>7213240.0900000036</v>
      </c>
      <c r="AC33" s="12">
        <f>+S33-'Set24'!S33</f>
        <v>0</v>
      </c>
      <c r="AE33" s="28">
        <f>J33-'Set24'!J33</f>
        <v>1.999999999999999E-2</v>
      </c>
      <c r="AF33" s="28">
        <f>L33-'Set24'!L33</f>
        <v>0</v>
      </c>
      <c r="AG33" s="28">
        <f>N33-'Set24'!N33</f>
        <v>-2.0000000000000018E-2</v>
      </c>
      <c r="AH33" s="28">
        <f>P33-'Set24'!P33</f>
        <v>1.0000000000000009E-2</v>
      </c>
      <c r="AI33" s="28">
        <f>R33-'Set24'!R33</f>
        <v>0</v>
      </c>
      <c r="AK33" s="10">
        <f>I33-'Set24'!I33</f>
        <v>15764625</v>
      </c>
      <c r="AL33" s="76">
        <f>I33/'Set24'!I33-1</f>
        <v>3.4775517887169594E-2</v>
      </c>
    </row>
    <row r="34" spans="6:38" x14ac:dyDescent="0.25">
      <c r="F34" s="7">
        <f t="shared" si="4"/>
        <v>1</v>
      </c>
      <c r="H34" s="3" t="s">
        <v>44</v>
      </c>
      <c r="I34" s="84">
        <v>47600000</v>
      </c>
      <c r="J34" s="77">
        <v>0.28000000000000003</v>
      </c>
      <c r="K34" s="78">
        <f t="shared" si="12"/>
        <v>13328000.000000002</v>
      </c>
      <c r="L34" s="77">
        <v>0.03</v>
      </c>
      <c r="M34" s="78">
        <f t="shared" si="13"/>
        <v>1428000</v>
      </c>
      <c r="N34" s="77">
        <f>1%+50%</f>
        <v>0.51</v>
      </c>
      <c r="O34" s="78">
        <f t="shared" si="14"/>
        <v>24276000</v>
      </c>
      <c r="P34" s="77"/>
      <c r="Q34" s="78">
        <f t="shared" si="15"/>
        <v>0</v>
      </c>
      <c r="R34" s="77">
        <v>0.18</v>
      </c>
      <c r="S34" s="78">
        <f t="shared" si="16"/>
        <v>8568000</v>
      </c>
      <c r="T34" s="77"/>
      <c r="U34" s="72">
        <f t="shared" si="17"/>
        <v>0</v>
      </c>
      <c r="Y34" s="12">
        <f>K34-'Set24'!K34</f>
        <v>3578000.0000000019</v>
      </c>
      <c r="Z34" s="12">
        <f>M34-'Set24'!M34</f>
        <v>678000</v>
      </c>
      <c r="AA34" s="12">
        <f>O34-'Set24'!O34</f>
        <v>5151000</v>
      </c>
      <c r="AB34" s="12">
        <f>Q34-'Set24'!Q34</f>
        <v>0</v>
      </c>
      <c r="AC34" s="12">
        <f>+S34-'Set24'!S34</f>
        <v>693000</v>
      </c>
      <c r="AE34" s="28">
        <f>J34-'Set24'!J34</f>
        <v>2.0000000000000018E-2</v>
      </c>
      <c r="AF34" s="28">
        <f>L34-'Set24'!L34</f>
        <v>9.9999999999999985E-3</v>
      </c>
      <c r="AG34" s="28">
        <f>N34-'Set24'!N34</f>
        <v>0</v>
      </c>
      <c r="AH34" s="28">
        <f>P34-'Set24'!P34</f>
        <v>0</v>
      </c>
      <c r="AI34" s="28">
        <f>R34-'Set24'!R34</f>
        <v>-0.03</v>
      </c>
      <c r="AK34" s="10">
        <f>I34-'Set24'!I34</f>
        <v>10100000</v>
      </c>
      <c r="AL34" s="76">
        <f>I34/'Set24'!I34-1</f>
        <v>0.26933333333333342</v>
      </c>
    </row>
    <row r="35" spans="6:38" x14ac:dyDescent="0.25">
      <c r="F35" s="7">
        <f t="shared" si="4"/>
        <v>1.0000000000000002</v>
      </c>
      <c r="H35" s="3" t="s">
        <v>66</v>
      </c>
      <c r="I35" s="84">
        <v>303700000</v>
      </c>
      <c r="J35" s="77">
        <v>0.09</v>
      </c>
      <c r="K35" s="78">
        <f t="shared" si="12"/>
        <v>27333000</v>
      </c>
      <c r="L35" s="77">
        <v>0.05</v>
      </c>
      <c r="M35" s="78">
        <f t="shared" si="13"/>
        <v>15185000</v>
      </c>
      <c r="N35" s="77">
        <v>0.45</v>
      </c>
      <c r="O35" s="78">
        <f t="shared" si="14"/>
        <v>136665000</v>
      </c>
      <c r="P35" s="77">
        <v>0.31</v>
      </c>
      <c r="Q35" s="78">
        <f t="shared" si="15"/>
        <v>94147000</v>
      </c>
      <c r="R35" s="77">
        <v>0.1</v>
      </c>
      <c r="S35" s="78">
        <f t="shared" si="16"/>
        <v>30370000</v>
      </c>
      <c r="T35" s="77"/>
      <c r="U35" s="72">
        <f t="shared" si="17"/>
        <v>0</v>
      </c>
      <c r="Y35" s="12">
        <f>K35-'Set24'!K35</f>
        <v>9849000</v>
      </c>
      <c r="Z35" s="12">
        <f>M35-'Set24'!M35</f>
        <v>615000</v>
      </c>
      <c r="AA35" s="12">
        <f>O35-'Set24'!O35</f>
        <v>-14863000</v>
      </c>
      <c r="AB35" s="12">
        <f>Q35-'Set24'!Q35</f>
        <v>24211000</v>
      </c>
      <c r="AC35" s="12">
        <f>+S35-'Set24'!S35</f>
        <v>-7512000</v>
      </c>
      <c r="AE35" s="28">
        <f>J35-'Set24'!J35</f>
        <v>0.03</v>
      </c>
      <c r="AF35" s="28">
        <f>L35-'Set24'!L35</f>
        <v>0</v>
      </c>
      <c r="AG35" s="28">
        <f>N35-'Set24'!N35</f>
        <v>-7.0000000000000007E-2</v>
      </c>
      <c r="AH35" s="28">
        <f>P35-'Set24'!P35</f>
        <v>7.0000000000000007E-2</v>
      </c>
      <c r="AI35" s="28">
        <f>R35-'Set24'!R35</f>
        <v>-0.03</v>
      </c>
      <c r="AK35" s="10">
        <f>I35-'Set24'!I35</f>
        <v>12300000</v>
      </c>
      <c r="AL35" s="76">
        <f>I35/'Set24'!I35-1</f>
        <v>4.2210020590254027E-2</v>
      </c>
    </row>
    <row r="36" spans="6:38" s="8" customFormat="1" x14ac:dyDescent="0.25">
      <c r="F36" s="7">
        <f t="shared" si="4"/>
        <v>0.99999999999999989</v>
      </c>
      <c r="H36" s="3" t="s">
        <v>45</v>
      </c>
      <c r="I36" s="17">
        <f>SUM(I30:I35)</f>
        <v>1335524671.0599999</v>
      </c>
      <c r="J36" s="15">
        <f>+K36/$I$36</f>
        <v>0.11204952128730616</v>
      </c>
      <c r="K36" s="17">
        <f>SUM(K30:K35)</f>
        <v>149644900.05966002</v>
      </c>
      <c r="L36" s="15">
        <f>+M36/$I$36</f>
        <v>0.10785113605445999</v>
      </c>
      <c r="M36" s="17">
        <f>SUM(M30:M35)</f>
        <v>144037853.00257999</v>
      </c>
      <c r="N36" s="15">
        <f>+O36/$I$36</f>
        <v>0.53789089953673086</v>
      </c>
      <c r="O36" s="17">
        <f>SUM(O30:O35)</f>
        <v>718366566.66996002</v>
      </c>
      <c r="P36" s="15">
        <f>+Q36/$I$36</f>
        <v>0.15981013568832184</v>
      </c>
      <c r="Q36" s="17">
        <f>SUM(Q30:Q35)</f>
        <v>213430378.89719999</v>
      </c>
      <c r="R36" s="15">
        <f>+S36/$I$36</f>
        <v>7.173241746188308E-2</v>
      </c>
      <c r="S36" s="17">
        <f>SUM(S30:S35)</f>
        <v>95800413.235119998</v>
      </c>
      <c r="T36" s="15">
        <f>+U36/$I$36</f>
        <v>1.0665889971298064E-2</v>
      </c>
      <c r="U36" s="63">
        <f>SUM(U30:U35)</f>
        <v>14244559.19548</v>
      </c>
      <c r="Y36" s="12">
        <f>K36-'Set24'!K36</f>
        <v>6073497.1229600012</v>
      </c>
      <c r="Z36" s="12">
        <f>M36-'Set24'!M36</f>
        <v>10779188.945059985</v>
      </c>
      <c r="AA36" s="12">
        <f>O36-'Set24'!O36</f>
        <v>-10940400.039119959</v>
      </c>
      <c r="AB36" s="12">
        <f>Q36-'Set24'!Q36</f>
        <v>34873758.072039992</v>
      </c>
      <c r="AC36" s="12">
        <f>+S36-'Set24'!S36</f>
        <v>-1930249.0570400059</v>
      </c>
      <c r="AE36" s="28">
        <f>J36-'Set24'!J36</f>
        <v>1.1886044351406277E-3</v>
      </c>
      <c r="AF36" s="28">
        <f>L36-'Set24'!L36</f>
        <v>4.9533627254300244E-3</v>
      </c>
      <c r="AG36" s="28">
        <f>N36-'Set24'!N36</f>
        <v>-2.5254945264183259E-2</v>
      </c>
      <c r="AH36" s="28">
        <f>P36-'Set24'!P36</f>
        <v>2.1934832600079279E-2</v>
      </c>
      <c r="AI36" s="28">
        <f>R36-'Set24'!R36</f>
        <v>-3.7318505236788313E-3</v>
      </c>
      <c r="AK36" s="92">
        <f>I36-'Set24'!I36</f>
        <v>40465898.199999809</v>
      </c>
      <c r="AL36" s="76">
        <f>I36/'Set24'!I36-1</f>
        <v>3.1246379738145036E-2</v>
      </c>
    </row>
    <row r="37" spans="6:38" x14ac:dyDescent="0.25">
      <c r="F37" s="7"/>
    </row>
    <row r="38" spans="6:38" x14ac:dyDescent="0.25">
      <c r="F38" s="7"/>
      <c r="K38"/>
    </row>
    <row r="39" spans="6:38" x14ac:dyDescent="0.25">
      <c r="F39" s="7"/>
      <c r="J39" s="38"/>
    </row>
    <row r="40" spans="6:38" x14ac:dyDescent="0.25">
      <c r="F40" s="7"/>
      <c r="I40" s="30"/>
      <c r="J40" s="35"/>
    </row>
    <row r="41" spans="6:38" x14ac:dyDescent="0.25">
      <c r="F41" s="7"/>
      <c r="I41" s="37"/>
      <c r="J41" s="35"/>
    </row>
    <row r="42" spans="6:38" x14ac:dyDescent="0.25">
      <c r="F42" s="7"/>
      <c r="I42" s="37"/>
      <c r="J42" s="35"/>
    </row>
    <row r="43" spans="6:38" x14ac:dyDescent="0.25">
      <c r="F43" s="7"/>
      <c r="I43" s="37"/>
      <c r="J43" s="35"/>
    </row>
    <row r="44" spans="6:38" x14ac:dyDescent="0.25">
      <c r="F44" s="7"/>
      <c r="I44" s="37"/>
      <c r="J44" s="35"/>
    </row>
    <row r="45" spans="6:38" x14ac:dyDescent="0.25">
      <c r="F45" s="7"/>
      <c r="I45" s="37"/>
      <c r="J45" s="35"/>
      <c r="K45" s="37"/>
    </row>
    <row r="46" spans="6:38" x14ac:dyDescent="0.25">
      <c r="F46" s="7"/>
      <c r="I46" s="37"/>
      <c r="J46" s="35"/>
    </row>
    <row r="47" spans="6:38" x14ac:dyDescent="0.25">
      <c r="F47" s="7"/>
      <c r="I47" s="37"/>
      <c r="J47" s="35"/>
    </row>
    <row r="48" spans="6:38" x14ac:dyDescent="0.25">
      <c r="F48" s="7"/>
      <c r="I48" s="37"/>
      <c r="J48" s="35"/>
    </row>
    <row r="49" spans="9:10" x14ac:dyDescent="0.25">
      <c r="I49" s="37"/>
      <c r="J49" s="35"/>
    </row>
    <row r="50" spans="9:10" x14ac:dyDescent="0.25">
      <c r="I50" s="37"/>
      <c r="J50" s="35"/>
    </row>
    <row r="51" spans="9:10" x14ac:dyDescent="0.25">
      <c r="I51" s="37"/>
      <c r="J51" s="35"/>
    </row>
    <row r="52" spans="9:10" x14ac:dyDescent="0.25">
      <c r="I52" s="37"/>
      <c r="J52" s="35"/>
    </row>
    <row r="53" spans="9:10" x14ac:dyDescent="0.25">
      <c r="I53" s="37"/>
      <c r="J53" s="35"/>
    </row>
    <row r="54" spans="9:10" x14ac:dyDescent="0.25">
      <c r="I54" s="37"/>
      <c r="J54" s="35"/>
    </row>
    <row r="55" spans="9:10" x14ac:dyDescent="0.25">
      <c r="I55" s="37"/>
      <c r="J55" s="35"/>
    </row>
    <row r="56" spans="9:10" x14ac:dyDescent="0.25">
      <c r="I56" s="37"/>
      <c r="J56" s="35"/>
    </row>
    <row r="57" spans="9:10" x14ac:dyDescent="0.25">
      <c r="I57" s="37"/>
      <c r="J57" s="35"/>
    </row>
    <row r="58" spans="9:10" x14ac:dyDescent="0.25">
      <c r="I58" s="37"/>
      <c r="J58" s="35"/>
    </row>
    <row r="59" spans="9:10" x14ac:dyDescent="0.25">
      <c r="I59" s="37"/>
      <c r="J59" s="35"/>
    </row>
    <row r="60" spans="9:10" x14ac:dyDescent="0.25">
      <c r="I60" s="37"/>
      <c r="J60" s="35"/>
    </row>
    <row r="61" spans="9:10" x14ac:dyDescent="0.25">
      <c r="I61" s="37"/>
      <c r="J61" s="35"/>
    </row>
    <row r="62" spans="9:10" x14ac:dyDescent="0.25">
      <c r="I62" s="37"/>
      <c r="J62" s="35"/>
    </row>
    <row r="63" spans="9:10" x14ac:dyDescent="0.25">
      <c r="I63" s="37"/>
      <c r="J63" s="35"/>
    </row>
    <row r="64" spans="9:10" x14ac:dyDescent="0.25">
      <c r="I64" s="37"/>
      <c r="J64" s="35"/>
    </row>
    <row r="65" spans="9:10" x14ac:dyDescent="0.25">
      <c r="I65" s="37"/>
      <c r="J65" s="35"/>
    </row>
    <row r="66" spans="9:10" x14ac:dyDescent="0.25">
      <c r="I66" s="37"/>
      <c r="J66" s="35"/>
    </row>
    <row r="67" spans="9:10" x14ac:dyDescent="0.25">
      <c r="I67" s="37"/>
      <c r="J67" s="35"/>
    </row>
    <row r="68" spans="9:10" x14ac:dyDescent="0.25">
      <c r="I68" s="37"/>
      <c r="J68" s="35"/>
    </row>
    <row r="69" spans="9:10" x14ac:dyDescent="0.25">
      <c r="I69" s="37"/>
      <c r="J69" s="35"/>
    </row>
    <row r="70" spans="9:10" x14ac:dyDescent="0.25">
      <c r="I70" s="37"/>
      <c r="J70" s="35"/>
    </row>
    <row r="71" spans="9:10" x14ac:dyDescent="0.25">
      <c r="I71" s="37"/>
      <c r="J71" s="35"/>
    </row>
    <row r="72" spans="9:10" x14ac:dyDescent="0.25">
      <c r="I72" s="37"/>
      <c r="J72" s="35"/>
    </row>
    <row r="73" spans="9:10" x14ac:dyDescent="0.25">
      <c r="I73" s="37"/>
      <c r="J73" s="35"/>
    </row>
    <row r="74" spans="9:10" x14ac:dyDescent="0.25">
      <c r="I74" s="37"/>
      <c r="J74" s="35"/>
    </row>
    <row r="75" spans="9:10" x14ac:dyDescent="0.25">
      <c r="I75" s="37"/>
      <c r="J75" s="35"/>
    </row>
    <row r="76" spans="9:10" x14ac:dyDescent="0.25">
      <c r="I76" s="37"/>
      <c r="J76" s="35"/>
    </row>
    <row r="77" spans="9:10" x14ac:dyDescent="0.25">
      <c r="I77" s="37"/>
      <c r="J77" s="35"/>
    </row>
    <row r="78" spans="9:10" x14ac:dyDescent="0.25">
      <c r="I78" s="37"/>
      <c r="J78" s="35"/>
    </row>
    <row r="79" spans="9:10" x14ac:dyDescent="0.25">
      <c r="I79" s="37"/>
      <c r="J79" s="35"/>
    </row>
    <row r="80" spans="9:10" x14ac:dyDescent="0.25">
      <c r="I80" s="37"/>
      <c r="J80" s="35"/>
    </row>
    <row r="81" spans="9:10" x14ac:dyDescent="0.25">
      <c r="I81" s="37"/>
      <c r="J81" s="35"/>
    </row>
    <row r="82" spans="9:10" x14ac:dyDescent="0.25">
      <c r="I82" s="37"/>
      <c r="J82" s="35"/>
    </row>
    <row r="83" spans="9:10" x14ac:dyDescent="0.25">
      <c r="I83" s="37"/>
      <c r="J83" s="35"/>
    </row>
    <row r="84" spans="9:10" x14ac:dyDescent="0.25">
      <c r="I84" s="37"/>
      <c r="J84" s="35"/>
    </row>
    <row r="85" spans="9:10" x14ac:dyDescent="0.25">
      <c r="I85" s="37"/>
      <c r="J85" s="35"/>
    </row>
    <row r="86" spans="9:10" x14ac:dyDescent="0.25">
      <c r="I86" s="37"/>
      <c r="J86" s="35"/>
    </row>
    <row r="87" spans="9:10" x14ac:dyDescent="0.25">
      <c r="I87" s="37"/>
      <c r="J87" s="35"/>
    </row>
    <row r="88" spans="9:10" x14ac:dyDescent="0.25">
      <c r="I88" s="37"/>
      <c r="J88" s="35"/>
    </row>
    <row r="89" spans="9:10" x14ac:dyDescent="0.25">
      <c r="I89" s="37"/>
      <c r="J89" s="35"/>
    </row>
    <row r="90" spans="9:10" x14ac:dyDescent="0.25">
      <c r="I90" s="37"/>
      <c r="J90" s="35"/>
    </row>
    <row r="91" spans="9:10" x14ac:dyDescent="0.25">
      <c r="I91" s="37"/>
      <c r="J91" s="35"/>
    </row>
    <row r="92" spans="9:10" x14ac:dyDescent="0.25">
      <c r="I92" s="37"/>
      <c r="J92" s="35"/>
    </row>
    <row r="93" spans="9:10" x14ac:dyDescent="0.25">
      <c r="I93" s="37"/>
      <c r="J93" s="35"/>
    </row>
    <row r="94" spans="9:10" x14ac:dyDescent="0.25">
      <c r="I94" s="37"/>
      <c r="J94" s="35"/>
    </row>
    <row r="95" spans="9:10" x14ac:dyDescent="0.25">
      <c r="I95" s="37"/>
      <c r="J95" s="35"/>
    </row>
    <row r="96" spans="9:10" x14ac:dyDescent="0.25">
      <c r="I96" s="37"/>
      <c r="J96" s="35"/>
    </row>
    <row r="97" spans="9:10" x14ac:dyDescent="0.25">
      <c r="I97" s="37"/>
      <c r="J97" s="35"/>
    </row>
    <row r="98" spans="9:10" x14ac:dyDescent="0.25">
      <c r="I98" s="37"/>
      <c r="J98" s="35"/>
    </row>
    <row r="99" spans="9:10" x14ac:dyDescent="0.25">
      <c r="I99" s="37"/>
      <c r="J99" s="35"/>
    </row>
    <row r="100" spans="9:10" x14ac:dyDescent="0.25">
      <c r="I100" s="37"/>
      <c r="J100" s="35"/>
    </row>
    <row r="101" spans="9:10" x14ac:dyDescent="0.25">
      <c r="I101" s="37"/>
      <c r="J101" s="35"/>
    </row>
    <row r="102" spans="9:10" x14ac:dyDescent="0.25">
      <c r="I102" s="37"/>
      <c r="J102" s="35"/>
    </row>
    <row r="103" spans="9:10" x14ac:dyDescent="0.25">
      <c r="I103" s="37"/>
      <c r="J103" s="35"/>
    </row>
    <row r="104" spans="9:10" x14ac:dyDescent="0.25">
      <c r="I104" s="37"/>
      <c r="J104" s="35"/>
    </row>
    <row r="105" spans="9:10" x14ac:dyDescent="0.25">
      <c r="I105" s="37"/>
      <c r="J105" s="35"/>
    </row>
    <row r="106" spans="9:10" x14ac:dyDescent="0.25">
      <c r="I106" s="37"/>
      <c r="J106" s="35"/>
    </row>
    <row r="107" spans="9:10" x14ac:dyDescent="0.25">
      <c r="I107" s="37"/>
      <c r="J107" s="35"/>
    </row>
    <row r="108" spans="9:10" x14ac:dyDescent="0.25">
      <c r="I108" s="37"/>
      <c r="J108" s="35"/>
    </row>
    <row r="109" spans="9:10" x14ac:dyDescent="0.25">
      <c r="I109" s="37"/>
      <c r="J109" s="35"/>
    </row>
    <row r="110" spans="9:10" x14ac:dyDescent="0.25">
      <c r="I110" s="37"/>
      <c r="J110" s="35"/>
    </row>
    <row r="111" spans="9:10" x14ac:dyDescent="0.25">
      <c r="I111" s="37"/>
      <c r="J111" s="35"/>
    </row>
    <row r="112" spans="9:10" x14ac:dyDescent="0.25">
      <c r="I112" s="37"/>
      <c r="J112" s="35"/>
    </row>
    <row r="113" spans="9:10" x14ac:dyDescent="0.25">
      <c r="I113" s="37"/>
      <c r="J113" s="35"/>
    </row>
    <row r="114" spans="9:10" x14ac:dyDescent="0.25">
      <c r="I114" s="37"/>
      <c r="J114" s="35"/>
    </row>
    <row r="115" spans="9:10" x14ac:dyDescent="0.25">
      <c r="I115" s="37"/>
      <c r="J115" s="35"/>
    </row>
    <row r="116" spans="9:10" x14ac:dyDescent="0.25">
      <c r="I116" s="37"/>
      <c r="J116" s="35"/>
    </row>
    <row r="117" spans="9:10" x14ac:dyDescent="0.25">
      <c r="I117" s="37"/>
      <c r="J117" s="35"/>
    </row>
    <row r="118" spans="9:10" x14ac:dyDescent="0.25">
      <c r="I118" s="37"/>
      <c r="J118" s="35"/>
    </row>
    <row r="119" spans="9:10" x14ac:dyDescent="0.25">
      <c r="I119" s="37"/>
      <c r="J119" s="35"/>
    </row>
    <row r="120" spans="9:10" x14ac:dyDescent="0.25">
      <c r="I120" s="37"/>
      <c r="J120" s="35"/>
    </row>
    <row r="121" spans="9:10" x14ac:dyDescent="0.25">
      <c r="I121" s="37"/>
      <c r="J121" s="35"/>
    </row>
    <row r="122" spans="9:10" x14ac:dyDescent="0.25">
      <c r="I122" s="37"/>
      <c r="J122" s="35"/>
    </row>
    <row r="123" spans="9:10" x14ac:dyDescent="0.25">
      <c r="I123" s="37"/>
      <c r="J123" s="35"/>
    </row>
    <row r="124" spans="9:10" x14ac:dyDescent="0.25">
      <c r="I124" s="37"/>
      <c r="J124" s="35"/>
    </row>
    <row r="125" spans="9:10" x14ac:dyDescent="0.25">
      <c r="I125" s="37"/>
      <c r="J125" s="35"/>
    </row>
    <row r="126" spans="9:10" x14ac:dyDescent="0.25">
      <c r="I126" s="37"/>
      <c r="J126" s="35"/>
    </row>
    <row r="127" spans="9:10" x14ac:dyDescent="0.25">
      <c r="I127" s="37"/>
      <c r="J127" s="35"/>
    </row>
    <row r="128" spans="9:10" x14ac:dyDescent="0.25">
      <c r="I128" s="37"/>
      <c r="J128" s="35"/>
    </row>
    <row r="129" spans="9:10" x14ac:dyDescent="0.25">
      <c r="I129" s="37"/>
      <c r="J129" s="35"/>
    </row>
    <row r="130" spans="9:10" x14ac:dyDescent="0.25">
      <c r="I130" s="37"/>
      <c r="J130" s="35"/>
    </row>
    <row r="131" spans="9:10" x14ac:dyDescent="0.25">
      <c r="I131" s="37"/>
      <c r="J131" s="35"/>
    </row>
    <row r="132" spans="9:10" x14ac:dyDescent="0.25">
      <c r="I132" s="37"/>
      <c r="J132" s="35"/>
    </row>
    <row r="133" spans="9:10" x14ac:dyDescent="0.25">
      <c r="I133" s="37"/>
      <c r="J133" s="35"/>
    </row>
    <row r="134" spans="9:10" x14ac:dyDescent="0.25">
      <c r="I134" s="37"/>
      <c r="J134" s="35"/>
    </row>
    <row r="135" spans="9:10" x14ac:dyDescent="0.25">
      <c r="I135" s="37"/>
      <c r="J135" s="35"/>
    </row>
    <row r="136" spans="9:10" x14ac:dyDescent="0.25">
      <c r="I136" s="37"/>
      <c r="J136" s="35"/>
    </row>
    <row r="137" spans="9:10" x14ac:dyDescent="0.25">
      <c r="I137" s="37"/>
      <c r="J137" s="35"/>
    </row>
    <row r="138" spans="9:10" x14ac:dyDescent="0.25">
      <c r="I138" s="37"/>
      <c r="J138" s="35"/>
    </row>
    <row r="139" spans="9:10" x14ac:dyDescent="0.25">
      <c r="I139" s="37"/>
      <c r="J139" s="35"/>
    </row>
    <row r="140" spans="9:10" x14ac:dyDescent="0.25">
      <c r="I140" s="37"/>
      <c r="J140" s="35"/>
    </row>
    <row r="141" spans="9:10" x14ac:dyDescent="0.25">
      <c r="I141" s="37"/>
      <c r="J141" s="35"/>
    </row>
    <row r="142" spans="9:10" x14ac:dyDescent="0.25">
      <c r="I142" s="37"/>
      <c r="J142" s="35"/>
    </row>
    <row r="143" spans="9:10" x14ac:dyDescent="0.25">
      <c r="I143" s="37"/>
      <c r="J143" s="35"/>
    </row>
    <row r="144" spans="9:10" x14ac:dyDescent="0.25">
      <c r="I144" s="37"/>
      <c r="J144" s="35"/>
    </row>
    <row r="145" spans="9:10" x14ac:dyDescent="0.25">
      <c r="I145" s="37"/>
      <c r="J145" s="35"/>
    </row>
    <row r="146" spans="9:10" x14ac:dyDescent="0.25">
      <c r="I146" s="37"/>
      <c r="J146" s="35"/>
    </row>
    <row r="147" spans="9:10" x14ac:dyDescent="0.25">
      <c r="I147" s="37"/>
      <c r="J147" s="35"/>
    </row>
    <row r="148" spans="9:10" x14ac:dyDescent="0.25">
      <c r="I148" s="37"/>
      <c r="J148" s="35"/>
    </row>
    <row r="149" spans="9:10" x14ac:dyDescent="0.25">
      <c r="I149" s="37"/>
      <c r="J149" s="35"/>
    </row>
    <row r="150" spans="9:10" x14ac:dyDescent="0.25">
      <c r="I150" s="37"/>
      <c r="J150" s="35"/>
    </row>
    <row r="151" spans="9:10" x14ac:dyDescent="0.25">
      <c r="I151" s="37"/>
      <c r="J151" s="35"/>
    </row>
    <row r="152" spans="9:10" x14ac:dyDescent="0.25">
      <c r="I152" s="37"/>
      <c r="J152" s="35"/>
    </row>
    <row r="153" spans="9:10" x14ac:dyDescent="0.25">
      <c r="I153" s="37"/>
      <c r="J153" s="35"/>
    </row>
    <row r="154" spans="9:10" x14ac:dyDescent="0.25">
      <c r="I154" s="37"/>
      <c r="J154" s="35"/>
    </row>
    <row r="155" spans="9:10" x14ac:dyDescent="0.25">
      <c r="I155" s="37"/>
      <c r="J155" s="35"/>
    </row>
    <row r="156" spans="9:10" x14ac:dyDescent="0.25">
      <c r="I156" s="37"/>
      <c r="J156" s="35"/>
    </row>
    <row r="157" spans="9:10" x14ac:dyDescent="0.25">
      <c r="I157" s="37"/>
      <c r="J157" s="35"/>
    </row>
    <row r="158" spans="9:10" x14ac:dyDescent="0.25">
      <c r="I158" s="37"/>
      <c r="J158" s="35"/>
    </row>
    <row r="159" spans="9:10" x14ac:dyDescent="0.25">
      <c r="I159" s="37"/>
      <c r="J159" s="35"/>
    </row>
    <row r="160" spans="9:10" x14ac:dyDescent="0.25">
      <c r="I160" s="37"/>
      <c r="J160" s="35"/>
    </row>
    <row r="161" spans="9:10" x14ac:dyDescent="0.25">
      <c r="I161" s="37"/>
      <c r="J161" s="35"/>
    </row>
    <row r="162" spans="9:10" x14ac:dyDescent="0.25">
      <c r="I162" s="37"/>
      <c r="J162" s="35"/>
    </row>
    <row r="163" spans="9:10" x14ac:dyDescent="0.25">
      <c r="I163" s="37"/>
      <c r="J163" s="35"/>
    </row>
    <row r="164" spans="9:10" x14ac:dyDescent="0.25">
      <c r="I164" s="37"/>
      <c r="J164" s="35"/>
    </row>
    <row r="165" spans="9:10" x14ac:dyDescent="0.25">
      <c r="I165" s="37"/>
      <c r="J165" s="35"/>
    </row>
    <row r="166" spans="9:10" x14ac:dyDescent="0.25">
      <c r="I166" s="37"/>
      <c r="J166" s="35"/>
    </row>
    <row r="167" spans="9:10" x14ac:dyDescent="0.25">
      <c r="I167" s="37"/>
      <c r="J167" s="35"/>
    </row>
    <row r="168" spans="9:10" x14ac:dyDescent="0.25">
      <c r="I168" s="37"/>
      <c r="J168" s="35"/>
    </row>
    <row r="169" spans="9:10" x14ac:dyDescent="0.25">
      <c r="I169" s="37"/>
      <c r="J169" s="35"/>
    </row>
    <row r="170" spans="9:10" x14ac:dyDescent="0.25">
      <c r="I170" s="37"/>
      <c r="J170" s="35"/>
    </row>
    <row r="171" spans="9:10" x14ac:dyDescent="0.25">
      <c r="I171" s="37"/>
      <c r="J171" s="35"/>
    </row>
    <row r="172" spans="9:10" x14ac:dyDescent="0.25">
      <c r="I172" s="37"/>
      <c r="J172" s="35"/>
    </row>
    <row r="173" spans="9:10" x14ac:dyDescent="0.25">
      <c r="I173" s="37"/>
      <c r="J173" s="35"/>
    </row>
    <row r="174" spans="9:10" x14ac:dyDescent="0.25">
      <c r="I174" s="37"/>
      <c r="J174" s="35"/>
    </row>
    <row r="175" spans="9:10" x14ac:dyDescent="0.25">
      <c r="I175" s="37"/>
      <c r="J175" s="35"/>
    </row>
    <row r="176" spans="9:10" x14ac:dyDescent="0.25">
      <c r="I176" s="37"/>
      <c r="J176" s="35"/>
    </row>
    <row r="177" spans="9:10" x14ac:dyDescent="0.25">
      <c r="I177" s="37"/>
      <c r="J177" s="35"/>
    </row>
    <row r="178" spans="9:10" x14ac:dyDescent="0.25">
      <c r="I178" s="37"/>
      <c r="J178" s="35"/>
    </row>
    <row r="179" spans="9:10" x14ac:dyDescent="0.25">
      <c r="I179" s="37"/>
      <c r="J179" s="35"/>
    </row>
    <row r="180" spans="9:10" x14ac:dyDescent="0.25">
      <c r="I180" s="37"/>
      <c r="J180" s="35"/>
    </row>
    <row r="181" spans="9:10" x14ac:dyDescent="0.25">
      <c r="I181" s="37"/>
      <c r="J181" s="35"/>
    </row>
    <row r="182" spans="9:10" x14ac:dyDescent="0.25">
      <c r="I182" s="37"/>
      <c r="J182" s="35"/>
    </row>
    <row r="183" spans="9:10" x14ac:dyDescent="0.25">
      <c r="I183" s="37"/>
      <c r="J183" s="35"/>
    </row>
    <row r="184" spans="9:10" x14ac:dyDescent="0.25">
      <c r="I184" s="37"/>
      <c r="J184" s="35"/>
    </row>
    <row r="185" spans="9:10" x14ac:dyDescent="0.25">
      <c r="I185" s="37"/>
      <c r="J185" s="35"/>
    </row>
    <row r="186" spans="9:10" x14ac:dyDescent="0.25">
      <c r="I186" s="37"/>
      <c r="J186" s="35"/>
    </row>
    <row r="187" spans="9:10" x14ac:dyDescent="0.25">
      <c r="I187" s="37"/>
      <c r="J187" s="35"/>
    </row>
    <row r="188" spans="9:10" x14ac:dyDescent="0.25">
      <c r="I188" s="37"/>
      <c r="J188" s="35"/>
    </row>
    <row r="189" spans="9:10" x14ac:dyDescent="0.25">
      <c r="I189" s="37"/>
      <c r="J189" s="35"/>
    </row>
    <row r="190" spans="9:10" x14ac:dyDescent="0.25">
      <c r="I190" s="37"/>
      <c r="J190" s="35"/>
    </row>
    <row r="191" spans="9:10" x14ac:dyDescent="0.25">
      <c r="I191" s="37"/>
      <c r="J191" s="35"/>
    </row>
    <row r="192" spans="9:10" x14ac:dyDescent="0.25">
      <c r="I192" s="37"/>
      <c r="J192" s="35"/>
    </row>
    <row r="193" spans="9:10" x14ac:dyDescent="0.25">
      <c r="I193" s="37"/>
      <c r="J193" s="35"/>
    </row>
    <row r="194" spans="9:10" x14ac:dyDescent="0.25">
      <c r="I194" s="37"/>
      <c r="J194" s="35"/>
    </row>
    <row r="195" spans="9:10" x14ac:dyDescent="0.25">
      <c r="I195" s="37"/>
      <c r="J195" s="35"/>
    </row>
    <row r="196" spans="9:10" x14ac:dyDescent="0.25">
      <c r="I196" s="37"/>
      <c r="J196" s="35"/>
    </row>
    <row r="197" spans="9:10" x14ac:dyDescent="0.25">
      <c r="I197" s="37"/>
      <c r="J197" s="35"/>
    </row>
    <row r="198" spans="9:10" x14ac:dyDescent="0.25">
      <c r="I198" s="37"/>
      <c r="J198" s="35"/>
    </row>
    <row r="199" spans="9:10" x14ac:dyDescent="0.25">
      <c r="I199" s="37"/>
      <c r="J199" s="35"/>
    </row>
    <row r="200" spans="9:10" x14ac:dyDescent="0.25">
      <c r="I200" s="37"/>
      <c r="J200" s="35"/>
    </row>
    <row r="201" spans="9:10" x14ac:dyDescent="0.25">
      <c r="I201" s="37"/>
      <c r="J201" s="35"/>
    </row>
    <row r="202" spans="9:10" x14ac:dyDescent="0.25">
      <c r="I202" s="37"/>
      <c r="J202" s="35"/>
    </row>
    <row r="203" spans="9:10" x14ac:dyDescent="0.25">
      <c r="I203" s="37"/>
      <c r="J203" s="35"/>
    </row>
    <row r="204" spans="9:10" x14ac:dyDescent="0.25">
      <c r="I204" s="37"/>
      <c r="J204" s="35"/>
    </row>
    <row r="205" spans="9:10" x14ac:dyDescent="0.25">
      <c r="I205" s="37"/>
      <c r="J205" s="35"/>
    </row>
    <row r="206" spans="9:10" x14ac:dyDescent="0.25">
      <c r="I206" s="37"/>
      <c r="J206" s="35"/>
    </row>
    <row r="207" spans="9:10" x14ac:dyDescent="0.25">
      <c r="I207" s="37"/>
      <c r="J207" s="35"/>
    </row>
    <row r="208" spans="9:10" x14ac:dyDescent="0.25">
      <c r="I208" s="37"/>
      <c r="J208" s="35"/>
    </row>
    <row r="209" spans="9:10" x14ac:dyDescent="0.25">
      <c r="I209" s="37"/>
      <c r="J209" s="35"/>
    </row>
    <row r="210" spans="9:10" x14ac:dyDescent="0.25">
      <c r="I210" s="37"/>
      <c r="J210" s="35"/>
    </row>
    <row r="211" spans="9:10" x14ac:dyDescent="0.25">
      <c r="I211" s="37"/>
      <c r="J211" s="35"/>
    </row>
    <row r="212" spans="9:10" x14ac:dyDescent="0.25">
      <c r="I212" s="37"/>
      <c r="J212" s="35"/>
    </row>
    <row r="213" spans="9:10" x14ac:dyDescent="0.25">
      <c r="I213" s="37"/>
      <c r="J213" s="35"/>
    </row>
    <row r="214" spans="9:10" x14ac:dyDescent="0.25">
      <c r="I214" s="37"/>
      <c r="J214" s="35"/>
    </row>
    <row r="215" spans="9:10" x14ac:dyDescent="0.25">
      <c r="I215" s="37"/>
      <c r="J215" s="35"/>
    </row>
    <row r="216" spans="9:10" x14ac:dyDescent="0.25">
      <c r="I216" s="37"/>
      <c r="J216" s="35"/>
    </row>
    <row r="217" spans="9:10" x14ac:dyDescent="0.25">
      <c r="I217" s="37"/>
      <c r="J217" s="35"/>
    </row>
    <row r="218" spans="9:10" x14ac:dyDescent="0.25">
      <c r="I218" s="37"/>
      <c r="J218" s="35"/>
    </row>
    <row r="219" spans="9:10" x14ac:dyDescent="0.25">
      <c r="I219" s="37"/>
      <c r="J219" s="35"/>
    </row>
    <row r="220" spans="9:10" x14ac:dyDescent="0.25">
      <c r="I220" s="37"/>
      <c r="J220" s="35"/>
    </row>
    <row r="221" spans="9:10" x14ac:dyDescent="0.25">
      <c r="I221" s="37"/>
      <c r="J221" s="35"/>
    </row>
    <row r="222" spans="9:10" x14ac:dyDescent="0.25">
      <c r="I222" s="37"/>
      <c r="J222" s="35"/>
    </row>
    <row r="223" spans="9:10" x14ac:dyDescent="0.25">
      <c r="I223" s="37"/>
      <c r="J223" s="35"/>
    </row>
    <row r="224" spans="9:10" x14ac:dyDescent="0.25">
      <c r="I224" s="37"/>
      <c r="J224" s="35"/>
    </row>
    <row r="225" spans="9:10" x14ac:dyDescent="0.25">
      <c r="I225" s="37"/>
      <c r="J225" s="35"/>
    </row>
    <row r="226" spans="9:10" x14ac:dyDescent="0.25">
      <c r="I226" s="37"/>
      <c r="J226" s="35"/>
    </row>
    <row r="227" spans="9:10" x14ac:dyDescent="0.25">
      <c r="I227" s="37"/>
      <c r="J227" s="35"/>
    </row>
    <row r="228" spans="9:10" x14ac:dyDescent="0.25">
      <c r="I228" s="37"/>
      <c r="J228" s="35"/>
    </row>
    <row r="229" spans="9:10" x14ac:dyDescent="0.25">
      <c r="I229" s="37"/>
      <c r="J229" s="35"/>
    </row>
    <row r="230" spans="9:10" x14ac:dyDescent="0.25">
      <c r="I230" s="37"/>
      <c r="J230" s="35"/>
    </row>
    <row r="231" spans="9:10" x14ac:dyDescent="0.25">
      <c r="I231" s="37"/>
      <c r="J231" s="35"/>
    </row>
    <row r="232" spans="9:10" x14ac:dyDescent="0.25">
      <c r="I232" s="37"/>
      <c r="J232" s="35"/>
    </row>
    <row r="233" spans="9:10" x14ac:dyDescent="0.25">
      <c r="I233" s="37"/>
      <c r="J233" s="35"/>
    </row>
    <row r="234" spans="9:10" x14ac:dyDescent="0.25">
      <c r="I234" s="37"/>
      <c r="J234" s="35"/>
    </row>
    <row r="235" spans="9:10" x14ac:dyDescent="0.25">
      <c r="I235" s="37"/>
      <c r="J235" s="35"/>
    </row>
    <row r="236" spans="9:10" x14ac:dyDescent="0.25">
      <c r="I236" s="37"/>
      <c r="J236" s="35"/>
    </row>
    <row r="237" spans="9:10" x14ac:dyDescent="0.25">
      <c r="I237" s="37"/>
      <c r="J237" s="35"/>
    </row>
    <row r="238" spans="9:10" x14ac:dyDescent="0.25">
      <c r="I238" s="37"/>
      <c r="J238" s="35"/>
    </row>
    <row r="239" spans="9:10" x14ac:dyDescent="0.25">
      <c r="I239" s="37"/>
      <c r="J239" s="35"/>
    </row>
    <row r="240" spans="9:10" x14ac:dyDescent="0.25">
      <c r="I240" s="37"/>
      <c r="J240" s="35"/>
    </row>
    <row r="241" spans="9:10" x14ac:dyDescent="0.25">
      <c r="I241" s="37"/>
      <c r="J241" s="35"/>
    </row>
    <row r="242" spans="9:10" x14ac:dyDescent="0.25">
      <c r="I242" s="37"/>
      <c r="J242" s="35"/>
    </row>
    <row r="243" spans="9:10" x14ac:dyDescent="0.25">
      <c r="I243" s="37"/>
      <c r="J243" s="35"/>
    </row>
    <row r="244" spans="9:10" x14ac:dyDescent="0.25">
      <c r="I244" s="37"/>
      <c r="J244" s="35"/>
    </row>
    <row r="245" spans="9:10" x14ac:dyDescent="0.25">
      <c r="I245" s="37"/>
      <c r="J245" s="35"/>
    </row>
    <row r="246" spans="9:10" x14ac:dyDescent="0.25">
      <c r="I246" s="37"/>
      <c r="J246" s="35"/>
    </row>
    <row r="247" spans="9:10" x14ac:dyDescent="0.25">
      <c r="I247" s="37"/>
      <c r="J247" s="35"/>
    </row>
    <row r="248" spans="9:10" x14ac:dyDescent="0.25">
      <c r="I248" s="37"/>
      <c r="J248" s="35"/>
    </row>
    <row r="249" spans="9:10" x14ac:dyDescent="0.25">
      <c r="I249" s="37"/>
      <c r="J249" s="35"/>
    </row>
    <row r="250" spans="9:10" x14ac:dyDescent="0.25">
      <c r="I250" s="37"/>
      <c r="J250" s="35"/>
    </row>
    <row r="251" spans="9:10" x14ac:dyDescent="0.25">
      <c r="I251" s="37"/>
      <c r="J251" s="35"/>
    </row>
    <row r="252" spans="9:10" x14ac:dyDescent="0.25">
      <c r="I252" s="37"/>
      <c r="J252" s="35"/>
    </row>
    <row r="253" spans="9:10" x14ac:dyDescent="0.25">
      <c r="I253" s="37"/>
      <c r="J253" s="35"/>
    </row>
    <row r="254" spans="9:10" x14ac:dyDescent="0.25">
      <c r="I254" s="37"/>
      <c r="J254" s="35"/>
    </row>
    <row r="255" spans="9:10" x14ac:dyDescent="0.25">
      <c r="I255" s="37"/>
      <c r="J255" s="35"/>
    </row>
    <row r="256" spans="9:10" x14ac:dyDescent="0.25">
      <c r="I256" s="37"/>
      <c r="J256" s="35"/>
    </row>
    <row r="257" spans="9:10" x14ac:dyDescent="0.25">
      <c r="I257" s="37"/>
      <c r="J257" s="35"/>
    </row>
    <row r="258" spans="9:10" x14ac:dyDescent="0.25">
      <c r="I258" s="37"/>
      <c r="J258" s="35"/>
    </row>
    <row r="259" spans="9:10" x14ac:dyDescent="0.25">
      <c r="I259" s="37"/>
      <c r="J259" s="35"/>
    </row>
    <row r="260" spans="9:10" x14ac:dyDescent="0.25">
      <c r="I260" s="37"/>
      <c r="J260" s="35"/>
    </row>
    <row r="261" spans="9:10" x14ac:dyDescent="0.25">
      <c r="I261" s="37"/>
      <c r="J261" s="35"/>
    </row>
    <row r="262" spans="9:10" x14ac:dyDescent="0.25">
      <c r="I262" s="37"/>
      <c r="J262" s="35"/>
    </row>
    <row r="263" spans="9:10" x14ac:dyDescent="0.25">
      <c r="I263" s="37"/>
      <c r="J263" s="35"/>
    </row>
    <row r="264" spans="9:10" x14ac:dyDescent="0.25">
      <c r="I264" s="37"/>
      <c r="J264" s="35"/>
    </row>
    <row r="265" spans="9:10" x14ac:dyDescent="0.25">
      <c r="I265" s="37"/>
      <c r="J265" s="35"/>
    </row>
    <row r="266" spans="9:10" x14ac:dyDescent="0.25">
      <c r="I266" s="37"/>
      <c r="J266" s="35"/>
    </row>
    <row r="267" spans="9:10" x14ac:dyDescent="0.25">
      <c r="I267" s="37"/>
      <c r="J267" s="35"/>
    </row>
    <row r="268" spans="9:10" x14ac:dyDescent="0.25">
      <c r="I268" s="37"/>
      <c r="J268" s="35"/>
    </row>
    <row r="269" spans="9:10" x14ac:dyDescent="0.25">
      <c r="I269" s="37"/>
      <c r="J269" s="35"/>
    </row>
    <row r="270" spans="9:10" x14ac:dyDescent="0.25">
      <c r="I270" s="37"/>
      <c r="J270" s="35"/>
    </row>
    <row r="271" spans="9:10" x14ac:dyDescent="0.25">
      <c r="I271" s="37"/>
      <c r="J271" s="35"/>
    </row>
    <row r="272" spans="9:10" x14ac:dyDescent="0.25">
      <c r="I272" s="37"/>
      <c r="J272" s="35"/>
    </row>
    <row r="273" spans="9:10" x14ac:dyDescent="0.25">
      <c r="I273" s="37"/>
      <c r="J273" s="35"/>
    </row>
    <row r="274" spans="9:10" x14ac:dyDescent="0.25">
      <c r="I274" s="37"/>
      <c r="J274" s="35"/>
    </row>
    <row r="275" spans="9:10" x14ac:dyDescent="0.25">
      <c r="I275" s="37"/>
      <c r="J275" s="35"/>
    </row>
    <row r="276" spans="9:10" x14ac:dyDescent="0.25">
      <c r="I276" s="37"/>
      <c r="J276" s="35"/>
    </row>
    <row r="277" spans="9:10" x14ac:dyDescent="0.25">
      <c r="I277" s="37"/>
      <c r="J277" s="35"/>
    </row>
    <row r="278" spans="9:10" x14ac:dyDescent="0.25">
      <c r="I278" s="37"/>
      <c r="J278" s="35"/>
    </row>
    <row r="279" spans="9:10" x14ac:dyDescent="0.25">
      <c r="I279" s="37"/>
      <c r="J279" s="35"/>
    </row>
    <row r="280" spans="9:10" x14ac:dyDescent="0.25">
      <c r="I280" s="37"/>
      <c r="J280" s="35"/>
    </row>
    <row r="281" spans="9:10" x14ac:dyDescent="0.25">
      <c r="I281" s="37"/>
      <c r="J281" s="35"/>
    </row>
    <row r="282" spans="9:10" x14ac:dyDescent="0.25">
      <c r="I282" s="37"/>
      <c r="J282" s="35"/>
    </row>
    <row r="283" spans="9:10" x14ac:dyDescent="0.25">
      <c r="I283" s="37"/>
      <c r="J283" s="35"/>
    </row>
    <row r="284" spans="9:10" x14ac:dyDescent="0.25">
      <c r="I284" s="37"/>
      <c r="J284" s="35"/>
    </row>
    <row r="285" spans="9:10" x14ac:dyDescent="0.25">
      <c r="I285" s="37"/>
      <c r="J285" s="35"/>
    </row>
    <row r="286" spans="9:10" x14ac:dyDescent="0.25">
      <c r="I286" s="37"/>
      <c r="J286" s="35"/>
    </row>
    <row r="287" spans="9:10" x14ac:dyDescent="0.25">
      <c r="I287" s="37"/>
      <c r="J287" s="35"/>
    </row>
    <row r="288" spans="9:10" x14ac:dyDescent="0.25">
      <c r="I288" s="37"/>
      <c r="J288" s="35"/>
    </row>
    <row r="289" spans="9:10" x14ac:dyDescent="0.25">
      <c r="I289" s="37"/>
      <c r="J289" s="35"/>
    </row>
    <row r="290" spans="9:10" x14ac:dyDescent="0.25">
      <c r="I290" s="37"/>
      <c r="J290" s="35"/>
    </row>
    <row r="291" spans="9:10" x14ac:dyDescent="0.25">
      <c r="I291" s="37"/>
      <c r="J291" s="35"/>
    </row>
    <row r="292" spans="9:10" x14ac:dyDescent="0.25">
      <c r="I292" s="37"/>
      <c r="J292" s="35"/>
    </row>
    <row r="293" spans="9:10" x14ac:dyDescent="0.25">
      <c r="I293" s="37"/>
      <c r="J293" s="35"/>
    </row>
    <row r="294" spans="9:10" x14ac:dyDescent="0.25">
      <c r="I294" s="37"/>
      <c r="J294" s="35"/>
    </row>
    <row r="295" spans="9:10" x14ac:dyDescent="0.25">
      <c r="I295" s="37"/>
      <c r="J295" s="35"/>
    </row>
    <row r="296" spans="9:10" x14ac:dyDescent="0.25">
      <c r="I296" s="37"/>
      <c r="J296" s="35"/>
    </row>
    <row r="297" spans="9:10" x14ac:dyDescent="0.25">
      <c r="I297" s="37"/>
      <c r="J297" s="35"/>
    </row>
    <row r="298" spans="9:10" x14ac:dyDescent="0.25">
      <c r="I298" s="37"/>
      <c r="J298" s="35"/>
    </row>
    <row r="299" spans="9:10" x14ac:dyDescent="0.25">
      <c r="I299" s="37"/>
      <c r="J299" s="35"/>
    </row>
    <row r="300" spans="9:10" x14ac:dyDescent="0.25">
      <c r="I300" s="37"/>
      <c r="J300" s="35"/>
    </row>
    <row r="301" spans="9:10" x14ac:dyDescent="0.25">
      <c r="I301" s="37"/>
      <c r="J301" s="35"/>
    </row>
    <row r="302" spans="9:10" x14ac:dyDescent="0.25">
      <c r="I302" s="37"/>
      <c r="J302" s="35"/>
    </row>
    <row r="303" spans="9:10" x14ac:dyDescent="0.25">
      <c r="I303" s="37"/>
      <c r="J303" s="35"/>
    </row>
    <row r="304" spans="9:10" x14ac:dyDescent="0.25">
      <c r="I304" s="37"/>
      <c r="J304" s="35"/>
    </row>
    <row r="305" spans="9:12" x14ac:dyDescent="0.25">
      <c r="I305" s="37"/>
      <c r="J305" s="35"/>
    </row>
    <row r="306" spans="9:12" x14ac:dyDescent="0.25">
      <c r="I306" s="37"/>
      <c r="J306" s="35"/>
    </row>
    <row r="307" spans="9:12" x14ac:dyDescent="0.25">
      <c r="I307" s="37"/>
      <c r="J307" s="35"/>
    </row>
    <row r="308" spans="9:12" x14ac:dyDescent="0.25">
      <c r="I308" s="37"/>
      <c r="J308" s="35"/>
    </row>
    <row r="309" spans="9:12" x14ac:dyDescent="0.25">
      <c r="I309" s="37"/>
      <c r="J309" s="35"/>
    </row>
    <row r="310" spans="9:12" x14ac:dyDescent="0.25">
      <c r="I310" s="37"/>
      <c r="J310" s="35"/>
    </row>
    <row r="311" spans="9:12" x14ac:dyDescent="0.25">
      <c r="I311" s="37"/>
      <c r="J311" s="35"/>
    </row>
    <row r="312" spans="9:12" x14ac:dyDescent="0.25">
      <c r="I312" s="37"/>
      <c r="J312" s="35"/>
      <c r="L312" s="36"/>
    </row>
    <row r="313" spans="9:12" x14ac:dyDescent="0.25">
      <c r="I313" s="37"/>
      <c r="J313" s="35"/>
    </row>
    <row r="314" spans="9:12" x14ac:dyDescent="0.25">
      <c r="I314" s="37"/>
      <c r="J314" s="35"/>
    </row>
    <row r="315" spans="9:12" x14ac:dyDescent="0.25">
      <c r="I315" s="37"/>
      <c r="J315" s="35"/>
    </row>
    <row r="316" spans="9:12" x14ac:dyDescent="0.25">
      <c r="I316" s="37"/>
      <c r="J316" s="35"/>
    </row>
    <row r="317" spans="9:12" x14ac:dyDescent="0.25">
      <c r="I317" s="37"/>
      <c r="J317" s="35"/>
    </row>
    <row r="318" spans="9:12" x14ac:dyDescent="0.25">
      <c r="I318" s="37"/>
      <c r="J318" s="35"/>
    </row>
    <row r="319" spans="9:12" x14ac:dyDescent="0.25">
      <c r="I319" s="37"/>
      <c r="J319" s="35"/>
    </row>
    <row r="320" spans="9:12" x14ac:dyDescent="0.25">
      <c r="I320" s="37"/>
      <c r="J320" s="35"/>
    </row>
    <row r="321" spans="9:10" x14ac:dyDescent="0.25">
      <c r="I321" s="37"/>
      <c r="J321" s="35"/>
    </row>
    <row r="322" spans="9:10" x14ac:dyDescent="0.25">
      <c r="I322" s="37"/>
      <c r="J322" s="35"/>
    </row>
    <row r="323" spans="9:10" x14ac:dyDescent="0.25">
      <c r="I323" s="37"/>
      <c r="J323" s="35"/>
    </row>
    <row r="324" spans="9:10" x14ac:dyDescent="0.25">
      <c r="I324" s="37"/>
      <c r="J324" s="35"/>
    </row>
    <row r="325" spans="9:10" x14ac:dyDescent="0.25">
      <c r="I325" s="37"/>
      <c r="J325" s="35"/>
    </row>
    <row r="326" spans="9:10" x14ac:dyDescent="0.25">
      <c r="I326" s="37"/>
      <c r="J326" s="35"/>
    </row>
    <row r="327" spans="9:10" x14ac:dyDescent="0.25">
      <c r="I327" s="37"/>
      <c r="J327" s="35"/>
    </row>
    <row r="328" spans="9:10" x14ac:dyDescent="0.25">
      <c r="I328" s="37"/>
      <c r="J328" s="35"/>
    </row>
    <row r="329" spans="9:10" x14ac:dyDescent="0.25">
      <c r="I329" s="37"/>
      <c r="J329" s="35"/>
    </row>
    <row r="330" spans="9:10" x14ac:dyDescent="0.25">
      <c r="I330" s="37"/>
      <c r="J330" s="35"/>
    </row>
    <row r="331" spans="9:10" x14ac:dyDescent="0.25">
      <c r="I331" s="37"/>
      <c r="J331" s="35"/>
    </row>
    <row r="332" spans="9:10" x14ac:dyDescent="0.25">
      <c r="I332" s="37"/>
      <c r="J332" s="35"/>
    </row>
    <row r="333" spans="9:10" x14ac:dyDescent="0.25">
      <c r="I333" s="37"/>
      <c r="J333" s="35"/>
    </row>
    <row r="334" spans="9:10" x14ac:dyDescent="0.25">
      <c r="I334" s="37"/>
      <c r="J334" s="35"/>
    </row>
    <row r="335" spans="9:10" x14ac:dyDescent="0.25">
      <c r="I335" s="37"/>
      <c r="J335" s="35"/>
    </row>
    <row r="336" spans="9:10" x14ac:dyDescent="0.25">
      <c r="I336" s="37"/>
      <c r="J336" s="35"/>
    </row>
    <row r="337" spans="9:10" x14ac:dyDescent="0.25">
      <c r="I337" s="37"/>
      <c r="J337" s="35"/>
    </row>
    <row r="338" spans="9:10" x14ac:dyDescent="0.25">
      <c r="I338" s="37"/>
      <c r="J338" s="35"/>
    </row>
    <row r="339" spans="9:10" x14ac:dyDescent="0.25">
      <c r="I339" s="37"/>
      <c r="J339" s="35"/>
    </row>
    <row r="340" spans="9:10" x14ac:dyDescent="0.25">
      <c r="I340" s="37"/>
      <c r="J340" s="35"/>
    </row>
    <row r="341" spans="9:10" x14ac:dyDescent="0.25">
      <c r="I341" s="37"/>
      <c r="J341" s="35"/>
    </row>
    <row r="342" spans="9:10" x14ac:dyDescent="0.25">
      <c r="I342" s="37"/>
      <c r="J342" s="35"/>
    </row>
    <row r="343" spans="9:10" x14ac:dyDescent="0.25">
      <c r="I343" s="37"/>
      <c r="J343" s="35"/>
    </row>
    <row r="344" spans="9:10" x14ac:dyDescent="0.25">
      <c r="I344" s="37"/>
      <c r="J344" s="35"/>
    </row>
    <row r="345" spans="9:10" x14ac:dyDescent="0.25">
      <c r="I345" s="37"/>
      <c r="J345" s="35"/>
    </row>
    <row r="346" spans="9:10" x14ac:dyDescent="0.25">
      <c r="I346" s="37"/>
      <c r="J346" s="35"/>
    </row>
    <row r="347" spans="9:10" x14ac:dyDescent="0.25">
      <c r="I347" s="37"/>
      <c r="J347" s="35"/>
    </row>
    <row r="348" spans="9:10" x14ac:dyDescent="0.25">
      <c r="I348" s="37"/>
      <c r="J348" s="35"/>
    </row>
    <row r="349" spans="9:10" x14ac:dyDescent="0.25">
      <c r="I349" s="37"/>
      <c r="J349" s="35"/>
    </row>
    <row r="350" spans="9:10" x14ac:dyDescent="0.25">
      <c r="I350" s="37"/>
      <c r="J350" s="35"/>
    </row>
    <row r="351" spans="9:10" x14ac:dyDescent="0.25">
      <c r="I351" s="37"/>
      <c r="J351" s="35"/>
    </row>
    <row r="352" spans="9:10" x14ac:dyDescent="0.25">
      <c r="I352" s="37"/>
      <c r="J352" s="35"/>
    </row>
    <row r="353" spans="9:10" x14ac:dyDescent="0.25">
      <c r="I353" s="37"/>
      <c r="J353" s="35"/>
    </row>
    <row r="354" spans="9:10" x14ac:dyDescent="0.25">
      <c r="I354" s="37"/>
      <c r="J354" s="35"/>
    </row>
    <row r="355" spans="9:10" x14ac:dyDescent="0.25">
      <c r="I355" s="37"/>
      <c r="J355" s="35"/>
    </row>
    <row r="356" spans="9:10" x14ac:dyDescent="0.25">
      <c r="I356" s="37"/>
      <c r="J356" s="35"/>
    </row>
    <row r="357" spans="9:10" x14ac:dyDescent="0.25">
      <c r="I357" s="37"/>
      <c r="J357" s="35"/>
    </row>
    <row r="358" spans="9:10" x14ac:dyDescent="0.25">
      <c r="I358" s="37"/>
      <c r="J358" s="35"/>
    </row>
    <row r="359" spans="9:10" x14ac:dyDescent="0.25">
      <c r="I359" s="37"/>
      <c r="J359" s="35"/>
    </row>
    <row r="360" spans="9:10" x14ac:dyDescent="0.25">
      <c r="I360" s="37"/>
      <c r="J360" s="35"/>
    </row>
    <row r="361" spans="9:10" x14ac:dyDescent="0.25">
      <c r="I361" s="37"/>
      <c r="J361" s="35"/>
    </row>
    <row r="362" spans="9:10" x14ac:dyDescent="0.25">
      <c r="I362" s="37"/>
      <c r="J362" s="35"/>
    </row>
    <row r="363" spans="9:10" x14ac:dyDescent="0.25">
      <c r="I363" s="37"/>
      <c r="J363" s="35"/>
    </row>
    <row r="364" spans="9:10" x14ac:dyDescent="0.25">
      <c r="I364" s="37"/>
      <c r="J364" s="35"/>
    </row>
    <row r="365" spans="9:10" x14ac:dyDescent="0.25">
      <c r="I365" s="37"/>
      <c r="J365" s="35"/>
    </row>
    <row r="366" spans="9:10" x14ac:dyDescent="0.25">
      <c r="I366" s="37"/>
      <c r="J366" s="35"/>
    </row>
    <row r="367" spans="9:10" x14ac:dyDescent="0.25">
      <c r="I367" s="37"/>
      <c r="J367" s="35"/>
    </row>
    <row r="368" spans="9:10" x14ac:dyDescent="0.25">
      <c r="I368" s="37"/>
      <c r="J368" s="35"/>
    </row>
    <row r="369" spans="9:10" x14ac:dyDescent="0.25">
      <c r="I369" s="37"/>
      <c r="J369" s="35"/>
    </row>
    <row r="370" spans="9:10" x14ac:dyDescent="0.25">
      <c r="I370" s="37"/>
      <c r="J370" s="35"/>
    </row>
    <row r="371" spans="9:10" x14ac:dyDescent="0.25">
      <c r="I371" s="37"/>
      <c r="J371" s="35"/>
    </row>
    <row r="372" spans="9:10" x14ac:dyDescent="0.25">
      <c r="I372" s="37"/>
      <c r="J372" s="35"/>
    </row>
    <row r="373" spans="9:10" x14ac:dyDescent="0.25">
      <c r="I373" s="37"/>
      <c r="J373" s="35"/>
    </row>
    <row r="374" spans="9:10" x14ac:dyDescent="0.25">
      <c r="I374" s="37"/>
      <c r="J374" s="35"/>
    </row>
    <row r="375" spans="9:10" x14ac:dyDescent="0.25">
      <c r="I375" s="37"/>
      <c r="J375" s="35"/>
    </row>
    <row r="376" spans="9:10" x14ac:dyDescent="0.25">
      <c r="I376" s="37"/>
      <c r="J376" s="35"/>
    </row>
    <row r="377" spans="9:10" x14ac:dyDescent="0.25">
      <c r="I377" s="37"/>
      <c r="J377" s="35"/>
    </row>
    <row r="378" spans="9:10" x14ac:dyDescent="0.25">
      <c r="I378" s="37"/>
      <c r="J378" s="35"/>
    </row>
    <row r="379" spans="9:10" x14ac:dyDescent="0.25">
      <c r="I379" s="37"/>
      <c r="J379" s="35"/>
    </row>
    <row r="380" spans="9:10" x14ac:dyDescent="0.25">
      <c r="I380" s="37"/>
      <c r="J380" s="35"/>
    </row>
    <row r="381" spans="9:10" x14ac:dyDescent="0.25">
      <c r="I381" s="37"/>
      <c r="J381" s="35"/>
    </row>
    <row r="382" spans="9:10" x14ac:dyDescent="0.25">
      <c r="I382" s="37"/>
      <c r="J382" s="35"/>
    </row>
    <row r="383" spans="9:10" x14ac:dyDescent="0.25">
      <c r="I383" s="37"/>
      <c r="J383" s="35"/>
    </row>
    <row r="384" spans="9:10" x14ac:dyDescent="0.25">
      <c r="I384" s="37"/>
      <c r="J384" s="35"/>
    </row>
    <row r="385" spans="9:10" x14ac:dyDescent="0.25">
      <c r="I385" s="37"/>
      <c r="J385" s="35"/>
    </row>
    <row r="386" spans="9:10" x14ac:dyDescent="0.25">
      <c r="I386" s="37"/>
      <c r="J386" s="35"/>
    </row>
    <row r="387" spans="9:10" x14ac:dyDescent="0.25">
      <c r="I387" s="37"/>
      <c r="J387" s="35"/>
    </row>
    <row r="388" spans="9:10" x14ac:dyDescent="0.25">
      <c r="I388" s="37"/>
      <c r="J388" s="35"/>
    </row>
    <row r="389" spans="9:10" x14ac:dyDescent="0.25">
      <c r="I389" s="37"/>
      <c r="J389" s="35"/>
    </row>
    <row r="390" spans="9:10" x14ac:dyDescent="0.25">
      <c r="I390" s="37"/>
      <c r="J390" s="35"/>
    </row>
    <row r="391" spans="9:10" x14ac:dyDescent="0.25">
      <c r="I391" s="37"/>
      <c r="J391" s="35"/>
    </row>
    <row r="392" spans="9:10" x14ac:dyDescent="0.25">
      <c r="I392" s="37"/>
      <c r="J392" s="35"/>
    </row>
    <row r="393" spans="9:10" x14ac:dyDescent="0.25">
      <c r="I393" s="37"/>
      <c r="J393" s="35"/>
    </row>
    <row r="394" spans="9:10" x14ac:dyDescent="0.25">
      <c r="I394" s="37"/>
      <c r="J394" s="35"/>
    </row>
    <row r="395" spans="9:10" x14ac:dyDescent="0.25">
      <c r="I395" s="37"/>
      <c r="J395" s="35"/>
    </row>
    <row r="396" spans="9:10" x14ac:dyDescent="0.25">
      <c r="I396" s="37"/>
      <c r="J396" s="35"/>
    </row>
    <row r="397" spans="9:10" x14ac:dyDescent="0.25">
      <c r="I397" s="37"/>
      <c r="J397" s="35"/>
    </row>
    <row r="398" spans="9:10" x14ac:dyDescent="0.25">
      <c r="I398" s="37"/>
      <c r="J398" s="35"/>
    </row>
    <row r="399" spans="9:10" x14ac:dyDescent="0.25">
      <c r="I399" s="37"/>
      <c r="J399" s="35"/>
    </row>
    <row r="400" spans="9:10" x14ac:dyDescent="0.25">
      <c r="I400" s="37"/>
      <c r="J400" s="35"/>
    </row>
    <row r="401" spans="9:10" x14ac:dyDescent="0.25">
      <c r="I401" s="37"/>
      <c r="J401" s="35"/>
    </row>
    <row r="402" spans="9:10" x14ac:dyDescent="0.25">
      <c r="I402" s="37"/>
      <c r="J402" s="35"/>
    </row>
    <row r="403" spans="9:10" x14ac:dyDescent="0.25">
      <c r="I403" s="37"/>
      <c r="J403" s="35"/>
    </row>
    <row r="404" spans="9:10" x14ac:dyDescent="0.25">
      <c r="I404" s="37"/>
      <c r="J404" s="35"/>
    </row>
    <row r="405" spans="9:10" x14ac:dyDescent="0.25">
      <c r="I405" s="37"/>
      <c r="J405" s="35"/>
    </row>
    <row r="406" spans="9:10" x14ac:dyDescent="0.25">
      <c r="I406" s="37"/>
      <c r="J406" s="35"/>
    </row>
    <row r="407" spans="9:10" x14ac:dyDescent="0.25">
      <c r="I407" s="37"/>
      <c r="J407" s="35"/>
    </row>
    <row r="408" spans="9:10" x14ac:dyDescent="0.25">
      <c r="I408" s="37"/>
      <c r="J408" s="35"/>
    </row>
    <row r="409" spans="9:10" x14ac:dyDescent="0.25">
      <c r="I409" s="37"/>
      <c r="J409" s="35"/>
    </row>
    <row r="410" spans="9:10" x14ac:dyDescent="0.25">
      <c r="I410" s="37"/>
      <c r="J410" s="35"/>
    </row>
    <row r="411" spans="9:10" x14ac:dyDescent="0.25">
      <c r="I411" s="37"/>
      <c r="J411" s="35"/>
    </row>
    <row r="412" spans="9:10" x14ac:dyDescent="0.25">
      <c r="I412" s="37"/>
      <c r="J412" s="35"/>
    </row>
    <row r="413" spans="9:10" x14ac:dyDescent="0.25">
      <c r="I413" s="37"/>
      <c r="J413" s="35"/>
    </row>
    <row r="414" spans="9:10" x14ac:dyDescent="0.25">
      <c r="I414" s="37"/>
      <c r="J414" s="35"/>
    </row>
    <row r="415" spans="9:10" x14ac:dyDescent="0.25">
      <c r="I415" s="37"/>
      <c r="J415" s="35"/>
    </row>
    <row r="416" spans="9:10" x14ac:dyDescent="0.25">
      <c r="I416" s="37"/>
      <c r="J416" s="35"/>
    </row>
    <row r="417" spans="9:10" x14ac:dyDescent="0.25">
      <c r="I417" s="37"/>
      <c r="J417" s="35"/>
    </row>
    <row r="418" spans="9:10" x14ac:dyDescent="0.25">
      <c r="I418" s="37"/>
      <c r="J418" s="35"/>
    </row>
    <row r="419" spans="9:10" x14ac:dyDescent="0.25">
      <c r="I419" s="37"/>
      <c r="J419" s="35"/>
    </row>
    <row r="420" spans="9:10" x14ac:dyDescent="0.25">
      <c r="I420" s="37"/>
      <c r="J420" s="35"/>
    </row>
    <row r="421" spans="9:10" x14ac:dyDescent="0.25">
      <c r="I421" s="37"/>
      <c r="J421" s="35"/>
    </row>
    <row r="422" spans="9:10" x14ac:dyDescent="0.25">
      <c r="I422" s="37"/>
      <c r="J422" s="35"/>
    </row>
    <row r="423" spans="9:10" x14ac:dyDescent="0.25">
      <c r="I423" s="37"/>
      <c r="J423" s="35"/>
    </row>
    <row r="424" spans="9:10" x14ac:dyDescent="0.25">
      <c r="I424" s="37"/>
      <c r="J424" s="35"/>
    </row>
    <row r="425" spans="9:10" x14ac:dyDescent="0.25">
      <c r="I425" s="37"/>
      <c r="J425" s="35"/>
    </row>
    <row r="426" spans="9:10" x14ac:dyDescent="0.25">
      <c r="I426" s="37"/>
      <c r="J426" s="35"/>
    </row>
    <row r="427" spans="9:10" x14ac:dyDescent="0.25">
      <c r="I427" s="37"/>
      <c r="J427" s="35"/>
    </row>
    <row r="428" spans="9:10" x14ac:dyDescent="0.25">
      <c r="I428" s="37"/>
      <c r="J428" s="35"/>
    </row>
    <row r="429" spans="9:10" x14ac:dyDescent="0.25">
      <c r="I429" s="37"/>
      <c r="J429" s="35"/>
    </row>
    <row r="430" spans="9:10" x14ac:dyDescent="0.25">
      <c r="I430" s="37"/>
      <c r="J430" s="35"/>
    </row>
    <row r="431" spans="9:10" x14ac:dyDescent="0.25">
      <c r="I431" s="37"/>
      <c r="J431" s="35"/>
    </row>
    <row r="432" spans="9:10" x14ac:dyDescent="0.25">
      <c r="I432" s="37"/>
      <c r="J432" s="35"/>
    </row>
    <row r="433" spans="9:10" x14ac:dyDescent="0.25">
      <c r="I433" s="37"/>
      <c r="J433" s="35"/>
    </row>
    <row r="434" spans="9:10" x14ac:dyDescent="0.25">
      <c r="I434" s="37"/>
      <c r="J434" s="35"/>
    </row>
    <row r="435" spans="9:10" x14ac:dyDescent="0.25">
      <c r="I435" s="37"/>
      <c r="J435" s="35"/>
    </row>
    <row r="436" spans="9:10" x14ac:dyDescent="0.25">
      <c r="I436" s="37"/>
      <c r="J436" s="35"/>
    </row>
    <row r="437" spans="9:10" x14ac:dyDescent="0.25">
      <c r="I437" s="37"/>
      <c r="J437" s="35"/>
    </row>
    <row r="438" spans="9:10" x14ac:dyDescent="0.25">
      <c r="I438" s="37"/>
      <c r="J438" s="35"/>
    </row>
    <row r="439" spans="9:10" x14ac:dyDescent="0.25">
      <c r="I439" s="37"/>
      <c r="J439" s="35"/>
    </row>
    <row r="440" spans="9:10" x14ac:dyDescent="0.25">
      <c r="I440" s="37"/>
      <c r="J440" s="35"/>
    </row>
    <row r="441" spans="9:10" x14ac:dyDescent="0.25">
      <c r="I441" s="37"/>
      <c r="J441" s="35"/>
    </row>
    <row r="442" spans="9:10" x14ac:dyDescent="0.25">
      <c r="I442" s="37"/>
      <c r="J442" s="35"/>
    </row>
    <row r="443" spans="9:10" x14ac:dyDescent="0.25">
      <c r="I443" s="37"/>
      <c r="J443" s="35"/>
    </row>
    <row r="444" spans="9:10" x14ac:dyDescent="0.25">
      <c r="I444" s="37"/>
      <c r="J444" s="35"/>
    </row>
    <row r="445" spans="9:10" x14ac:dyDescent="0.25">
      <c r="I445" s="37"/>
      <c r="J445" s="35"/>
    </row>
    <row r="446" spans="9:10" x14ac:dyDescent="0.25">
      <c r="I446" s="37"/>
      <c r="J446" s="35"/>
    </row>
    <row r="447" spans="9:10" x14ac:dyDescent="0.25">
      <c r="I447" s="37"/>
      <c r="J447" s="35"/>
    </row>
    <row r="448" spans="9:10" x14ac:dyDescent="0.25">
      <c r="I448" s="37"/>
      <c r="J448" s="35"/>
    </row>
    <row r="449" spans="9:10" x14ac:dyDescent="0.25">
      <c r="I449" s="37"/>
      <c r="J449" s="35"/>
    </row>
    <row r="450" spans="9:10" x14ac:dyDescent="0.25">
      <c r="I450" s="37"/>
      <c r="J450" s="35"/>
    </row>
    <row r="451" spans="9:10" x14ac:dyDescent="0.25">
      <c r="I451" s="37"/>
      <c r="J451" s="35"/>
    </row>
    <row r="452" spans="9:10" x14ac:dyDescent="0.25">
      <c r="I452" s="37"/>
      <c r="J452" s="35"/>
    </row>
    <row r="453" spans="9:10" x14ac:dyDescent="0.25">
      <c r="I453" s="37"/>
      <c r="J453" s="35"/>
    </row>
    <row r="454" spans="9:10" x14ac:dyDescent="0.25">
      <c r="I454" s="37"/>
      <c r="J454" s="35"/>
    </row>
    <row r="455" spans="9:10" x14ac:dyDescent="0.25">
      <c r="I455" s="37"/>
      <c r="J455" s="35"/>
    </row>
    <row r="456" spans="9:10" x14ac:dyDescent="0.25">
      <c r="I456" s="37"/>
      <c r="J456" s="35"/>
    </row>
    <row r="457" spans="9:10" x14ac:dyDescent="0.25">
      <c r="I457" s="37"/>
      <c r="J457" s="35"/>
    </row>
    <row r="458" spans="9:10" x14ac:dyDescent="0.25">
      <c r="I458" s="37"/>
      <c r="J458" s="35"/>
    </row>
    <row r="459" spans="9:10" x14ac:dyDescent="0.25">
      <c r="I459" s="37"/>
      <c r="J459" s="35"/>
    </row>
    <row r="460" spans="9:10" x14ac:dyDescent="0.25">
      <c r="I460" s="37"/>
      <c r="J460" s="35"/>
    </row>
    <row r="461" spans="9:10" x14ac:dyDescent="0.25">
      <c r="I461" s="37"/>
      <c r="J461" s="35"/>
    </row>
    <row r="462" spans="9:10" x14ac:dyDescent="0.25">
      <c r="I462" s="37"/>
      <c r="J462" s="35"/>
    </row>
    <row r="463" spans="9:10" x14ac:dyDescent="0.25">
      <c r="I463" s="37"/>
      <c r="J463" s="35"/>
    </row>
    <row r="464" spans="9:10" x14ac:dyDescent="0.25">
      <c r="I464" s="37"/>
      <c r="J464" s="35"/>
    </row>
    <row r="465" spans="9:10" x14ac:dyDescent="0.25">
      <c r="I465" s="37"/>
      <c r="J465" s="35"/>
    </row>
    <row r="466" spans="9:10" x14ac:dyDescent="0.25">
      <c r="I466" s="37"/>
      <c r="J466" s="35"/>
    </row>
    <row r="467" spans="9:10" x14ac:dyDescent="0.25">
      <c r="I467" s="37"/>
      <c r="J467" s="35"/>
    </row>
    <row r="468" spans="9:10" x14ac:dyDescent="0.25">
      <c r="I468" s="37"/>
      <c r="J468" s="35"/>
    </row>
    <row r="469" spans="9:10" x14ac:dyDescent="0.25">
      <c r="I469" s="37"/>
      <c r="J469" s="35"/>
    </row>
    <row r="470" spans="9:10" x14ac:dyDescent="0.25">
      <c r="I470" s="37"/>
      <c r="J470" s="35"/>
    </row>
    <row r="471" spans="9:10" x14ac:dyDescent="0.25">
      <c r="I471" s="37"/>
      <c r="J471" s="35"/>
    </row>
    <row r="472" spans="9:10" x14ac:dyDescent="0.25">
      <c r="I472" s="37"/>
      <c r="J472" s="35"/>
    </row>
    <row r="473" spans="9:10" x14ac:dyDescent="0.25">
      <c r="I473" s="37"/>
      <c r="J473" s="35"/>
    </row>
    <row r="474" spans="9:10" x14ac:dyDescent="0.25">
      <c r="I474" s="37"/>
      <c r="J474" s="35"/>
    </row>
    <row r="475" spans="9:10" x14ac:dyDescent="0.25">
      <c r="I475" s="37"/>
      <c r="J475" s="35"/>
    </row>
    <row r="476" spans="9:10" x14ac:dyDescent="0.25">
      <c r="I476" s="37"/>
      <c r="J476" s="35"/>
    </row>
    <row r="477" spans="9:10" x14ac:dyDescent="0.25">
      <c r="I477" s="37"/>
      <c r="J477" s="35"/>
    </row>
    <row r="478" spans="9:10" x14ac:dyDescent="0.25">
      <c r="I478" s="37"/>
      <c r="J478" s="35"/>
    </row>
    <row r="479" spans="9:10" x14ac:dyDescent="0.25">
      <c r="I479" s="37"/>
      <c r="J479" s="35"/>
    </row>
    <row r="480" spans="9:10" x14ac:dyDescent="0.25">
      <c r="I480" s="37"/>
      <c r="J480" s="35"/>
    </row>
    <row r="481" spans="9:10" x14ac:dyDescent="0.25">
      <c r="I481" s="37"/>
      <c r="J481" s="35"/>
    </row>
    <row r="482" spans="9:10" x14ac:dyDescent="0.25">
      <c r="I482" s="37"/>
      <c r="J482" s="35"/>
    </row>
    <row r="483" spans="9:10" x14ac:dyDescent="0.25">
      <c r="I483" s="37"/>
      <c r="J483" s="35"/>
    </row>
    <row r="484" spans="9:10" x14ac:dyDescent="0.25">
      <c r="I484" s="37"/>
      <c r="J484" s="35"/>
    </row>
    <row r="485" spans="9:10" x14ac:dyDescent="0.25">
      <c r="I485" s="37"/>
      <c r="J485" s="35"/>
    </row>
    <row r="486" spans="9:10" x14ac:dyDescent="0.25">
      <c r="I486" s="37"/>
      <c r="J486" s="35"/>
    </row>
    <row r="487" spans="9:10" x14ac:dyDescent="0.25">
      <c r="I487" s="37"/>
      <c r="J487" s="35"/>
    </row>
    <row r="488" spans="9:10" x14ac:dyDescent="0.25">
      <c r="I488" s="37"/>
      <c r="J488" s="35"/>
    </row>
    <row r="489" spans="9:10" x14ac:dyDescent="0.25">
      <c r="I489" s="37"/>
      <c r="J489" s="35"/>
    </row>
    <row r="490" spans="9:10" x14ac:dyDescent="0.25">
      <c r="I490" s="37"/>
      <c r="J490" s="35"/>
    </row>
    <row r="491" spans="9:10" x14ac:dyDescent="0.25">
      <c r="I491" s="37"/>
      <c r="J491" s="35"/>
    </row>
    <row r="492" spans="9:10" x14ac:dyDescent="0.25">
      <c r="I492" s="37"/>
      <c r="J492" s="35"/>
    </row>
    <row r="493" spans="9:10" x14ac:dyDescent="0.25">
      <c r="I493" s="37"/>
      <c r="J493" s="35"/>
    </row>
    <row r="494" spans="9:10" x14ac:dyDescent="0.25">
      <c r="I494" s="37"/>
      <c r="J494" s="35"/>
    </row>
    <row r="495" spans="9:10" x14ac:dyDescent="0.25">
      <c r="I495" s="37"/>
      <c r="J495" s="35"/>
    </row>
    <row r="496" spans="9:10" x14ac:dyDescent="0.25">
      <c r="I496" s="37"/>
      <c r="J496" s="35"/>
    </row>
    <row r="497" spans="9:10" x14ac:dyDescent="0.25">
      <c r="I497" s="37"/>
      <c r="J497" s="35"/>
    </row>
    <row r="498" spans="9:10" x14ac:dyDescent="0.25">
      <c r="I498" s="37"/>
      <c r="J498" s="35"/>
    </row>
    <row r="499" spans="9:10" x14ac:dyDescent="0.25">
      <c r="I499" s="37"/>
      <c r="J499" s="35"/>
    </row>
    <row r="500" spans="9:10" x14ac:dyDescent="0.25">
      <c r="I500" s="37"/>
      <c r="J500" s="35"/>
    </row>
    <row r="501" spans="9:10" x14ac:dyDescent="0.25">
      <c r="I501" s="37"/>
      <c r="J501" s="35"/>
    </row>
    <row r="502" spans="9:10" x14ac:dyDescent="0.25">
      <c r="I502" s="37"/>
      <c r="J502" s="35"/>
    </row>
    <row r="503" spans="9:10" x14ac:dyDescent="0.25">
      <c r="I503" s="37"/>
      <c r="J503" s="35"/>
    </row>
    <row r="504" spans="9:10" x14ac:dyDescent="0.25">
      <c r="I504" s="37"/>
      <c r="J504" s="35"/>
    </row>
    <row r="505" spans="9:10" x14ac:dyDescent="0.25">
      <c r="I505" s="37"/>
      <c r="J505" s="35"/>
    </row>
    <row r="506" spans="9:10" x14ac:dyDescent="0.25">
      <c r="I506" s="37"/>
      <c r="J506" s="35"/>
    </row>
    <row r="507" spans="9:10" x14ac:dyDescent="0.25">
      <c r="I507" s="37"/>
      <c r="J507" s="35"/>
    </row>
    <row r="508" spans="9:10" x14ac:dyDescent="0.25">
      <c r="I508" s="37"/>
      <c r="J508" s="35"/>
    </row>
    <row r="509" spans="9:10" x14ac:dyDescent="0.25">
      <c r="I509" s="37"/>
      <c r="J509" s="35"/>
    </row>
    <row r="510" spans="9:10" x14ac:dyDescent="0.25">
      <c r="I510" s="37"/>
      <c r="J510" s="35"/>
    </row>
    <row r="511" spans="9:10" x14ac:dyDescent="0.25">
      <c r="I511" s="37"/>
      <c r="J511" s="35"/>
    </row>
    <row r="512" spans="9:10" x14ac:dyDescent="0.25">
      <c r="I512" s="37"/>
      <c r="J512" s="35"/>
    </row>
    <row r="513" spans="9:10" x14ac:dyDescent="0.25">
      <c r="I513" s="37"/>
      <c r="J513" s="35"/>
    </row>
    <row r="514" spans="9:10" x14ac:dyDescent="0.25">
      <c r="I514" s="37"/>
      <c r="J514" s="35"/>
    </row>
    <row r="515" spans="9:10" x14ac:dyDescent="0.25">
      <c r="I515" s="37"/>
      <c r="J515" s="35"/>
    </row>
    <row r="516" spans="9:10" x14ac:dyDescent="0.25">
      <c r="I516" s="37"/>
      <c r="J516" s="35"/>
    </row>
    <row r="517" spans="9:10" x14ac:dyDescent="0.25">
      <c r="I517" s="37"/>
      <c r="J517" s="35"/>
    </row>
    <row r="518" spans="9:10" x14ac:dyDescent="0.25">
      <c r="I518" s="37"/>
      <c r="J518" s="35"/>
    </row>
    <row r="519" spans="9:10" x14ac:dyDescent="0.25">
      <c r="I519" s="37"/>
      <c r="J519" s="35"/>
    </row>
    <row r="520" spans="9:10" x14ac:dyDescent="0.25">
      <c r="I520" s="37"/>
      <c r="J520" s="35"/>
    </row>
    <row r="521" spans="9:10" x14ac:dyDescent="0.25">
      <c r="I521" s="37"/>
      <c r="J521" s="35"/>
    </row>
    <row r="522" spans="9:10" x14ac:dyDescent="0.25">
      <c r="I522" s="37"/>
      <c r="J522" s="35"/>
    </row>
    <row r="523" spans="9:10" x14ac:dyDescent="0.25">
      <c r="I523" s="37"/>
      <c r="J523" s="35"/>
    </row>
    <row r="524" spans="9:10" x14ac:dyDescent="0.25">
      <c r="I524" s="37"/>
      <c r="J524" s="35"/>
    </row>
    <row r="525" spans="9:10" x14ac:dyDescent="0.25">
      <c r="I525" s="37"/>
      <c r="J525" s="35"/>
    </row>
    <row r="526" spans="9:10" x14ac:dyDescent="0.25">
      <c r="I526" s="37"/>
      <c r="J526" s="35"/>
    </row>
    <row r="527" spans="9:10" x14ac:dyDescent="0.25">
      <c r="I527" s="37"/>
      <c r="J527" s="35"/>
    </row>
    <row r="528" spans="9:10" x14ac:dyDescent="0.25">
      <c r="I528" s="37"/>
      <c r="J528" s="35"/>
    </row>
    <row r="529" spans="9:10" x14ac:dyDescent="0.25">
      <c r="I529" s="37"/>
      <c r="J529" s="35"/>
    </row>
    <row r="530" spans="9:10" x14ac:dyDescent="0.25">
      <c r="I530" s="37"/>
      <c r="J530" s="35"/>
    </row>
    <row r="531" spans="9:10" x14ac:dyDescent="0.25">
      <c r="I531" s="37"/>
      <c r="J531" s="35"/>
    </row>
    <row r="532" spans="9:10" x14ac:dyDescent="0.25">
      <c r="I532" s="37"/>
      <c r="J532" s="35"/>
    </row>
    <row r="533" spans="9:10" x14ac:dyDescent="0.25">
      <c r="I533" s="37"/>
      <c r="J533" s="35"/>
    </row>
    <row r="534" spans="9:10" x14ac:dyDescent="0.25">
      <c r="I534" s="37"/>
      <c r="J534" s="35"/>
    </row>
    <row r="535" spans="9:10" x14ac:dyDescent="0.25">
      <c r="I535" s="37"/>
      <c r="J535" s="35"/>
    </row>
    <row r="536" spans="9:10" x14ac:dyDescent="0.25">
      <c r="I536" s="37"/>
      <c r="J536" s="35"/>
    </row>
    <row r="537" spans="9:10" x14ac:dyDescent="0.25">
      <c r="I537" s="37"/>
      <c r="J537" s="35"/>
    </row>
    <row r="538" spans="9:10" x14ac:dyDescent="0.25">
      <c r="I538" s="37"/>
      <c r="J538" s="35"/>
    </row>
    <row r="539" spans="9:10" x14ac:dyDescent="0.25">
      <c r="I539" s="37"/>
      <c r="J539" s="35"/>
    </row>
    <row r="540" spans="9:10" x14ac:dyDescent="0.25">
      <c r="I540" s="37"/>
      <c r="J540" s="35"/>
    </row>
    <row r="541" spans="9:10" x14ac:dyDescent="0.25">
      <c r="I541" s="37"/>
      <c r="J541" s="35"/>
    </row>
    <row r="542" spans="9:10" x14ac:dyDescent="0.25">
      <c r="I542" s="37"/>
      <c r="J542" s="35"/>
    </row>
    <row r="543" spans="9:10" x14ac:dyDescent="0.25">
      <c r="I543" s="37"/>
      <c r="J543" s="35"/>
    </row>
    <row r="544" spans="9:10" x14ac:dyDescent="0.25">
      <c r="I544" s="37"/>
      <c r="J544" s="35"/>
    </row>
    <row r="545" spans="9:10" x14ac:dyDescent="0.25">
      <c r="I545" s="37"/>
      <c r="J545" s="35"/>
    </row>
    <row r="546" spans="9:10" x14ac:dyDescent="0.25">
      <c r="I546" s="37"/>
      <c r="J546" s="35"/>
    </row>
    <row r="547" spans="9:10" x14ac:dyDescent="0.25">
      <c r="I547" s="37"/>
      <c r="J547" s="35"/>
    </row>
    <row r="548" spans="9:10" x14ac:dyDescent="0.25">
      <c r="I548" s="37"/>
      <c r="J548" s="35"/>
    </row>
    <row r="549" spans="9:10" x14ac:dyDescent="0.25">
      <c r="I549" s="37"/>
      <c r="J549" s="35"/>
    </row>
    <row r="550" spans="9:10" x14ac:dyDescent="0.25">
      <c r="I550" s="37"/>
      <c r="J550" s="35"/>
    </row>
    <row r="551" spans="9:10" x14ac:dyDescent="0.25">
      <c r="I551" s="37"/>
      <c r="J551" s="35"/>
    </row>
    <row r="552" spans="9:10" x14ac:dyDescent="0.25">
      <c r="I552" s="37"/>
      <c r="J552" s="35"/>
    </row>
    <row r="553" spans="9:10" x14ac:dyDescent="0.25">
      <c r="I553" s="37"/>
      <c r="J553" s="35"/>
    </row>
    <row r="554" spans="9:10" x14ac:dyDescent="0.25">
      <c r="I554" s="37"/>
      <c r="J554" s="35"/>
    </row>
    <row r="555" spans="9:10" x14ac:dyDescent="0.25">
      <c r="I555" s="37"/>
      <c r="J555" s="35"/>
    </row>
    <row r="556" spans="9:10" x14ac:dyDescent="0.25">
      <c r="I556" s="37"/>
      <c r="J556" s="35"/>
    </row>
    <row r="557" spans="9:10" x14ac:dyDescent="0.25">
      <c r="I557" s="37"/>
      <c r="J557" s="35"/>
    </row>
    <row r="558" spans="9:10" x14ac:dyDescent="0.25">
      <c r="I558" s="37"/>
      <c r="J558" s="35"/>
    </row>
    <row r="559" spans="9:10" x14ac:dyDescent="0.25">
      <c r="I559" s="37"/>
      <c r="J559" s="35"/>
    </row>
    <row r="560" spans="9:10" x14ac:dyDescent="0.25">
      <c r="I560" s="37"/>
      <c r="J560" s="35"/>
    </row>
    <row r="561" spans="9:10" x14ac:dyDescent="0.25">
      <c r="I561" s="37"/>
      <c r="J561" s="35"/>
    </row>
    <row r="562" spans="9:10" x14ac:dyDescent="0.25">
      <c r="I562" s="37"/>
      <c r="J562" s="35"/>
    </row>
    <row r="563" spans="9:10" x14ac:dyDescent="0.25">
      <c r="I563" s="37"/>
      <c r="J563" s="35"/>
    </row>
    <row r="564" spans="9:10" x14ac:dyDescent="0.25">
      <c r="I564" s="37"/>
      <c r="J564" s="35"/>
    </row>
    <row r="565" spans="9:10" x14ac:dyDescent="0.25">
      <c r="I565" s="37"/>
      <c r="J565" s="35"/>
    </row>
    <row r="566" spans="9:10" x14ac:dyDescent="0.25">
      <c r="I566" s="37"/>
      <c r="J566" s="35"/>
    </row>
    <row r="567" spans="9:10" x14ac:dyDescent="0.25">
      <c r="I567" s="37"/>
      <c r="J567" s="35"/>
    </row>
    <row r="568" spans="9:10" x14ac:dyDescent="0.25">
      <c r="I568" s="37"/>
      <c r="J568" s="35"/>
    </row>
    <row r="569" spans="9:10" x14ac:dyDescent="0.25">
      <c r="I569" s="37"/>
      <c r="J569" s="35"/>
    </row>
    <row r="570" spans="9:10" x14ac:dyDescent="0.25">
      <c r="I570" s="37"/>
      <c r="J570" s="35"/>
    </row>
    <row r="571" spans="9:10" x14ac:dyDescent="0.25">
      <c r="I571" s="37"/>
      <c r="J571" s="35"/>
    </row>
    <row r="572" spans="9:10" x14ac:dyDescent="0.25">
      <c r="I572" s="37"/>
      <c r="J572" s="35"/>
    </row>
    <row r="573" spans="9:10" x14ac:dyDescent="0.25">
      <c r="I573" s="37"/>
      <c r="J573" s="35"/>
    </row>
    <row r="574" spans="9:10" x14ac:dyDescent="0.25">
      <c r="I574" s="37"/>
      <c r="J574" s="35"/>
    </row>
    <row r="575" spans="9:10" x14ac:dyDescent="0.25">
      <c r="I575" s="37"/>
      <c r="J575" s="35"/>
    </row>
    <row r="576" spans="9:10" x14ac:dyDescent="0.25">
      <c r="I576" s="37"/>
      <c r="J576" s="35"/>
    </row>
    <row r="577" spans="9:10" x14ac:dyDescent="0.25">
      <c r="I577" s="37"/>
      <c r="J577" s="35"/>
    </row>
    <row r="578" spans="9:10" x14ac:dyDescent="0.25">
      <c r="I578" s="37"/>
      <c r="J578" s="35"/>
    </row>
    <row r="579" spans="9:10" x14ac:dyDescent="0.25">
      <c r="I579" s="37"/>
      <c r="J579" s="35"/>
    </row>
    <row r="580" spans="9:10" x14ac:dyDescent="0.25">
      <c r="I580" s="37"/>
      <c r="J580" s="35"/>
    </row>
    <row r="581" spans="9:10" x14ac:dyDescent="0.25">
      <c r="I581" s="37"/>
      <c r="J581" s="35"/>
    </row>
    <row r="582" spans="9:10" x14ac:dyDescent="0.25">
      <c r="I582" s="37"/>
      <c r="J582" s="35"/>
    </row>
    <row r="583" spans="9:10" x14ac:dyDescent="0.25">
      <c r="I583" s="37"/>
      <c r="J583" s="35"/>
    </row>
    <row r="584" spans="9:10" x14ac:dyDescent="0.25">
      <c r="I584" s="37"/>
      <c r="J584" s="35"/>
    </row>
    <row r="585" spans="9:10" x14ac:dyDescent="0.25">
      <c r="I585" s="37"/>
      <c r="J585" s="35"/>
    </row>
    <row r="586" spans="9:10" x14ac:dyDescent="0.25">
      <c r="I586" s="37"/>
      <c r="J586" s="35"/>
    </row>
    <row r="587" spans="9:10" x14ac:dyDescent="0.25">
      <c r="I587" s="37"/>
      <c r="J587" s="35"/>
    </row>
    <row r="588" spans="9:10" x14ac:dyDescent="0.25">
      <c r="I588" s="37"/>
      <c r="J588" s="35"/>
    </row>
    <row r="589" spans="9:10" x14ac:dyDescent="0.25">
      <c r="I589" s="37"/>
      <c r="J589" s="35"/>
    </row>
    <row r="590" spans="9:10" x14ac:dyDescent="0.25">
      <c r="I590" s="37"/>
      <c r="J590" s="35"/>
    </row>
    <row r="591" spans="9:10" x14ac:dyDescent="0.25">
      <c r="I591" s="37"/>
      <c r="J591" s="35"/>
    </row>
    <row r="592" spans="9:10" x14ac:dyDescent="0.25">
      <c r="I592" s="37"/>
      <c r="J592" s="35"/>
    </row>
    <row r="593" spans="9:10" x14ac:dyDescent="0.25">
      <c r="I593" s="37"/>
      <c r="J593" s="35"/>
    </row>
    <row r="594" spans="9:10" x14ac:dyDescent="0.25">
      <c r="I594" s="37"/>
      <c r="J594" s="35"/>
    </row>
    <row r="595" spans="9:10" x14ac:dyDescent="0.25">
      <c r="I595" s="37"/>
      <c r="J595" s="35"/>
    </row>
    <row r="596" spans="9:10" x14ac:dyDescent="0.25">
      <c r="I596" s="37"/>
      <c r="J596" s="35"/>
    </row>
    <row r="597" spans="9:10" x14ac:dyDescent="0.25">
      <c r="I597" s="37"/>
      <c r="J597" s="35"/>
    </row>
    <row r="598" spans="9:10" x14ac:dyDescent="0.25">
      <c r="I598" s="37"/>
      <c r="J598" s="35"/>
    </row>
    <row r="599" spans="9:10" x14ac:dyDescent="0.25">
      <c r="I599" s="37"/>
      <c r="J599" s="35"/>
    </row>
    <row r="600" spans="9:10" x14ac:dyDescent="0.25">
      <c r="I600" s="37"/>
      <c r="J600" s="35"/>
    </row>
    <row r="601" spans="9:10" x14ac:dyDescent="0.25">
      <c r="I601" s="37"/>
      <c r="J601" s="35"/>
    </row>
    <row r="602" spans="9:10" x14ac:dyDescent="0.25">
      <c r="I602" s="37"/>
      <c r="J602" s="35"/>
    </row>
    <row r="603" spans="9:10" x14ac:dyDescent="0.25">
      <c r="I603" s="37"/>
      <c r="J603" s="35"/>
    </row>
    <row r="604" spans="9:10" x14ac:dyDescent="0.25">
      <c r="I604" s="37"/>
      <c r="J604" s="35"/>
    </row>
    <row r="605" spans="9:10" x14ac:dyDescent="0.25">
      <c r="I605" s="37"/>
      <c r="J605" s="35"/>
    </row>
    <row r="606" spans="9:10" x14ac:dyDescent="0.25">
      <c r="I606" s="37"/>
      <c r="J606" s="35"/>
    </row>
    <row r="607" spans="9:10" x14ac:dyDescent="0.25">
      <c r="I607" s="37"/>
      <c r="J607" s="35"/>
    </row>
    <row r="608" spans="9:10" x14ac:dyDescent="0.25">
      <c r="I608" s="37"/>
      <c r="J608" s="35"/>
    </row>
    <row r="609" spans="9:10" x14ac:dyDescent="0.25">
      <c r="I609" s="37"/>
      <c r="J609" s="35"/>
    </row>
    <row r="610" spans="9:10" x14ac:dyDescent="0.25">
      <c r="I610" s="37"/>
      <c r="J610" s="35"/>
    </row>
    <row r="611" spans="9:10" x14ac:dyDescent="0.25">
      <c r="I611" s="37"/>
      <c r="J611" s="35"/>
    </row>
    <row r="612" spans="9:10" x14ac:dyDescent="0.25">
      <c r="I612" s="37"/>
      <c r="J612" s="35"/>
    </row>
    <row r="613" spans="9:10" x14ac:dyDescent="0.25">
      <c r="I613" s="37"/>
      <c r="J613" s="35"/>
    </row>
    <row r="614" spans="9:10" x14ac:dyDescent="0.25">
      <c r="I614" s="37"/>
      <c r="J614" s="35"/>
    </row>
    <row r="615" spans="9:10" x14ac:dyDescent="0.25">
      <c r="I615" s="37"/>
      <c r="J615" s="35"/>
    </row>
    <row r="616" spans="9:10" x14ac:dyDescent="0.25">
      <c r="I616" s="37"/>
      <c r="J616" s="35"/>
    </row>
    <row r="617" spans="9:10" x14ac:dyDescent="0.25">
      <c r="I617" s="37"/>
      <c r="J617" s="35"/>
    </row>
    <row r="618" spans="9:10" x14ac:dyDescent="0.25">
      <c r="I618" s="37"/>
      <c r="J618" s="35"/>
    </row>
    <row r="619" spans="9:10" x14ac:dyDescent="0.25">
      <c r="I619" s="37"/>
      <c r="J619" s="35"/>
    </row>
    <row r="620" spans="9:10" x14ac:dyDescent="0.25">
      <c r="I620" s="37"/>
      <c r="J620" s="35"/>
    </row>
    <row r="621" spans="9:10" x14ac:dyDescent="0.25">
      <c r="I621" s="37"/>
      <c r="J621" s="35"/>
    </row>
    <row r="622" spans="9:10" x14ac:dyDescent="0.25">
      <c r="I622" s="37"/>
      <c r="J622" s="35"/>
    </row>
    <row r="623" spans="9:10" x14ac:dyDescent="0.25">
      <c r="I623" s="37"/>
      <c r="J623" s="35"/>
    </row>
    <row r="624" spans="9:10" x14ac:dyDescent="0.25">
      <c r="I624" s="37"/>
      <c r="J624" s="35"/>
    </row>
    <row r="625" spans="9:10" x14ac:dyDescent="0.25">
      <c r="I625" s="37"/>
      <c r="J625" s="35"/>
    </row>
    <row r="626" spans="9:10" x14ac:dyDescent="0.25">
      <c r="I626" s="37"/>
      <c r="J626" s="35"/>
    </row>
    <row r="627" spans="9:10" x14ac:dyDescent="0.25">
      <c r="I627" s="37"/>
      <c r="J627" s="35"/>
    </row>
    <row r="628" spans="9:10" x14ac:dyDescent="0.25">
      <c r="I628" s="37"/>
      <c r="J628" s="35"/>
    </row>
    <row r="629" spans="9:10" x14ac:dyDescent="0.25">
      <c r="I629" s="37"/>
      <c r="J629" s="35"/>
    </row>
    <row r="630" spans="9:10" x14ac:dyDescent="0.25">
      <c r="I630" s="37"/>
      <c r="J630" s="35"/>
    </row>
    <row r="631" spans="9:10" x14ac:dyDescent="0.25">
      <c r="I631" s="37"/>
      <c r="J631" s="35"/>
    </row>
    <row r="632" spans="9:10" x14ac:dyDescent="0.25">
      <c r="I632" s="37"/>
      <c r="J632" s="35"/>
    </row>
    <row r="633" spans="9:10" x14ac:dyDescent="0.25">
      <c r="I633" s="37"/>
      <c r="J633" s="35"/>
    </row>
    <row r="634" spans="9:10" x14ac:dyDescent="0.25">
      <c r="I634" s="37"/>
      <c r="J634" s="35"/>
    </row>
    <row r="635" spans="9:10" x14ac:dyDescent="0.25">
      <c r="I635" s="37"/>
      <c r="J635" s="35"/>
    </row>
    <row r="636" spans="9:10" x14ac:dyDescent="0.25">
      <c r="I636" s="37"/>
      <c r="J636" s="35"/>
    </row>
    <row r="637" spans="9:10" x14ac:dyDescent="0.25">
      <c r="I637" s="37"/>
      <c r="J637" s="35"/>
    </row>
    <row r="638" spans="9:10" x14ac:dyDescent="0.25">
      <c r="I638" s="37"/>
      <c r="J638" s="35"/>
    </row>
    <row r="639" spans="9:10" x14ac:dyDescent="0.25">
      <c r="I639" s="37"/>
      <c r="J639" s="35"/>
    </row>
    <row r="640" spans="9:10" x14ac:dyDescent="0.25">
      <c r="I640" s="37"/>
      <c r="J640" s="35"/>
    </row>
    <row r="641" spans="9:10" x14ac:dyDescent="0.25">
      <c r="I641" s="37"/>
      <c r="J641" s="35"/>
    </row>
    <row r="642" spans="9:10" x14ac:dyDescent="0.25">
      <c r="I642" s="37"/>
      <c r="J642" s="35"/>
    </row>
    <row r="643" spans="9:10" x14ac:dyDescent="0.25">
      <c r="I643" s="37"/>
      <c r="J643" s="35"/>
    </row>
    <row r="644" spans="9:10" x14ac:dyDescent="0.25">
      <c r="I644" s="37"/>
      <c r="J644" s="35"/>
    </row>
    <row r="645" spans="9:10" x14ac:dyDescent="0.25">
      <c r="I645" s="37"/>
      <c r="J645" s="35"/>
    </row>
    <row r="646" spans="9:10" x14ac:dyDescent="0.25">
      <c r="I646" s="37"/>
      <c r="J646" s="35"/>
    </row>
    <row r="647" spans="9:10" x14ac:dyDescent="0.25">
      <c r="I647" s="37"/>
      <c r="J647" s="35"/>
    </row>
    <row r="648" spans="9:10" x14ac:dyDescent="0.25">
      <c r="I648" s="37"/>
      <c r="J648" s="35"/>
    </row>
    <row r="649" spans="9:10" x14ac:dyDescent="0.25">
      <c r="I649" s="37"/>
      <c r="J649" s="35"/>
    </row>
    <row r="650" spans="9:10" x14ac:dyDescent="0.25">
      <c r="I650" s="37"/>
      <c r="J650" s="35"/>
    </row>
    <row r="651" spans="9:10" x14ac:dyDescent="0.25">
      <c r="I651" s="37"/>
      <c r="J651" s="35"/>
    </row>
    <row r="652" spans="9:10" x14ac:dyDescent="0.25">
      <c r="I652" s="37"/>
      <c r="J652" s="35"/>
    </row>
    <row r="653" spans="9:10" x14ac:dyDescent="0.25">
      <c r="I653" s="37"/>
      <c r="J653" s="35"/>
    </row>
    <row r="654" spans="9:10" x14ac:dyDescent="0.25">
      <c r="I654" s="37"/>
      <c r="J654" s="35"/>
    </row>
    <row r="655" spans="9:10" x14ac:dyDescent="0.25">
      <c r="I655" s="37"/>
      <c r="J655" s="35"/>
    </row>
    <row r="656" spans="9:10" x14ac:dyDescent="0.25">
      <c r="I656" s="37"/>
      <c r="J656" s="35"/>
    </row>
    <row r="657" spans="9:10" x14ac:dyDescent="0.25">
      <c r="I657" s="37"/>
      <c r="J657" s="35"/>
    </row>
    <row r="658" spans="9:10" x14ac:dyDescent="0.25">
      <c r="I658" s="37"/>
      <c r="J658" s="35"/>
    </row>
    <row r="659" spans="9:10" x14ac:dyDescent="0.25">
      <c r="I659" s="37"/>
      <c r="J659" s="35"/>
    </row>
    <row r="660" spans="9:10" x14ac:dyDescent="0.25">
      <c r="I660" s="37"/>
      <c r="J660" s="35"/>
    </row>
    <row r="661" spans="9:10" x14ac:dyDescent="0.25">
      <c r="I661" s="37"/>
      <c r="J661" s="35"/>
    </row>
    <row r="662" spans="9:10" x14ac:dyDescent="0.25">
      <c r="I662" s="37"/>
      <c r="J662" s="35"/>
    </row>
    <row r="663" spans="9:10" x14ac:dyDescent="0.25">
      <c r="I663" s="37"/>
      <c r="J663" s="35"/>
    </row>
    <row r="664" spans="9:10" x14ac:dyDescent="0.25">
      <c r="I664" s="37"/>
      <c r="J664" s="35"/>
    </row>
    <row r="665" spans="9:10" x14ac:dyDescent="0.25">
      <c r="I665" s="37"/>
      <c r="J665" s="35"/>
    </row>
    <row r="666" spans="9:10" x14ac:dyDescent="0.25">
      <c r="I666" s="37"/>
      <c r="J666" s="35"/>
    </row>
    <row r="667" spans="9:10" x14ac:dyDescent="0.25">
      <c r="I667" s="37"/>
      <c r="J667" s="35"/>
    </row>
    <row r="668" spans="9:10" x14ac:dyDescent="0.25">
      <c r="I668" s="37"/>
      <c r="J668" s="35"/>
    </row>
    <row r="669" spans="9:10" x14ac:dyDescent="0.25">
      <c r="I669" s="37"/>
      <c r="J669" s="35"/>
    </row>
    <row r="670" spans="9:10" x14ac:dyDescent="0.25">
      <c r="I670" s="37"/>
      <c r="J670" s="35"/>
    </row>
    <row r="671" spans="9:10" x14ac:dyDescent="0.25">
      <c r="I671" s="37"/>
      <c r="J671" s="35"/>
    </row>
    <row r="672" spans="9:10" x14ac:dyDescent="0.25">
      <c r="I672" s="37"/>
      <c r="J672" s="35"/>
    </row>
    <row r="673" spans="9:10" x14ac:dyDescent="0.25">
      <c r="I673" s="37"/>
      <c r="J673" s="35"/>
    </row>
    <row r="674" spans="9:10" x14ac:dyDescent="0.25">
      <c r="I674" s="37"/>
      <c r="J674" s="35"/>
    </row>
    <row r="675" spans="9:10" x14ac:dyDescent="0.25">
      <c r="I675" s="37"/>
      <c r="J675" s="35"/>
    </row>
    <row r="676" spans="9:10" x14ac:dyDescent="0.25">
      <c r="I676" s="37"/>
      <c r="J676" s="35"/>
    </row>
    <row r="677" spans="9:10" x14ac:dyDescent="0.25">
      <c r="I677" s="37"/>
      <c r="J677" s="35"/>
    </row>
    <row r="678" spans="9:10" x14ac:dyDescent="0.25">
      <c r="I678" s="37"/>
      <c r="J678" s="35"/>
    </row>
    <row r="679" spans="9:10" x14ac:dyDescent="0.25">
      <c r="I679" s="37"/>
      <c r="J679" s="35"/>
    </row>
    <row r="680" spans="9:10" x14ac:dyDescent="0.25">
      <c r="I680" s="37"/>
      <c r="J680" s="35"/>
    </row>
    <row r="681" spans="9:10" x14ac:dyDescent="0.25">
      <c r="I681" s="37"/>
      <c r="J681" s="35"/>
    </row>
    <row r="682" spans="9:10" x14ac:dyDescent="0.25">
      <c r="I682" s="37"/>
      <c r="J682" s="35"/>
    </row>
    <row r="683" spans="9:10" x14ac:dyDescent="0.25">
      <c r="I683" s="37"/>
      <c r="J683" s="35"/>
    </row>
    <row r="684" spans="9:10" x14ac:dyDescent="0.25">
      <c r="I684" s="37"/>
      <c r="J684" s="35"/>
    </row>
    <row r="685" spans="9:10" x14ac:dyDescent="0.25">
      <c r="I685" s="37"/>
      <c r="J685" s="35"/>
    </row>
    <row r="686" spans="9:10" x14ac:dyDescent="0.25">
      <c r="I686" s="37"/>
      <c r="J686" s="35"/>
    </row>
    <row r="687" spans="9:10" x14ac:dyDescent="0.25">
      <c r="I687" s="37"/>
      <c r="J687" s="35"/>
    </row>
    <row r="688" spans="9:10" x14ac:dyDescent="0.25">
      <c r="I688" s="37"/>
      <c r="J688" s="35"/>
    </row>
    <row r="689" spans="9:10" x14ac:dyDescent="0.25">
      <c r="I689" s="37"/>
      <c r="J689" s="35"/>
    </row>
    <row r="690" spans="9:10" x14ac:dyDescent="0.25">
      <c r="I690" s="37"/>
      <c r="J690" s="35"/>
    </row>
    <row r="691" spans="9:10" x14ac:dyDescent="0.25">
      <c r="I691" s="37"/>
      <c r="J691" s="35"/>
    </row>
    <row r="692" spans="9:10" x14ac:dyDescent="0.25">
      <c r="I692" s="37"/>
      <c r="J692" s="35"/>
    </row>
    <row r="693" spans="9:10" x14ac:dyDescent="0.25">
      <c r="I693" s="37"/>
      <c r="J693" s="35"/>
    </row>
    <row r="694" spans="9:10" x14ac:dyDescent="0.25">
      <c r="I694" s="37"/>
      <c r="J694" s="35"/>
    </row>
    <row r="695" spans="9:10" x14ac:dyDescent="0.25">
      <c r="I695" s="37"/>
      <c r="J695" s="35"/>
    </row>
    <row r="696" spans="9:10" x14ac:dyDescent="0.25">
      <c r="I696" s="37"/>
      <c r="J696" s="35"/>
    </row>
    <row r="697" spans="9:10" x14ac:dyDescent="0.25">
      <c r="I697" s="37"/>
      <c r="J697" s="35"/>
    </row>
    <row r="698" spans="9:10" x14ac:dyDescent="0.25">
      <c r="I698" s="37"/>
      <c r="J698" s="35"/>
    </row>
    <row r="699" spans="9:10" x14ac:dyDescent="0.25">
      <c r="I699" s="37"/>
      <c r="J699" s="35"/>
    </row>
    <row r="700" spans="9:10" x14ac:dyDescent="0.25">
      <c r="I700" s="37"/>
      <c r="J700" s="35"/>
    </row>
    <row r="701" spans="9:10" x14ac:dyDescent="0.25">
      <c r="I701" s="37"/>
      <c r="J701" s="35"/>
    </row>
    <row r="702" spans="9:10" x14ac:dyDescent="0.25">
      <c r="I702" s="37"/>
      <c r="J702" s="35"/>
    </row>
    <row r="703" spans="9:10" x14ac:dyDescent="0.25">
      <c r="I703" s="37"/>
      <c r="J703" s="35"/>
    </row>
    <row r="704" spans="9:10" x14ac:dyDescent="0.25">
      <c r="I704" s="37"/>
      <c r="J704" s="35"/>
    </row>
    <row r="705" spans="9:10" x14ac:dyDescent="0.25">
      <c r="I705" s="37"/>
      <c r="J705" s="35"/>
    </row>
    <row r="706" spans="9:10" x14ac:dyDescent="0.25">
      <c r="I706" s="37"/>
      <c r="J706" s="35"/>
    </row>
    <row r="707" spans="9:10" x14ac:dyDescent="0.25">
      <c r="I707" s="37"/>
      <c r="J707" s="35"/>
    </row>
    <row r="708" spans="9:10" x14ac:dyDescent="0.25">
      <c r="I708" s="37"/>
      <c r="J708" s="35"/>
    </row>
    <row r="709" spans="9:10" x14ac:dyDescent="0.25">
      <c r="I709" s="37"/>
      <c r="J709" s="35"/>
    </row>
    <row r="710" spans="9:10" x14ac:dyDescent="0.25">
      <c r="I710" s="37"/>
      <c r="J710" s="35"/>
    </row>
    <row r="711" spans="9:10" x14ac:dyDescent="0.25">
      <c r="I711" s="37"/>
      <c r="J711" s="35"/>
    </row>
    <row r="712" spans="9:10" x14ac:dyDescent="0.25">
      <c r="I712" s="37"/>
      <c r="J712" s="35"/>
    </row>
    <row r="713" spans="9:10" x14ac:dyDescent="0.25">
      <c r="I713" s="37"/>
      <c r="J713" s="35"/>
    </row>
    <row r="714" spans="9:10" x14ac:dyDescent="0.25">
      <c r="I714" s="37"/>
      <c r="J714" s="35"/>
    </row>
    <row r="715" spans="9:10" x14ac:dyDescent="0.25">
      <c r="I715" s="37"/>
      <c r="J715" s="35"/>
    </row>
    <row r="716" spans="9:10" x14ac:dyDescent="0.25">
      <c r="I716" s="37"/>
      <c r="J716" s="35"/>
    </row>
    <row r="717" spans="9:10" x14ac:dyDescent="0.25">
      <c r="I717" s="37"/>
      <c r="J717" s="35"/>
    </row>
    <row r="718" spans="9:10" x14ac:dyDescent="0.25">
      <c r="I718" s="37"/>
      <c r="J718" s="35"/>
    </row>
    <row r="719" spans="9:10" x14ac:dyDescent="0.25">
      <c r="I719" s="37"/>
      <c r="J719" s="35"/>
    </row>
    <row r="720" spans="9:10" x14ac:dyDescent="0.25">
      <c r="I720" s="37"/>
      <c r="J720" s="35"/>
    </row>
    <row r="721" spans="9:10" x14ac:dyDescent="0.25">
      <c r="I721" s="37"/>
      <c r="J721" s="35"/>
    </row>
    <row r="722" spans="9:10" x14ac:dyDescent="0.25">
      <c r="I722" s="37"/>
      <c r="J722" s="35"/>
    </row>
    <row r="723" spans="9:10" x14ac:dyDescent="0.25">
      <c r="I723" s="37"/>
      <c r="J723" s="35"/>
    </row>
    <row r="724" spans="9:10" x14ac:dyDescent="0.25">
      <c r="I724" s="37"/>
      <c r="J724" s="35"/>
    </row>
    <row r="725" spans="9:10" x14ac:dyDescent="0.25">
      <c r="I725" s="37"/>
      <c r="J725" s="35"/>
    </row>
    <row r="726" spans="9:10" x14ac:dyDescent="0.25">
      <c r="I726" s="37"/>
      <c r="J726" s="35"/>
    </row>
    <row r="727" spans="9:10" x14ac:dyDescent="0.25">
      <c r="I727" s="37"/>
      <c r="J727" s="35"/>
    </row>
    <row r="728" spans="9:10" x14ac:dyDescent="0.25">
      <c r="I728" s="37"/>
      <c r="J728" s="35"/>
    </row>
    <row r="729" spans="9:10" x14ac:dyDescent="0.25">
      <c r="I729" s="37"/>
      <c r="J729" s="35"/>
    </row>
    <row r="730" spans="9:10" x14ac:dyDescent="0.25">
      <c r="I730" s="37"/>
      <c r="J730" s="35"/>
    </row>
    <row r="731" spans="9:10" x14ac:dyDescent="0.25">
      <c r="I731" s="37"/>
      <c r="J731" s="35"/>
    </row>
    <row r="732" spans="9:10" x14ac:dyDescent="0.25">
      <c r="I732" s="37"/>
      <c r="J732" s="35"/>
    </row>
    <row r="733" spans="9:10" x14ac:dyDescent="0.25">
      <c r="I733" s="37"/>
      <c r="J733" s="35"/>
    </row>
    <row r="734" spans="9:10" x14ac:dyDescent="0.25">
      <c r="I734" s="37"/>
      <c r="J734" s="35"/>
    </row>
    <row r="735" spans="9:10" x14ac:dyDescent="0.25">
      <c r="I735" s="37"/>
      <c r="J735" s="35"/>
    </row>
    <row r="736" spans="9:10" x14ac:dyDescent="0.25">
      <c r="I736" s="37"/>
      <c r="J736" s="35"/>
    </row>
    <row r="737" spans="9:10" x14ac:dyDescent="0.25">
      <c r="I737" s="37"/>
      <c r="J737" s="35"/>
    </row>
    <row r="738" spans="9:10" x14ac:dyDescent="0.25">
      <c r="I738" s="37"/>
      <c r="J738" s="35"/>
    </row>
    <row r="739" spans="9:10" x14ac:dyDescent="0.25">
      <c r="I739" s="37"/>
      <c r="J739" s="35"/>
    </row>
    <row r="740" spans="9:10" x14ac:dyDescent="0.25">
      <c r="I740" s="37"/>
      <c r="J740" s="35"/>
    </row>
    <row r="741" spans="9:10" x14ac:dyDescent="0.25">
      <c r="I741" s="37"/>
      <c r="J741" s="35"/>
    </row>
    <row r="742" spans="9:10" x14ac:dyDescent="0.25">
      <c r="I742" s="37"/>
      <c r="J742" s="35"/>
    </row>
    <row r="743" spans="9:10" x14ac:dyDescent="0.25">
      <c r="I743" s="37"/>
      <c r="J743" s="35"/>
    </row>
    <row r="744" spans="9:10" x14ac:dyDescent="0.25">
      <c r="I744" s="37"/>
      <c r="J744" s="35"/>
    </row>
    <row r="745" spans="9:10" x14ac:dyDescent="0.25">
      <c r="I745" s="37"/>
      <c r="J745" s="35"/>
    </row>
    <row r="746" spans="9:10" x14ac:dyDescent="0.25">
      <c r="I746" s="37"/>
      <c r="J746" s="35"/>
    </row>
    <row r="747" spans="9:10" x14ac:dyDescent="0.25">
      <c r="I747" s="37"/>
      <c r="J747" s="35"/>
    </row>
    <row r="748" spans="9:10" x14ac:dyDescent="0.25">
      <c r="I748" s="37"/>
      <c r="J748" s="35"/>
    </row>
    <row r="749" spans="9:10" x14ac:dyDescent="0.25">
      <c r="I749" s="37"/>
      <c r="J749" s="35"/>
    </row>
    <row r="750" spans="9:10" x14ac:dyDescent="0.25">
      <c r="I750" s="37"/>
      <c r="J750" s="35"/>
    </row>
    <row r="751" spans="9:10" x14ac:dyDescent="0.25">
      <c r="I751" s="37"/>
      <c r="J751" s="35"/>
    </row>
    <row r="752" spans="9:10" x14ac:dyDescent="0.25">
      <c r="I752" s="37"/>
      <c r="J752" s="35"/>
    </row>
    <row r="753" spans="9:10" x14ac:dyDescent="0.25">
      <c r="I753" s="37"/>
      <c r="J753" s="35"/>
    </row>
    <row r="754" spans="9:10" x14ac:dyDescent="0.25">
      <c r="I754" s="37"/>
      <c r="J754" s="35"/>
    </row>
    <row r="755" spans="9:10" x14ac:dyDescent="0.25">
      <c r="I755" s="37"/>
      <c r="J755" s="35"/>
    </row>
    <row r="756" spans="9:10" x14ac:dyDescent="0.25">
      <c r="I756" s="37"/>
      <c r="J756" s="35"/>
    </row>
    <row r="757" spans="9:10" x14ac:dyDescent="0.25">
      <c r="I757" s="37"/>
      <c r="J757" s="35"/>
    </row>
    <row r="758" spans="9:10" x14ac:dyDescent="0.25">
      <c r="I758" s="37"/>
      <c r="J758" s="35"/>
    </row>
    <row r="759" spans="9:10" x14ac:dyDescent="0.25">
      <c r="I759" s="37"/>
      <c r="J759" s="35"/>
    </row>
    <row r="760" spans="9:10" x14ac:dyDescent="0.25">
      <c r="I760" s="37"/>
      <c r="J760" s="35"/>
    </row>
    <row r="761" spans="9:10" x14ac:dyDescent="0.25">
      <c r="I761" s="37"/>
      <c r="J761" s="35"/>
    </row>
    <row r="762" spans="9:10" x14ac:dyDescent="0.25">
      <c r="I762" s="37"/>
      <c r="J762" s="35"/>
    </row>
    <row r="763" spans="9:10" x14ac:dyDescent="0.25">
      <c r="I763" s="37"/>
      <c r="J763" s="35"/>
    </row>
    <row r="764" spans="9:10" x14ac:dyDescent="0.25">
      <c r="I764" s="37"/>
      <c r="J764" s="35"/>
    </row>
    <row r="765" spans="9:10" x14ac:dyDescent="0.25">
      <c r="I765" s="37"/>
      <c r="J765" s="35"/>
    </row>
    <row r="766" spans="9:10" x14ac:dyDescent="0.25">
      <c r="I766" s="37"/>
      <c r="J766" s="35"/>
    </row>
    <row r="767" spans="9:10" x14ac:dyDescent="0.25">
      <c r="I767" s="37"/>
      <c r="J767" s="35"/>
    </row>
    <row r="768" spans="9:10" x14ac:dyDescent="0.25">
      <c r="I768" s="37"/>
      <c r="J768" s="35"/>
    </row>
    <row r="769" spans="9:10" x14ac:dyDescent="0.25">
      <c r="I769" s="37"/>
      <c r="J769" s="35"/>
    </row>
    <row r="770" spans="9:10" x14ac:dyDescent="0.25">
      <c r="I770" s="37"/>
      <c r="J770" s="35"/>
    </row>
    <row r="771" spans="9:10" x14ac:dyDescent="0.25">
      <c r="I771" s="37"/>
      <c r="J771" s="35"/>
    </row>
    <row r="772" spans="9:10" x14ac:dyDescent="0.25">
      <c r="I772" s="37"/>
      <c r="J772" s="35"/>
    </row>
    <row r="773" spans="9:10" x14ac:dyDescent="0.25">
      <c r="I773" s="37"/>
      <c r="J773" s="35"/>
    </row>
    <row r="774" spans="9:10" x14ac:dyDescent="0.25">
      <c r="I774" s="37"/>
      <c r="J774" s="35"/>
    </row>
    <row r="775" spans="9:10" x14ac:dyDescent="0.25">
      <c r="I775" s="37"/>
      <c r="J775" s="35"/>
    </row>
    <row r="776" spans="9:10" x14ac:dyDescent="0.25">
      <c r="I776" s="37"/>
      <c r="J776" s="35"/>
    </row>
    <row r="777" spans="9:10" x14ac:dyDescent="0.25">
      <c r="I777" s="37"/>
      <c r="J777" s="35"/>
    </row>
    <row r="778" spans="9:10" x14ac:dyDescent="0.25">
      <c r="I778" s="37"/>
      <c r="J778" s="35"/>
    </row>
    <row r="779" spans="9:10" x14ac:dyDescent="0.25">
      <c r="I779" s="37"/>
      <c r="J779" s="35"/>
    </row>
    <row r="780" spans="9:10" x14ac:dyDescent="0.25">
      <c r="I780" s="37"/>
      <c r="J780" s="35"/>
    </row>
    <row r="781" spans="9:10" x14ac:dyDescent="0.25">
      <c r="I781" s="37"/>
      <c r="J781" s="35"/>
    </row>
    <row r="782" spans="9:10" x14ac:dyDescent="0.25">
      <c r="I782" s="37"/>
      <c r="J782" s="35"/>
    </row>
    <row r="783" spans="9:10" x14ac:dyDescent="0.25">
      <c r="I783" s="37"/>
      <c r="J783" s="35"/>
    </row>
    <row r="784" spans="9:10" x14ac:dyDescent="0.25">
      <c r="I784" s="37"/>
      <c r="J784" s="35"/>
    </row>
    <row r="785" spans="9:10" x14ac:dyDescent="0.25">
      <c r="I785" s="37"/>
      <c r="J785" s="35"/>
    </row>
    <row r="786" spans="9:10" x14ac:dyDescent="0.25">
      <c r="I786" s="37"/>
      <c r="J786" s="35"/>
    </row>
    <row r="787" spans="9:10" x14ac:dyDescent="0.25">
      <c r="I787" s="37"/>
      <c r="J787" s="35"/>
    </row>
    <row r="788" spans="9:10" x14ac:dyDescent="0.25">
      <c r="I788" s="37"/>
      <c r="J788" s="35"/>
    </row>
    <row r="789" spans="9:10" x14ac:dyDescent="0.25">
      <c r="I789" s="37"/>
      <c r="J789" s="35"/>
    </row>
    <row r="790" spans="9:10" x14ac:dyDescent="0.25">
      <c r="I790" s="37"/>
      <c r="J790" s="35"/>
    </row>
    <row r="791" spans="9:10" x14ac:dyDescent="0.25">
      <c r="I791" s="37"/>
      <c r="J791" s="35"/>
    </row>
    <row r="792" spans="9:10" x14ac:dyDescent="0.25">
      <c r="I792" s="37"/>
      <c r="J792" s="35"/>
    </row>
    <row r="793" spans="9:10" x14ac:dyDescent="0.25">
      <c r="I793" s="37"/>
      <c r="J793" s="35"/>
    </row>
    <row r="794" spans="9:10" x14ac:dyDescent="0.25">
      <c r="I794" s="37"/>
      <c r="J794" s="35"/>
    </row>
    <row r="795" spans="9:10" x14ac:dyDescent="0.25">
      <c r="I795" s="37"/>
      <c r="J795" s="35"/>
    </row>
    <row r="796" spans="9:10" x14ac:dyDescent="0.25">
      <c r="I796" s="37"/>
      <c r="J796" s="35"/>
    </row>
    <row r="797" spans="9:10" x14ac:dyDescent="0.25">
      <c r="I797" s="37"/>
      <c r="J797" s="35"/>
    </row>
    <row r="798" spans="9:10" x14ac:dyDescent="0.25">
      <c r="I798" s="37"/>
      <c r="J798" s="35"/>
    </row>
    <row r="799" spans="9:10" x14ac:dyDescent="0.25">
      <c r="I799" s="37"/>
      <c r="J799" s="35"/>
    </row>
    <row r="800" spans="9:10" x14ac:dyDescent="0.25">
      <c r="I800" s="37"/>
      <c r="J800" s="35"/>
    </row>
    <row r="801" spans="9:10" x14ac:dyDescent="0.25">
      <c r="I801" s="37"/>
      <c r="J801" s="35"/>
    </row>
    <row r="802" spans="9:10" x14ac:dyDescent="0.25">
      <c r="I802" s="37"/>
      <c r="J802" s="35"/>
    </row>
    <row r="803" spans="9:10" x14ac:dyDescent="0.25">
      <c r="I803" s="37"/>
      <c r="J803" s="35"/>
    </row>
    <row r="804" spans="9:10" x14ac:dyDescent="0.25">
      <c r="I804" s="37"/>
      <c r="J804" s="35"/>
    </row>
    <row r="805" spans="9:10" x14ac:dyDescent="0.25">
      <c r="I805" s="37"/>
      <c r="J805" s="35"/>
    </row>
    <row r="806" spans="9:10" x14ac:dyDescent="0.25">
      <c r="I806" s="37"/>
      <c r="J806" s="35"/>
    </row>
    <row r="807" spans="9:10" x14ac:dyDescent="0.25">
      <c r="I807" s="37"/>
      <c r="J807" s="35"/>
    </row>
    <row r="808" spans="9:10" x14ac:dyDescent="0.25">
      <c r="I808" s="37"/>
      <c r="J808" s="35"/>
    </row>
    <row r="809" spans="9:10" x14ac:dyDescent="0.25">
      <c r="I809" s="37"/>
      <c r="J809" s="35"/>
    </row>
    <row r="810" spans="9:10" x14ac:dyDescent="0.25">
      <c r="I810" s="37"/>
      <c r="J810" s="35"/>
    </row>
    <row r="811" spans="9:10" x14ac:dyDescent="0.25">
      <c r="I811" s="37"/>
      <c r="J811" s="35"/>
    </row>
    <row r="812" spans="9:10" x14ac:dyDescent="0.25">
      <c r="I812" s="37"/>
      <c r="J812" s="35"/>
    </row>
    <row r="813" spans="9:10" x14ac:dyDescent="0.25">
      <c r="I813" s="37"/>
      <c r="J813" s="35"/>
    </row>
    <row r="814" spans="9:10" x14ac:dyDescent="0.25">
      <c r="I814" s="37"/>
      <c r="J814" s="35"/>
    </row>
    <row r="815" spans="9:10" x14ac:dyDescent="0.25">
      <c r="I815" s="37"/>
      <c r="J815" s="35"/>
    </row>
    <row r="816" spans="9:10" x14ac:dyDescent="0.25">
      <c r="I816" s="37"/>
      <c r="J816" s="35"/>
    </row>
    <row r="817" spans="9:10" x14ac:dyDescent="0.25">
      <c r="I817" s="37"/>
      <c r="J817" s="35"/>
    </row>
    <row r="818" spans="9:10" x14ac:dyDescent="0.25">
      <c r="I818" s="37"/>
      <c r="J818" s="35"/>
    </row>
    <row r="819" spans="9:10" x14ac:dyDescent="0.25">
      <c r="I819" s="37"/>
      <c r="J819" s="35"/>
    </row>
    <row r="820" spans="9:10" x14ac:dyDescent="0.25">
      <c r="I820" s="37"/>
      <c r="J820" s="35"/>
    </row>
    <row r="821" spans="9:10" x14ac:dyDescent="0.25">
      <c r="I821" s="37"/>
      <c r="J821" s="35"/>
    </row>
    <row r="822" spans="9:10" x14ac:dyDescent="0.25">
      <c r="I822" s="37"/>
      <c r="J822" s="35"/>
    </row>
    <row r="823" spans="9:10" x14ac:dyDescent="0.25">
      <c r="I823" s="37"/>
      <c r="J823" s="35"/>
    </row>
    <row r="824" spans="9:10" x14ac:dyDescent="0.25">
      <c r="I824" s="37"/>
      <c r="J824" s="35"/>
    </row>
    <row r="825" spans="9:10" x14ac:dyDescent="0.25">
      <c r="I825" s="37"/>
      <c r="J825" s="35"/>
    </row>
    <row r="826" spans="9:10" x14ac:dyDescent="0.25">
      <c r="I826" s="37"/>
      <c r="J826" s="35"/>
    </row>
    <row r="827" spans="9:10" x14ac:dyDescent="0.25">
      <c r="I827" s="37"/>
      <c r="J827" s="35"/>
    </row>
    <row r="828" spans="9:10" x14ac:dyDescent="0.25">
      <c r="I828" s="37"/>
      <c r="J828" s="35"/>
    </row>
    <row r="829" spans="9:10" x14ac:dyDescent="0.25">
      <c r="I829" s="37"/>
      <c r="J829" s="35"/>
    </row>
    <row r="830" spans="9:10" x14ac:dyDescent="0.25">
      <c r="I830" s="37"/>
      <c r="J830" s="35"/>
    </row>
    <row r="831" spans="9:10" x14ac:dyDescent="0.25">
      <c r="I831" s="37"/>
      <c r="J831" s="35"/>
    </row>
    <row r="832" spans="9:10" x14ac:dyDescent="0.25">
      <c r="I832" s="37"/>
      <c r="J832" s="35"/>
    </row>
    <row r="833" spans="9:10" x14ac:dyDescent="0.25">
      <c r="I833" s="37"/>
      <c r="J833" s="35"/>
    </row>
    <row r="834" spans="9:10" x14ac:dyDescent="0.25">
      <c r="I834" s="37"/>
      <c r="J834" s="35"/>
    </row>
    <row r="835" spans="9:10" x14ac:dyDescent="0.25">
      <c r="I835" s="37"/>
      <c r="J835" s="35"/>
    </row>
    <row r="836" spans="9:10" x14ac:dyDescent="0.25">
      <c r="I836" s="37"/>
      <c r="J836" s="35"/>
    </row>
    <row r="837" spans="9:10" x14ac:dyDescent="0.25">
      <c r="I837" s="37"/>
      <c r="J837" s="35"/>
    </row>
    <row r="838" spans="9:10" x14ac:dyDescent="0.25">
      <c r="I838" s="37"/>
      <c r="J838" s="35"/>
    </row>
    <row r="839" spans="9:10" x14ac:dyDescent="0.25">
      <c r="I839" s="37"/>
      <c r="J839" s="35"/>
    </row>
    <row r="840" spans="9:10" x14ac:dyDescent="0.25">
      <c r="I840" s="37"/>
      <c r="J840" s="35"/>
    </row>
    <row r="841" spans="9:10" x14ac:dyDescent="0.25">
      <c r="I841" s="37"/>
      <c r="J841" s="35"/>
    </row>
    <row r="842" spans="9:10" x14ac:dyDescent="0.25">
      <c r="I842" s="37"/>
      <c r="J842" s="35"/>
    </row>
    <row r="843" spans="9:10" x14ac:dyDescent="0.25">
      <c r="I843" s="37"/>
      <c r="J843" s="35"/>
    </row>
    <row r="844" spans="9:10" x14ac:dyDescent="0.25">
      <c r="I844" s="37"/>
      <c r="J844" s="35"/>
    </row>
    <row r="845" spans="9:10" x14ac:dyDescent="0.25">
      <c r="I845" s="37"/>
      <c r="J845" s="35"/>
    </row>
    <row r="846" spans="9:10" x14ac:dyDescent="0.25">
      <c r="I846" s="37"/>
      <c r="J846" s="35"/>
    </row>
    <row r="847" spans="9:10" x14ac:dyDescent="0.25">
      <c r="I847" s="37"/>
      <c r="J847" s="35"/>
    </row>
    <row r="848" spans="9:10" x14ac:dyDescent="0.25">
      <c r="I848" s="37"/>
      <c r="J848" s="35"/>
    </row>
    <row r="849" spans="9:10" x14ac:dyDescent="0.25">
      <c r="I849" s="37"/>
      <c r="J849" s="35"/>
    </row>
    <row r="850" spans="9:10" x14ac:dyDescent="0.25">
      <c r="I850" s="37"/>
      <c r="J850" s="35"/>
    </row>
    <row r="851" spans="9:10" x14ac:dyDescent="0.25">
      <c r="I851" s="37"/>
      <c r="J851" s="35"/>
    </row>
    <row r="852" spans="9:10" x14ac:dyDescent="0.25">
      <c r="I852" s="37"/>
      <c r="J852" s="35"/>
    </row>
    <row r="853" spans="9:10" x14ac:dyDescent="0.25">
      <c r="I853" s="37"/>
      <c r="J853" s="35"/>
    </row>
    <row r="854" spans="9:10" x14ac:dyDescent="0.25">
      <c r="I854" s="37"/>
      <c r="J854" s="35"/>
    </row>
    <row r="855" spans="9:10" x14ac:dyDescent="0.25">
      <c r="I855" s="37"/>
      <c r="J855" s="35"/>
    </row>
    <row r="856" spans="9:10" x14ac:dyDescent="0.25">
      <c r="I856" s="37"/>
      <c r="J856" s="35"/>
    </row>
    <row r="857" spans="9:10" x14ac:dyDescent="0.25">
      <c r="I857" s="37"/>
      <c r="J857" s="35"/>
    </row>
    <row r="858" spans="9:10" x14ac:dyDescent="0.25">
      <c r="I858" s="37"/>
      <c r="J858" s="35"/>
    </row>
    <row r="859" spans="9:10" x14ac:dyDescent="0.25">
      <c r="I859" s="37"/>
      <c r="J859" s="35"/>
    </row>
    <row r="860" spans="9:10" x14ac:dyDescent="0.25">
      <c r="I860" s="37"/>
      <c r="J860" s="35"/>
    </row>
    <row r="861" spans="9:10" x14ac:dyDescent="0.25">
      <c r="I861" s="37"/>
      <c r="J861" s="35"/>
    </row>
    <row r="862" spans="9:10" x14ac:dyDescent="0.25">
      <c r="I862" s="37"/>
      <c r="J862" s="35"/>
    </row>
    <row r="863" spans="9:10" x14ac:dyDescent="0.25">
      <c r="I863" s="37"/>
      <c r="J863" s="35"/>
    </row>
    <row r="864" spans="9:10" x14ac:dyDescent="0.25">
      <c r="I864" s="37"/>
      <c r="J864" s="35"/>
    </row>
    <row r="865" spans="9:10" x14ac:dyDescent="0.25">
      <c r="I865" s="37"/>
      <c r="J865" s="35"/>
    </row>
    <row r="866" spans="9:10" x14ac:dyDescent="0.25">
      <c r="I866" s="37"/>
      <c r="J866" s="35"/>
    </row>
    <row r="867" spans="9:10" x14ac:dyDescent="0.25">
      <c r="I867" s="37"/>
      <c r="J867" s="35"/>
    </row>
    <row r="868" spans="9:10" x14ac:dyDescent="0.25">
      <c r="I868" s="37"/>
      <c r="J868" s="35"/>
    </row>
    <row r="869" spans="9:10" x14ac:dyDescent="0.25">
      <c r="I869" s="37"/>
      <c r="J869" s="35"/>
    </row>
    <row r="870" spans="9:10" x14ac:dyDescent="0.25">
      <c r="I870" s="37"/>
      <c r="J870" s="35"/>
    </row>
    <row r="871" spans="9:10" x14ac:dyDescent="0.25">
      <c r="I871" s="37"/>
      <c r="J871" s="35"/>
    </row>
    <row r="872" spans="9:10" x14ac:dyDescent="0.25">
      <c r="I872" s="37"/>
      <c r="J872" s="35"/>
    </row>
    <row r="873" spans="9:10" x14ac:dyDescent="0.25">
      <c r="I873" s="37"/>
      <c r="J873" s="35"/>
    </row>
    <row r="874" spans="9:10" x14ac:dyDescent="0.25">
      <c r="I874" s="37"/>
      <c r="J874" s="35"/>
    </row>
    <row r="875" spans="9:10" x14ac:dyDescent="0.25">
      <c r="I875" s="37"/>
      <c r="J875" s="35"/>
    </row>
    <row r="876" spans="9:10" x14ac:dyDescent="0.25">
      <c r="I876" s="37"/>
      <c r="J876" s="35"/>
    </row>
    <row r="877" spans="9:10" x14ac:dyDescent="0.25">
      <c r="I877" s="37"/>
      <c r="J877" s="35"/>
    </row>
    <row r="878" spans="9:10" x14ac:dyDescent="0.25">
      <c r="I878" s="37"/>
      <c r="J878" s="35"/>
    </row>
    <row r="879" spans="9:10" x14ac:dyDescent="0.25">
      <c r="I879" s="37"/>
      <c r="J879" s="35"/>
    </row>
    <row r="880" spans="9:10" x14ac:dyDescent="0.25">
      <c r="I880" s="37"/>
      <c r="J880" s="35"/>
    </row>
    <row r="881" spans="9:10" x14ac:dyDescent="0.25">
      <c r="I881" s="37"/>
      <c r="J881" s="35"/>
    </row>
    <row r="882" spans="9:10" x14ac:dyDescent="0.25">
      <c r="I882" s="37"/>
      <c r="J882" s="35"/>
    </row>
    <row r="883" spans="9:10" x14ac:dyDescent="0.25">
      <c r="I883" s="37"/>
      <c r="J883" s="35"/>
    </row>
    <row r="884" spans="9:10" x14ac:dyDescent="0.25">
      <c r="I884" s="37"/>
      <c r="J884" s="35"/>
    </row>
    <row r="885" spans="9:10" x14ac:dyDescent="0.25">
      <c r="I885" s="37"/>
      <c r="J885" s="35"/>
    </row>
    <row r="886" spans="9:10" x14ac:dyDescent="0.25">
      <c r="I886" s="37"/>
      <c r="J886" s="35"/>
    </row>
    <row r="887" spans="9:10" x14ac:dyDescent="0.25">
      <c r="I887" s="37"/>
      <c r="J887" s="35"/>
    </row>
    <row r="888" spans="9:10" x14ac:dyDescent="0.25">
      <c r="I888" s="37"/>
      <c r="J888" s="35"/>
    </row>
    <row r="889" spans="9:10" x14ac:dyDescent="0.25">
      <c r="I889" s="37"/>
      <c r="J889" s="35"/>
    </row>
    <row r="890" spans="9:10" x14ac:dyDescent="0.25">
      <c r="I890" s="37"/>
      <c r="J890" s="35"/>
    </row>
    <row r="891" spans="9:10" x14ac:dyDescent="0.25">
      <c r="I891" s="37"/>
      <c r="J891" s="35"/>
    </row>
    <row r="892" spans="9:10" x14ac:dyDescent="0.25">
      <c r="I892" s="37"/>
      <c r="J892" s="35"/>
    </row>
    <row r="893" spans="9:10" x14ac:dyDescent="0.25">
      <c r="I893" s="37"/>
      <c r="J893" s="35"/>
    </row>
    <row r="894" spans="9:10" x14ac:dyDescent="0.25">
      <c r="I894" s="37"/>
      <c r="J894" s="35"/>
    </row>
    <row r="895" spans="9:10" x14ac:dyDescent="0.25">
      <c r="I895" s="37"/>
      <c r="J895" s="35"/>
    </row>
    <row r="896" spans="9:10" x14ac:dyDescent="0.25">
      <c r="I896" s="37"/>
      <c r="J896" s="35"/>
    </row>
    <row r="897" spans="9:10" x14ac:dyDescent="0.25">
      <c r="I897" s="37"/>
      <c r="J897" s="35"/>
    </row>
    <row r="898" spans="9:10" x14ac:dyDescent="0.25">
      <c r="I898" s="37"/>
      <c r="J898" s="35"/>
    </row>
    <row r="899" spans="9:10" x14ac:dyDescent="0.25">
      <c r="I899" s="37"/>
      <c r="J899" s="35"/>
    </row>
    <row r="900" spans="9:10" x14ac:dyDescent="0.25">
      <c r="I900" s="37"/>
      <c r="J900" s="35"/>
    </row>
    <row r="901" spans="9:10" x14ac:dyDescent="0.25">
      <c r="I901" s="37"/>
      <c r="J901" s="35"/>
    </row>
    <row r="902" spans="9:10" x14ac:dyDescent="0.25">
      <c r="I902" s="37"/>
      <c r="J902" s="35"/>
    </row>
    <row r="903" spans="9:10" x14ac:dyDescent="0.25">
      <c r="I903" s="37"/>
      <c r="J903" s="35"/>
    </row>
    <row r="904" spans="9:10" x14ac:dyDescent="0.25">
      <c r="I904" s="37"/>
      <c r="J904" s="35"/>
    </row>
    <row r="905" spans="9:10" x14ac:dyDescent="0.25">
      <c r="I905" s="37"/>
      <c r="J905" s="35"/>
    </row>
    <row r="906" spans="9:10" x14ac:dyDescent="0.25">
      <c r="I906" s="37"/>
      <c r="J906" s="35"/>
    </row>
    <row r="907" spans="9:10" x14ac:dyDescent="0.25">
      <c r="I907" s="37"/>
      <c r="J907" s="35"/>
    </row>
    <row r="908" spans="9:10" x14ac:dyDescent="0.25">
      <c r="I908" s="37"/>
      <c r="J908" s="35"/>
    </row>
    <row r="909" spans="9:10" x14ac:dyDescent="0.25">
      <c r="I909" s="37"/>
      <c r="J909" s="35"/>
    </row>
    <row r="910" spans="9:10" x14ac:dyDescent="0.25">
      <c r="I910" s="37"/>
      <c r="J910" s="35"/>
    </row>
    <row r="911" spans="9:10" x14ac:dyDescent="0.25">
      <c r="I911" s="37"/>
      <c r="J911" s="35"/>
    </row>
    <row r="912" spans="9:10" x14ac:dyDescent="0.25">
      <c r="I912" s="37"/>
      <c r="J912" s="35"/>
    </row>
    <row r="913" spans="9:10" x14ac:dyDescent="0.25">
      <c r="I913" s="37"/>
      <c r="J913" s="35"/>
    </row>
    <row r="914" spans="9:10" x14ac:dyDescent="0.25">
      <c r="I914" s="37"/>
      <c r="J914" s="35"/>
    </row>
    <row r="915" spans="9:10" x14ac:dyDescent="0.25">
      <c r="I915" s="37"/>
      <c r="J915" s="35"/>
    </row>
    <row r="916" spans="9:10" x14ac:dyDescent="0.25">
      <c r="I916" s="37"/>
      <c r="J916" s="35"/>
    </row>
    <row r="917" spans="9:10" x14ac:dyDescent="0.25">
      <c r="I917" s="37"/>
      <c r="J917" s="35"/>
    </row>
    <row r="918" spans="9:10" x14ac:dyDescent="0.25">
      <c r="I918" s="37"/>
      <c r="J918" s="35"/>
    </row>
    <row r="919" spans="9:10" x14ac:dyDescent="0.25">
      <c r="I919" s="37"/>
      <c r="J919" s="35"/>
    </row>
    <row r="920" spans="9:10" x14ac:dyDescent="0.25">
      <c r="I920" s="37"/>
      <c r="J920" s="35"/>
    </row>
    <row r="921" spans="9:10" x14ac:dyDescent="0.25">
      <c r="I921" s="37"/>
      <c r="J921" s="35"/>
    </row>
    <row r="922" spans="9:10" x14ac:dyDescent="0.25">
      <c r="I922" s="37"/>
      <c r="J922" s="35"/>
    </row>
    <row r="923" spans="9:10" x14ac:dyDescent="0.25">
      <c r="I923" s="37"/>
      <c r="J923" s="35"/>
    </row>
    <row r="924" spans="9:10" x14ac:dyDescent="0.25">
      <c r="I924" s="37"/>
      <c r="J924" s="35"/>
    </row>
    <row r="925" spans="9:10" x14ac:dyDescent="0.25">
      <c r="I925" s="37"/>
      <c r="J925" s="35"/>
    </row>
    <row r="926" spans="9:10" x14ac:dyDescent="0.25">
      <c r="I926" s="37"/>
      <c r="J926" s="35"/>
    </row>
    <row r="927" spans="9:10" x14ac:dyDescent="0.25">
      <c r="I927" s="37"/>
      <c r="J927" s="35"/>
    </row>
    <row r="928" spans="9:10" x14ac:dyDescent="0.25">
      <c r="I928" s="37"/>
      <c r="J928" s="35"/>
    </row>
    <row r="929" spans="9:10" x14ac:dyDescent="0.25">
      <c r="I929" s="37"/>
      <c r="J929" s="35"/>
    </row>
    <row r="930" spans="9:10" x14ac:dyDescent="0.25">
      <c r="I930" s="37"/>
      <c r="J930" s="35"/>
    </row>
    <row r="931" spans="9:10" x14ac:dyDescent="0.25">
      <c r="I931" s="37"/>
      <c r="J931" s="35"/>
    </row>
    <row r="932" spans="9:10" x14ac:dyDescent="0.25">
      <c r="I932" s="37"/>
      <c r="J932" s="35"/>
    </row>
    <row r="933" spans="9:10" x14ac:dyDescent="0.25">
      <c r="I933" s="37"/>
      <c r="J933" s="35"/>
    </row>
    <row r="934" spans="9:10" x14ac:dyDescent="0.25">
      <c r="I934" s="37"/>
      <c r="J934" s="35"/>
    </row>
    <row r="935" spans="9:10" x14ac:dyDescent="0.25">
      <c r="I935" s="37"/>
      <c r="J935" s="35"/>
    </row>
    <row r="936" spans="9:10" x14ac:dyDescent="0.25">
      <c r="I936" s="37"/>
      <c r="J936" s="35"/>
    </row>
    <row r="937" spans="9:10" x14ac:dyDescent="0.25">
      <c r="I937" s="37"/>
      <c r="J937" s="35"/>
    </row>
    <row r="938" spans="9:10" x14ac:dyDescent="0.25">
      <c r="I938" s="37"/>
      <c r="J938" s="35"/>
    </row>
    <row r="939" spans="9:10" x14ac:dyDescent="0.25">
      <c r="I939" s="37"/>
      <c r="J939" s="35"/>
    </row>
    <row r="940" spans="9:10" x14ac:dyDescent="0.25">
      <c r="I940" s="37"/>
      <c r="J940" s="35"/>
    </row>
    <row r="941" spans="9:10" x14ac:dyDescent="0.25">
      <c r="I941" s="37"/>
      <c r="J941" s="35"/>
    </row>
    <row r="942" spans="9:10" x14ac:dyDescent="0.25">
      <c r="I942" s="37"/>
      <c r="J942" s="35"/>
    </row>
    <row r="943" spans="9:10" x14ac:dyDescent="0.25">
      <c r="I943" s="37"/>
      <c r="J943" s="35"/>
    </row>
    <row r="944" spans="9:10" x14ac:dyDescent="0.25">
      <c r="I944" s="37"/>
      <c r="J944" s="35"/>
    </row>
    <row r="945" spans="9:10" x14ac:dyDescent="0.25">
      <c r="I945" s="37"/>
      <c r="J945" s="35"/>
    </row>
    <row r="946" spans="9:10" x14ac:dyDescent="0.25">
      <c r="I946" s="37"/>
      <c r="J946" s="35"/>
    </row>
    <row r="947" spans="9:10" x14ac:dyDescent="0.25">
      <c r="I947" s="37"/>
      <c r="J947" s="35"/>
    </row>
    <row r="948" spans="9:10" x14ac:dyDescent="0.25">
      <c r="I948" s="37"/>
      <c r="J948" s="35"/>
    </row>
    <row r="949" spans="9:10" x14ac:dyDescent="0.25">
      <c r="I949" s="37"/>
      <c r="J949" s="35"/>
    </row>
    <row r="950" spans="9:10" x14ac:dyDescent="0.25">
      <c r="I950" s="37"/>
      <c r="J950" s="35"/>
    </row>
    <row r="951" spans="9:10" x14ac:dyDescent="0.25">
      <c r="I951" s="37"/>
      <c r="J951" s="35"/>
    </row>
    <row r="952" spans="9:10" x14ac:dyDescent="0.25">
      <c r="I952" s="37"/>
      <c r="J952" s="35"/>
    </row>
    <row r="953" spans="9:10" x14ac:dyDescent="0.25">
      <c r="I953" s="37"/>
      <c r="J953" s="35"/>
    </row>
    <row r="954" spans="9:10" x14ac:dyDescent="0.25">
      <c r="I954" s="37"/>
      <c r="J954" s="35"/>
    </row>
    <row r="955" spans="9:10" x14ac:dyDescent="0.25">
      <c r="I955" s="37"/>
      <c r="J955" s="35"/>
    </row>
    <row r="956" spans="9:10" x14ac:dyDescent="0.25">
      <c r="I956" s="37"/>
      <c r="J956" s="35"/>
    </row>
    <row r="957" spans="9:10" x14ac:dyDescent="0.25">
      <c r="I957" s="37"/>
      <c r="J957" s="35"/>
    </row>
    <row r="958" spans="9:10" x14ac:dyDescent="0.25">
      <c r="I958" s="37"/>
      <c r="J958" s="35"/>
    </row>
    <row r="959" spans="9:10" x14ac:dyDescent="0.25">
      <c r="I959" s="37"/>
      <c r="J959" s="35"/>
    </row>
    <row r="960" spans="9:10" x14ac:dyDescent="0.25">
      <c r="I960" s="37"/>
      <c r="J960" s="35"/>
    </row>
    <row r="961" spans="9:10" x14ac:dyDescent="0.25">
      <c r="I961" s="37"/>
      <c r="J961" s="35"/>
    </row>
    <row r="962" spans="9:10" x14ac:dyDescent="0.25">
      <c r="I962" s="37"/>
      <c r="J962" s="35"/>
    </row>
    <row r="963" spans="9:10" x14ac:dyDescent="0.25">
      <c r="I963" s="37"/>
      <c r="J963" s="35"/>
    </row>
    <row r="964" spans="9:10" x14ac:dyDescent="0.25">
      <c r="I964" s="37"/>
      <c r="J964" s="35"/>
    </row>
    <row r="965" spans="9:10" x14ac:dyDescent="0.25">
      <c r="I965" s="37"/>
      <c r="J965" s="35"/>
    </row>
    <row r="966" spans="9:10" x14ac:dyDescent="0.25">
      <c r="I966" s="37"/>
      <c r="J966" s="35"/>
    </row>
    <row r="967" spans="9:10" x14ac:dyDescent="0.25">
      <c r="I967" s="37"/>
      <c r="J967" s="35"/>
    </row>
    <row r="968" spans="9:10" x14ac:dyDescent="0.25">
      <c r="I968" s="37"/>
      <c r="J968" s="35"/>
    </row>
    <row r="969" spans="9:10" x14ac:dyDescent="0.25">
      <c r="I969" s="37"/>
      <c r="J969" s="35"/>
    </row>
    <row r="970" spans="9:10" x14ac:dyDescent="0.25">
      <c r="I970" s="37"/>
      <c r="J970" s="35"/>
    </row>
    <row r="971" spans="9:10" x14ac:dyDescent="0.25">
      <c r="I971" s="37"/>
      <c r="J971" s="35"/>
    </row>
    <row r="972" spans="9:10" x14ac:dyDescent="0.25">
      <c r="I972" s="37"/>
      <c r="J972" s="35"/>
    </row>
    <row r="973" spans="9:10" x14ac:dyDescent="0.25">
      <c r="I973" s="37"/>
      <c r="J973" s="35"/>
    </row>
    <row r="974" spans="9:10" x14ac:dyDescent="0.25">
      <c r="I974" s="37"/>
      <c r="J974" s="35"/>
    </row>
    <row r="975" spans="9:10" x14ac:dyDescent="0.25">
      <c r="I975" s="37"/>
      <c r="J975" s="35"/>
    </row>
    <row r="976" spans="9:10" x14ac:dyDescent="0.25">
      <c r="I976" s="37"/>
      <c r="J976" s="35"/>
    </row>
    <row r="977" spans="9:10" x14ac:dyDescent="0.25">
      <c r="I977" s="37"/>
      <c r="J977" s="35"/>
    </row>
    <row r="978" spans="9:10" x14ac:dyDescent="0.25">
      <c r="I978" s="37"/>
      <c r="J978" s="35"/>
    </row>
    <row r="979" spans="9:10" x14ac:dyDescent="0.25">
      <c r="I979" s="37"/>
      <c r="J979" s="35"/>
    </row>
    <row r="980" spans="9:10" x14ac:dyDescent="0.25">
      <c r="I980" s="37"/>
      <c r="J980" s="35"/>
    </row>
    <row r="981" spans="9:10" x14ac:dyDescent="0.25">
      <c r="I981" s="37"/>
      <c r="J981" s="35"/>
    </row>
    <row r="982" spans="9:10" x14ac:dyDescent="0.25">
      <c r="I982" s="37"/>
      <c r="J982" s="35"/>
    </row>
    <row r="983" spans="9:10" x14ac:dyDescent="0.25">
      <c r="I983" s="37"/>
      <c r="J983" s="35"/>
    </row>
    <row r="984" spans="9:10" x14ac:dyDescent="0.25">
      <c r="I984" s="37"/>
      <c r="J984" s="35"/>
    </row>
    <row r="985" spans="9:10" x14ac:dyDescent="0.25">
      <c r="I985" s="37"/>
      <c r="J985" s="35"/>
    </row>
    <row r="986" spans="9:10" x14ac:dyDescent="0.25">
      <c r="I986" s="37"/>
      <c r="J986" s="35"/>
    </row>
    <row r="987" spans="9:10" x14ac:dyDescent="0.25">
      <c r="I987" s="37"/>
      <c r="J987" s="35"/>
    </row>
    <row r="988" spans="9:10" x14ac:dyDescent="0.25">
      <c r="I988" s="37"/>
      <c r="J988" s="35"/>
    </row>
    <row r="989" spans="9:10" x14ac:dyDescent="0.25">
      <c r="I989" s="37"/>
      <c r="J989" s="35"/>
    </row>
    <row r="990" spans="9:10" x14ac:dyDescent="0.25">
      <c r="I990" s="37"/>
      <c r="J990" s="35"/>
    </row>
    <row r="991" spans="9:10" x14ac:dyDescent="0.25">
      <c r="I991" s="37"/>
      <c r="J991" s="35"/>
    </row>
    <row r="992" spans="9:10" x14ac:dyDescent="0.25">
      <c r="I992" s="37"/>
      <c r="J992" s="35"/>
    </row>
    <row r="993" spans="9:10" x14ac:dyDescent="0.25">
      <c r="I993" s="37"/>
      <c r="J993" s="35"/>
    </row>
    <row r="994" spans="9:10" x14ac:dyDescent="0.25">
      <c r="I994" s="37"/>
      <c r="J994" s="35"/>
    </row>
    <row r="995" spans="9:10" x14ac:dyDescent="0.25">
      <c r="I995" s="37"/>
      <c r="J995" s="35"/>
    </row>
    <row r="996" spans="9:10" x14ac:dyDescent="0.25">
      <c r="I996" s="37"/>
      <c r="J996" s="35"/>
    </row>
    <row r="997" spans="9:10" x14ac:dyDescent="0.25">
      <c r="I997" s="37"/>
      <c r="J997" s="35"/>
    </row>
    <row r="998" spans="9:10" x14ac:dyDescent="0.25">
      <c r="I998" s="37"/>
      <c r="J998" s="35"/>
    </row>
    <row r="999" spans="9:10" x14ac:dyDescent="0.25">
      <c r="I999" s="37"/>
      <c r="J999" s="35"/>
    </row>
    <row r="1000" spans="9:10" x14ac:dyDescent="0.25">
      <c r="I1000" s="37"/>
      <c r="J1000" s="35"/>
    </row>
    <row r="1001" spans="9:10" x14ac:dyDescent="0.25">
      <c r="I1001" s="37"/>
      <c r="J1001" s="35"/>
    </row>
    <row r="1002" spans="9:10" x14ac:dyDescent="0.25">
      <c r="I1002" s="37"/>
      <c r="J1002" s="35"/>
    </row>
    <row r="1003" spans="9:10" x14ac:dyDescent="0.25">
      <c r="I1003" s="37"/>
      <c r="J1003" s="35"/>
    </row>
    <row r="1004" spans="9:10" x14ac:dyDescent="0.25">
      <c r="I1004" s="37"/>
      <c r="J1004" s="35"/>
    </row>
    <row r="1005" spans="9:10" x14ac:dyDescent="0.25">
      <c r="I1005" s="37"/>
      <c r="J1005" s="35"/>
    </row>
    <row r="1006" spans="9:10" x14ac:dyDescent="0.25">
      <c r="I1006" s="37"/>
      <c r="J1006" s="35"/>
    </row>
    <row r="1007" spans="9:10" x14ac:dyDescent="0.25">
      <c r="I1007" s="37"/>
      <c r="J1007" s="35"/>
    </row>
    <row r="1008" spans="9:10" x14ac:dyDescent="0.25">
      <c r="I1008" s="37"/>
      <c r="J1008" s="35"/>
    </row>
    <row r="1009" spans="9:10" x14ac:dyDescent="0.25">
      <c r="I1009" s="37"/>
      <c r="J1009" s="35"/>
    </row>
    <row r="1010" spans="9:10" x14ac:dyDescent="0.25">
      <c r="I1010" s="37"/>
      <c r="J1010" s="35"/>
    </row>
    <row r="1011" spans="9:10" x14ac:dyDescent="0.25">
      <c r="I1011" s="37"/>
      <c r="J1011" s="35"/>
    </row>
    <row r="1012" spans="9:10" x14ac:dyDescent="0.25">
      <c r="I1012" s="37"/>
      <c r="J1012" s="35"/>
    </row>
    <row r="1013" spans="9:10" x14ac:dyDescent="0.25">
      <c r="I1013" s="37"/>
      <c r="J1013" s="35"/>
    </row>
    <row r="1014" spans="9:10" x14ac:dyDescent="0.25">
      <c r="I1014" s="37"/>
      <c r="J1014" s="35"/>
    </row>
    <row r="1015" spans="9:10" x14ac:dyDescent="0.25">
      <c r="I1015" s="37"/>
      <c r="J1015" s="35"/>
    </row>
    <row r="1016" spans="9:10" x14ac:dyDescent="0.25">
      <c r="I1016" s="37"/>
      <c r="J1016" s="35"/>
    </row>
    <row r="1017" spans="9:10" x14ac:dyDescent="0.25">
      <c r="I1017" s="37"/>
      <c r="J1017" s="35"/>
    </row>
    <row r="1018" spans="9:10" x14ac:dyDescent="0.25">
      <c r="I1018" s="37"/>
      <c r="J1018" s="35"/>
    </row>
    <row r="1019" spans="9:10" x14ac:dyDescent="0.25">
      <c r="I1019" s="37"/>
      <c r="J1019" s="35"/>
    </row>
    <row r="1020" spans="9:10" x14ac:dyDescent="0.25">
      <c r="I1020" s="37"/>
      <c r="J1020" s="35"/>
    </row>
    <row r="1021" spans="9:10" x14ac:dyDescent="0.25">
      <c r="I1021" s="37"/>
      <c r="J1021" s="35"/>
    </row>
    <row r="1022" spans="9:10" x14ac:dyDescent="0.25">
      <c r="I1022" s="37"/>
      <c r="J1022" s="35"/>
    </row>
    <row r="1023" spans="9:10" x14ac:dyDescent="0.25">
      <c r="I1023" s="37"/>
      <c r="J1023" s="35"/>
    </row>
    <row r="1024" spans="9:10" x14ac:dyDescent="0.25">
      <c r="I1024" s="37"/>
      <c r="J1024" s="35"/>
    </row>
    <row r="1025" spans="9:10" x14ac:dyDescent="0.25">
      <c r="I1025" s="37"/>
      <c r="J1025" s="35"/>
    </row>
    <row r="1026" spans="9:10" x14ac:dyDescent="0.25">
      <c r="I1026" s="37"/>
      <c r="J1026" s="35"/>
    </row>
    <row r="1027" spans="9:10" x14ac:dyDescent="0.25">
      <c r="I1027" s="37"/>
      <c r="J1027" s="35"/>
    </row>
    <row r="1028" spans="9:10" x14ac:dyDescent="0.25">
      <c r="I1028" s="37"/>
      <c r="J1028" s="35"/>
    </row>
    <row r="1029" spans="9:10" x14ac:dyDescent="0.25">
      <c r="I1029" s="37"/>
      <c r="J1029" s="35"/>
    </row>
    <row r="1030" spans="9:10" x14ac:dyDescent="0.25">
      <c r="I1030" s="37"/>
      <c r="J1030" s="35"/>
    </row>
    <row r="1031" spans="9:10" x14ac:dyDescent="0.25">
      <c r="I1031" s="37"/>
      <c r="J1031" s="35"/>
    </row>
    <row r="1032" spans="9:10" x14ac:dyDescent="0.25">
      <c r="I1032" s="37"/>
      <c r="J1032" s="35"/>
    </row>
    <row r="1033" spans="9:10" x14ac:dyDescent="0.25">
      <c r="I1033" s="37"/>
      <c r="J1033" s="35"/>
    </row>
    <row r="1034" spans="9:10" x14ac:dyDescent="0.25">
      <c r="I1034" s="37"/>
      <c r="J1034" s="35"/>
    </row>
    <row r="1035" spans="9:10" x14ac:dyDescent="0.25">
      <c r="I1035" s="37"/>
      <c r="J1035" s="35"/>
    </row>
    <row r="1036" spans="9:10" x14ac:dyDescent="0.25">
      <c r="I1036" s="37"/>
      <c r="J1036" s="35"/>
    </row>
    <row r="1037" spans="9:10" x14ac:dyDescent="0.25">
      <c r="I1037" s="37"/>
      <c r="J1037" s="35"/>
    </row>
    <row r="1038" spans="9:10" x14ac:dyDescent="0.25">
      <c r="I1038" s="37"/>
      <c r="J1038" s="35"/>
    </row>
    <row r="1039" spans="9:10" x14ac:dyDescent="0.25">
      <c r="I1039" s="37"/>
      <c r="J1039" s="35"/>
    </row>
    <row r="1040" spans="9:10" x14ac:dyDescent="0.25">
      <c r="I1040" s="37"/>
      <c r="J1040" s="35"/>
    </row>
    <row r="1041" spans="9:10" x14ac:dyDescent="0.25">
      <c r="I1041" s="37"/>
      <c r="J1041" s="35"/>
    </row>
    <row r="1042" spans="9:10" x14ac:dyDescent="0.25">
      <c r="I1042" s="37"/>
      <c r="J1042" s="35"/>
    </row>
    <row r="1043" spans="9:10" x14ac:dyDescent="0.25">
      <c r="I1043" s="37"/>
      <c r="J1043" s="35"/>
    </row>
    <row r="1044" spans="9:10" x14ac:dyDescent="0.25">
      <c r="I1044" s="37"/>
      <c r="J1044" s="35"/>
    </row>
    <row r="1045" spans="9:10" x14ac:dyDescent="0.25">
      <c r="I1045" s="37"/>
      <c r="J1045" s="35"/>
    </row>
    <row r="1046" spans="9:10" x14ac:dyDescent="0.25">
      <c r="I1046" s="37"/>
      <c r="J1046" s="35"/>
    </row>
    <row r="1047" spans="9:10" x14ac:dyDescent="0.25">
      <c r="I1047" s="37"/>
      <c r="J1047" s="35"/>
    </row>
    <row r="1048" spans="9:10" x14ac:dyDescent="0.25">
      <c r="I1048" s="37"/>
      <c r="J1048" s="35"/>
    </row>
    <row r="1049" spans="9:10" x14ac:dyDescent="0.25">
      <c r="I1049" s="37"/>
      <c r="J1049" s="35"/>
    </row>
    <row r="1050" spans="9:10" x14ac:dyDescent="0.25">
      <c r="I1050" s="37"/>
      <c r="J1050" s="35"/>
    </row>
    <row r="1051" spans="9:10" x14ac:dyDescent="0.25">
      <c r="I1051" s="37"/>
      <c r="J1051" s="35"/>
    </row>
    <row r="1052" spans="9:10" x14ac:dyDescent="0.25">
      <c r="I1052" s="37"/>
      <c r="J1052" s="35"/>
    </row>
    <row r="1053" spans="9:10" x14ac:dyDescent="0.25">
      <c r="I1053" s="37"/>
      <c r="J1053" s="35"/>
    </row>
    <row r="1054" spans="9:10" x14ac:dyDescent="0.25">
      <c r="I1054" s="37"/>
      <c r="J1054" s="35"/>
    </row>
    <row r="1055" spans="9:10" x14ac:dyDescent="0.25">
      <c r="I1055" s="37"/>
      <c r="J1055" s="35"/>
    </row>
    <row r="1056" spans="9:10" x14ac:dyDescent="0.25">
      <c r="I1056" s="37"/>
      <c r="J1056" s="35"/>
    </row>
    <row r="1057" spans="9:10" x14ac:dyDescent="0.25">
      <c r="I1057" s="37"/>
      <c r="J1057" s="35"/>
    </row>
    <row r="1058" spans="9:10" x14ac:dyDescent="0.25">
      <c r="I1058" s="37"/>
      <c r="J1058" s="35"/>
    </row>
    <row r="1059" spans="9:10" x14ac:dyDescent="0.25">
      <c r="I1059" s="37"/>
      <c r="J1059" s="35"/>
    </row>
    <row r="1060" spans="9:10" x14ac:dyDescent="0.25">
      <c r="I1060" s="37"/>
      <c r="J1060" s="35"/>
    </row>
    <row r="1061" spans="9:10" x14ac:dyDescent="0.25">
      <c r="I1061" s="37"/>
      <c r="J1061" s="35"/>
    </row>
    <row r="1062" spans="9:10" x14ac:dyDescent="0.25">
      <c r="I1062" s="37"/>
      <c r="J1062" s="35"/>
    </row>
    <row r="1063" spans="9:10" x14ac:dyDescent="0.25">
      <c r="I1063" s="37"/>
      <c r="J1063" s="35"/>
    </row>
    <row r="1064" spans="9:10" x14ac:dyDescent="0.25">
      <c r="I1064" s="37"/>
      <c r="J1064" s="35"/>
    </row>
    <row r="1065" spans="9:10" x14ac:dyDescent="0.25">
      <c r="I1065" s="37"/>
      <c r="J1065" s="35"/>
    </row>
    <row r="1066" spans="9:10" x14ac:dyDescent="0.25">
      <c r="I1066" s="37"/>
      <c r="J1066" s="35"/>
    </row>
    <row r="1067" spans="9:10" x14ac:dyDescent="0.25">
      <c r="I1067" s="37"/>
      <c r="J1067" s="35"/>
    </row>
    <row r="1068" spans="9:10" x14ac:dyDescent="0.25">
      <c r="I1068" s="37"/>
      <c r="J1068" s="35"/>
    </row>
    <row r="1069" spans="9:10" x14ac:dyDescent="0.25">
      <c r="I1069" s="37"/>
      <c r="J1069" s="35"/>
    </row>
    <row r="1070" spans="9:10" x14ac:dyDescent="0.25">
      <c r="I1070" s="37"/>
      <c r="J1070" s="35"/>
    </row>
    <row r="1071" spans="9:10" x14ac:dyDescent="0.25">
      <c r="I1071" s="37"/>
      <c r="J1071" s="35"/>
    </row>
    <row r="1072" spans="9:10" x14ac:dyDescent="0.25">
      <c r="I1072" s="37"/>
      <c r="J1072" s="35"/>
    </row>
    <row r="1073" spans="9:10" x14ac:dyDescent="0.25">
      <c r="I1073" s="37"/>
      <c r="J1073" s="35"/>
    </row>
    <row r="1074" spans="9:10" x14ac:dyDescent="0.25">
      <c r="I1074" s="37"/>
      <c r="J1074" s="35"/>
    </row>
    <row r="1075" spans="9:10" x14ac:dyDescent="0.25">
      <c r="I1075" s="37"/>
      <c r="J1075" s="35"/>
    </row>
    <row r="1076" spans="9:10" x14ac:dyDescent="0.25">
      <c r="I1076" s="37"/>
      <c r="J1076" s="35"/>
    </row>
    <row r="1077" spans="9:10" x14ac:dyDescent="0.25">
      <c r="I1077" s="37"/>
      <c r="J1077" s="35"/>
    </row>
    <row r="1078" spans="9:10" x14ac:dyDescent="0.25">
      <c r="I1078" s="37"/>
      <c r="J1078" s="35"/>
    </row>
    <row r="1079" spans="9:10" x14ac:dyDescent="0.25">
      <c r="I1079" s="37"/>
      <c r="J1079" s="35"/>
    </row>
    <row r="1080" spans="9:10" x14ac:dyDescent="0.25">
      <c r="I1080" s="37"/>
      <c r="J1080" s="35"/>
    </row>
    <row r="1081" spans="9:10" x14ac:dyDescent="0.25">
      <c r="I1081" s="37"/>
      <c r="J1081" s="35"/>
    </row>
    <row r="1082" spans="9:10" x14ac:dyDescent="0.25">
      <c r="I1082" s="37"/>
      <c r="J1082" s="35"/>
    </row>
    <row r="1083" spans="9:10" x14ac:dyDescent="0.25">
      <c r="I1083" s="37"/>
      <c r="J1083" s="35"/>
    </row>
    <row r="1084" spans="9:10" x14ac:dyDescent="0.25">
      <c r="I1084" s="37"/>
      <c r="J1084" s="35"/>
    </row>
    <row r="1085" spans="9:10" x14ac:dyDescent="0.25">
      <c r="I1085" s="37"/>
      <c r="J1085" s="35"/>
    </row>
    <row r="1086" spans="9:10" x14ac:dyDescent="0.25">
      <c r="I1086" s="37"/>
      <c r="J1086" s="35"/>
    </row>
    <row r="1087" spans="9:10" x14ac:dyDescent="0.25">
      <c r="I1087" s="37"/>
      <c r="J1087" s="35"/>
    </row>
    <row r="1088" spans="9:10" x14ac:dyDescent="0.25">
      <c r="I1088" s="37"/>
      <c r="J1088" s="35"/>
    </row>
    <row r="1089" spans="9:10" x14ac:dyDescent="0.25">
      <c r="I1089" s="37"/>
      <c r="J1089" s="35"/>
    </row>
    <row r="1090" spans="9:10" x14ac:dyDescent="0.25">
      <c r="I1090" s="37"/>
      <c r="J1090" s="35"/>
    </row>
    <row r="1091" spans="9:10" x14ac:dyDescent="0.25">
      <c r="I1091" s="37"/>
      <c r="J1091" s="35"/>
    </row>
    <row r="1092" spans="9:10" x14ac:dyDescent="0.25">
      <c r="I1092" s="37"/>
      <c r="J1092" s="35"/>
    </row>
    <row r="1093" spans="9:10" x14ac:dyDescent="0.25">
      <c r="I1093" s="37"/>
      <c r="J1093" s="35"/>
    </row>
    <row r="1094" spans="9:10" x14ac:dyDescent="0.25">
      <c r="I1094" s="37"/>
      <c r="J1094" s="35"/>
    </row>
    <row r="1095" spans="9:10" x14ac:dyDescent="0.25">
      <c r="I1095" s="37"/>
      <c r="J1095" s="35"/>
    </row>
    <row r="1096" spans="9:10" x14ac:dyDescent="0.25">
      <c r="I1096" s="37"/>
      <c r="J1096" s="35"/>
    </row>
    <row r="1097" spans="9:10" x14ac:dyDescent="0.25">
      <c r="I1097" s="37"/>
      <c r="J1097" s="35"/>
    </row>
    <row r="1098" spans="9:10" x14ac:dyDescent="0.25">
      <c r="I1098" s="37"/>
      <c r="J1098" s="35"/>
    </row>
    <row r="1099" spans="9:10" x14ac:dyDescent="0.25">
      <c r="I1099" s="37"/>
      <c r="J1099" s="35"/>
    </row>
    <row r="1100" spans="9:10" x14ac:dyDescent="0.25">
      <c r="I1100" s="37"/>
      <c r="J1100" s="35"/>
    </row>
    <row r="1101" spans="9:10" x14ac:dyDescent="0.25">
      <c r="I1101" s="37"/>
      <c r="J1101" s="35"/>
    </row>
    <row r="1102" spans="9:10" x14ac:dyDescent="0.25">
      <c r="I1102" s="37"/>
      <c r="J1102" s="35"/>
    </row>
    <row r="1103" spans="9:10" x14ac:dyDescent="0.25">
      <c r="I1103" s="37"/>
      <c r="J1103" s="35"/>
    </row>
    <row r="1104" spans="9:10" x14ac:dyDescent="0.25">
      <c r="I1104" s="37"/>
      <c r="J1104" s="35"/>
    </row>
    <row r="1105" spans="9:10" x14ac:dyDescent="0.25">
      <c r="I1105" s="37"/>
      <c r="J1105" s="35"/>
    </row>
    <row r="1106" spans="9:10" x14ac:dyDescent="0.25">
      <c r="I1106" s="37"/>
      <c r="J1106" s="35"/>
    </row>
    <row r="1107" spans="9:10" x14ac:dyDescent="0.25">
      <c r="I1107" s="37"/>
      <c r="J1107" s="35"/>
    </row>
    <row r="1108" spans="9:10" x14ac:dyDescent="0.25">
      <c r="I1108" s="37"/>
      <c r="J1108" s="35"/>
    </row>
    <row r="1109" spans="9:10" x14ac:dyDescent="0.25">
      <c r="I1109" s="37"/>
      <c r="J1109" s="35"/>
    </row>
    <row r="1110" spans="9:10" x14ac:dyDescent="0.25">
      <c r="I1110" s="37"/>
      <c r="J1110" s="35"/>
    </row>
    <row r="1111" spans="9:10" x14ac:dyDescent="0.25">
      <c r="I1111" s="37"/>
      <c r="J1111" s="35"/>
    </row>
    <row r="1112" spans="9:10" x14ac:dyDescent="0.25">
      <c r="I1112" s="37"/>
      <c r="J1112" s="35"/>
    </row>
    <row r="1113" spans="9:10" x14ac:dyDescent="0.25">
      <c r="I1113" s="37"/>
      <c r="J1113" s="35"/>
    </row>
    <row r="1114" spans="9:10" x14ac:dyDescent="0.25">
      <c r="I1114" s="37"/>
      <c r="J1114" s="35"/>
    </row>
    <row r="1115" spans="9:10" x14ac:dyDescent="0.25">
      <c r="I1115" s="37"/>
      <c r="J1115" s="35"/>
    </row>
    <row r="1116" spans="9:10" x14ac:dyDescent="0.25">
      <c r="I1116" s="37"/>
      <c r="J1116" s="35"/>
    </row>
    <row r="1117" spans="9:10" x14ac:dyDescent="0.25">
      <c r="I1117" s="37"/>
      <c r="J1117" s="35"/>
    </row>
    <row r="1118" spans="9:10" x14ac:dyDescent="0.25">
      <c r="I1118" s="37"/>
      <c r="J1118" s="35"/>
    </row>
    <row r="1119" spans="9:10" x14ac:dyDescent="0.25">
      <c r="I1119" s="37"/>
      <c r="J1119" s="35"/>
    </row>
    <row r="1120" spans="9:10" x14ac:dyDescent="0.25">
      <c r="I1120" s="37"/>
      <c r="J1120" s="35"/>
    </row>
    <row r="1121" spans="9:10" x14ac:dyDescent="0.25">
      <c r="I1121" s="37"/>
      <c r="J1121" s="35"/>
    </row>
    <row r="1122" spans="9:10" x14ac:dyDescent="0.25">
      <c r="I1122" s="37"/>
      <c r="J1122" s="35"/>
    </row>
    <row r="1123" spans="9:10" x14ac:dyDescent="0.25">
      <c r="I1123" s="37"/>
      <c r="J1123" s="35"/>
    </row>
    <row r="1124" spans="9:10" x14ac:dyDescent="0.25">
      <c r="I1124" s="37"/>
      <c r="J1124" s="35"/>
    </row>
    <row r="1125" spans="9:10" x14ac:dyDescent="0.25">
      <c r="I1125" s="37"/>
      <c r="J1125" s="35"/>
    </row>
    <row r="1126" spans="9:10" x14ac:dyDescent="0.25">
      <c r="I1126" s="37"/>
      <c r="J1126" s="35"/>
    </row>
    <row r="1127" spans="9:10" x14ac:dyDescent="0.25">
      <c r="I1127" s="37"/>
      <c r="J1127" s="35"/>
    </row>
    <row r="1128" spans="9:10" x14ac:dyDescent="0.25">
      <c r="I1128" s="37"/>
      <c r="J1128" s="35"/>
    </row>
    <row r="1129" spans="9:10" x14ac:dyDescent="0.25">
      <c r="I1129" s="37"/>
      <c r="J1129" s="35"/>
    </row>
    <row r="1130" spans="9:10" x14ac:dyDescent="0.25">
      <c r="I1130" s="37"/>
      <c r="J1130" s="35"/>
    </row>
    <row r="1131" spans="9:10" x14ac:dyDescent="0.25">
      <c r="I1131" s="37"/>
      <c r="J1131" s="35"/>
    </row>
    <row r="1132" spans="9:10" x14ac:dyDescent="0.25">
      <c r="I1132" s="37"/>
      <c r="J1132" s="35"/>
    </row>
    <row r="1133" spans="9:10" x14ac:dyDescent="0.25">
      <c r="I1133" s="37"/>
      <c r="J1133" s="35"/>
    </row>
    <row r="1134" spans="9:10" x14ac:dyDescent="0.25">
      <c r="I1134" s="37"/>
      <c r="J1134" s="35"/>
    </row>
    <row r="1135" spans="9:10" x14ac:dyDescent="0.25">
      <c r="I1135" s="37"/>
      <c r="J1135" s="35"/>
    </row>
    <row r="1136" spans="9:10" x14ac:dyDescent="0.25">
      <c r="I1136" s="37"/>
      <c r="J1136" s="35"/>
    </row>
    <row r="1137" spans="9:10" x14ac:dyDescent="0.25">
      <c r="I1137" s="37"/>
      <c r="J1137" s="35"/>
    </row>
    <row r="1138" spans="9:10" x14ac:dyDescent="0.25">
      <c r="I1138" s="37"/>
      <c r="J1138" s="35"/>
    </row>
    <row r="1139" spans="9:10" x14ac:dyDescent="0.25">
      <c r="I1139" s="37"/>
      <c r="J1139" s="35"/>
    </row>
    <row r="1140" spans="9:10" x14ac:dyDescent="0.25">
      <c r="I1140" s="37"/>
      <c r="J1140" s="35"/>
    </row>
    <row r="1141" spans="9:10" x14ac:dyDescent="0.25">
      <c r="I1141" s="37"/>
      <c r="J1141" s="35"/>
    </row>
    <row r="1142" spans="9:10" x14ac:dyDescent="0.25">
      <c r="I1142" s="37"/>
      <c r="J1142" s="35"/>
    </row>
    <row r="1143" spans="9:10" x14ac:dyDescent="0.25">
      <c r="I1143" s="37"/>
      <c r="J1143" s="35"/>
    </row>
    <row r="1144" spans="9:10" x14ac:dyDescent="0.25">
      <c r="I1144" s="37"/>
      <c r="J1144" s="35"/>
    </row>
    <row r="1145" spans="9:10" x14ac:dyDescent="0.25">
      <c r="I1145" s="37"/>
      <c r="J1145" s="35"/>
    </row>
    <row r="1146" spans="9:10" x14ac:dyDescent="0.25">
      <c r="I1146" s="37"/>
      <c r="J1146" s="35"/>
    </row>
    <row r="1147" spans="9:10" x14ac:dyDescent="0.25">
      <c r="I1147" s="37"/>
      <c r="J1147" s="35"/>
    </row>
    <row r="1148" spans="9:10" x14ac:dyDescent="0.25">
      <c r="I1148" s="37"/>
      <c r="J1148" s="35"/>
    </row>
    <row r="1149" spans="9:10" x14ac:dyDescent="0.25">
      <c r="I1149" s="37"/>
      <c r="J1149" s="35"/>
    </row>
    <row r="1150" spans="9:10" x14ac:dyDescent="0.25">
      <c r="I1150" s="37"/>
      <c r="J1150" s="35"/>
    </row>
    <row r="1151" spans="9:10" x14ac:dyDescent="0.25">
      <c r="I1151" s="37"/>
      <c r="J1151" s="35"/>
    </row>
    <row r="1152" spans="9:10" x14ac:dyDescent="0.25">
      <c r="I1152" s="37"/>
      <c r="J1152" s="35"/>
    </row>
    <row r="1153" spans="9:10" x14ac:dyDescent="0.25">
      <c r="I1153" s="37"/>
      <c r="J1153" s="35"/>
    </row>
    <row r="1154" spans="9:10" x14ac:dyDescent="0.25">
      <c r="I1154" s="37"/>
      <c r="J1154" s="35"/>
    </row>
    <row r="1155" spans="9:10" x14ac:dyDescent="0.25">
      <c r="I1155" s="37"/>
      <c r="J1155" s="35"/>
    </row>
    <row r="1156" spans="9:10" x14ac:dyDescent="0.25">
      <c r="I1156" s="37"/>
      <c r="J1156" s="35"/>
    </row>
    <row r="1157" spans="9:10" x14ac:dyDescent="0.25">
      <c r="I1157" s="37"/>
      <c r="J1157" s="35"/>
    </row>
    <row r="1158" spans="9:10" x14ac:dyDescent="0.25">
      <c r="I1158" s="37"/>
      <c r="J1158" s="35"/>
    </row>
    <row r="1159" spans="9:10" x14ac:dyDescent="0.25">
      <c r="I1159" s="37"/>
      <c r="J1159" s="35"/>
    </row>
    <row r="1160" spans="9:10" x14ac:dyDescent="0.25">
      <c r="I1160" s="37"/>
      <c r="J1160" s="35"/>
    </row>
    <row r="1161" spans="9:10" x14ac:dyDescent="0.25">
      <c r="I1161" s="37"/>
      <c r="J1161" s="35"/>
    </row>
    <row r="1162" spans="9:10" x14ac:dyDescent="0.25">
      <c r="I1162" s="37"/>
      <c r="J1162" s="35"/>
    </row>
    <row r="1163" spans="9:10" x14ac:dyDescent="0.25">
      <c r="I1163" s="37"/>
      <c r="J1163" s="35"/>
    </row>
    <row r="1164" spans="9:10" x14ac:dyDescent="0.25">
      <c r="I1164" s="37"/>
      <c r="J1164" s="35"/>
    </row>
    <row r="1165" spans="9:10" x14ac:dyDescent="0.25">
      <c r="I1165" s="37"/>
      <c r="J1165" s="35"/>
    </row>
    <row r="1166" spans="9:10" x14ac:dyDescent="0.25">
      <c r="I1166" s="37"/>
      <c r="J1166" s="35"/>
    </row>
    <row r="1167" spans="9:10" x14ac:dyDescent="0.25">
      <c r="I1167" s="37"/>
      <c r="J1167" s="35"/>
    </row>
    <row r="1168" spans="9:10" x14ac:dyDescent="0.25">
      <c r="I1168" s="37"/>
      <c r="J1168" s="35"/>
    </row>
    <row r="1169" spans="9:10" x14ac:dyDescent="0.25">
      <c r="I1169" s="37"/>
      <c r="J1169" s="35"/>
    </row>
    <row r="1170" spans="9:10" x14ac:dyDescent="0.25">
      <c r="I1170" s="37"/>
      <c r="J1170" s="35"/>
    </row>
    <row r="1171" spans="9:10" x14ac:dyDescent="0.25">
      <c r="I1171" s="37"/>
      <c r="J1171" s="35"/>
    </row>
    <row r="1172" spans="9:10" x14ac:dyDescent="0.25">
      <c r="I1172" s="37"/>
      <c r="J1172" s="35"/>
    </row>
    <row r="1173" spans="9:10" x14ac:dyDescent="0.25">
      <c r="I1173" s="37"/>
      <c r="J1173" s="35"/>
    </row>
    <row r="1174" spans="9:10" x14ac:dyDescent="0.25">
      <c r="I1174" s="37"/>
      <c r="J1174" s="35"/>
    </row>
    <row r="1175" spans="9:10" x14ac:dyDescent="0.25">
      <c r="I1175" s="37"/>
      <c r="J1175" s="35"/>
    </row>
    <row r="1176" spans="9:10" x14ac:dyDescent="0.25">
      <c r="I1176" s="37"/>
      <c r="J1176" s="35"/>
    </row>
    <row r="1177" spans="9:10" x14ac:dyDescent="0.25">
      <c r="I1177" s="37"/>
      <c r="J1177" s="35"/>
    </row>
    <row r="1178" spans="9:10" x14ac:dyDescent="0.25">
      <c r="I1178" s="37"/>
      <c r="J1178" s="35"/>
    </row>
    <row r="1179" spans="9:10" x14ac:dyDescent="0.25">
      <c r="I1179" s="37"/>
      <c r="J1179" s="35"/>
    </row>
    <row r="1180" spans="9:10" x14ac:dyDescent="0.25">
      <c r="I1180" s="37"/>
      <c r="J1180" s="35"/>
    </row>
    <row r="1181" spans="9:10" x14ac:dyDescent="0.25">
      <c r="I1181" s="37"/>
      <c r="J1181" s="35"/>
    </row>
    <row r="1182" spans="9:10" x14ac:dyDescent="0.25">
      <c r="I1182" s="37"/>
      <c r="J1182" s="35"/>
    </row>
    <row r="1183" spans="9:10" x14ac:dyDescent="0.25">
      <c r="I1183" s="37"/>
      <c r="J1183" s="35"/>
    </row>
    <row r="1184" spans="9:10" x14ac:dyDescent="0.25">
      <c r="I1184" s="37"/>
      <c r="J1184" s="35"/>
    </row>
    <row r="1185" spans="9:10" x14ac:dyDescent="0.25">
      <c r="I1185" s="37"/>
      <c r="J1185" s="35"/>
    </row>
    <row r="1186" spans="9:10" x14ac:dyDescent="0.25">
      <c r="I1186" s="37"/>
      <c r="J1186" s="35"/>
    </row>
    <row r="1187" spans="9:10" x14ac:dyDescent="0.25">
      <c r="I1187" s="37"/>
      <c r="J1187" s="35"/>
    </row>
    <row r="1188" spans="9:10" x14ac:dyDescent="0.25">
      <c r="I1188" s="37"/>
      <c r="J1188" s="35"/>
    </row>
    <row r="1189" spans="9:10" x14ac:dyDescent="0.25">
      <c r="I1189" s="37"/>
      <c r="J1189" s="35"/>
    </row>
    <row r="1190" spans="9:10" x14ac:dyDescent="0.25">
      <c r="I1190" s="37"/>
      <c r="J1190" s="35"/>
    </row>
    <row r="1191" spans="9:10" x14ac:dyDescent="0.25">
      <c r="I1191" s="37"/>
      <c r="J1191" s="35"/>
    </row>
    <row r="1192" spans="9:10" x14ac:dyDescent="0.25">
      <c r="I1192" s="37"/>
      <c r="J1192" s="35"/>
    </row>
    <row r="1193" spans="9:10" x14ac:dyDescent="0.25">
      <c r="I1193" s="37"/>
      <c r="J1193" s="35"/>
    </row>
    <row r="1194" spans="9:10" x14ac:dyDescent="0.25">
      <c r="I1194" s="37"/>
      <c r="J1194" s="35"/>
    </row>
    <row r="1195" spans="9:10" x14ac:dyDescent="0.25">
      <c r="I1195" s="37"/>
      <c r="J1195" s="35"/>
    </row>
    <row r="1196" spans="9:10" x14ac:dyDescent="0.25">
      <c r="I1196" s="37"/>
      <c r="J1196" s="35"/>
    </row>
    <row r="1197" spans="9:10" x14ac:dyDescent="0.25">
      <c r="I1197" s="37"/>
      <c r="J1197" s="35"/>
    </row>
    <row r="1198" spans="9:10" x14ac:dyDescent="0.25">
      <c r="I1198" s="37"/>
      <c r="J1198" s="35"/>
    </row>
    <row r="1199" spans="9:10" x14ac:dyDescent="0.25">
      <c r="I1199" s="37"/>
      <c r="J1199" s="35"/>
    </row>
    <row r="1200" spans="9:10" x14ac:dyDescent="0.25">
      <c r="I1200" s="37"/>
      <c r="J1200" s="35"/>
    </row>
    <row r="1201" spans="9:10" x14ac:dyDescent="0.25">
      <c r="I1201" s="37"/>
      <c r="J1201" s="35"/>
    </row>
    <row r="1202" spans="9:10" x14ac:dyDescent="0.25">
      <c r="I1202" s="37"/>
      <c r="J1202" s="35"/>
    </row>
    <row r="1203" spans="9:10" x14ac:dyDescent="0.25">
      <c r="I1203" s="37"/>
      <c r="J1203" s="35"/>
    </row>
    <row r="1204" spans="9:10" x14ac:dyDescent="0.25">
      <c r="I1204" s="37"/>
      <c r="J1204" s="35"/>
    </row>
    <row r="1205" spans="9:10" x14ac:dyDescent="0.25">
      <c r="I1205" s="37"/>
      <c r="J1205" s="35"/>
    </row>
    <row r="1206" spans="9:10" x14ac:dyDescent="0.25">
      <c r="I1206" s="37"/>
      <c r="J1206" s="35"/>
    </row>
    <row r="1207" spans="9:10" x14ac:dyDescent="0.25">
      <c r="I1207" s="37"/>
      <c r="J1207" s="35"/>
    </row>
    <row r="1208" spans="9:10" x14ac:dyDescent="0.25">
      <c r="I1208" s="37"/>
      <c r="J1208" s="35"/>
    </row>
    <row r="1209" spans="9:10" x14ac:dyDescent="0.25">
      <c r="I1209" s="37"/>
      <c r="J1209" s="35"/>
    </row>
    <row r="1210" spans="9:10" x14ac:dyDescent="0.25">
      <c r="I1210" s="37"/>
      <c r="J1210" s="35"/>
    </row>
    <row r="1211" spans="9:10" x14ac:dyDescent="0.25">
      <c r="I1211" s="37"/>
      <c r="J1211" s="35"/>
    </row>
    <row r="1212" spans="9:10" x14ac:dyDescent="0.25">
      <c r="I1212" s="37"/>
      <c r="J1212" s="35"/>
    </row>
    <row r="1213" spans="9:10" x14ac:dyDescent="0.25">
      <c r="I1213" s="37"/>
      <c r="J1213" s="35"/>
    </row>
    <row r="1214" spans="9:10" x14ac:dyDescent="0.25">
      <c r="I1214" s="37"/>
      <c r="J1214" s="35"/>
    </row>
    <row r="1215" spans="9:10" x14ac:dyDescent="0.25">
      <c r="I1215" s="37"/>
      <c r="J1215" s="35"/>
    </row>
    <row r="1216" spans="9:10" x14ac:dyDescent="0.25">
      <c r="I1216" s="37"/>
      <c r="J1216" s="35"/>
    </row>
    <row r="1217" spans="9:10" x14ac:dyDescent="0.25">
      <c r="I1217" s="37"/>
      <c r="J1217" s="35"/>
    </row>
    <row r="1218" spans="9:10" x14ac:dyDescent="0.25">
      <c r="I1218" s="37"/>
      <c r="J1218" s="35"/>
    </row>
    <row r="1219" spans="9:10" x14ac:dyDescent="0.25">
      <c r="I1219" s="37"/>
      <c r="J1219" s="35"/>
    </row>
    <row r="1220" spans="9:10" x14ac:dyDescent="0.25">
      <c r="I1220" s="37"/>
      <c r="J1220" s="35"/>
    </row>
    <row r="1221" spans="9:10" x14ac:dyDescent="0.25">
      <c r="I1221" s="37"/>
      <c r="J1221" s="35"/>
    </row>
    <row r="1222" spans="9:10" x14ac:dyDescent="0.25">
      <c r="I1222" s="37"/>
      <c r="J1222" s="35"/>
    </row>
    <row r="1223" spans="9:10" x14ac:dyDescent="0.25">
      <c r="I1223" s="37"/>
      <c r="J1223" s="35"/>
    </row>
    <row r="1224" spans="9:10" x14ac:dyDescent="0.25">
      <c r="I1224" s="37"/>
      <c r="J1224" s="35"/>
    </row>
    <row r="1225" spans="9:10" x14ac:dyDescent="0.25">
      <c r="I1225" s="37"/>
      <c r="J1225" s="35"/>
    </row>
    <row r="1226" spans="9:10" x14ac:dyDescent="0.25">
      <c r="I1226" s="37"/>
      <c r="J1226" s="35"/>
    </row>
    <row r="1227" spans="9:10" x14ac:dyDescent="0.25">
      <c r="I1227" s="37"/>
      <c r="J1227" s="35"/>
    </row>
    <row r="1228" spans="9:10" x14ac:dyDescent="0.25">
      <c r="I1228" s="37"/>
      <c r="J1228" s="35"/>
    </row>
    <row r="1229" spans="9:10" x14ac:dyDescent="0.25">
      <c r="I1229" s="37"/>
      <c r="J1229" s="35"/>
    </row>
    <row r="1230" spans="9:10" x14ac:dyDescent="0.25">
      <c r="I1230" s="37"/>
      <c r="J1230" s="35"/>
    </row>
    <row r="1231" spans="9:10" x14ac:dyDescent="0.25">
      <c r="I1231" s="37"/>
      <c r="J1231" s="35"/>
    </row>
    <row r="1232" spans="9:10" x14ac:dyDescent="0.25">
      <c r="I1232" s="37"/>
      <c r="J1232" s="35"/>
    </row>
    <row r="1233" spans="9:10" x14ac:dyDescent="0.25">
      <c r="I1233" s="37"/>
      <c r="J1233" s="35"/>
    </row>
    <row r="1234" spans="9:10" x14ac:dyDescent="0.25">
      <c r="I1234" s="37"/>
      <c r="J1234" s="35"/>
    </row>
    <row r="1235" spans="9:10" x14ac:dyDescent="0.25">
      <c r="I1235" s="37"/>
      <c r="J1235" s="35"/>
    </row>
    <row r="1236" spans="9:10" x14ac:dyDescent="0.25">
      <c r="I1236" s="37"/>
      <c r="J1236" s="35"/>
    </row>
    <row r="1237" spans="9:10" x14ac:dyDescent="0.25">
      <c r="I1237" s="37"/>
      <c r="J1237" s="35"/>
    </row>
    <row r="1238" spans="9:10" x14ac:dyDescent="0.25">
      <c r="I1238" s="37"/>
      <c r="J1238" s="35"/>
    </row>
    <row r="1239" spans="9:10" x14ac:dyDescent="0.25">
      <c r="I1239" s="37"/>
      <c r="J1239" s="35"/>
    </row>
    <row r="1240" spans="9:10" x14ac:dyDescent="0.25">
      <c r="I1240" s="37"/>
      <c r="J1240" s="35"/>
    </row>
    <row r="1241" spans="9:10" x14ac:dyDescent="0.25">
      <c r="I1241" s="37"/>
      <c r="J1241" s="35"/>
    </row>
    <row r="1242" spans="9:10" x14ac:dyDescent="0.25">
      <c r="I1242" s="37"/>
      <c r="J1242" s="35"/>
    </row>
    <row r="1243" spans="9:10" x14ac:dyDescent="0.25">
      <c r="I1243" s="37"/>
      <c r="J1243" s="35"/>
    </row>
    <row r="1244" spans="9:10" x14ac:dyDescent="0.25">
      <c r="I1244" s="37"/>
      <c r="J1244" s="35"/>
    </row>
    <row r="1245" spans="9:10" x14ac:dyDescent="0.25">
      <c r="I1245" s="37"/>
      <c r="J1245" s="35"/>
    </row>
    <row r="1246" spans="9:10" x14ac:dyDescent="0.25">
      <c r="I1246" s="37"/>
      <c r="J1246" s="35"/>
    </row>
    <row r="1247" spans="9:10" x14ac:dyDescent="0.25">
      <c r="I1247" s="37"/>
      <c r="J1247" s="35"/>
    </row>
    <row r="1248" spans="9:10" x14ac:dyDescent="0.25">
      <c r="I1248" s="37"/>
      <c r="J1248" s="35"/>
    </row>
    <row r="1249" spans="9:10" x14ac:dyDescent="0.25">
      <c r="I1249" s="37"/>
      <c r="J1249" s="35"/>
    </row>
    <row r="1250" spans="9:10" x14ac:dyDescent="0.25">
      <c r="I1250" s="37"/>
      <c r="J1250" s="35"/>
    </row>
    <row r="1251" spans="9:10" x14ac:dyDescent="0.25">
      <c r="I1251" s="37"/>
      <c r="J1251" s="35"/>
    </row>
    <row r="1252" spans="9:10" x14ac:dyDescent="0.25">
      <c r="I1252" s="37"/>
      <c r="J1252" s="35"/>
    </row>
    <row r="1253" spans="9:10" x14ac:dyDescent="0.25">
      <c r="I1253" s="37"/>
      <c r="J1253" s="35"/>
    </row>
    <row r="1254" spans="9:10" x14ac:dyDescent="0.25">
      <c r="I1254" s="37"/>
      <c r="J1254" s="35"/>
    </row>
    <row r="1255" spans="9:10" x14ac:dyDescent="0.25">
      <c r="I1255" s="37"/>
      <c r="J1255" s="35"/>
    </row>
    <row r="1256" spans="9:10" x14ac:dyDescent="0.25">
      <c r="I1256" s="37"/>
      <c r="J1256" s="35"/>
    </row>
    <row r="1257" spans="9:10" x14ac:dyDescent="0.25">
      <c r="I1257" s="37"/>
      <c r="J1257" s="35"/>
    </row>
    <row r="1258" spans="9:10" x14ac:dyDescent="0.25">
      <c r="I1258" s="37"/>
      <c r="J1258" s="35"/>
    </row>
    <row r="1259" spans="9:10" x14ac:dyDescent="0.25">
      <c r="I1259" s="37"/>
      <c r="J1259" s="35"/>
    </row>
    <row r="1260" spans="9:10" x14ac:dyDescent="0.25">
      <c r="I1260" s="37"/>
      <c r="J1260" s="35"/>
    </row>
    <row r="1261" spans="9:10" x14ac:dyDescent="0.25">
      <c r="I1261" s="37"/>
      <c r="J1261" s="35"/>
    </row>
    <row r="1262" spans="9:10" x14ac:dyDescent="0.25">
      <c r="I1262" s="37"/>
      <c r="J1262" s="35"/>
    </row>
    <row r="1263" spans="9:10" x14ac:dyDescent="0.25">
      <c r="I1263" s="37"/>
      <c r="J1263" s="35"/>
    </row>
    <row r="1264" spans="9:10" x14ac:dyDescent="0.25">
      <c r="I1264" s="37"/>
      <c r="J1264" s="35"/>
    </row>
    <row r="1265" spans="9:10" x14ac:dyDescent="0.25">
      <c r="I1265" s="37"/>
      <c r="J1265" s="35"/>
    </row>
    <row r="1266" spans="9:10" x14ac:dyDescent="0.25">
      <c r="I1266" s="37"/>
      <c r="J1266" s="35"/>
    </row>
    <row r="1267" spans="9:10" x14ac:dyDescent="0.25">
      <c r="I1267" s="37"/>
      <c r="J1267" s="35"/>
    </row>
    <row r="1268" spans="9:10" x14ac:dyDescent="0.25">
      <c r="I1268" s="37"/>
      <c r="J1268" s="35"/>
    </row>
    <row r="1269" spans="9:10" x14ac:dyDescent="0.25">
      <c r="I1269" s="37"/>
      <c r="J1269" s="35"/>
    </row>
    <row r="1270" spans="9:10" x14ac:dyDescent="0.25">
      <c r="I1270" s="37"/>
      <c r="J1270" s="35"/>
    </row>
    <row r="1271" spans="9:10" x14ac:dyDescent="0.25">
      <c r="I1271" s="37"/>
      <c r="J1271" s="35"/>
    </row>
    <row r="1272" spans="9:10" x14ac:dyDescent="0.25">
      <c r="I1272" s="37"/>
      <c r="J1272" s="35"/>
    </row>
    <row r="1273" spans="9:10" x14ac:dyDescent="0.25">
      <c r="I1273" s="37"/>
      <c r="J1273" s="35"/>
    </row>
    <row r="1274" spans="9:10" x14ac:dyDescent="0.25">
      <c r="I1274" s="37"/>
      <c r="J1274" s="35"/>
    </row>
    <row r="1275" spans="9:10" x14ac:dyDescent="0.25">
      <c r="I1275" s="37"/>
      <c r="J1275" s="35"/>
    </row>
    <row r="1276" spans="9:10" x14ac:dyDescent="0.25">
      <c r="I1276" s="37"/>
      <c r="J1276" s="35"/>
    </row>
    <row r="1277" spans="9:10" x14ac:dyDescent="0.25">
      <c r="I1277" s="37"/>
      <c r="J1277" s="35"/>
    </row>
    <row r="1278" spans="9:10" x14ac:dyDescent="0.25">
      <c r="I1278" s="37"/>
      <c r="J1278" s="35"/>
    </row>
    <row r="1279" spans="9:10" x14ac:dyDescent="0.25">
      <c r="I1279" s="37"/>
      <c r="J1279" s="35"/>
    </row>
    <row r="1280" spans="9:10" x14ac:dyDescent="0.25">
      <c r="I1280" s="37"/>
      <c r="J1280" s="35"/>
    </row>
    <row r="1281" spans="9:10" x14ac:dyDescent="0.25">
      <c r="I1281" s="37"/>
      <c r="J1281" s="35"/>
    </row>
    <row r="1282" spans="9:10" x14ac:dyDescent="0.25">
      <c r="I1282" s="37"/>
      <c r="J1282" s="35"/>
    </row>
    <row r="1283" spans="9:10" x14ac:dyDescent="0.25">
      <c r="I1283" s="37"/>
      <c r="J1283" s="35"/>
    </row>
    <row r="1284" spans="9:10" x14ac:dyDescent="0.25">
      <c r="I1284" s="37"/>
      <c r="J1284" s="35"/>
    </row>
    <row r="1285" spans="9:10" x14ac:dyDescent="0.25">
      <c r="I1285" s="37"/>
      <c r="J1285" s="35"/>
    </row>
    <row r="1286" spans="9:10" x14ac:dyDescent="0.25">
      <c r="I1286" s="37"/>
      <c r="J1286" s="35"/>
    </row>
    <row r="1287" spans="9:10" x14ac:dyDescent="0.25">
      <c r="I1287" s="37"/>
      <c r="J1287" s="35"/>
    </row>
    <row r="1288" spans="9:10" x14ac:dyDescent="0.25">
      <c r="I1288" s="37"/>
      <c r="J1288" s="35"/>
    </row>
    <row r="1289" spans="9:10" x14ac:dyDescent="0.25">
      <c r="I1289" s="37"/>
      <c r="J1289" s="35"/>
    </row>
    <row r="1290" spans="9:10" x14ac:dyDescent="0.25">
      <c r="I1290" s="37"/>
      <c r="J1290" s="35"/>
    </row>
    <row r="1291" spans="9:10" x14ac:dyDescent="0.25">
      <c r="I1291" s="37"/>
      <c r="J1291" s="35"/>
    </row>
    <row r="1292" spans="9:10" x14ac:dyDescent="0.25">
      <c r="I1292" s="37"/>
      <c r="J1292" s="35"/>
    </row>
    <row r="1293" spans="9:10" x14ac:dyDescent="0.25">
      <c r="I1293" s="37"/>
      <c r="J1293" s="35"/>
    </row>
    <row r="1294" spans="9:10" x14ac:dyDescent="0.25">
      <c r="I1294" s="37"/>
      <c r="J1294" s="35"/>
    </row>
    <row r="1295" spans="9:10" x14ac:dyDescent="0.25">
      <c r="I1295" s="37"/>
      <c r="J1295" s="35"/>
    </row>
    <row r="1296" spans="9:10" x14ac:dyDescent="0.25">
      <c r="I1296" s="37"/>
      <c r="J1296" s="35"/>
    </row>
    <row r="1297" spans="9:10" x14ac:dyDescent="0.25">
      <c r="I1297" s="37"/>
      <c r="J1297" s="35"/>
    </row>
    <row r="1298" spans="9:10" x14ac:dyDescent="0.25">
      <c r="I1298" s="37"/>
      <c r="J1298" s="35"/>
    </row>
    <row r="1299" spans="9:10" x14ac:dyDescent="0.25">
      <c r="I1299" s="37"/>
      <c r="J1299" s="35"/>
    </row>
    <row r="1300" spans="9:10" x14ac:dyDescent="0.25">
      <c r="I1300" s="37"/>
      <c r="J1300" s="35"/>
    </row>
    <row r="1301" spans="9:10" x14ac:dyDescent="0.25">
      <c r="I1301" s="37"/>
      <c r="J1301" s="35"/>
    </row>
    <row r="1302" spans="9:10" x14ac:dyDescent="0.25">
      <c r="I1302" s="37"/>
      <c r="J1302" s="35"/>
    </row>
    <row r="1303" spans="9:10" x14ac:dyDescent="0.25">
      <c r="I1303" s="37"/>
      <c r="J1303" s="35"/>
    </row>
    <row r="1304" spans="9:10" x14ac:dyDescent="0.25">
      <c r="I1304" s="37"/>
      <c r="J1304" s="35"/>
    </row>
    <row r="1305" spans="9:10" x14ac:dyDescent="0.25">
      <c r="I1305" s="37"/>
      <c r="J1305" s="35"/>
    </row>
    <row r="1306" spans="9:10" x14ac:dyDescent="0.25">
      <c r="I1306" s="37"/>
      <c r="J1306" s="35"/>
    </row>
    <row r="1307" spans="9:10" x14ac:dyDescent="0.25">
      <c r="I1307" s="37"/>
      <c r="J1307" s="35"/>
    </row>
    <row r="1308" spans="9:10" x14ac:dyDescent="0.25">
      <c r="I1308" s="37"/>
      <c r="J1308" s="35"/>
    </row>
    <row r="1309" spans="9:10" x14ac:dyDescent="0.25">
      <c r="I1309" s="37"/>
      <c r="J1309" s="35"/>
    </row>
    <row r="1310" spans="9:10" x14ac:dyDescent="0.25">
      <c r="I1310" s="37"/>
      <c r="J1310" s="35"/>
    </row>
    <row r="1311" spans="9:10" x14ac:dyDescent="0.25">
      <c r="I1311" s="37"/>
      <c r="J1311" s="35"/>
    </row>
    <row r="1312" spans="9:10" x14ac:dyDescent="0.25">
      <c r="I1312" s="37"/>
      <c r="J1312" s="35"/>
    </row>
    <row r="1313" spans="9:10" x14ac:dyDescent="0.25">
      <c r="I1313" s="37"/>
      <c r="J1313" s="35"/>
    </row>
    <row r="1314" spans="9:10" x14ac:dyDescent="0.25">
      <c r="I1314" s="37"/>
      <c r="J1314" s="35"/>
    </row>
    <row r="1315" spans="9:10" x14ac:dyDescent="0.25">
      <c r="I1315" s="37"/>
      <c r="J1315" s="35"/>
    </row>
    <row r="1316" spans="9:10" x14ac:dyDescent="0.25">
      <c r="I1316" s="37"/>
      <c r="J1316" s="35"/>
    </row>
    <row r="1317" spans="9:10" x14ac:dyDescent="0.25">
      <c r="I1317" s="37"/>
      <c r="J1317" s="35"/>
    </row>
    <row r="1318" spans="9:10" x14ac:dyDescent="0.25">
      <c r="I1318" s="37"/>
      <c r="J1318" s="35"/>
    </row>
    <row r="1319" spans="9:10" x14ac:dyDescent="0.25">
      <c r="I1319" s="37"/>
      <c r="J1319" s="35"/>
    </row>
    <row r="1320" spans="9:10" x14ac:dyDescent="0.25">
      <c r="I1320" s="37"/>
      <c r="J1320" s="35"/>
    </row>
    <row r="1321" spans="9:10" x14ac:dyDescent="0.25">
      <c r="I1321" s="37"/>
      <c r="J1321" s="35"/>
    </row>
    <row r="1322" spans="9:10" x14ac:dyDescent="0.25">
      <c r="I1322" s="37"/>
      <c r="J1322" s="35"/>
    </row>
    <row r="1323" spans="9:10" x14ac:dyDescent="0.25">
      <c r="I1323" s="37"/>
      <c r="J1323" s="35"/>
    </row>
    <row r="1324" spans="9:10" x14ac:dyDescent="0.25">
      <c r="I1324" s="37"/>
      <c r="J1324" s="35"/>
    </row>
    <row r="1325" spans="9:10" x14ac:dyDescent="0.25">
      <c r="I1325" s="37"/>
      <c r="J1325" s="35"/>
    </row>
    <row r="1326" spans="9:10" x14ac:dyDescent="0.25">
      <c r="I1326" s="37"/>
      <c r="J1326" s="35"/>
    </row>
    <row r="1327" spans="9:10" x14ac:dyDescent="0.25">
      <c r="I1327" s="37"/>
      <c r="J1327" s="35"/>
    </row>
    <row r="1328" spans="9:10" x14ac:dyDescent="0.25">
      <c r="I1328" s="37"/>
      <c r="J1328" s="35"/>
    </row>
    <row r="1329" spans="9:10" x14ac:dyDescent="0.25">
      <c r="I1329" s="37"/>
      <c r="J1329" s="35"/>
    </row>
    <row r="1330" spans="9:10" x14ac:dyDescent="0.25">
      <c r="I1330" s="37"/>
      <c r="J1330" s="35"/>
    </row>
    <row r="1331" spans="9:10" x14ac:dyDescent="0.25">
      <c r="I1331" s="37"/>
      <c r="J1331" s="35"/>
    </row>
    <row r="1332" spans="9:10" x14ac:dyDescent="0.25">
      <c r="I1332" s="37"/>
      <c r="J1332" s="35"/>
    </row>
    <row r="1333" spans="9:10" x14ac:dyDescent="0.25">
      <c r="I1333" s="37"/>
      <c r="J1333" s="35"/>
    </row>
    <row r="1334" spans="9:10" x14ac:dyDescent="0.25">
      <c r="I1334" s="37"/>
      <c r="J1334" s="35"/>
    </row>
  </sheetData>
  <mergeCells count="18">
    <mergeCell ref="T2:U2"/>
    <mergeCell ref="J2:K2"/>
    <mergeCell ref="L2:M2"/>
    <mergeCell ref="N2:O2"/>
    <mergeCell ref="P2:Q2"/>
    <mergeCell ref="R2:S2"/>
    <mergeCell ref="T29:U29"/>
    <mergeCell ref="J16:K16"/>
    <mergeCell ref="L16:M16"/>
    <mergeCell ref="N16:O16"/>
    <mergeCell ref="P16:Q16"/>
    <mergeCell ref="R16:S16"/>
    <mergeCell ref="T16:U16"/>
    <mergeCell ref="J29:K29"/>
    <mergeCell ref="L29:M29"/>
    <mergeCell ref="N29:O29"/>
    <mergeCell ref="P29:Q29"/>
    <mergeCell ref="R29:S29"/>
  </mergeCells>
  <conditionalFormatting sqref="AE3:AI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:AI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0:AI3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CB6CC-DB53-43B9-B4A7-F4516DD49776}">
  <dimension ref="A1:AQ1334"/>
  <sheetViews>
    <sheetView showGridLines="0" topLeftCell="L1" zoomScale="85" zoomScaleNormal="85" workbookViewId="0">
      <selection activeCell="AF24" sqref="AF24"/>
    </sheetView>
  </sheetViews>
  <sheetFormatPr defaultRowHeight="15" outlineLevelRow="1" outlineLevelCol="1" x14ac:dyDescent="0.25"/>
  <cols>
    <col min="1" max="1" width="2.5703125" customWidth="1"/>
    <col min="3" max="3" width="16.28515625" bestFit="1" customWidth="1"/>
    <col min="4" max="4" width="15.28515625" bestFit="1" customWidth="1"/>
    <col min="5" max="5" width="2.5703125" customWidth="1"/>
    <col min="6" max="6" width="8.42578125" bestFit="1" customWidth="1"/>
    <col min="7" max="7" width="2.5703125" customWidth="1"/>
    <col min="8" max="8" width="25.140625" bestFit="1" customWidth="1"/>
    <col min="9" max="9" width="24.28515625" style="11" customWidth="1" outlineLevel="1"/>
    <col min="10" max="10" width="9.42578125" style="6" customWidth="1"/>
    <col min="11" max="11" width="19" style="11" hidden="1" customWidth="1" outlineLevel="1"/>
    <col min="12" max="12" width="9.28515625" style="6" customWidth="1" collapsed="1"/>
    <col min="13" max="13" width="19.5703125" style="11" hidden="1" customWidth="1" outlineLevel="1"/>
    <col min="14" max="14" width="7.5703125" style="6" bestFit="1" customWidth="1" collapsed="1"/>
    <col min="15" max="15" width="17.85546875" style="11" hidden="1" customWidth="1" outlineLevel="1"/>
    <col min="16" max="16" width="8.140625" style="6" bestFit="1" customWidth="1" collapsed="1"/>
    <col min="17" max="17" width="18" style="11" hidden="1" customWidth="1" outlineLevel="1"/>
    <col min="18" max="18" width="8.140625" style="5" customWidth="1" collapsed="1"/>
    <col min="19" max="19" width="19.5703125" style="10" hidden="1" customWidth="1" outlineLevel="1"/>
    <col min="20" max="20" width="8.140625" style="10" bestFit="1" customWidth="1" collapsed="1"/>
    <col min="21" max="21" width="19.5703125" style="10" hidden="1" customWidth="1" outlineLevel="1"/>
    <col min="22" max="22" width="2.5703125" customWidth="1" collapsed="1"/>
    <col min="23" max="24" width="7.140625" hidden="1" customWidth="1" outlineLevel="1"/>
    <col min="25" max="25" width="17.85546875" bestFit="1" customWidth="1" collapsed="1"/>
    <col min="26" max="27" width="17.85546875" bestFit="1" customWidth="1"/>
    <col min="28" max="28" width="16.140625" bestFit="1" customWidth="1"/>
    <col min="29" max="29" width="15.140625" bestFit="1" customWidth="1"/>
    <col min="30" max="30" width="2.5703125" customWidth="1"/>
    <col min="31" max="31" width="7.85546875" bestFit="1" customWidth="1"/>
    <col min="32" max="32" width="11.140625" bestFit="1" customWidth="1"/>
    <col min="33" max="33" width="13.28515625" bestFit="1" customWidth="1"/>
    <col min="34" max="34" width="7.85546875" bestFit="1" customWidth="1"/>
    <col min="35" max="35" width="8.140625" bestFit="1" customWidth="1"/>
    <col min="36" max="36" width="2.5703125" customWidth="1"/>
    <col min="37" max="37" width="17.85546875" bestFit="1" customWidth="1"/>
    <col min="38" max="38" width="8.140625" bestFit="1" customWidth="1"/>
    <col min="39" max="39" width="2.5703125" customWidth="1"/>
    <col min="41" max="41" width="16.28515625" bestFit="1" customWidth="1"/>
  </cols>
  <sheetData>
    <row r="1" spans="1:43" ht="9" customHeight="1" x14ac:dyDescent="0.25"/>
    <row r="2" spans="1:43" x14ac:dyDescent="0.25">
      <c r="B2" s="1"/>
      <c r="C2" s="1" t="s">
        <v>20</v>
      </c>
      <c r="D2" s="1"/>
      <c r="H2" s="4" t="s">
        <v>1</v>
      </c>
      <c r="I2" s="9" t="s">
        <v>4</v>
      </c>
      <c r="J2" s="112" t="s">
        <v>7</v>
      </c>
      <c r="K2" s="112"/>
      <c r="L2" s="112" t="s">
        <v>8</v>
      </c>
      <c r="M2" s="112"/>
      <c r="N2" s="112" t="s">
        <v>10</v>
      </c>
      <c r="O2" s="112"/>
      <c r="P2" s="112" t="s">
        <v>9</v>
      </c>
      <c r="Q2" s="112"/>
      <c r="R2" s="112" t="s">
        <v>21</v>
      </c>
      <c r="S2" s="112"/>
      <c r="T2" s="112" t="s">
        <v>55</v>
      </c>
      <c r="U2" s="112"/>
      <c r="W2" s="1" t="s">
        <v>46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27" t="s">
        <v>49</v>
      </c>
      <c r="AF2" s="27" t="s">
        <v>50</v>
      </c>
      <c r="AG2" s="27" t="s">
        <v>51</v>
      </c>
      <c r="AH2" s="27" t="s">
        <v>52</v>
      </c>
      <c r="AI2" s="27" t="s">
        <v>53</v>
      </c>
      <c r="AK2" s="75" t="s">
        <v>60</v>
      </c>
      <c r="AL2" s="75" t="s">
        <v>61</v>
      </c>
      <c r="AN2" s="1"/>
      <c r="AO2" s="1" t="s">
        <v>20</v>
      </c>
      <c r="AP2" s="1"/>
    </row>
    <row r="3" spans="1:43" x14ac:dyDescent="0.25">
      <c r="A3" s="98"/>
      <c r="B3" t="s">
        <v>11</v>
      </c>
      <c r="C3" s="2" t="s">
        <v>10</v>
      </c>
      <c r="D3" t="s">
        <v>7</v>
      </c>
      <c r="E3" s="98"/>
      <c r="F3" s="7">
        <f>J3+L3+N3+P3+R3+T3</f>
        <v>1</v>
      </c>
      <c r="G3" s="99"/>
      <c r="H3" s="97" t="s">
        <v>5</v>
      </c>
      <c r="I3" s="80">
        <v>434083769.91000003</v>
      </c>
      <c r="J3" s="81">
        <f>41%+1.1%</f>
        <v>0.42099999999999999</v>
      </c>
      <c r="K3" s="80">
        <f>+J3*$I3</f>
        <v>182749267.13211</v>
      </c>
      <c r="L3" s="81">
        <f>9.8%+8.9%+3.9%+3.6%</f>
        <v>0.26200000000000001</v>
      </c>
      <c r="M3" s="80">
        <f t="shared" ref="M3:M11" si="0">+L3*$I3</f>
        <v>113729947.71642001</v>
      </c>
      <c r="N3" s="81">
        <f>27.3%+0.7%</f>
        <v>0.28000000000000003</v>
      </c>
      <c r="O3" s="80">
        <f t="shared" ref="O3:O11" si="1">+N3*$I3</f>
        <v>121543455.57480001</v>
      </c>
      <c r="P3" s="81">
        <v>3.9E-2</v>
      </c>
      <c r="Q3" s="80">
        <f t="shared" ref="Q3:Q13" si="2">+P3*$I3</f>
        <v>16929267.026489999</v>
      </c>
      <c r="R3" s="82"/>
      <c r="S3" s="80">
        <f t="shared" ref="S3:U13" si="3">+R3*$I3</f>
        <v>0</v>
      </c>
      <c r="T3" s="81">
        <v>-2E-3</v>
      </c>
      <c r="U3" s="65">
        <f t="shared" si="3"/>
        <v>-868167.53982000006</v>
      </c>
      <c r="V3" s="98"/>
      <c r="Y3" s="12">
        <f>K3-'Ago24'!K3</f>
        <v>-5768410.824000001</v>
      </c>
      <c r="Z3" s="12">
        <f>M3-'Ago24'!M3</f>
        <v>11598474.331620023</v>
      </c>
      <c r="AA3" s="12">
        <f>O3-'Ago24'!O3</f>
        <v>3241165.5707400143</v>
      </c>
      <c r="AB3" s="12">
        <f>Q3-'Ago24'!Q3</f>
        <v>332902.6014600005</v>
      </c>
      <c r="AC3" s="12">
        <f>+S3-'Ago24'!S3</f>
        <v>0</v>
      </c>
      <c r="AD3" s="98"/>
      <c r="AE3" s="28">
        <f>J3-'Ago24'!J3</f>
        <v>-2.200000000000002E-2</v>
      </c>
      <c r="AF3" s="28">
        <f>L3-'Ago24'!L3</f>
        <v>2.200000000000002E-2</v>
      </c>
      <c r="AG3" s="28">
        <f>N3-'Ago24'!N3</f>
        <v>2.0000000000000018E-3</v>
      </c>
      <c r="AH3" s="28">
        <f>P3-'Ago24'!P3</f>
        <v>0</v>
      </c>
      <c r="AI3" s="28">
        <f>R3-'Ago24'!R3</f>
        <v>0</v>
      </c>
      <c r="AJ3" s="98"/>
      <c r="AK3" s="10">
        <f>I3-'Ago24'!I3</f>
        <v>8535964.1400000453</v>
      </c>
      <c r="AL3" s="76">
        <f>I3/'Ago24'!I3-1</f>
        <v>2.005876666325368E-2</v>
      </c>
      <c r="AM3" s="98"/>
      <c r="AN3" t="s">
        <v>11</v>
      </c>
      <c r="AO3" s="2" t="s">
        <v>10</v>
      </c>
      <c r="AP3" t="s">
        <v>7</v>
      </c>
      <c r="AQ3" s="98"/>
    </row>
    <row r="4" spans="1:43" x14ac:dyDescent="0.25">
      <c r="B4" t="s">
        <v>12</v>
      </c>
      <c r="C4" s="2" t="s">
        <v>16</v>
      </c>
      <c r="D4" t="s">
        <v>58</v>
      </c>
      <c r="F4" s="7">
        <f t="shared" ref="F4:F36" si="4">J4+L4+N4+P4+R4+T4</f>
        <v>1</v>
      </c>
      <c r="H4" s="3" t="s">
        <v>0</v>
      </c>
      <c r="I4" s="78">
        <v>1514848028</v>
      </c>
      <c r="J4" s="77">
        <v>0.41</v>
      </c>
      <c r="K4" s="78">
        <f t="shared" ref="K4:K11" si="5">+J4*$I4</f>
        <v>621087691.48000002</v>
      </c>
      <c r="L4" s="77">
        <f>1%+4%+4%+4%+1%</f>
        <v>0.14000000000000001</v>
      </c>
      <c r="M4" s="78">
        <f t="shared" si="0"/>
        <v>212078723.92000002</v>
      </c>
      <c r="N4" s="77">
        <f>1%+37%</f>
        <v>0.38</v>
      </c>
      <c r="O4" s="78">
        <f t="shared" si="1"/>
        <v>575642250.63999999</v>
      </c>
      <c r="P4" s="77">
        <v>7.0000000000000007E-2</v>
      </c>
      <c r="Q4" s="78">
        <f t="shared" si="2"/>
        <v>106039361.96000001</v>
      </c>
      <c r="R4" s="77"/>
      <c r="S4" s="78">
        <f t="shared" si="3"/>
        <v>0</v>
      </c>
      <c r="T4" s="77"/>
      <c r="U4" s="57">
        <f t="shared" si="3"/>
        <v>0</v>
      </c>
      <c r="Y4" s="12">
        <f>K4-'Ago24'!K4</f>
        <v>51002696.879999995</v>
      </c>
      <c r="Z4" s="12">
        <f>M4-'Ago24'!M4</f>
        <v>-27957063.280000001</v>
      </c>
      <c r="AA4" s="12">
        <f>O4-'Ago24'!O4</f>
        <v>-9444980.6600000858</v>
      </c>
      <c r="AB4" s="12">
        <f>Q4-'Ago24'!Q4</f>
        <v>1023705.0600000024</v>
      </c>
      <c r="AC4" s="12">
        <f>+S4-'Ago24'!S4</f>
        <v>0</v>
      </c>
      <c r="AE4" s="28">
        <f>J4-'Ago24'!J4</f>
        <v>2.9999999999999971E-2</v>
      </c>
      <c r="AF4" s="28">
        <f>L4-'Ago24'!L4</f>
        <v>-1.999999999999999E-2</v>
      </c>
      <c r="AG4" s="28">
        <f>N4-'Ago24'!N4</f>
        <v>-1.0000000000000009E-2</v>
      </c>
      <c r="AH4" s="28">
        <f>P4-'Ago24'!P4</f>
        <v>0</v>
      </c>
      <c r="AI4" s="28">
        <f>R4-'Ago24'!R4</f>
        <v>0</v>
      </c>
      <c r="AK4" s="10">
        <f>I4-'Ago24'!I4</f>
        <v>14624358</v>
      </c>
      <c r="AL4" s="76">
        <f>I4/'Ago24'!I4-1</f>
        <v>9.7481184255678865E-3</v>
      </c>
      <c r="AN4" t="s">
        <v>12</v>
      </c>
      <c r="AO4" s="2" t="s">
        <v>16</v>
      </c>
      <c r="AP4" t="s">
        <v>58</v>
      </c>
    </row>
    <row r="5" spans="1:43" x14ac:dyDescent="0.25">
      <c r="B5" t="s">
        <v>13</v>
      </c>
      <c r="C5" s="2" t="s">
        <v>17</v>
      </c>
      <c r="D5" t="s">
        <v>59</v>
      </c>
      <c r="F5" s="7">
        <f t="shared" si="4"/>
        <v>1</v>
      </c>
      <c r="H5" s="3" t="s">
        <v>3</v>
      </c>
      <c r="I5" s="78">
        <v>556184012.49000001</v>
      </c>
      <c r="J5" s="77">
        <v>0.49</v>
      </c>
      <c r="K5" s="78">
        <f t="shared" si="5"/>
        <v>272530166.12010002</v>
      </c>
      <c r="L5" s="77"/>
      <c r="M5" s="78">
        <f t="shared" si="0"/>
        <v>0</v>
      </c>
      <c r="N5" s="77">
        <v>0.31</v>
      </c>
      <c r="O5" s="78">
        <f t="shared" si="1"/>
        <v>172417043.87189999</v>
      </c>
      <c r="P5" s="77">
        <v>0.04</v>
      </c>
      <c r="Q5" s="78">
        <f t="shared" si="2"/>
        <v>22247360.499600001</v>
      </c>
      <c r="R5" s="77">
        <v>0.15</v>
      </c>
      <c r="S5" s="78">
        <f t="shared" si="3"/>
        <v>83427601.873500004</v>
      </c>
      <c r="T5" s="77">
        <v>0.01</v>
      </c>
      <c r="U5" s="57">
        <f t="shared" si="3"/>
        <v>5561840.1249000002</v>
      </c>
      <c r="Y5" s="12">
        <f>K5-'Ago24'!K5</f>
        <v>-11155031.123699963</v>
      </c>
      <c r="Z5" s="12">
        <f>M5-'Ago24'!M5</f>
        <v>0</v>
      </c>
      <c r="AA5" s="12">
        <f>O5-'Ago24'!O5</f>
        <v>-18762110.792400002</v>
      </c>
      <c r="AB5" s="12">
        <f>Q5-'Ago24'!Q5</f>
        <v>-8587987.0269000009</v>
      </c>
      <c r="AC5" s="12">
        <f>+S5-'Ago24'!S5</f>
        <v>-15245510.211299986</v>
      </c>
      <c r="AE5" s="28">
        <f>J5-'Ago24'!J5</f>
        <v>2.9999999999999971E-2</v>
      </c>
      <c r="AF5" s="28">
        <f>L5-'Ago24'!L5</f>
        <v>0</v>
      </c>
      <c r="AG5" s="28">
        <f>N5-'Ago24'!N5</f>
        <v>0</v>
      </c>
      <c r="AH5" s="28">
        <f>P5-'Ago24'!P5</f>
        <v>-1.0000000000000002E-2</v>
      </c>
      <c r="AI5" s="28">
        <f>R5-'Ago24'!R5</f>
        <v>-1.0000000000000009E-2</v>
      </c>
      <c r="AK5" s="10">
        <f>I5-'Ago24'!I5</f>
        <v>-60522938.039999962</v>
      </c>
      <c r="AL5" s="76">
        <f>I5/'Ago24'!I5-1</f>
        <v>-9.8138893988443554E-2</v>
      </c>
      <c r="AN5" t="s">
        <v>13</v>
      </c>
      <c r="AO5" s="2" t="s">
        <v>17</v>
      </c>
      <c r="AP5" t="s">
        <v>59</v>
      </c>
    </row>
    <row r="6" spans="1:43" x14ac:dyDescent="0.25">
      <c r="B6" t="s">
        <v>14</v>
      </c>
      <c r="C6" s="2" t="s">
        <v>18</v>
      </c>
      <c r="F6" s="7">
        <f t="shared" si="4"/>
        <v>1</v>
      </c>
      <c r="H6" s="3" t="s">
        <v>62</v>
      </c>
      <c r="I6" s="78">
        <v>4681105399</v>
      </c>
      <c r="J6" s="77">
        <v>0.22600000000000001</v>
      </c>
      <c r="K6" s="78">
        <f t="shared" si="5"/>
        <v>1057929820.174</v>
      </c>
      <c r="L6" s="77">
        <f>21.4%+1.5%</f>
        <v>0.22899999999999998</v>
      </c>
      <c r="M6" s="78">
        <f t="shared" si="0"/>
        <v>1071973136.3709999</v>
      </c>
      <c r="N6" s="77">
        <f>47.2%+2.2%+2%</f>
        <v>0.51400000000000001</v>
      </c>
      <c r="O6" s="78">
        <f t="shared" si="1"/>
        <v>2406088175.086</v>
      </c>
      <c r="P6" s="77"/>
      <c r="Q6" s="78">
        <f t="shared" si="2"/>
        <v>0</v>
      </c>
      <c r="R6" s="77"/>
      <c r="S6" s="78">
        <f t="shared" si="3"/>
        <v>0</v>
      </c>
      <c r="T6" s="77">
        <v>3.1E-2</v>
      </c>
      <c r="U6" s="57">
        <f t="shared" si="3"/>
        <v>145114267.36899999</v>
      </c>
      <c r="Y6" s="12">
        <f>K6-'Ago24'!K6</f>
        <v>223682181.38900006</v>
      </c>
      <c r="Z6" s="12">
        <f>M6-'Ago24'!M6</f>
        <v>217377994.20099998</v>
      </c>
      <c r="AA6" s="12">
        <f>O6-'Ago24'!O6</f>
        <v>180071304.76699972</v>
      </c>
      <c r="AB6" s="12">
        <f>Q6-'Ago24'!Q6</f>
        <v>0</v>
      </c>
      <c r="AC6" s="12">
        <f>+S6-'Ago24'!S6</f>
        <v>0</v>
      </c>
      <c r="AE6" s="28">
        <f>J6-'Ago24'!J6</f>
        <v>2.1000000000000019E-2</v>
      </c>
      <c r="AF6" s="28">
        <f>L6-'Ago24'!L6</f>
        <v>1.8999999999999989E-2</v>
      </c>
      <c r="AG6" s="28">
        <f>N6-'Ago24'!N6</f>
        <v>-3.3000000000000029E-2</v>
      </c>
      <c r="AH6" s="28">
        <f>P6-'Ago24'!P6</f>
        <v>0</v>
      </c>
      <c r="AI6" s="28">
        <f>R6-'Ago24'!R6</f>
        <v>0</v>
      </c>
      <c r="AK6" s="10">
        <f>I6-'Ago24'!I6</f>
        <v>611604722</v>
      </c>
      <c r="AL6" s="76">
        <f>I6/'Ago24'!I6-1</f>
        <v>0.15028986859657434</v>
      </c>
      <c r="AN6" t="s">
        <v>14</v>
      </c>
      <c r="AO6" s="2" t="s">
        <v>18</v>
      </c>
    </row>
    <row r="7" spans="1:43" x14ac:dyDescent="0.25">
      <c r="B7" t="s">
        <v>15</v>
      </c>
      <c r="C7" s="2" t="s">
        <v>19</v>
      </c>
      <c r="F7" s="7">
        <f t="shared" si="4"/>
        <v>1</v>
      </c>
      <c r="H7" s="3" t="s">
        <v>22</v>
      </c>
      <c r="I7" s="78">
        <v>2065550000</v>
      </c>
      <c r="J7" s="77">
        <v>0.312</v>
      </c>
      <c r="K7" s="78">
        <f t="shared" si="5"/>
        <v>644451600</v>
      </c>
      <c r="L7" s="77">
        <v>0.24299999999999999</v>
      </c>
      <c r="M7" s="78">
        <f t="shared" si="0"/>
        <v>501928650</v>
      </c>
      <c r="N7" s="77">
        <f>39.1%+3.5%</f>
        <v>0.42600000000000005</v>
      </c>
      <c r="O7" s="78">
        <f t="shared" si="1"/>
        <v>879924300.00000012</v>
      </c>
      <c r="P7" s="77">
        <v>1.9E-2</v>
      </c>
      <c r="Q7" s="78">
        <f t="shared" si="2"/>
        <v>39245450</v>
      </c>
      <c r="R7" s="77"/>
      <c r="S7" s="78">
        <f t="shared" si="3"/>
        <v>0</v>
      </c>
      <c r="T7" s="77"/>
      <c r="U7" s="57">
        <f t="shared" si="3"/>
        <v>0</v>
      </c>
      <c r="Y7" s="12">
        <f>K7-'Ago24'!K7</f>
        <v>151797599.83080006</v>
      </c>
      <c r="Z7" s="12">
        <f>M7-'Ago24'!M7</f>
        <v>112347649.86620003</v>
      </c>
      <c r="AA7" s="12">
        <f>O7-'Ago24'!O7</f>
        <v>53593299.716200113</v>
      </c>
      <c r="AB7" s="12">
        <f>Q7-'Ago24'!Q7</f>
        <v>811449.98680000752</v>
      </c>
      <c r="AC7" s="12">
        <f>+S7-'Ago24'!S7</f>
        <v>0</v>
      </c>
      <c r="AE7" s="28">
        <f>J7-'Ago24'!J7</f>
        <v>3.0000000000000027E-2</v>
      </c>
      <c r="AF7" s="28">
        <f>L7-'Ago24'!L7</f>
        <v>1.999999999999999E-2</v>
      </c>
      <c r="AG7" s="28">
        <f>N7-'Ago24'!N7</f>
        <v>-4.6999999999999986E-2</v>
      </c>
      <c r="AH7" s="28">
        <f>P7-'Ago24'!P7</f>
        <v>-2.9999999999999992E-3</v>
      </c>
      <c r="AI7" s="28">
        <f>R7-'Ago24'!R7</f>
        <v>0</v>
      </c>
      <c r="AK7" s="10">
        <f>I7-'Ago24'!I7</f>
        <v>318549999.4000001</v>
      </c>
      <c r="AL7" s="76">
        <f>I7/'Ago24'!I7-1</f>
        <v>0.18234115586181754</v>
      </c>
      <c r="AN7" t="s">
        <v>15</v>
      </c>
      <c r="AO7" s="2" t="s">
        <v>19</v>
      </c>
    </row>
    <row r="8" spans="1:43" x14ac:dyDescent="0.25">
      <c r="B8" t="s">
        <v>57</v>
      </c>
      <c r="F8" s="7">
        <f t="shared" si="4"/>
        <v>1</v>
      </c>
      <c r="H8" s="3" t="s">
        <v>23</v>
      </c>
      <c r="I8" s="78">
        <v>2807730414</v>
      </c>
      <c r="J8" s="77">
        <v>0.4</v>
      </c>
      <c r="K8" s="78">
        <f t="shared" si="5"/>
        <v>1123092165.6000001</v>
      </c>
      <c r="L8" s="77">
        <f>6%+1%+24%</f>
        <v>0.31</v>
      </c>
      <c r="M8" s="78">
        <f t="shared" si="0"/>
        <v>870396428.34000003</v>
      </c>
      <c r="N8" s="77">
        <v>0.22</v>
      </c>
      <c r="O8" s="78">
        <f t="shared" si="1"/>
        <v>617700691.08000004</v>
      </c>
      <c r="P8" s="77">
        <v>0.05</v>
      </c>
      <c r="Q8" s="78">
        <f t="shared" si="2"/>
        <v>140386520.70000002</v>
      </c>
      <c r="R8" s="77"/>
      <c r="S8" s="78">
        <f t="shared" si="3"/>
        <v>0</v>
      </c>
      <c r="T8" s="77">
        <v>0.02</v>
      </c>
      <c r="U8" s="57">
        <f t="shared" si="3"/>
        <v>56154608.280000001</v>
      </c>
      <c r="Y8" s="12">
        <f>K8-'Ago24'!K8</f>
        <v>175732948.58380008</v>
      </c>
      <c r="Z8" s="12">
        <f>M8-'Ago24'!M8</f>
        <v>51058727.136799932</v>
      </c>
      <c r="AA8" s="12">
        <f>O8-'Ago24'!O8</f>
        <v>28801718.340199947</v>
      </c>
      <c r="AB8" s="12">
        <f>Q8-'Ago24'!Q8</f>
        <v>12365004.886999995</v>
      </c>
      <c r="AC8" s="12">
        <f>+S8-'Ago24'!S8</f>
        <v>0</v>
      </c>
      <c r="AE8" s="28">
        <f>J8-'Ago24'!J8</f>
        <v>3.0000000000000027E-2</v>
      </c>
      <c r="AF8" s="28">
        <f>L8-'Ago24'!L8</f>
        <v>-1.0000000000000009E-2</v>
      </c>
      <c r="AG8" s="28">
        <f>N8-'Ago24'!N8</f>
        <v>-1.0000000000000009E-2</v>
      </c>
      <c r="AH8" s="28">
        <f>P8-'Ago24'!P8</f>
        <v>0</v>
      </c>
      <c r="AI8" s="28">
        <f>R8-'Ago24'!R8</f>
        <v>0</v>
      </c>
      <c r="AK8" s="10">
        <f>I8-'Ago24'!I8</f>
        <v>247300097.73999977</v>
      </c>
      <c r="AL8" s="76">
        <f>I8/'Ago24'!I8-1</f>
        <v>9.6585365424523228E-2</v>
      </c>
      <c r="AN8" t="s">
        <v>57</v>
      </c>
    </row>
    <row r="9" spans="1:43" x14ac:dyDescent="0.25">
      <c r="F9" s="7">
        <f t="shared" si="4"/>
        <v>0.99999999999999989</v>
      </c>
      <c r="H9" s="3" t="s">
        <v>24</v>
      </c>
      <c r="I9" s="78">
        <v>1799108556</v>
      </c>
      <c r="J9" s="77">
        <v>0.51619999999999999</v>
      </c>
      <c r="K9" s="78">
        <f t="shared" si="5"/>
        <v>928699836.60720003</v>
      </c>
      <c r="L9" s="77">
        <v>0.13339999999999999</v>
      </c>
      <c r="M9" s="78">
        <f t="shared" si="0"/>
        <v>240001081.37039998</v>
      </c>
      <c r="N9" s="77">
        <v>0.30649999999999999</v>
      </c>
      <c r="O9" s="78">
        <f t="shared" si="1"/>
        <v>551426772.41400003</v>
      </c>
      <c r="P9" s="77">
        <v>4.3799999999999999E-2</v>
      </c>
      <c r="Q9" s="78">
        <f t="shared" si="2"/>
        <v>78800954.752800003</v>
      </c>
      <c r="R9" s="77"/>
      <c r="S9" s="78">
        <f t="shared" si="3"/>
        <v>0</v>
      </c>
      <c r="T9" s="77">
        <v>1E-4</v>
      </c>
      <c r="U9" s="57">
        <f t="shared" si="3"/>
        <v>179910.85560000001</v>
      </c>
      <c r="Y9" s="12">
        <f>K9-'Ago24'!K9</f>
        <v>203609004.72409999</v>
      </c>
      <c r="Z9" s="12">
        <f>M9-'Ago24'!M9</f>
        <v>-79318109.960000008</v>
      </c>
      <c r="AA9" s="12">
        <f>O9-'Ago24'!O9</f>
        <v>-110480385.39979994</v>
      </c>
      <c r="AB9" s="12">
        <f>Q9-'Ago24'!Q9</f>
        <v>-3534711.1731999964</v>
      </c>
      <c r="AC9" s="12">
        <f>+S9-'Ago24'!S9</f>
        <v>0</v>
      </c>
      <c r="AE9" s="28">
        <f>J9-'Ago24'!J9</f>
        <v>0.11109999999999998</v>
      </c>
      <c r="AF9" s="28">
        <f>L9-'Ago24'!L9</f>
        <v>-4.5000000000000012E-2</v>
      </c>
      <c r="AG9" s="28">
        <f>N9-'Ago24'!N9</f>
        <v>-6.3300000000000023E-2</v>
      </c>
      <c r="AH9" s="28">
        <f>P9-'Ago24'!P9</f>
        <v>-2.2000000000000006E-3</v>
      </c>
      <c r="AI9" s="28">
        <f>R9-'Ago24'!R9</f>
        <v>0</v>
      </c>
      <c r="AK9" s="10">
        <f>I9-'Ago24'!I9</f>
        <v>9202775</v>
      </c>
      <c r="AL9" s="76">
        <f>I9/'Ago24'!I9-1</f>
        <v>5.1414857126492741E-3</v>
      </c>
    </row>
    <row r="10" spans="1:43" x14ac:dyDescent="0.25">
      <c r="F10" s="7">
        <f t="shared" si="4"/>
        <v>1</v>
      </c>
      <c r="H10" s="3" t="s">
        <v>29</v>
      </c>
      <c r="I10" s="78">
        <v>8351119006</v>
      </c>
      <c r="J10" s="77">
        <v>0.45700000000000002</v>
      </c>
      <c r="K10" s="78">
        <f t="shared" si="5"/>
        <v>3816461385.7420001</v>
      </c>
      <c r="L10" s="77">
        <f>29.8%+5.1%</f>
        <v>0.34899999999999998</v>
      </c>
      <c r="M10" s="78">
        <f t="shared" si="0"/>
        <v>2914540533.0939999</v>
      </c>
      <c r="N10" s="77">
        <f>16.6%+0.5%</f>
        <v>0.17100000000000001</v>
      </c>
      <c r="O10" s="78">
        <f t="shared" si="1"/>
        <v>1428041350.026</v>
      </c>
      <c r="P10" s="77">
        <v>2.3E-2</v>
      </c>
      <c r="Q10" s="78">
        <f t="shared" si="2"/>
        <v>192075737.13800001</v>
      </c>
      <c r="R10" s="77"/>
      <c r="S10" s="78">
        <f t="shared" si="3"/>
        <v>0</v>
      </c>
      <c r="T10" s="77"/>
      <c r="U10" s="57">
        <f t="shared" si="3"/>
        <v>0</v>
      </c>
      <c r="Y10" s="12">
        <f>K10-'Ago24'!K11</f>
        <v>301488721.34200001</v>
      </c>
      <c r="Z10" s="12">
        <f>M10-'Ago24'!M11</f>
        <v>191228378.69399977</v>
      </c>
      <c r="AA10" s="12">
        <f>O10-'Ago24'!O11</f>
        <v>-76113618.974000216</v>
      </c>
      <c r="AB10" s="12">
        <f>Q10-'Ago24'!Q11</f>
        <v>17910424.938000023</v>
      </c>
      <c r="AC10" s="12">
        <f>+S10-'Ago24'!S11</f>
        <v>0</v>
      </c>
      <c r="AE10" s="28">
        <f>J10-'Ago24'!J11</f>
        <v>1.3000000000000012E-2</v>
      </c>
      <c r="AF10" s="28">
        <f>L10-'Ago24'!L11</f>
        <v>4.9999999999999489E-3</v>
      </c>
      <c r="AG10" s="28">
        <f>N10-'Ago24'!N11</f>
        <v>-1.9000000000000017E-2</v>
      </c>
      <c r="AH10" s="28">
        <f>P10-'Ago24'!P11</f>
        <v>1.0000000000000009E-3</v>
      </c>
      <c r="AI10" s="28">
        <f>R10-'Ago24'!R11</f>
        <v>0</v>
      </c>
      <c r="AK10" s="10">
        <f>I10-'Ago24'!I11</f>
        <v>434513906</v>
      </c>
      <c r="AL10" s="76">
        <f>I10/'Ago24'!I11-1</f>
        <v>5.4886393916503406E-2</v>
      </c>
    </row>
    <row r="11" spans="1:43" x14ac:dyDescent="0.25">
      <c r="F11" s="7">
        <f t="shared" si="4"/>
        <v>1</v>
      </c>
      <c r="H11" s="3" t="s">
        <v>47</v>
      </c>
      <c r="I11" s="78">
        <v>2748473978.3299999</v>
      </c>
      <c r="J11" s="77">
        <f>45.8%+22.68%</f>
        <v>0.68479999999999996</v>
      </c>
      <c r="K11" s="78">
        <f t="shared" si="5"/>
        <v>1882154980.3603837</v>
      </c>
      <c r="L11" s="77">
        <v>9.64E-2</v>
      </c>
      <c r="M11" s="78">
        <f t="shared" si="0"/>
        <v>264952891.51101199</v>
      </c>
      <c r="N11" s="77">
        <v>0.15090000000000001</v>
      </c>
      <c r="O11" s="78">
        <f t="shared" si="1"/>
        <v>414744723.329997</v>
      </c>
      <c r="P11" s="77"/>
      <c r="Q11" s="78">
        <f t="shared" si="2"/>
        <v>0</v>
      </c>
      <c r="R11" s="77"/>
      <c r="S11" s="78">
        <f t="shared" si="3"/>
        <v>0</v>
      </c>
      <c r="T11" s="77">
        <v>6.7900000000000002E-2</v>
      </c>
      <c r="U11" s="57">
        <f t="shared" si="3"/>
        <v>186621383.128607</v>
      </c>
      <c r="Y11" s="12">
        <f>K11-'Ago24'!K12</f>
        <v>132218165.23378587</v>
      </c>
      <c r="Z11" s="12">
        <f>M11-'Ago24'!M12</f>
        <v>10755970.942074031</v>
      </c>
      <c r="AA11" s="12">
        <f>O11-'Ago24'!O12</f>
        <v>-38971807.075366974</v>
      </c>
      <c r="AB11" s="12">
        <f>Q11-'Ago24'!Q12</f>
        <v>0</v>
      </c>
      <c r="AC11" s="12">
        <f>+S11-'Ago24'!S12</f>
        <v>0</v>
      </c>
      <c r="AE11" s="28">
        <f>J11-'Ago24'!J12</f>
        <v>1.9100000000000006E-2</v>
      </c>
      <c r="AF11" s="28">
        <f>L11-'Ago24'!L12</f>
        <v>-2.9999999999999472E-4</v>
      </c>
      <c r="AG11" s="28">
        <f>N11-'Ago24'!N12</f>
        <v>-2.1699999999999997E-2</v>
      </c>
      <c r="AH11" s="28">
        <f>P11-'Ago24'!P12</f>
        <v>0</v>
      </c>
      <c r="AI11" s="28">
        <f>R11-'Ago24'!R12</f>
        <v>0</v>
      </c>
      <c r="AK11" s="10">
        <f>I11-'Ago24'!I12</f>
        <v>119757116.19000006</v>
      </c>
      <c r="AL11" s="76">
        <f>I11/'Ago24'!I12-1</f>
        <v>4.5557251872500037E-2</v>
      </c>
    </row>
    <row r="12" spans="1:43" x14ac:dyDescent="0.25">
      <c r="F12" s="7">
        <f t="shared" ref="F12" si="6">J12+L12+N12+P12+R12+T12</f>
        <v>1</v>
      </c>
      <c r="H12" s="3" t="s">
        <v>30</v>
      </c>
      <c r="I12" s="78">
        <v>1354460000</v>
      </c>
      <c r="J12" s="77">
        <v>0.48399999999999999</v>
      </c>
      <c r="K12" s="78">
        <f t="shared" ref="K12:K13" si="7">+J12*$I12</f>
        <v>655558640</v>
      </c>
      <c r="L12" s="77">
        <f>12.1%+10%</f>
        <v>0.221</v>
      </c>
      <c r="M12" s="78">
        <f t="shared" ref="M12:M13" si="8">+L12*$I12</f>
        <v>299335660</v>
      </c>
      <c r="N12" s="77">
        <v>0.28699999999999998</v>
      </c>
      <c r="O12" s="78">
        <f t="shared" ref="O12:O13" si="9">+N12*$I12</f>
        <v>388730019.99999994</v>
      </c>
      <c r="P12" s="77">
        <v>8.0000000000000002E-3</v>
      </c>
      <c r="Q12" s="78">
        <f t="shared" ref="Q12" si="10">+P12*$I12</f>
        <v>10835680</v>
      </c>
      <c r="R12" s="77"/>
      <c r="S12" s="78">
        <f t="shared" ref="S12" si="11">+R12*$I12</f>
        <v>0</v>
      </c>
      <c r="T12" s="77"/>
      <c r="U12" s="57">
        <f t="shared" ref="U12" si="12">+T12*$I12</f>
        <v>0</v>
      </c>
      <c r="Y12" s="12">
        <f>K12-'Ago24'!K12</f>
        <v>-1094378175.1265979</v>
      </c>
      <c r="Z12" s="12">
        <f>M12-'Ago24'!M12</f>
        <v>45138739.431062043</v>
      </c>
      <c r="AA12" s="12">
        <f>O12-'Ago24'!O12</f>
        <v>-64986510.405364037</v>
      </c>
      <c r="AB12" s="12">
        <f>Q12-'Ago24'!Q12</f>
        <v>10835680</v>
      </c>
      <c r="AC12" s="12">
        <f>+S12-'Ago24'!S12</f>
        <v>0</v>
      </c>
      <c r="AE12" s="28">
        <f>J12-'Ago24'!J12</f>
        <v>-0.18169999999999997</v>
      </c>
      <c r="AF12" s="28">
        <f>L12-'Ago24'!L12</f>
        <v>0.12430000000000001</v>
      </c>
      <c r="AG12" s="28">
        <f>N12-'Ago24'!N12</f>
        <v>0.11439999999999997</v>
      </c>
      <c r="AH12" s="28">
        <f>P12-'Ago24'!P12</f>
        <v>8.0000000000000002E-3</v>
      </c>
      <c r="AI12" s="28">
        <f>R12-'Ago24'!R12</f>
        <v>0</v>
      </c>
      <c r="AK12" s="10">
        <f>I12-'Ago24'!I12</f>
        <v>-1274256862.1399999</v>
      </c>
      <c r="AL12" s="76">
        <f>I12/'Ago24'!I12-1</f>
        <v>-0.48474481238068601</v>
      </c>
    </row>
    <row r="13" spans="1:43" x14ac:dyDescent="0.25">
      <c r="F13" s="7">
        <f t="shared" si="4"/>
        <v>1</v>
      </c>
      <c r="H13" s="3" t="s">
        <v>64</v>
      </c>
      <c r="I13" s="78">
        <v>1288300000</v>
      </c>
      <c r="J13" s="77">
        <v>0.49</v>
      </c>
      <c r="K13" s="78">
        <f t="shared" si="7"/>
        <v>631267000</v>
      </c>
      <c r="L13" s="77">
        <v>0.27</v>
      </c>
      <c r="M13" s="78">
        <f t="shared" si="8"/>
        <v>347841000</v>
      </c>
      <c r="N13" s="77">
        <v>0.22</v>
      </c>
      <c r="O13" s="78">
        <f t="shared" si="9"/>
        <v>283426000</v>
      </c>
      <c r="P13" s="77">
        <v>0.02</v>
      </c>
      <c r="Q13" s="78">
        <f t="shared" si="2"/>
        <v>25766000</v>
      </c>
      <c r="R13" s="77"/>
      <c r="S13" s="78">
        <f t="shared" si="3"/>
        <v>0</v>
      </c>
      <c r="T13" s="77"/>
      <c r="U13" s="57">
        <f t="shared" si="3"/>
        <v>0</v>
      </c>
      <c r="Y13" s="12">
        <f>K13-'Ago24'!K13</f>
        <v>72239860</v>
      </c>
      <c r="Z13" s="12">
        <f>M13-'Ago24'!M13</f>
        <v>76456460</v>
      </c>
      <c r="AA13" s="12">
        <f>O13-'Ago24'!O13</f>
        <v>-126777360</v>
      </c>
      <c r="AB13" s="12">
        <f>Q13-'Ago24'!Q13</f>
        <v>15761040</v>
      </c>
      <c r="AC13" s="12">
        <f>+S13-'Ago24'!S13</f>
        <v>0</v>
      </c>
      <c r="AE13" s="28">
        <f>J13-'Ago24'!J13</f>
        <v>4.2999999999999983E-2</v>
      </c>
      <c r="AF13" s="28">
        <f>L13-'Ago24'!L13</f>
        <v>5.3000000000000019E-2</v>
      </c>
      <c r="AG13" s="28">
        <f>N13-'Ago24'!N13</f>
        <v>-0.10800000000000001</v>
      </c>
      <c r="AH13" s="28">
        <f>P13-'Ago24'!P13</f>
        <v>1.2E-2</v>
      </c>
      <c r="AI13" s="28">
        <f>R13-'Ago24'!R13</f>
        <v>0</v>
      </c>
      <c r="AK13" s="10">
        <f>I13-'Ago24'!I13</f>
        <v>37680000</v>
      </c>
      <c r="AL13" s="76">
        <f>I13/'Ago24'!I13-1</f>
        <v>3.0129055988229902E-2</v>
      </c>
    </row>
    <row r="14" spans="1:43" s="8" customFormat="1" x14ac:dyDescent="0.25">
      <c r="F14" s="7">
        <f>J14+L14+N14+P14+R14+T14</f>
        <v>0.99999999999999978</v>
      </c>
      <c r="H14" s="21" t="s">
        <v>45</v>
      </c>
      <c r="I14" s="20">
        <f>SUM(I3:I13)</f>
        <v>27600963163.730003</v>
      </c>
      <c r="J14" s="15">
        <f>K14/$I$14</f>
        <v>0.42810037037921173</v>
      </c>
      <c r="K14" s="17">
        <f>SUM(K3:K13)</f>
        <v>11815982553.215794</v>
      </c>
      <c r="L14" s="15">
        <f>M14/$I$14</f>
        <v>0.24770070565171204</v>
      </c>
      <c r="M14" s="20">
        <f>SUM(M3:M13)</f>
        <v>6836778052.3228321</v>
      </c>
      <c r="N14" s="15">
        <f>O14/$I$14</f>
        <v>0.28403663797952911</v>
      </c>
      <c r="O14" s="17">
        <f>SUM(O3:O13)</f>
        <v>7839684782.0226974</v>
      </c>
      <c r="P14" s="15">
        <f>Q14/$I$14</f>
        <v>2.2909574869757452E-2</v>
      </c>
      <c r="Q14" s="17">
        <f>SUM(Q3:Q13)</f>
        <v>632326332.07688999</v>
      </c>
      <c r="R14" s="15">
        <f>S14/$I$14</f>
        <v>3.0226337167512662E-3</v>
      </c>
      <c r="S14" s="17">
        <f>SUM(S3:S13)</f>
        <v>83427601.873500004</v>
      </c>
      <c r="T14" s="15">
        <f>U14/$I$14</f>
        <v>1.4230077403038307E-2</v>
      </c>
      <c r="U14" s="63">
        <f>SUM(U3:U13)</f>
        <v>392763842.21828699</v>
      </c>
      <c r="Y14" s="12">
        <f>K14-'Ago24'!K15</f>
        <v>1850945170.9714661</v>
      </c>
      <c r="Z14" s="12">
        <f>M14-'Ago24'!M15</f>
        <v>855308656.72489357</v>
      </c>
      <c r="AA14" s="12">
        <f>O14-'Ago24'!O15</f>
        <v>239994793.08369255</v>
      </c>
      <c r="AB14" s="12">
        <f>Q14-'Ago24'!Q15</f>
        <v>44111660.51315999</v>
      </c>
      <c r="AC14" s="12">
        <f>+S14-'Ago24'!S15</f>
        <v>-15245510.211299986</v>
      </c>
      <c r="AE14" s="28">
        <f>J14-'Ago24'!J15</f>
        <v>2.3822689584540702E-2</v>
      </c>
      <c r="AF14" s="28">
        <f>L14-'Ago24'!L15</f>
        <v>5.034824708271407E-3</v>
      </c>
      <c r="AG14" s="28">
        <f>N14-'Ago24'!N15</f>
        <v>-2.4279821420924941E-2</v>
      </c>
      <c r="AH14" s="28">
        <f>P14-'Ago24'!P15</f>
        <v>-9.5406498501106676E-4</v>
      </c>
      <c r="AI14" s="28">
        <f>R14-'Ago24'!R15</f>
        <v>-9.8049596357625834E-4</v>
      </c>
      <c r="AK14" s="92">
        <f>I14-'Ago24'!I15</f>
        <v>2951971008.9900055</v>
      </c>
      <c r="AL14" s="76">
        <f>I14/'Ago24'!I15-1</f>
        <v>0.11976031273239474</v>
      </c>
    </row>
    <row r="15" spans="1:43" x14ac:dyDescent="0.25">
      <c r="F15" s="7"/>
      <c r="I15" s="10"/>
      <c r="J15" s="10"/>
      <c r="K15" s="10"/>
      <c r="L15" s="5"/>
      <c r="M15" s="10"/>
      <c r="N15" s="10"/>
      <c r="O15" s="10"/>
      <c r="P15" s="5"/>
      <c r="Q15" s="10"/>
    </row>
    <row r="16" spans="1:43" x14ac:dyDescent="0.25">
      <c r="F16" s="7"/>
      <c r="H16" s="4" t="s">
        <v>2</v>
      </c>
      <c r="I16" s="9" t="s">
        <v>4</v>
      </c>
      <c r="J16" s="112" t="s">
        <v>7</v>
      </c>
      <c r="K16" s="112"/>
      <c r="L16" s="112" t="s">
        <v>8</v>
      </c>
      <c r="M16" s="112"/>
      <c r="N16" s="112" t="s">
        <v>10</v>
      </c>
      <c r="O16" s="112"/>
      <c r="P16" s="112" t="s">
        <v>9</v>
      </c>
      <c r="Q16" s="112"/>
      <c r="R16" s="112" t="s">
        <v>21</v>
      </c>
      <c r="S16" s="112"/>
      <c r="T16" s="112" t="s">
        <v>55</v>
      </c>
      <c r="U16" s="112"/>
      <c r="Y16" s="27" t="s">
        <v>49</v>
      </c>
      <c r="Z16" s="27" t="s">
        <v>50</v>
      </c>
      <c r="AA16" s="27" t="s">
        <v>51</v>
      </c>
      <c r="AB16" s="27" t="s">
        <v>52</v>
      </c>
      <c r="AC16" s="27" t="s">
        <v>53</v>
      </c>
      <c r="AE16" s="27" t="s">
        <v>49</v>
      </c>
      <c r="AF16" s="27" t="s">
        <v>50</v>
      </c>
      <c r="AG16" s="27" t="s">
        <v>51</v>
      </c>
      <c r="AH16" s="27" t="s">
        <v>52</v>
      </c>
      <c r="AI16" s="27" t="s">
        <v>53</v>
      </c>
    </row>
    <row r="17" spans="5:39" x14ac:dyDescent="0.25">
      <c r="E17" s="98"/>
      <c r="F17" s="7">
        <f t="shared" si="4"/>
        <v>1</v>
      </c>
      <c r="G17" s="99"/>
      <c r="H17" s="21" t="s">
        <v>6</v>
      </c>
      <c r="I17" s="80">
        <v>265156838.11000001</v>
      </c>
      <c r="J17" s="81">
        <f>19.68%+0.69%</f>
        <v>0.20369999999999999</v>
      </c>
      <c r="K17" s="80">
        <f t="shared" ref="K17:K24" si="13">+J17*$I17</f>
        <v>54012447.923007004</v>
      </c>
      <c r="L17" s="81">
        <f>11.74%+7.02%+6.05%+3.9%+6.39%</f>
        <v>0.35099999999999998</v>
      </c>
      <c r="M17" s="80">
        <f t="shared" ref="M17:M24" si="14">+L17*$I17</f>
        <v>93070050.176609993</v>
      </c>
      <c r="N17" s="81">
        <f>38.71%+1.03%</f>
        <v>0.39739999999999998</v>
      </c>
      <c r="O17" s="80">
        <f t="shared" ref="O17:O24" si="15">+N17*$I17</f>
        <v>105373327.46491399</v>
      </c>
      <c r="P17" s="81">
        <v>7.0499999999999993E-2</v>
      </c>
      <c r="Q17" s="80">
        <f t="shared" ref="Q17:Q26" si="16">+P17*$I17</f>
        <v>18693557.086755</v>
      </c>
      <c r="R17" s="81"/>
      <c r="S17" s="80">
        <f t="shared" ref="S17:S26" si="17">+R17*$I17</f>
        <v>0</v>
      </c>
      <c r="T17" s="81">
        <v>-2.2599999999999999E-2</v>
      </c>
      <c r="U17" s="79">
        <f>T17*$I17</f>
        <v>-5992544.5412860001</v>
      </c>
      <c r="V17" s="98"/>
      <c r="Y17" s="12">
        <f>K17-'Ago24'!K18</f>
        <v>-3436574.2316429913</v>
      </c>
      <c r="Z17" s="12">
        <f>M17-'Ago24'!M18</f>
        <v>6603137.5371600091</v>
      </c>
      <c r="AA17" s="12">
        <f>O17-'Ago24'!O18</f>
        <v>1223637.8112889975</v>
      </c>
      <c r="AB17" s="12">
        <f>Q17-'Ago24'!Q18</f>
        <v>50629.284479998052</v>
      </c>
      <c r="AC17" s="12">
        <f>+S17-'Ago24'!S18</f>
        <v>0</v>
      </c>
      <c r="AD17" s="98"/>
      <c r="AE17" s="28">
        <f>J17-'Ago24'!J18</f>
        <v>-1.1699999999999988E-2</v>
      </c>
      <c r="AF17" s="28">
        <f>L17-'Ago24'!L18</f>
        <v>2.6800000000000046E-2</v>
      </c>
      <c r="AG17" s="28">
        <f>N17-'Ago24'!N18</f>
        <v>6.8999999999999617E-3</v>
      </c>
      <c r="AH17" s="28">
        <f>P17-'Ago24'!P18</f>
        <v>5.9999999999998943E-4</v>
      </c>
      <c r="AI17" s="28">
        <f>R17-'Ago24'!R18</f>
        <v>0</v>
      </c>
      <c r="AJ17" s="98"/>
      <c r="AK17" s="10">
        <f>I17-'Ago24'!I18</f>
        <v>-1551714.1399999857</v>
      </c>
      <c r="AL17" s="76">
        <f>I17/'Ago24'!I18-1</f>
        <v>-5.818014184057696E-3</v>
      </c>
      <c r="AM17" s="98"/>
    </row>
    <row r="18" spans="5:39" x14ac:dyDescent="0.25">
      <c r="F18" s="7">
        <f t="shared" si="4"/>
        <v>1</v>
      </c>
      <c r="H18" s="3" t="s">
        <v>26</v>
      </c>
      <c r="I18" s="78">
        <v>772589234.64999998</v>
      </c>
      <c r="J18" s="77">
        <v>0.28000000000000003</v>
      </c>
      <c r="K18" s="78">
        <f t="shared" si="13"/>
        <v>216324985.70200002</v>
      </c>
      <c r="L18" s="77">
        <f>4%+12%</f>
        <v>0.16</v>
      </c>
      <c r="M18" s="78">
        <f t="shared" si="14"/>
        <v>123614277.544</v>
      </c>
      <c r="N18" s="77">
        <v>0.35</v>
      </c>
      <c r="O18" s="78">
        <f t="shared" si="15"/>
        <v>270406232.1275</v>
      </c>
      <c r="P18" s="77">
        <v>0.15</v>
      </c>
      <c r="Q18" s="78">
        <f t="shared" si="16"/>
        <v>115888385.19749999</v>
      </c>
      <c r="R18" s="77">
        <v>0.06</v>
      </c>
      <c r="S18" s="78">
        <f t="shared" si="17"/>
        <v>46355354.078999996</v>
      </c>
      <c r="T18" s="77"/>
      <c r="U18" s="57">
        <f>T18*$I18</f>
        <v>0</v>
      </c>
      <c r="Y18" s="12">
        <f>K18-'Ago24'!K19</f>
        <v>5183692.9798000455</v>
      </c>
      <c r="Z18" s="12">
        <f>M18-'Ago24'!M19</f>
        <v>7122529.8352000117</v>
      </c>
      <c r="AA18" s="12">
        <f>O18-'Ago24'!O19</f>
        <v>30142002.478100002</v>
      </c>
      <c r="AB18" s="12">
        <f>Q18-'Ago24'!Q19</f>
        <v>13958105.952299982</v>
      </c>
      <c r="AC18" s="12">
        <f>+S18-'Ago24'!S19</f>
        <v>-11890519.775399998</v>
      </c>
      <c r="AE18" s="28">
        <f>J18-'Ago24'!J19</f>
        <v>-9.9999999999999534E-3</v>
      </c>
      <c r="AF18" s="28">
        <f>L18-'Ago24'!L19</f>
        <v>0</v>
      </c>
      <c r="AG18" s="28">
        <f>N18-'Ago24'!N19</f>
        <v>1.9999999999999962E-2</v>
      </c>
      <c r="AH18" s="28">
        <f>P18-'Ago24'!P19</f>
        <v>9.9999999999999811E-3</v>
      </c>
      <c r="AI18" s="28">
        <f>R18-'Ago24'!R19</f>
        <v>-2.0000000000000004E-2</v>
      </c>
      <c r="AK18" s="10">
        <f>I18-'Ago24'!I19</f>
        <v>44515811.470000029</v>
      </c>
      <c r="AL18" s="76">
        <f>I18/'Ago24'!I19-1</f>
        <v>6.1141926147460168E-2</v>
      </c>
    </row>
    <row r="19" spans="5:39" x14ac:dyDescent="0.25">
      <c r="F19" s="7">
        <f t="shared" si="4"/>
        <v>1</v>
      </c>
      <c r="H19" s="3" t="s">
        <v>27</v>
      </c>
      <c r="I19" s="78">
        <v>395163961</v>
      </c>
      <c r="J19" s="77"/>
      <c r="K19" s="78">
        <f t="shared" si="13"/>
        <v>0</v>
      </c>
      <c r="L19" s="77">
        <f>25.4%+1.1%</f>
        <v>0.26500000000000001</v>
      </c>
      <c r="M19" s="78">
        <f t="shared" si="14"/>
        <v>104718449.66500001</v>
      </c>
      <c r="N19" s="77">
        <f>61.6%+3.5%+3%</f>
        <v>0.68100000000000005</v>
      </c>
      <c r="O19" s="78">
        <f t="shared" si="15"/>
        <v>269106657.44100004</v>
      </c>
      <c r="P19" s="77">
        <v>4.2999999999999997E-2</v>
      </c>
      <c r="Q19" s="78">
        <f t="shared" si="16"/>
        <v>16992050.322999999</v>
      </c>
      <c r="R19" s="77"/>
      <c r="S19" s="78">
        <f t="shared" si="17"/>
        <v>0</v>
      </c>
      <c r="T19" s="77">
        <v>1.0999999999999999E-2</v>
      </c>
      <c r="U19" s="57">
        <f t="shared" ref="U19:U26" si="18">T19*$I19</f>
        <v>4346803.5709999995</v>
      </c>
      <c r="Y19" s="12">
        <f>K19-'Ago24'!K20</f>
        <v>-6230711.8200000003</v>
      </c>
      <c r="Z19" s="12">
        <f>M19-'Ago24'!M20</f>
        <v>10524747.445000008</v>
      </c>
      <c r="AA19" s="12">
        <f>O19-'Ago24'!O20</f>
        <v>30507045.981000036</v>
      </c>
      <c r="AB19" s="12">
        <f>Q19-'Ago24'!Q20</f>
        <v>2331551.9229999986</v>
      </c>
      <c r="AC19" s="12">
        <f>+S19-'Ago24'!S20</f>
        <v>0</v>
      </c>
      <c r="AE19" s="28">
        <f>J19-'Ago24'!J20</f>
        <v>-1.7000000000000001E-2</v>
      </c>
      <c r="AF19" s="28">
        <f>L19-'Ago24'!L20</f>
        <v>8.0000000000000071E-3</v>
      </c>
      <c r="AG19" s="28">
        <f>N19-'Ago24'!N20</f>
        <v>3.0000000000000027E-2</v>
      </c>
      <c r="AH19" s="28">
        <f>P19-'Ago24'!P20</f>
        <v>2.9999999999999957E-3</v>
      </c>
      <c r="AI19" s="28">
        <f>R19-'Ago24'!R20</f>
        <v>0</v>
      </c>
      <c r="AK19" s="10">
        <f>I19-'Ago24'!I20</f>
        <v>28651501</v>
      </c>
      <c r="AL19" s="76">
        <f>I19/'Ago24'!I20-1</f>
        <v>7.8173334134397532E-2</v>
      </c>
    </row>
    <row r="20" spans="5:39" x14ac:dyDescent="0.25">
      <c r="F20" s="7">
        <f t="shared" si="4"/>
        <v>1</v>
      </c>
      <c r="H20" s="3" t="s">
        <v>28</v>
      </c>
      <c r="I20" s="78">
        <v>1129741341</v>
      </c>
      <c r="J20" s="77">
        <v>0.14000000000000001</v>
      </c>
      <c r="K20" s="78">
        <f t="shared" si="13"/>
        <v>158163787.74000001</v>
      </c>
      <c r="L20" s="77">
        <f>10%+5%+3%+2%+1%</f>
        <v>0.21000000000000002</v>
      </c>
      <c r="M20" s="78">
        <f t="shared" si="14"/>
        <v>237245681.61000001</v>
      </c>
      <c r="N20" s="77">
        <v>0.52</v>
      </c>
      <c r="O20" s="78">
        <f t="shared" si="15"/>
        <v>587465497.32000005</v>
      </c>
      <c r="P20" s="77">
        <v>0.13</v>
      </c>
      <c r="Q20" s="78">
        <f t="shared" si="16"/>
        <v>146866374.33000001</v>
      </c>
      <c r="R20" s="77"/>
      <c r="S20" s="78">
        <f t="shared" si="17"/>
        <v>0</v>
      </c>
      <c r="T20" s="77"/>
      <c r="U20" s="57">
        <f t="shared" si="18"/>
        <v>0</v>
      </c>
      <c r="Y20" s="12">
        <f>K20-'Ago24'!K21</f>
        <v>4858818.5799999833</v>
      </c>
      <c r="Z20" s="12">
        <f>M20-'Ago24'!M21</f>
        <v>7288227.8700000048</v>
      </c>
      <c r="AA20" s="12">
        <f>O20-'Ago24'!O21</f>
        <v>18047040.440000057</v>
      </c>
      <c r="AB20" s="12">
        <f>Q20-'Ago24'!Q21</f>
        <v>15462115.050000012</v>
      </c>
      <c r="AC20" s="12">
        <f>+S20-'Ago24'!S21</f>
        <v>0</v>
      </c>
      <c r="AE20" s="28">
        <f>J20-'Ago24'!J21</f>
        <v>0</v>
      </c>
      <c r="AF20" s="28">
        <f>L20-'Ago24'!L21</f>
        <v>0</v>
      </c>
      <c r="AG20" s="28">
        <f>N20-'Ago24'!N21</f>
        <v>0</v>
      </c>
      <c r="AH20" s="28">
        <f>P20-'Ago24'!P21</f>
        <v>1.0000000000000009E-2</v>
      </c>
      <c r="AI20" s="28">
        <f>R20-'Ago24'!R21</f>
        <v>0</v>
      </c>
      <c r="AK20" s="10">
        <f>I20-'Ago24'!I21</f>
        <v>34705847</v>
      </c>
      <c r="AL20" s="76">
        <f>I20/'Ago24'!I21-1</f>
        <v>3.1693810100369202E-2</v>
      </c>
    </row>
    <row r="21" spans="5:39" x14ac:dyDescent="0.25">
      <c r="F21" s="7">
        <f t="shared" si="4"/>
        <v>1</v>
      </c>
      <c r="H21" s="3" t="s">
        <v>32</v>
      </c>
      <c r="I21" s="78">
        <v>241100000</v>
      </c>
      <c r="J21" s="77">
        <v>0.13</v>
      </c>
      <c r="K21" s="78">
        <f t="shared" si="13"/>
        <v>31343000</v>
      </c>
      <c r="L21" s="77">
        <v>0.14000000000000001</v>
      </c>
      <c r="M21" s="78">
        <f t="shared" si="14"/>
        <v>33754000</v>
      </c>
      <c r="N21" s="77">
        <f>58%+4%</f>
        <v>0.62</v>
      </c>
      <c r="O21" s="78">
        <f t="shared" si="15"/>
        <v>149482000</v>
      </c>
      <c r="P21" s="77">
        <v>0.11</v>
      </c>
      <c r="Q21" s="78">
        <f t="shared" si="16"/>
        <v>26521000</v>
      </c>
      <c r="R21" s="77"/>
      <c r="S21" s="78">
        <f t="shared" si="17"/>
        <v>0</v>
      </c>
      <c r="T21" s="77"/>
      <c r="U21" s="57">
        <f t="shared" si="18"/>
        <v>0</v>
      </c>
      <c r="Y21" s="12">
        <f>K21-'Ago24'!K22</f>
        <v>-26000</v>
      </c>
      <c r="Z21" s="12">
        <f>M21-'Ago24'!M22</f>
        <v>-28000</v>
      </c>
      <c r="AA21" s="12">
        <f>O21-'Ago24'!O22</f>
        <v>-124000</v>
      </c>
      <c r="AB21" s="12">
        <f>Q21-'Ago24'!Q22</f>
        <v>-22000</v>
      </c>
      <c r="AC21" s="12">
        <f>+S21-'Ago24'!S22</f>
        <v>0</v>
      </c>
      <c r="AE21" s="28">
        <f>J21-'Ago24'!J22</f>
        <v>0</v>
      </c>
      <c r="AF21" s="28">
        <f>L21-'Ago24'!L22</f>
        <v>0</v>
      </c>
      <c r="AG21" s="28">
        <f>N21-'Ago24'!N22</f>
        <v>0</v>
      </c>
      <c r="AH21" s="28">
        <f>P21-'Ago24'!P22</f>
        <v>0</v>
      </c>
      <c r="AI21" s="28">
        <f>R21-'Ago24'!R22</f>
        <v>0</v>
      </c>
      <c r="AK21" s="10">
        <f>I21-'Ago24'!I22</f>
        <v>-200000</v>
      </c>
      <c r="AL21" s="76">
        <f>I21/'Ago24'!I22-1</f>
        <v>-8.2884376295067064E-4</v>
      </c>
    </row>
    <row r="22" spans="5:39" x14ac:dyDescent="0.25">
      <c r="F22" s="7">
        <f t="shared" si="4"/>
        <v>1</v>
      </c>
      <c r="H22" s="3" t="s">
        <v>33</v>
      </c>
      <c r="I22" s="84">
        <v>1025000000</v>
      </c>
      <c r="J22" s="77">
        <v>0.27</v>
      </c>
      <c r="K22" s="78">
        <f t="shared" si="13"/>
        <v>276750000</v>
      </c>
      <c r="L22" s="77">
        <v>0.14000000000000001</v>
      </c>
      <c r="M22" s="78">
        <f t="shared" si="14"/>
        <v>143500000</v>
      </c>
      <c r="N22" s="77">
        <v>0.56999999999999995</v>
      </c>
      <c r="O22" s="78">
        <f t="shared" si="15"/>
        <v>584250000</v>
      </c>
      <c r="P22" s="77">
        <v>0.02</v>
      </c>
      <c r="Q22" s="78">
        <f t="shared" si="16"/>
        <v>20500000</v>
      </c>
      <c r="R22" s="77"/>
      <c r="S22" s="78">
        <f t="shared" si="17"/>
        <v>0</v>
      </c>
      <c r="T22" s="77"/>
      <c r="U22" s="57">
        <f t="shared" si="18"/>
        <v>0</v>
      </c>
      <c r="Y22" s="12">
        <f>K22-'Ago24'!K23</f>
        <v>-2636000</v>
      </c>
      <c r="Z22" s="12">
        <f>M22-'Ago24'!M23</f>
        <v>8624000</v>
      </c>
      <c r="AA22" s="12">
        <f>O22-'Ago24'!O23</f>
        <v>54379999.99999994</v>
      </c>
      <c r="AB22" s="12">
        <f>Q22-'Ago24'!Q23</f>
        <v>1232000</v>
      </c>
      <c r="AC22" s="12">
        <f>+S22-'Ago24'!S23</f>
        <v>0</v>
      </c>
      <c r="AE22" s="28">
        <f>J22-'Ago24'!J23</f>
        <v>-1.9999999999999962E-2</v>
      </c>
      <c r="AF22" s="28">
        <f>L22-'Ago24'!L23</f>
        <v>0</v>
      </c>
      <c r="AG22" s="28">
        <f>N22-'Ago24'!N23</f>
        <v>1.9999999999999907E-2</v>
      </c>
      <c r="AH22" s="28">
        <f>P22-'Ago24'!P23</f>
        <v>0</v>
      </c>
      <c r="AI22" s="28">
        <f>R22-'Ago24'!R23</f>
        <v>0</v>
      </c>
      <c r="AK22" s="10">
        <f>I22-'Ago24'!I23</f>
        <v>61600000</v>
      </c>
      <c r="AL22" s="76">
        <f>I22/'Ago24'!I23-1</f>
        <v>6.3940211750051823E-2</v>
      </c>
    </row>
    <row r="23" spans="5:39" x14ac:dyDescent="0.25">
      <c r="F23" s="7">
        <f t="shared" si="4"/>
        <v>1</v>
      </c>
      <c r="H23" s="3" t="s">
        <v>34</v>
      </c>
      <c r="I23" s="84">
        <v>222568021</v>
      </c>
      <c r="J23" s="77">
        <v>0.34749999999999998</v>
      </c>
      <c r="K23" s="78">
        <f t="shared" si="13"/>
        <v>77342387.297499999</v>
      </c>
      <c r="L23" s="77">
        <v>0.12540000000000001</v>
      </c>
      <c r="M23" s="78">
        <f t="shared" si="14"/>
        <v>27910029.833400004</v>
      </c>
      <c r="N23" s="77">
        <v>0.42820000000000003</v>
      </c>
      <c r="O23" s="78">
        <f t="shared" si="15"/>
        <v>95303626.592200011</v>
      </c>
      <c r="P23" s="77">
        <v>9.8599999999999993E-2</v>
      </c>
      <c r="Q23" s="78">
        <f t="shared" si="16"/>
        <v>21945206.8706</v>
      </c>
      <c r="R23" s="77"/>
      <c r="S23" s="78">
        <f t="shared" si="17"/>
        <v>0</v>
      </c>
      <c r="T23" s="77">
        <v>2.9999999999999997E-4</v>
      </c>
      <c r="U23" s="57">
        <f t="shared" si="18"/>
        <v>66770.406299999988</v>
      </c>
      <c r="Y23" s="12">
        <f>K23-'Ago24'!K24</f>
        <v>13546818.874899998</v>
      </c>
      <c r="Z23" s="12">
        <f>M23-'Ago24'!M24</f>
        <v>-1390143.2412999943</v>
      </c>
      <c r="AA23" s="12">
        <f>O23-'Ago24'!O24</f>
        <v>-10736143.280699998</v>
      </c>
      <c r="AB23" s="12">
        <f>Q23-'Ago24'!Q24</f>
        <v>1032235.8555999994</v>
      </c>
      <c r="AC23" s="12">
        <f>+S23-'Ago24'!S24</f>
        <v>0</v>
      </c>
      <c r="AE23" s="28">
        <f>J23-'Ago24'!J24</f>
        <v>5.7699999999999974E-2</v>
      </c>
      <c r="AF23" s="28">
        <f>L23-'Ago24'!L24</f>
        <v>-7.6999999999999846E-3</v>
      </c>
      <c r="AG23" s="28">
        <f>N23-'Ago24'!N24</f>
        <v>-5.3499999999999992E-2</v>
      </c>
      <c r="AH23" s="28">
        <f>P23-'Ago24'!P24</f>
        <v>3.5999999999999921E-3</v>
      </c>
      <c r="AI23" s="28">
        <f>R23-'Ago24'!R24</f>
        <v>0</v>
      </c>
      <c r="AK23" s="10">
        <f>I23-'Ago24'!I24</f>
        <v>2431484</v>
      </c>
      <c r="AL23" s="76">
        <f>I23/'Ago24'!I24-1</f>
        <v>1.1045345007857588E-2</v>
      </c>
    </row>
    <row r="24" spans="5:39" x14ac:dyDescent="0.25">
      <c r="F24" s="7">
        <f t="shared" si="4"/>
        <v>1</v>
      </c>
      <c r="H24" s="3" t="s">
        <v>35</v>
      </c>
      <c r="I24" s="84">
        <v>388780934</v>
      </c>
      <c r="J24" s="77">
        <v>0.17899999999999999</v>
      </c>
      <c r="K24" s="78">
        <f t="shared" si="13"/>
        <v>69591787.186000004</v>
      </c>
      <c r="L24" s="77">
        <f>38%+7.6%</f>
        <v>0.45600000000000002</v>
      </c>
      <c r="M24" s="78">
        <f t="shared" si="14"/>
        <v>177284105.90400001</v>
      </c>
      <c r="N24" s="77">
        <f>31.1%+0.3%</f>
        <v>0.314</v>
      </c>
      <c r="O24" s="78">
        <f t="shared" si="15"/>
        <v>122077213.27599999</v>
      </c>
      <c r="P24" s="77">
        <v>5.0999999999999997E-2</v>
      </c>
      <c r="Q24" s="78">
        <f t="shared" si="16"/>
        <v>19827827.634</v>
      </c>
      <c r="R24" s="77"/>
      <c r="S24" s="78">
        <f t="shared" si="17"/>
        <v>0</v>
      </c>
      <c r="T24" s="77"/>
      <c r="U24" s="57">
        <f t="shared" si="18"/>
        <v>0</v>
      </c>
      <c r="Y24" s="12">
        <f>K24-'Ago24'!K25</f>
        <v>3125929.5110000074</v>
      </c>
      <c r="Z24" s="12">
        <f>M24-'Ago24'!M25</f>
        <v>12068973.968999982</v>
      </c>
      <c r="AA24" s="12">
        <f>O24-'Ago24'!O25</f>
        <v>-7436257.9649999887</v>
      </c>
      <c r="AB24" s="12">
        <f>Q24-'Ago24'!Q25</f>
        <v>1217387.4849999994</v>
      </c>
      <c r="AC24" s="12">
        <f>+S24-'Ago24'!S25</f>
        <v>0</v>
      </c>
      <c r="AE24" s="28">
        <f>J24-'Ago24'!J25</f>
        <v>4.0000000000000036E-3</v>
      </c>
      <c r="AF24" s="28">
        <f>L24-'Ago24'!L25</f>
        <v>2.0999999999999963E-2</v>
      </c>
      <c r="AG24" s="28">
        <f>N24-'Ago24'!N25</f>
        <v>-2.6999999999999968E-2</v>
      </c>
      <c r="AH24" s="28">
        <f>P24-'Ago24'!P25</f>
        <v>1.9999999999999948E-3</v>
      </c>
      <c r="AI24" s="28">
        <f>R24-'Ago24'!R25</f>
        <v>0</v>
      </c>
      <c r="AK24" s="10">
        <f>I24-'Ago24'!I25</f>
        <v>8976033</v>
      </c>
      <c r="AL24" s="76">
        <f>I24/'Ago24'!I25-1</f>
        <v>2.3633273231510987E-2</v>
      </c>
    </row>
    <row r="25" spans="5:39" x14ac:dyDescent="0.25">
      <c r="F25" s="7">
        <f t="shared" ref="F25" si="19">J25+L25+N25+P25+R25+T25</f>
        <v>1</v>
      </c>
      <c r="H25" s="3" t="s">
        <v>36</v>
      </c>
      <c r="I25" s="84">
        <v>717970000</v>
      </c>
      <c r="J25" s="77">
        <v>0.17</v>
      </c>
      <c r="K25" s="78">
        <f t="shared" ref="K25:K26" si="20">+J25*$I25</f>
        <v>122054900.00000001</v>
      </c>
      <c r="L25" s="77">
        <v>0.21</v>
      </c>
      <c r="M25" s="78">
        <f t="shared" ref="M25:M26" si="21">+L25*$I25</f>
        <v>150773700</v>
      </c>
      <c r="N25" s="77">
        <f>53%+3%</f>
        <v>0.56000000000000005</v>
      </c>
      <c r="O25" s="78">
        <f t="shared" ref="O25:O26" si="22">+N25*$I25</f>
        <v>402063200.00000006</v>
      </c>
      <c r="P25" s="77">
        <v>0.06</v>
      </c>
      <c r="Q25" s="78">
        <f t="shared" ref="Q25" si="23">+P25*$I25</f>
        <v>43078200</v>
      </c>
      <c r="R25" s="77"/>
      <c r="S25" s="78">
        <f t="shared" ref="S25" si="24">+R25*$I25</f>
        <v>0</v>
      </c>
      <c r="T25" s="77"/>
      <c r="U25" s="57">
        <f t="shared" ref="U25" si="25">T25*$I25</f>
        <v>0</v>
      </c>
      <c r="Y25" s="12">
        <f>K25-'Ago24'!K26</f>
        <v>560300.0000000149</v>
      </c>
      <c r="Z25" s="12">
        <f>M25-'Ago24'!M26</f>
        <v>22529400</v>
      </c>
      <c r="AA25" s="12">
        <f>O25-'Ago24'!O26</f>
        <v>17330300</v>
      </c>
      <c r="AB25" s="12">
        <f>Q25-'Ago24'!Q26</f>
        <v>2580000</v>
      </c>
      <c r="AC25" s="12">
        <f>+S25-'Ago24'!S26</f>
        <v>0</v>
      </c>
      <c r="AE25" s="28">
        <f>J25-'Ago24'!J26</f>
        <v>-9.9999999999999811E-3</v>
      </c>
      <c r="AF25" s="28">
        <f>L25-'Ago24'!L26</f>
        <v>1.999999999999999E-2</v>
      </c>
      <c r="AG25" s="28">
        <f>N25-'Ago24'!N26</f>
        <v>-1.0000000000000009E-2</v>
      </c>
      <c r="AH25" s="28">
        <f>P25-'Ago24'!P26</f>
        <v>0</v>
      </c>
      <c r="AI25" s="28">
        <f>R25-'Ago24'!R26</f>
        <v>0</v>
      </c>
      <c r="AK25" s="10">
        <f>I25-'Ago24'!I26</f>
        <v>43000000</v>
      </c>
      <c r="AL25" s="76">
        <f>I25/'Ago24'!I26-1</f>
        <v>6.3706535105263917E-2</v>
      </c>
    </row>
    <row r="26" spans="5:39" x14ac:dyDescent="0.25">
      <c r="F26" s="7">
        <f t="shared" si="4"/>
        <v>0.99999999999999989</v>
      </c>
      <c r="H26" s="3" t="s">
        <v>65</v>
      </c>
      <c r="I26" s="84">
        <v>280200000</v>
      </c>
      <c r="J26" s="77">
        <v>0.28999999999999998</v>
      </c>
      <c r="K26" s="78">
        <f t="shared" si="20"/>
        <v>81258000</v>
      </c>
      <c r="L26" s="77">
        <v>0.16</v>
      </c>
      <c r="M26" s="78">
        <f t="shared" si="21"/>
        <v>44832000</v>
      </c>
      <c r="N26" s="77">
        <v>0.47</v>
      </c>
      <c r="O26" s="78">
        <f t="shared" si="22"/>
        <v>131693999.99999999</v>
      </c>
      <c r="P26" s="77">
        <v>0.08</v>
      </c>
      <c r="Q26" s="78">
        <f t="shared" si="16"/>
        <v>22416000</v>
      </c>
      <c r="R26" s="77"/>
      <c r="S26" s="78">
        <f t="shared" si="17"/>
        <v>0</v>
      </c>
      <c r="T26" s="77"/>
      <c r="U26" s="57">
        <f t="shared" si="18"/>
        <v>0</v>
      </c>
      <c r="Y26" s="12" t="e">
        <f>K26-'Ago24'!#REF!</f>
        <v>#REF!</v>
      </c>
      <c r="Z26" s="12" t="e">
        <f>M26-'Ago24'!#REF!</f>
        <v>#REF!</v>
      </c>
      <c r="AA26" s="12" t="e">
        <f>O26-'Ago24'!#REF!</f>
        <v>#REF!</v>
      </c>
      <c r="AB26" s="12" t="e">
        <f>Q26-'Ago24'!#REF!</f>
        <v>#REF!</v>
      </c>
      <c r="AC26" s="12" t="e">
        <f>+S26-'Ago24'!#REF!</f>
        <v>#REF!</v>
      </c>
      <c r="AE26" s="28" t="e">
        <f>J26-'Ago24'!#REF!</f>
        <v>#REF!</v>
      </c>
      <c r="AF26" s="28" t="e">
        <f>L26-'Ago24'!#REF!</f>
        <v>#REF!</v>
      </c>
      <c r="AG26" s="28" t="e">
        <f>N26-'Ago24'!#REF!</f>
        <v>#REF!</v>
      </c>
      <c r="AH26" s="28" t="e">
        <f>P26-'Ago24'!#REF!</f>
        <v>#REF!</v>
      </c>
      <c r="AI26" s="28" t="e">
        <f>R26-'Ago24'!#REF!</f>
        <v>#REF!</v>
      </c>
      <c r="AK26" s="10" t="e">
        <f>I26-'Ago24'!#REF!</f>
        <v>#REF!</v>
      </c>
      <c r="AL26" s="76" t="e">
        <f>I26/'Ago24'!#REF!-1</f>
        <v>#REF!</v>
      </c>
    </row>
    <row r="27" spans="5:39" s="8" customFormat="1" x14ac:dyDescent="0.25">
      <c r="F27" s="7">
        <f t="shared" si="4"/>
        <v>0.99999999999999978</v>
      </c>
      <c r="H27" s="21" t="s">
        <v>45</v>
      </c>
      <c r="I27" s="20">
        <f>SUM(I17:I26)</f>
        <v>5438270329.7600002</v>
      </c>
      <c r="J27" s="15">
        <f>K27/$I$27</f>
        <v>0.19985054621153248</v>
      </c>
      <c r="K27" s="63">
        <f>SUM(K17:K26)</f>
        <v>1086841295.8485069</v>
      </c>
      <c r="L27" s="15">
        <f>M27/$I$27</f>
        <v>0.20901908618124443</v>
      </c>
      <c r="M27" s="62">
        <f>SUM(M17:M26)</f>
        <v>1136702294.7330101</v>
      </c>
      <c r="N27" s="15">
        <f>O27/$I$27</f>
        <v>0.49964815823003217</v>
      </c>
      <c r="O27" s="63">
        <f>SUM(O17:O26)</f>
        <v>2717221754.2216139</v>
      </c>
      <c r="P27" s="15">
        <f>Q27/$I$27</f>
        <v>8.3248638627685626E-2</v>
      </c>
      <c r="Q27" s="63">
        <f>SUM(Q17:Q26)</f>
        <v>452728601.44185501</v>
      </c>
      <c r="R27" s="15">
        <f>S27/$I$27</f>
        <v>8.5239150075582457E-3</v>
      </c>
      <c r="S27" s="63">
        <f>SUM(S17:S26)</f>
        <v>46355354.078999996</v>
      </c>
      <c r="T27" s="15">
        <f>U27/$I$27</f>
        <v>-2.9034425805303488E-4</v>
      </c>
      <c r="U27" s="17">
        <f>SUM(U17:U26)</f>
        <v>-1578970.5639860006</v>
      </c>
      <c r="Y27" s="12">
        <f>K27-'Ago24'!K27</f>
        <v>96204273.894057035</v>
      </c>
      <c r="Z27" s="12">
        <f>M27-'Ago24'!M27</f>
        <v>118174873.41506004</v>
      </c>
      <c r="AA27" s="12">
        <f>O27-'Ago24'!O27</f>
        <v>265027625.46468878</v>
      </c>
      <c r="AB27" s="12">
        <f>Q27-'Ago24'!Q27</f>
        <v>60258025.550379992</v>
      </c>
      <c r="AC27" s="12">
        <f>+S27-'Ago24'!S27</f>
        <v>-11890519.775399998</v>
      </c>
      <c r="AE27" s="28">
        <f>J27-'Ago24'!J27</f>
        <v>-8.4815505165644622E-4</v>
      </c>
      <c r="AF27" s="28">
        <f>L27-'Ago24'!L27</f>
        <v>2.669912741149999E-3</v>
      </c>
      <c r="AG27" s="28">
        <f>N27-'Ago24'!N27</f>
        <v>2.8444188384294522E-3</v>
      </c>
      <c r="AH27" s="28">
        <f>P27-'Ago24'!P27</f>
        <v>3.7358270531383103E-3</v>
      </c>
      <c r="AI27" s="28">
        <f>R27-'Ago24'!R27</f>
        <v>-3.2764427192854412E-3</v>
      </c>
      <c r="AK27" s="92">
        <f>I27-'Ago24'!I27</f>
        <v>502328962.32999992</v>
      </c>
      <c r="AL27" s="76">
        <f>I27/'Ago24'!I27-1</f>
        <v>0.10176963722556298</v>
      </c>
    </row>
    <row r="28" spans="5:39" x14ac:dyDescent="0.25">
      <c r="F28" s="7"/>
      <c r="I28" s="10"/>
      <c r="J28" s="10"/>
      <c r="K28" s="10"/>
      <c r="L28" s="5"/>
      <c r="M28" s="10"/>
      <c r="N28" s="10"/>
      <c r="O28" s="10"/>
      <c r="P28" s="5"/>
      <c r="Q28" s="10"/>
    </row>
    <row r="29" spans="5:39" x14ac:dyDescent="0.25">
      <c r="F29" s="7"/>
      <c r="H29" s="4" t="s">
        <v>38</v>
      </c>
      <c r="I29" s="9" t="s">
        <v>4</v>
      </c>
      <c r="J29" s="113" t="s">
        <v>7</v>
      </c>
      <c r="K29" s="113"/>
      <c r="L29" s="112" t="s">
        <v>8</v>
      </c>
      <c r="M29" s="112"/>
      <c r="N29" s="112" t="s">
        <v>10</v>
      </c>
      <c r="O29" s="112"/>
      <c r="P29" s="112" t="s">
        <v>9</v>
      </c>
      <c r="Q29" s="112"/>
      <c r="R29" s="112" t="s">
        <v>40</v>
      </c>
      <c r="S29" s="112"/>
      <c r="T29" s="112" t="s">
        <v>55</v>
      </c>
      <c r="U29" s="112"/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  <c r="AE29" s="27" t="s">
        <v>49</v>
      </c>
      <c r="AF29" s="27" t="s">
        <v>50</v>
      </c>
      <c r="AG29" s="27" t="s">
        <v>51</v>
      </c>
      <c r="AH29" s="27" t="s">
        <v>52</v>
      </c>
      <c r="AI29" s="27" t="s">
        <v>54</v>
      </c>
    </row>
    <row r="30" spans="5:39" x14ac:dyDescent="0.25">
      <c r="E30" s="98"/>
      <c r="F30" s="7">
        <f>J30+L30+N30+P30+R30+T30</f>
        <v>1.0000000000000002</v>
      </c>
      <c r="G30" s="98"/>
      <c r="H30" s="21" t="s">
        <v>39</v>
      </c>
      <c r="I30" s="87">
        <v>235988239.86000001</v>
      </c>
      <c r="J30" s="81">
        <f>6.9%+2.6%</f>
        <v>9.5000000000000001E-2</v>
      </c>
      <c r="K30" s="80">
        <f t="shared" ref="K30:K33" si="26">+J30*$I30</f>
        <v>22418882.786700003</v>
      </c>
      <c r="L30" s="81">
        <f>13.1%+6.9%+2.1%+1.1%</f>
        <v>0.23200000000000001</v>
      </c>
      <c r="M30" s="80">
        <f t="shared" ref="M30:M33" si="27">+L30*$I30</f>
        <v>54749271.647520006</v>
      </c>
      <c r="N30" s="81">
        <f>52.2%+3.7%+1.9%</f>
        <v>0.57800000000000007</v>
      </c>
      <c r="O30" s="80">
        <f t="shared" ref="O30:O33" si="28">+N30*$I30</f>
        <v>136401202.63908002</v>
      </c>
      <c r="P30" s="81">
        <v>0.106</v>
      </c>
      <c r="Q30" s="80">
        <f t="shared" ref="Q30:Q33" si="29">+P30*$I30</f>
        <v>25014753.425160002</v>
      </c>
      <c r="R30" s="88">
        <v>5.6000000000000001E-2</v>
      </c>
      <c r="S30" s="80">
        <f t="shared" ref="S30:S35" si="30">+R30*$I30</f>
        <v>13215341.432160001</v>
      </c>
      <c r="T30" s="81">
        <v>-6.7000000000000004E-2</v>
      </c>
      <c r="U30" s="65">
        <f>$I30*T30</f>
        <v>-15811212.070620002</v>
      </c>
      <c r="V30" s="98"/>
      <c r="Y30" s="12">
        <f>K30-'Ago24'!K30</f>
        <v>4214477.1839400008</v>
      </c>
      <c r="Z30" s="12">
        <f>M30-'Ago24'!M30</f>
        <v>602834.47008000314</v>
      </c>
      <c r="AA30" s="12">
        <f>O30-'Ago24'!O30</f>
        <v>-365229.19703999162</v>
      </c>
      <c r="AB30" s="12">
        <f>Q30-'Ago24'!Q30</f>
        <v>-891516.08645999804</v>
      </c>
      <c r="AC30" s="12">
        <f>+S30-'Ago24'!S30</f>
        <v>-321267.86219999939</v>
      </c>
      <c r="AD30" s="98"/>
      <c r="AE30" s="28">
        <f>J30-'Ago24'!J30</f>
        <v>1.6999999999999987E-2</v>
      </c>
      <c r="AF30" s="28">
        <f>L30-'Ago24'!L30</f>
        <v>0</v>
      </c>
      <c r="AG30" s="28">
        <f>N30-'Ago24'!N30</f>
        <v>-8.0000000000000071E-3</v>
      </c>
      <c r="AH30" s="28">
        <f>P30-'Ago24'!P30</f>
        <v>-5.0000000000000044E-3</v>
      </c>
      <c r="AI30" s="28">
        <f>R30-'Ago24'!R30</f>
        <v>-2.0000000000000018E-3</v>
      </c>
      <c r="AJ30" s="98"/>
      <c r="AK30" s="10">
        <f>I30-'Ago24'!I30</f>
        <v>2598424.4400000274</v>
      </c>
      <c r="AL30" s="76">
        <f>I30/'Ago24'!I30-1</f>
        <v>1.113340972194532E-2</v>
      </c>
      <c r="AM30" s="98"/>
    </row>
    <row r="31" spans="5:39" hidden="1" outlineLevel="1" x14ac:dyDescent="0.25">
      <c r="F31" s="7">
        <f t="shared" si="4"/>
        <v>0</v>
      </c>
      <c r="H31" s="3" t="s">
        <v>56</v>
      </c>
      <c r="I31" s="78"/>
      <c r="J31" s="77"/>
      <c r="K31" s="78">
        <f t="shared" si="26"/>
        <v>0</v>
      </c>
      <c r="L31" s="77"/>
      <c r="M31" s="78">
        <f t="shared" si="27"/>
        <v>0</v>
      </c>
      <c r="N31" s="77"/>
      <c r="O31" s="78">
        <f t="shared" si="28"/>
        <v>0</v>
      </c>
      <c r="P31" s="77"/>
      <c r="Q31" s="78">
        <f t="shared" si="29"/>
        <v>0</v>
      </c>
      <c r="R31" s="77"/>
      <c r="S31" s="78">
        <f t="shared" si="30"/>
        <v>0</v>
      </c>
      <c r="T31" s="77"/>
      <c r="U31" s="72"/>
      <c r="Y31" s="12">
        <f>K31-'Ago24'!K31</f>
        <v>0</v>
      </c>
      <c r="Z31" s="12">
        <f>M31-'Ago24'!M31</f>
        <v>0</v>
      </c>
      <c r="AA31" s="12">
        <f>O31-'Ago24'!O31</f>
        <v>0</v>
      </c>
      <c r="AB31" s="12">
        <f>Q31-'Ago24'!Q31</f>
        <v>0</v>
      </c>
      <c r="AC31" s="12">
        <f>+S31-'Ago24'!S31</f>
        <v>0</v>
      </c>
      <c r="AE31" s="28">
        <f>J31-'Ago24'!J31</f>
        <v>0</v>
      </c>
      <c r="AF31" s="28">
        <f>L31-'Ago24'!L31</f>
        <v>0</v>
      </c>
      <c r="AG31" s="28">
        <f>N31-'Ago24'!N31</f>
        <v>0</v>
      </c>
      <c r="AH31" s="28">
        <f>P31-'Ago24'!P31</f>
        <v>0</v>
      </c>
      <c r="AI31" s="28">
        <f>R31-'Ago24'!R31</f>
        <v>0</v>
      </c>
      <c r="AK31" s="10">
        <f>I31-'Ago24'!I31</f>
        <v>0</v>
      </c>
      <c r="AL31" s="76" t="e">
        <f>I31/'Ago24'!I31-1</f>
        <v>#DIV/0!</v>
      </c>
    </row>
    <row r="32" spans="5:39" collapsed="1" x14ac:dyDescent="0.25">
      <c r="F32" s="7">
        <f t="shared" si="4"/>
        <v>1</v>
      </c>
      <c r="H32" s="3" t="s">
        <v>42</v>
      </c>
      <c r="I32" s="84">
        <v>276845149</v>
      </c>
      <c r="J32" s="77">
        <v>0.11</v>
      </c>
      <c r="K32" s="78">
        <f t="shared" si="26"/>
        <v>30452966.390000001</v>
      </c>
      <c r="L32" s="77">
        <v>0.13</v>
      </c>
      <c r="M32" s="78">
        <f t="shared" si="27"/>
        <v>35989869.370000005</v>
      </c>
      <c r="N32" s="77">
        <f>44%+7%</f>
        <v>0.51</v>
      </c>
      <c r="O32" s="78">
        <f t="shared" si="28"/>
        <v>141191025.99000001</v>
      </c>
      <c r="P32" s="77">
        <v>0.04</v>
      </c>
      <c r="Q32" s="78">
        <f t="shared" si="29"/>
        <v>11073805.960000001</v>
      </c>
      <c r="R32" s="77">
        <v>0.14000000000000001</v>
      </c>
      <c r="S32" s="78">
        <f t="shared" si="30"/>
        <v>38758320.860000007</v>
      </c>
      <c r="T32" s="77">
        <v>7.0000000000000007E-2</v>
      </c>
      <c r="U32" s="72">
        <f>$I32*T32</f>
        <v>19379160.430000003</v>
      </c>
      <c r="Y32" s="12">
        <f>K32-'Ago24'!K32</f>
        <v>0</v>
      </c>
      <c r="Z32" s="12">
        <f>M32-'Ago24'!M32</f>
        <v>0</v>
      </c>
      <c r="AA32" s="12">
        <f>O32-'Ago24'!O32</f>
        <v>0</v>
      </c>
      <c r="AB32" s="12">
        <f>Q32-'Ago24'!Q32</f>
        <v>0</v>
      </c>
      <c r="AC32" s="12">
        <f>+S32-'Ago24'!S32</f>
        <v>0</v>
      </c>
      <c r="AE32" s="28">
        <f>J32-'Ago24'!J32</f>
        <v>0</v>
      </c>
      <c r="AF32" s="28">
        <f>L32-'Ago24'!L32</f>
        <v>0</v>
      </c>
      <c r="AG32" s="28">
        <f>N32-'Ago24'!N32</f>
        <v>0</v>
      </c>
      <c r="AH32" s="28">
        <f>P32-'Ago24'!P32</f>
        <v>0</v>
      </c>
      <c r="AI32" s="28">
        <f>R32-'Ago24'!R32</f>
        <v>0</v>
      </c>
      <c r="AK32" s="10">
        <f>I32-'Ago24'!I32</f>
        <v>0</v>
      </c>
      <c r="AL32" s="76">
        <f>I32/'Ago24'!I32-1</f>
        <v>0</v>
      </c>
    </row>
    <row r="33" spans="6:38" x14ac:dyDescent="0.25">
      <c r="F33" s="7">
        <f t="shared" si="4"/>
        <v>1</v>
      </c>
      <c r="H33" s="3" t="s">
        <v>43</v>
      </c>
      <c r="I33" s="84">
        <v>453325384</v>
      </c>
      <c r="J33" s="77">
        <v>0.14000000000000001</v>
      </c>
      <c r="K33" s="78">
        <f t="shared" si="26"/>
        <v>63465553.760000005</v>
      </c>
      <c r="L33" s="77">
        <f>4%+2%</f>
        <v>0.06</v>
      </c>
      <c r="M33" s="78">
        <f t="shared" si="27"/>
        <v>27199523.039999999</v>
      </c>
      <c r="N33" s="77">
        <f>59%+3%</f>
        <v>0.62</v>
      </c>
      <c r="O33" s="78">
        <f t="shared" si="28"/>
        <v>281061738.07999998</v>
      </c>
      <c r="P33" s="77">
        <v>0.16</v>
      </c>
      <c r="Q33" s="78">
        <f t="shared" si="29"/>
        <v>72532061.439999998</v>
      </c>
      <c r="R33" s="77"/>
      <c r="S33" s="78">
        <f t="shared" si="30"/>
        <v>0</v>
      </c>
      <c r="T33" s="77">
        <v>0.02</v>
      </c>
      <c r="U33" s="72">
        <f t="shared" ref="U33:U35" si="31">$I33*T33</f>
        <v>9066507.6799999997</v>
      </c>
      <c r="Y33" s="12">
        <f>K33-'Ago24'!K33</f>
        <v>5423972.1100000069</v>
      </c>
      <c r="Z33" s="12">
        <f>M33-'Ago24'!M33</f>
        <v>-12983110.410000004</v>
      </c>
      <c r="AA33" s="12">
        <f>O33-'Ago24'!O33</f>
        <v>4248040.9799999595</v>
      </c>
      <c r="AB33" s="12">
        <f>Q33-'Ago24'!Q33</f>
        <v>5561005.6899999976</v>
      </c>
      <c r="AC33" s="12">
        <f>+S33-'Ago24'!S33</f>
        <v>0</v>
      </c>
      <c r="AE33" s="28">
        <f>J33-'Ago24'!J33</f>
        <v>1.0000000000000009E-2</v>
      </c>
      <c r="AF33" s="28">
        <f>L33-'Ago24'!L33</f>
        <v>-3.0000000000000013E-2</v>
      </c>
      <c r="AG33" s="28">
        <f>N33-'Ago24'!N33</f>
        <v>0</v>
      </c>
      <c r="AH33" s="28">
        <f>P33-'Ago24'!P33</f>
        <v>1.0000000000000009E-2</v>
      </c>
      <c r="AI33" s="28">
        <f>R33-'Ago24'!R33</f>
        <v>0</v>
      </c>
      <c r="AK33" s="10">
        <f>I33-'Ago24'!I33</f>
        <v>6851679</v>
      </c>
      <c r="AL33" s="76">
        <f>I33/'Ago24'!I33-1</f>
        <v>1.5346209470499472E-2</v>
      </c>
    </row>
    <row r="34" spans="6:38" x14ac:dyDescent="0.25">
      <c r="F34" s="7">
        <f t="shared" ref="F34" si="32">J34+L34+N34+P34+R34+T34</f>
        <v>1</v>
      </c>
      <c r="H34" s="3" t="s">
        <v>44</v>
      </c>
      <c r="I34" s="84">
        <v>37500000</v>
      </c>
      <c r="J34" s="77">
        <v>0.26</v>
      </c>
      <c r="K34" s="78">
        <f t="shared" ref="K34:K35" si="33">+J34*$I34</f>
        <v>9750000</v>
      </c>
      <c r="L34" s="77">
        <v>0.02</v>
      </c>
      <c r="M34" s="78">
        <f t="shared" ref="M34:M35" si="34">+L34*$I34</f>
        <v>750000</v>
      </c>
      <c r="N34" s="77">
        <v>0.51</v>
      </c>
      <c r="O34" s="78">
        <f t="shared" ref="O34:O35" si="35">+N34*$I34</f>
        <v>19125000</v>
      </c>
      <c r="P34" s="77"/>
      <c r="Q34" s="78">
        <f t="shared" ref="Q34:Q35" si="36">+P34*$I34</f>
        <v>0</v>
      </c>
      <c r="R34" s="77">
        <v>0.21</v>
      </c>
      <c r="S34" s="78">
        <f t="shared" ref="S34" si="37">+R34*$I34</f>
        <v>7875000</v>
      </c>
      <c r="T34" s="77"/>
      <c r="U34" s="72">
        <f t="shared" ref="U34" si="38">$I34*T34</f>
        <v>0</v>
      </c>
      <c r="Y34" s="12">
        <f>K34-'Ago24'!K34</f>
        <v>3261000</v>
      </c>
      <c r="Z34" s="12">
        <f>M34-'Ago24'!M34</f>
        <v>750000</v>
      </c>
      <c r="AA34" s="12">
        <f>O34-'Ago24'!O34</f>
        <v>1203000</v>
      </c>
      <c r="AB34" s="12">
        <f>Q34-'Ago24'!Q34</f>
        <v>0</v>
      </c>
      <c r="AC34" s="12">
        <f>+S34-'Ago24'!S34</f>
        <v>1386000</v>
      </c>
      <c r="AE34" s="28">
        <f>J34-'Ago24'!J34</f>
        <v>5.0000000000000017E-2</v>
      </c>
      <c r="AF34" s="28">
        <f>L34-'Ago24'!L34</f>
        <v>0.02</v>
      </c>
      <c r="AG34" s="28">
        <f>N34-'Ago24'!N34</f>
        <v>-6.9999999999999951E-2</v>
      </c>
      <c r="AH34" s="28">
        <f>P34-'Ago24'!P34</f>
        <v>0</v>
      </c>
      <c r="AI34" s="28">
        <f>R34-'Ago24'!R34</f>
        <v>0</v>
      </c>
      <c r="AK34" s="10">
        <f>I34-'Ago24'!I34</f>
        <v>6600000</v>
      </c>
      <c r="AL34" s="76">
        <f>I34/'Ago24'!I34-1</f>
        <v>0.21359223300970864</v>
      </c>
    </row>
    <row r="35" spans="6:38" x14ac:dyDescent="0.25">
      <c r="F35" s="7">
        <f t="shared" si="4"/>
        <v>1</v>
      </c>
      <c r="H35" s="3" t="s">
        <v>66</v>
      </c>
      <c r="I35" s="84">
        <v>291400000</v>
      </c>
      <c r="J35" s="77">
        <v>0.06</v>
      </c>
      <c r="K35" s="78">
        <f t="shared" si="33"/>
        <v>17484000</v>
      </c>
      <c r="L35" s="77">
        <v>0.05</v>
      </c>
      <c r="M35" s="78">
        <f t="shared" si="34"/>
        <v>14570000</v>
      </c>
      <c r="N35" s="77">
        <v>0.52</v>
      </c>
      <c r="O35" s="78">
        <f t="shared" si="35"/>
        <v>151528000</v>
      </c>
      <c r="P35" s="77">
        <v>0.24</v>
      </c>
      <c r="Q35" s="78">
        <f t="shared" si="36"/>
        <v>69936000</v>
      </c>
      <c r="R35" s="77">
        <v>0.13</v>
      </c>
      <c r="S35" s="78">
        <f t="shared" si="30"/>
        <v>37882000</v>
      </c>
      <c r="T35" s="77"/>
      <c r="U35" s="72">
        <f t="shared" si="31"/>
        <v>0</v>
      </c>
      <c r="Y35" s="12" t="e">
        <f>K35-'Ago24'!#REF!</f>
        <v>#REF!</v>
      </c>
      <c r="Z35" s="12" t="e">
        <f>M35-'Ago24'!#REF!</f>
        <v>#REF!</v>
      </c>
      <c r="AA35" s="12" t="e">
        <f>O35-'Ago24'!#REF!</f>
        <v>#REF!</v>
      </c>
      <c r="AB35" s="12" t="e">
        <f>Q35-'Ago24'!#REF!</f>
        <v>#REF!</v>
      </c>
      <c r="AC35" s="12" t="e">
        <f>+S35-'Ago24'!#REF!</f>
        <v>#REF!</v>
      </c>
      <c r="AE35" s="28" t="e">
        <f>J35-'Ago24'!#REF!</f>
        <v>#REF!</v>
      </c>
      <c r="AF35" s="28" t="e">
        <f>L35-'Ago24'!#REF!</f>
        <v>#REF!</v>
      </c>
      <c r="AG35" s="28" t="e">
        <f>N35-'Ago24'!#REF!</f>
        <v>#REF!</v>
      </c>
      <c r="AH35" s="28" t="e">
        <f>P35-'Ago24'!#REF!</f>
        <v>#REF!</v>
      </c>
      <c r="AI35" s="28" t="e">
        <f>R35-'Ago24'!#REF!</f>
        <v>#REF!</v>
      </c>
      <c r="AK35" s="10" t="e">
        <f>I35-'Ago24'!#REF!</f>
        <v>#REF!</v>
      </c>
      <c r="AL35" s="76" t="e">
        <f>I35/'Ago24'!#REF!-1</f>
        <v>#REF!</v>
      </c>
    </row>
    <row r="36" spans="6:38" s="8" customFormat="1" x14ac:dyDescent="0.25">
      <c r="F36" s="7">
        <f t="shared" si="4"/>
        <v>0.99999999999999989</v>
      </c>
      <c r="H36" s="3" t="s">
        <v>45</v>
      </c>
      <c r="I36" s="17">
        <f>SUM(I30:I35)</f>
        <v>1295058772.8600001</v>
      </c>
      <c r="J36" s="15">
        <f>+K36/$I$36</f>
        <v>0.11086091685216554</v>
      </c>
      <c r="K36" s="17">
        <f>SUM(K30:K35)</f>
        <v>143571402.93670002</v>
      </c>
      <c r="L36" s="15">
        <f>+M36/$I$36</f>
        <v>0.10289777332902997</v>
      </c>
      <c r="M36" s="17">
        <f>SUM(M30:M35)</f>
        <v>133258664.05752</v>
      </c>
      <c r="N36" s="15">
        <f>+O36/$I$36</f>
        <v>0.56314584480091412</v>
      </c>
      <c r="O36" s="17">
        <f>SUM(O30:O35)</f>
        <v>729306966.70907998</v>
      </c>
      <c r="P36" s="15">
        <f>+Q36/$I$36</f>
        <v>0.13787530308824256</v>
      </c>
      <c r="Q36" s="17">
        <f>SUM(Q30:Q35)</f>
        <v>178556620.82516</v>
      </c>
      <c r="R36" s="15">
        <f>+S36/$I$36</f>
        <v>7.5464267985561911E-2</v>
      </c>
      <c r="S36" s="17">
        <f>SUM(S30:S35)</f>
        <v>97730662.292160004</v>
      </c>
      <c r="T36" s="15">
        <f>+U36/$I$36</f>
        <v>9.7558939440857521E-3</v>
      </c>
      <c r="U36" s="63">
        <f>SUM(U30:U35)</f>
        <v>12634456.039380001</v>
      </c>
      <c r="Y36" s="12">
        <f>K36-'Ago24'!K35</f>
        <v>30383449.293940008</v>
      </c>
      <c r="Z36" s="12">
        <f>M36-'Ago24'!M35</f>
        <v>2939724.0600799918</v>
      </c>
      <c r="AA36" s="12">
        <f>O36-'Ago24'!O35</f>
        <v>156613811.78295994</v>
      </c>
      <c r="AB36" s="12">
        <f>Q36-'Ago24'!Q35</f>
        <v>74605489.603540003</v>
      </c>
      <c r="AC36" s="12">
        <f>+S36-'Ago24'!S35</f>
        <v>38946732.137799993</v>
      </c>
      <c r="AE36" s="28">
        <f>J36-'Ago24'!J35</f>
        <v>-3.7471836510760137E-3</v>
      </c>
      <c r="AF36" s="28">
        <f>L36-'Ago24'!L35</f>
        <v>-2.9056252625372953E-2</v>
      </c>
      <c r="AG36" s="28">
        <f>N36-'Ago24'!N35</f>
        <v>-1.6732777834557178E-2</v>
      </c>
      <c r="AH36" s="28">
        <f>P36-'Ago24'!P35</f>
        <v>3.2619917589583339E-2</v>
      </c>
      <c r="AI36" s="28">
        <f>R36-'Ago24'!R35</f>
        <v>1.5942787489767483E-2</v>
      </c>
      <c r="AK36" s="92">
        <f>I36-'Ago24'!I35</f>
        <v>307450103.44000018</v>
      </c>
      <c r="AL36" s="76">
        <f>I36/'Ago24'!I35-1</f>
        <v>0.31130761905984339</v>
      </c>
    </row>
    <row r="37" spans="6:38" x14ac:dyDescent="0.25">
      <c r="F37" s="7"/>
    </row>
    <row r="38" spans="6:38" x14ac:dyDescent="0.25">
      <c r="F38" s="7"/>
      <c r="K38"/>
    </row>
    <row r="39" spans="6:38" x14ac:dyDescent="0.25">
      <c r="F39" s="7"/>
      <c r="J39" s="38"/>
    </row>
    <row r="40" spans="6:38" x14ac:dyDescent="0.25">
      <c r="F40" s="7"/>
      <c r="I40" s="30"/>
      <c r="J40" s="35"/>
    </row>
    <row r="41" spans="6:38" x14ac:dyDescent="0.25">
      <c r="F41" s="7"/>
      <c r="I41" s="37"/>
      <c r="J41" s="35"/>
    </row>
    <row r="42" spans="6:38" x14ac:dyDescent="0.25">
      <c r="F42" s="7"/>
      <c r="I42" s="37"/>
      <c r="J42" s="35"/>
    </row>
    <row r="43" spans="6:38" x14ac:dyDescent="0.25">
      <c r="F43" s="7"/>
      <c r="I43" s="37"/>
      <c r="J43" s="35"/>
    </row>
    <row r="44" spans="6:38" x14ac:dyDescent="0.25">
      <c r="F44" s="7"/>
      <c r="I44" s="37"/>
      <c r="J44" s="35"/>
    </row>
    <row r="45" spans="6:38" x14ac:dyDescent="0.25">
      <c r="F45" s="7"/>
      <c r="I45" s="37"/>
      <c r="J45" s="35"/>
      <c r="K45" s="37"/>
    </row>
    <row r="46" spans="6:38" x14ac:dyDescent="0.25">
      <c r="F46" s="7"/>
      <c r="I46" s="37"/>
      <c r="J46" s="35"/>
    </row>
    <row r="47" spans="6:38" x14ac:dyDescent="0.25">
      <c r="F47" s="7"/>
      <c r="I47" s="37"/>
      <c r="J47" s="35"/>
    </row>
    <row r="48" spans="6:38" x14ac:dyDescent="0.25">
      <c r="F48" s="7"/>
      <c r="I48" s="37"/>
      <c r="J48" s="35"/>
    </row>
    <row r="49" spans="9:10" x14ac:dyDescent="0.25">
      <c r="I49" s="37"/>
      <c r="J49" s="35"/>
    </row>
    <row r="50" spans="9:10" x14ac:dyDescent="0.25">
      <c r="I50" s="37"/>
      <c r="J50" s="35"/>
    </row>
    <row r="51" spans="9:10" x14ac:dyDescent="0.25">
      <c r="I51" s="37"/>
      <c r="J51" s="35"/>
    </row>
    <row r="52" spans="9:10" x14ac:dyDescent="0.25">
      <c r="I52" s="37"/>
      <c r="J52" s="35"/>
    </row>
    <row r="53" spans="9:10" x14ac:dyDescent="0.25">
      <c r="I53" s="37"/>
      <c r="J53" s="35"/>
    </row>
    <row r="54" spans="9:10" x14ac:dyDescent="0.25">
      <c r="I54" s="37"/>
      <c r="J54" s="35"/>
    </row>
    <row r="55" spans="9:10" x14ac:dyDescent="0.25">
      <c r="I55" s="37"/>
      <c r="J55" s="35"/>
    </row>
    <row r="56" spans="9:10" x14ac:dyDescent="0.25">
      <c r="I56" s="37"/>
      <c r="J56" s="35"/>
    </row>
    <row r="57" spans="9:10" x14ac:dyDescent="0.25">
      <c r="I57" s="37"/>
      <c r="J57" s="35"/>
    </row>
    <row r="58" spans="9:10" x14ac:dyDescent="0.25">
      <c r="I58" s="37"/>
      <c r="J58" s="35"/>
    </row>
    <row r="59" spans="9:10" x14ac:dyDescent="0.25">
      <c r="I59" s="37"/>
      <c r="J59" s="35"/>
    </row>
    <row r="60" spans="9:10" x14ac:dyDescent="0.25">
      <c r="I60" s="37"/>
      <c r="J60" s="35"/>
    </row>
    <row r="61" spans="9:10" x14ac:dyDescent="0.25">
      <c r="I61" s="37"/>
      <c r="J61" s="35"/>
    </row>
    <row r="62" spans="9:10" x14ac:dyDescent="0.25">
      <c r="I62" s="37"/>
      <c r="J62" s="35"/>
    </row>
    <row r="63" spans="9:10" x14ac:dyDescent="0.25">
      <c r="I63" s="37"/>
      <c r="J63" s="35"/>
    </row>
    <row r="64" spans="9:10" x14ac:dyDescent="0.25">
      <c r="I64" s="37"/>
      <c r="J64" s="35"/>
    </row>
    <row r="65" spans="9:10" x14ac:dyDescent="0.25">
      <c r="I65" s="37"/>
      <c r="J65" s="35"/>
    </row>
    <row r="66" spans="9:10" x14ac:dyDescent="0.25">
      <c r="I66" s="37"/>
      <c r="J66" s="35"/>
    </row>
    <row r="67" spans="9:10" x14ac:dyDescent="0.25">
      <c r="I67" s="37"/>
      <c r="J67" s="35"/>
    </row>
    <row r="68" spans="9:10" x14ac:dyDescent="0.25">
      <c r="I68" s="37"/>
      <c r="J68" s="35"/>
    </row>
    <row r="69" spans="9:10" x14ac:dyDescent="0.25">
      <c r="I69" s="37"/>
      <c r="J69" s="35"/>
    </row>
    <row r="70" spans="9:10" x14ac:dyDescent="0.25">
      <c r="I70" s="37"/>
      <c r="J70" s="35"/>
    </row>
    <row r="71" spans="9:10" x14ac:dyDescent="0.25">
      <c r="I71" s="37"/>
      <c r="J71" s="35"/>
    </row>
    <row r="72" spans="9:10" x14ac:dyDescent="0.25">
      <c r="I72" s="37"/>
      <c r="J72" s="35"/>
    </row>
    <row r="73" spans="9:10" x14ac:dyDescent="0.25">
      <c r="I73" s="37"/>
      <c r="J73" s="35"/>
    </row>
    <row r="74" spans="9:10" x14ac:dyDescent="0.25">
      <c r="I74" s="37"/>
      <c r="J74" s="35"/>
    </row>
    <row r="75" spans="9:10" x14ac:dyDescent="0.25">
      <c r="I75" s="37"/>
      <c r="J75" s="35"/>
    </row>
    <row r="76" spans="9:10" x14ac:dyDescent="0.25">
      <c r="I76" s="37"/>
      <c r="J76" s="35"/>
    </row>
    <row r="77" spans="9:10" x14ac:dyDescent="0.25">
      <c r="I77" s="37"/>
      <c r="J77" s="35"/>
    </row>
    <row r="78" spans="9:10" x14ac:dyDescent="0.25">
      <c r="I78" s="37"/>
      <c r="J78" s="35"/>
    </row>
    <row r="79" spans="9:10" x14ac:dyDescent="0.25">
      <c r="I79" s="37"/>
      <c r="J79" s="35"/>
    </row>
    <row r="80" spans="9:10" x14ac:dyDescent="0.25">
      <c r="I80" s="37"/>
      <c r="J80" s="35"/>
    </row>
    <row r="81" spans="9:10" x14ac:dyDescent="0.25">
      <c r="I81" s="37"/>
      <c r="J81" s="35"/>
    </row>
    <row r="82" spans="9:10" x14ac:dyDescent="0.25">
      <c r="I82" s="37"/>
      <c r="J82" s="35"/>
    </row>
    <row r="83" spans="9:10" x14ac:dyDescent="0.25">
      <c r="I83" s="37"/>
      <c r="J83" s="35"/>
    </row>
    <row r="84" spans="9:10" x14ac:dyDescent="0.25">
      <c r="I84" s="37"/>
      <c r="J84" s="35"/>
    </row>
    <row r="85" spans="9:10" x14ac:dyDescent="0.25">
      <c r="I85" s="37"/>
      <c r="J85" s="35"/>
    </row>
    <row r="86" spans="9:10" x14ac:dyDescent="0.25">
      <c r="I86" s="37"/>
      <c r="J86" s="35"/>
    </row>
    <row r="87" spans="9:10" x14ac:dyDescent="0.25">
      <c r="I87" s="37"/>
      <c r="J87" s="35"/>
    </row>
    <row r="88" spans="9:10" x14ac:dyDescent="0.25">
      <c r="I88" s="37"/>
      <c r="J88" s="35"/>
    </row>
    <row r="89" spans="9:10" x14ac:dyDescent="0.25">
      <c r="I89" s="37"/>
      <c r="J89" s="35"/>
    </row>
    <row r="90" spans="9:10" x14ac:dyDescent="0.25">
      <c r="I90" s="37"/>
      <c r="J90" s="35"/>
    </row>
    <row r="91" spans="9:10" x14ac:dyDescent="0.25">
      <c r="I91" s="37"/>
      <c r="J91" s="35"/>
    </row>
    <row r="92" spans="9:10" x14ac:dyDescent="0.25">
      <c r="I92" s="37"/>
      <c r="J92" s="35"/>
    </row>
    <row r="93" spans="9:10" x14ac:dyDescent="0.25">
      <c r="I93" s="37"/>
      <c r="J93" s="35"/>
    </row>
    <row r="94" spans="9:10" x14ac:dyDescent="0.25">
      <c r="I94" s="37"/>
      <c r="J94" s="35"/>
    </row>
    <row r="95" spans="9:10" x14ac:dyDescent="0.25">
      <c r="I95" s="37"/>
      <c r="J95" s="35"/>
    </row>
    <row r="96" spans="9:10" x14ac:dyDescent="0.25">
      <c r="I96" s="37"/>
      <c r="J96" s="35"/>
    </row>
    <row r="97" spans="9:10" x14ac:dyDescent="0.25">
      <c r="I97" s="37"/>
      <c r="J97" s="35"/>
    </row>
    <row r="98" spans="9:10" x14ac:dyDescent="0.25">
      <c r="I98" s="37"/>
      <c r="J98" s="35"/>
    </row>
    <row r="99" spans="9:10" x14ac:dyDescent="0.25">
      <c r="I99" s="37"/>
      <c r="J99" s="35"/>
    </row>
    <row r="100" spans="9:10" x14ac:dyDescent="0.25">
      <c r="I100" s="37"/>
      <c r="J100" s="35"/>
    </row>
    <row r="101" spans="9:10" x14ac:dyDescent="0.25">
      <c r="I101" s="37"/>
      <c r="J101" s="35"/>
    </row>
    <row r="102" spans="9:10" x14ac:dyDescent="0.25">
      <c r="I102" s="37"/>
      <c r="J102" s="35"/>
    </row>
    <row r="103" spans="9:10" x14ac:dyDescent="0.25">
      <c r="I103" s="37"/>
      <c r="J103" s="35"/>
    </row>
    <row r="104" spans="9:10" x14ac:dyDescent="0.25">
      <c r="I104" s="37"/>
      <c r="J104" s="35"/>
    </row>
    <row r="105" spans="9:10" x14ac:dyDescent="0.25">
      <c r="I105" s="37"/>
      <c r="J105" s="35"/>
    </row>
    <row r="106" spans="9:10" x14ac:dyDescent="0.25">
      <c r="I106" s="37"/>
      <c r="J106" s="35"/>
    </row>
    <row r="107" spans="9:10" x14ac:dyDescent="0.25">
      <c r="I107" s="37"/>
      <c r="J107" s="35"/>
    </row>
    <row r="108" spans="9:10" x14ac:dyDescent="0.25">
      <c r="I108" s="37"/>
      <c r="J108" s="35"/>
    </row>
    <row r="109" spans="9:10" x14ac:dyDescent="0.25">
      <c r="I109" s="37"/>
      <c r="J109" s="35"/>
    </row>
    <row r="110" spans="9:10" x14ac:dyDescent="0.25">
      <c r="I110" s="37"/>
      <c r="J110" s="35"/>
    </row>
    <row r="111" spans="9:10" x14ac:dyDescent="0.25">
      <c r="I111" s="37"/>
      <c r="J111" s="35"/>
    </row>
    <row r="112" spans="9:10" x14ac:dyDescent="0.25">
      <c r="I112" s="37"/>
      <c r="J112" s="35"/>
    </row>
    <row r="113" spans="9:10" x14ac:dyDescent="0.25">
      <c r="I113" s="37"/>
      <c r="J113" s="35"/>
    </row>
    <row r="114" spans="9:10" x14ac:dyDescent="0.25">
      <c r="I114" s="37"/>
      <c r="J114" s="35"/>
    </row>
    <row r="115" spans="9:10" x14ac:dyDescent="0.25">
      <c r="I115" s="37"/>
      <c r="J115" s="35"/>
    </row>
    <row r="116" spans="9:10" x14ac:dyDescent="0.25">
      <c r="I116" s="37"/>
      <c r="J116" s="35"/>
    </row>
    <row r="117" spans="9:10" x14ac:dyDescent="0.25">
      <c r="I117" s="37"/>
      <c r="J117" s="35"/>
    </row>
    <row r="118" spans="9:10" x14ac:dyDescent="0.25">
      <c r="I118" s="37"/>
      <c r="J118" s="35"/>
    </row>
    <row r="119" spans="9:10" x14ac:dyDescent="0.25">
      <c r="I119" s="37"/>
      <c r="J119" s="35"/>
    </row>
    <row r="120" spans="9:10" x14ac:dyDescent="0.25">
      <c r="I120" s="37"/>
      <c r="J120" s="35"/>
    </row>
    <row r="121" spans="9:10" x14ac:dyDescent="0.25">
      <c r="I121" s="37"/>
      <c r="J121" s="35"/>
    </row>
    <row r="122" spans="9:10" x14ac:dyDescent="0.25">
      <c r="I122" s="37"/>
      <c r="J122" s="35"/>
    </row>
    <row r="123" spans="9:10" x14ac:dyDescent="0.25">
      <c r="I123" s="37"/>
      <c r="J123" s="35"/>
    </row>
    <row r="124" spans="9:10" x14ac:dyDescent="0.25">
      <c r="I124" s="37"/>
      <c r="J124" s="35"/>
    </row>
    <row r="125" spans="9:10" x14ac:dyDescent="0.25">
      <c r="I125" s="37"/>
      <c r="J125" s="35"/>
    </row>
    <row r="126" spans="9:10" x14ac:dyDescent="0.25">
      <c r="I126" s="37"/>
      <c r="J126" s="35"/>
    </row>
    <row r="127" spans="9:10" x14ac:dyDescent="0.25">
      <c r="I127" s="37"/>
      <c r="J127" s="35"/>
    </row>
    <row r="128" spans="9:10" x14ac:dyDescent="0.25">
      <c r="I128" s="37"/>
      <c r="J128" s="35"/>
    </row>
    <row r="129" spans="9:10" x14ac:dyDescent="0.25">
      <c r="I129" s="37"/>
      <c r="J129" s="35"/>
    </row>
    <row r="130" spans="9:10" x14ac:dyDescent="0.25">
      <c r="I130" s="37"/>
      <c r="J130" s="35"/>
    </row>
    <row r="131" spans="9:10" x14ac:dyDescent="0.25">
      <c r="I131" s="37"/>
      <c r="J131" s="35"/>
    </row>
    <row r="132" spans="9:10" x14ac:dyDescent="0.25">
      <c r="I132" s="37"/>
      <c r="J132" s="35"/>
    </row>
    <row r="133" spans="9:10" x14ac:dyDescent="0.25">
      <c r="I133" s="37"/>
      <c r="J133" s="35"/>
    </row>
    <row r="134" spans="9:10" x14ac:dyDescent="0.25">
      <c r="I134" s="37"/>
      <c r="J134" s="35"/>
    </row>
    <row r="135" spans="9:10" x14ac:dyDescent="0.25">
      <c r="I135" s="37"/>
      <c r="J135" s="35"/>
    </row>
    <row r="136" spans="9:10" x14ac:dyDescent="0.25">
      <c r="I136" s="37"/>
      <c r="J136" s="35"/>
    </row>
    <row r="137" spans="9:10" x14ac:dyDescent="0.25">
      <c r="I137" s="37"/>
      <c r="J137" s="35"/>
    </row>
    <row r="138" spans="9:10" x14ac:dyDescent="0.25">
      <c r="I138" s="37"/>
      <c r="J138" s="35"/>
    </row>
    <row r="139" spans="9:10" x14ac:dyDescent="0.25">
      <c r="I139" s="37"/>
      <c r="J139" s="35"/>
    </row>
    <row r="140" spans="9:10" x14ac:dyDescent="0.25">
      <c r="I140" s="37"/>
      <c r="J140" s="35"/>
    </row>
    <row r="141" spans="9:10" x14ac:dyDescent="0.25">
      <c r="I141" s="37"/>
      <c r="J141" s="35"/>
    </row>
    <row r="142" spans="9:10" x14ac:dyDescent="0.25">
      <c r="I142" s="37"/>
      <c r="J142" s="35"/>
    </row>
    <row r="143" spans="9:10" x14ac:dyDescent="0.25">
      <c r="I143" s="37"/>
      <c r="J143" s="35"/>
    </row>
    <row r="144" spans="9:10" x14ac:dyDescent="0.25">
      <c r="I144" s="37"/>
      <c r="J144" s="35"/>
    </row>
    <row r="145" spans="9:10" x14ac:dyDescent="0.25">
      <c r="I145" s="37"/>
      <c r="J145" s="35"/>
    </row>
    <row r="146" spans="9:10" x14ac:dyDescent="0.25">
      <c r="I146" s="37"/>
      <c r="J146" s="35"/>
    </row>
    <row r="147" spans="9:10" x14ac:dyDescent="0.25">
      <c r="I147" s="37"/>
      <c r="J147" s="35"/>
    </row>
    <row r="148" spans="9:10" x14ac:dyDescent="0.25">
      <c r="I148" s="37"/>
      <c r="J148" s="35"/>
    </row>
    <row r="149" spans="9:10" x14ac:dyDescent="0.25">
      <c r="I149" s="37"/>
      <c r="J149" s="35"/>
    </row>
    <row r="150" spans="9:10" x14ac:dyDescent="0.25">
      <c r="I150" s="37"/>
      <c r="J150" s="35"/>
    </row>
    <row r="151" spans="9:10" x14ac:dyDescent="0.25">
      <c r="I151" s="37"/>
      <c r="J151" s="35"/>
    </row>
    <row r="152" spans="9:10" x14ac:dyDescent="0.25">
      <c r="I152" s="37"/>
      <c r="J152" s="35"/>
    </row>
    <row r="153" spans="9:10" x14ac:dyDescent="0.25">
      <c r="I153" s="37"/>
      <c r="J153" s="35"/>
    </row>
    <row r="154" spans="9:10" x14ac:dyDescent="0.25">
      <c r="I154" s="37"/>
      <c r="J154" s="35"/>
    </row>
    <row r="155" spans="9:10" x14ac:dyDescent="0.25">
      <c r="I155" s="37"/>
      <c r="J155" s="35"/>
    </row>
    <row r="156" spans="9:10" x14ac:dyDescent="0.25">
      <c r="I156" s="37"/>
      <c r="J156" s="35"/>
    </row>
    <row r="157" spans="9:10" x14ac:dyDescent="0.25">
      <c r="I157" s="37"/>
      <c r="J157" s="35"/>
    </row>
    <row r="158" spans="9:10" x14ac:dyDescent="0.25">
      <c r="I158" s="37"/>
      <c r="J158" s="35"/>
    </row>
    <row r="159" spans="9:10" x14ac:dyDescent="0.25">
      <c r="I159" s="37"/>
      <c r="J159" s="35"/>
    </row>
    <row r="160" spans="9:10" x14ac:dyDescent="0.25">
      <c r="I160" s="37"/>
      <c r="J160" s="35"/>
    </row>
    <row r="161" spans="9:10" x14ac:dyDescent="0.25">
      <c r="I161" s="37"/>
      <c r="J161" s="35"/>
    </row>
    <row r="162" spans="9:10" x14ac:dyDescent="0.25">
      <c r="I162" s="37"/>
      <c r="J162" s="35"/>
    </row>
    <row r="163" spans="9:10" x14ac:dyDescent="0.25">
      <c r="I163" s="37"/>
      <c r="J163" s="35"/>
    </row>
    <row r="164" spans="9:10" x14ac:dyDescent="0.25">
      <c r="I164" s="37"/>
      <c r="J164" s="35"/>
    </row>
    <row r="165" spans="9:10" x14ac:dyDescent="0.25">
      <c r="I165" s="37"/>
      <c r="J165" s="35"/>
    </row>
    <row r="166" spans="9:10" x14ac:dyDescent="0.25">
      <c r="I166" s="37"/>
      <c r="J166" s="35"/>
    </row>
    <row r="167" spans="9:10" x14ac:dyDescent="0.25">
      <c r="I167" s="37"/>
      <c r="J167" s="35"/>
    </row>
    <row r="168" spans="9:10" x14ac:dyDescent="0.25">
      <c r="I168" s="37"/>
      <c r="J168" s="35"/>
    </row>
    <row r="169" spans="9:10" x14ac:dyDescent="0.25">
      <c r="I169" s="37"/>
      <c r="J169" s="35"/>
    </row>
    <row r="170" spans="9:10" x14ac:dyDescent="0.25">
      <c r="I170" s="37"/>
      <c r="J170" s="35"/>
    </row>
    <row r="171" spans="9:10" x14ac:dyDescent="0.25">
      <c r="I171" s="37"/>
      <c r="J171" s="35"/>
    </row>
    <row r="172" spans="9:10" x14ac:dyDescent="0.25">
      <c r="I172" s="37"/>
      <c r="J172" s="35"/>
    </row>
    <row r="173" spans="9:10" x14ac:dyDescent="0.25">
      <c r="I173" s="37"/>
      <c r="J173" s="35"/>
    </row>
    <row r="174" spans="9:10" x14ac:dyDescent="0.25">
      <c r="I174" s="37"/>
      <c r="J174" s="35"/>
    </row>
    <row r="175" spans="9:10" x14ac:dyDescent="0.25">
      <c r="I175" s="37"/>
      <c r="J175" s="35"/>
    </row>
    <row r="176" spans="9:10" x14ac:dyDescent="0.25">
      <c r="I176" s="37"/>
      <c r="J176" s="35"/>
    </row>
    <row r="177" spans="9:10" x14ac:dyDescent="0.25">
      <c r="I177" s="37"/>
      <c r="J177" s="35"/>
    </row>
    <row r="178" spans="9:10" x14ac:dyDescent="0.25">
      <c r="I178" s="37"/>
      <c r="J178" s="35"/>
    </row>
    <row r="179" spans="9:10" x14ac:dyDescent="0.25">
      <c r="I179" s="37"/>
      <c r="J179" s="35"/>
    </row>
    <row r="180" spans="9:10" x14ac:dyDescent="0.25">
      <c r="I180" s="37"/>
      <c r="J180" s="35"/>
    </row>
    <row r="181" spans="9:10" x14ac:dyDescent="0.25">
      <c r="I181" s="37"/>
      <c r="J181" s="35"/>
    </row>
    <row r="182" spans="9:10" x14ac:dyDescent="0.25">
      <c r="I182" s="37"/>
      <c r="J182" s="35"/>
    </row>
    <row r="183" spans="9:10" x14ac:dyDescent="0.25">
      <c r="I183" s="37"/>
      <c r="J183" s="35"/>
    </row>
    <row r="184" spans="9:10" x14ac:dyDescent="0.25">
      <c r="I184" s="37"/>
      <c r="J184" s="35"/>
    </row>
    <row r="185" spans="9:10" x14ac:dyDescent="0.25">
      <c r="I185" s="37"/>
      <c r="J185" s="35"/>
    </row>
    <row r="186" spans="9:10" x14ac:dyDescent="0.25">
      <c r="I186" s="37"/>
      <c r="J186" s="35"/>
    </row>
    <row r="187" spans="9:10" x14ac:dyDescent="0.25">
      <c r="I187" s="37"/>
      <c r="J187" s="35"/>
    </row>
    <row r="188" spans="9:10" x14ac:dyDescent="0.25">
      <c r="I188" s="37"/>
      <c r="J188" s="35"/>
    </row>
    <row r="189" spans="9:10" x14ac:dyDescent="0.25">
      <c r="I189" s="37"/>
      <c r="J189" s="35"/>
    </row>
    <row r="190" spans="9:10" x14ac:dyDescent="0.25">
      <c r="I190" s="37"/>
      <c r="J190" s="35"/>
    </row>
    <row r="191" spans="9:10" x14ac:dyDescent="0.25">
      <c r="I191" s="37"/>
      <c r="J191" s="35"/>
    </row>
    <row r="192" spans="9:10" x14ac:dyDescent="0.25">
      <c r="I192" s="37"/>
      <c r="J192" s="35"/>
    </row>
    <row r="193" spans="9:10" x14ac:dyDescent="0.25">
      <c r="I193" s="37"/>
      <c r="J193" s="35"/>
    </row>
    <row r="194" spans="9:10" x14ac:dyDescent="0.25">
      <c r="I194" s="37"/>
      <c r="J194" s="35"/>
    </row>
    <row r="195" spans="9:10" x14ac:dyDescent="0.25">
      <c r="I195" s="37"/>
      <c r="J195" s="35"/>
    </row>
    <row r="196" spans="9:10" x14ac:dyDescent="0.25">
      <c r="I196" s="37"/>
      <c r="J196" s="35"/>
    </row>
    <row r="197" spans="9:10" x14ac:dyDescent="0.25">
      <c r="I197" s="37"/>
      <c r="J197" s="35"/>
    </row>
    <row r="198" spans="9:10" x14ac:dyDescent="0.25">
      <c r="I198" s="37"/>
      <c r="J198" s="35"/>
    </row>
    <row r="199" spans="9:10" x14ac:dyDescent="0.25">
      <c r="I199" s="37"/>
      <c r="J199" s="35"/>
    </row>
    <row r="200" spans="9:10" x14ac:dyDescent="0.25">
      <c r="I200" s="37"/>
      <c r="J200" s="35"/>
    </row>
    <row r="201" spans="9:10" x14ac:dyDescent="0.25">
      <c r="I201" s="37"/>
      <c r="J201" s="35"/>
    </row>
    <row r="202" spans="9:10" x14ac:dyDescent="0.25">
      <c r="I202" s="37"/>
      <c r="J202" s="35"/>
    </row>
    <row r="203" spans="9:10" x14ac:dyDescent="0.25">
      <c r="I203" s="37"/>
      <c r="J203" s="35"/>
    </row>
    <row r="204" spans="9:10" x14ac:dyDescent="0.25">
      <c r="I204" s="37"/>
      <c r="J204" s="35"/>
    </row>
    <row r="205" spans="9:10" x14ac:dyDescent="0.25">
      <c r="I205" s="37"/>
      <c r="J205" s="35"/>
    </row>
    <row r="206" spans="9:10" x14ac:dyDescent="0.25">
      <c r="I206" s="37"/>
      <c r="J206" s="35"/>
    </row>
    <row r="207" spans="9:10" x14ac:dyDescent="0.25">
      <c r="I207" s="37"/>
      <c r="J207" s="35"/>
    </row>
    <row r="208" spans="9:10" x14ac:dyDescent="0.25">
      <c r="I208" s="37"/>
      <c r="J208" s="35"/>
    </row>
    <row r="209" spans="9:10" x14ac:dyDescent="0.25">
      <c r="I209" s="37"/>
      <c r="J209" s="35"/>
    </row>
    <row r="210" spans="9:10" x14ac:dyDescent="0.25">
      <c r="I210" s="37"/>
      <c r="J210" s="35"/>
    </row>
    <row r="211" spans="9:10" x14ac:dyDescent="0.25">
      <c r="I211" s="37"/>
      <c r="J211" s="35"/>
    </row>
    <row r="212" spans="9:10" x14ac:dyDescent="0.25">
      <c r="I212" s="37"/>
      <c r="J212" s="35"/>
    </row>
    <row r="213" spans="9:10" x14ac:dyDescent="0.25">
      <c r="I213" s="37"/>
      <c r="J213" s="35"/>
    </row>
    <row r="214" spans="9:10" x14ac:dyDescent="0.25">
      <c r="I214" s="37"/>
      <c r="J214" s="35"/>
    </row>
    <row r="215" spans="9:10" x14ac:dyDescent="0.25">
      <c r="I215" s="37"/>
      <c r="J215" s="35"/>
    </row>
    <row r="216" spans="9:10" x14ac:dyDescent="0.25">
      <c r="I216" s="37"/>
      <c r="J216" s="35"/>
    </row>
    <row r="217" spans="9:10" x14ac:dyDescent="0.25">
      <c r="I217" s="37"/>
      <c r="J217" s="35"/>
    </row>
    <row r="218" spans="9:10" x14ac:dyDescent="0.25">
      <c r="I218" s="37"/>
      <c r="J218" s="35"/>
    </row>
    <row r="219" spans="9:10" x14ac:dyDescent="0.25">
      <c r="I219" s="37"/>
      <c r="J219" s="35"/>
    </row>
    <row r="220" spans="9:10" x14ac:dyDescent="0.25">
      <c r="I220" s="37"/>
      <c r="J220" s="35"/>
    </row>
    <row r="221" spans="9:10" x14ac:dyDescent="0.25">
      <c r="I221" s="37"/>
      <c r="J221" s="35"/>
    </row>
    <row r="222" spans="9:10" x14ac:dyDescent="0.25">
      <c r="I222" s="37"/>
      <c r="J222" s="35"/>
    </row>
    <row r="223" spans="9:10" x14ac:dyDescent="0.25">
      <c r="I223" s="37"/>
      <c r="J223" s="35"/>
    </row>
    <row r="224" spans="9:10" x14ac:dyDescent="0.25">
      <c r="I224" s="37"/>
      <c r="J224" s="35"/>
    </row>
    <row r="225" spans="9:10" x14ac:dyDescent="0.25">
      <c r="I225" s="37"/>
      <c r="J225" s="35"/>
    </row>
    <row r="226" spans="9:10" x14ac:dyDescent="0.25">
      <c r="I226" s="37"/>
      <c r="J226" s="35"/>
    </row>
    <row r="227" spans="9:10" x14ac:dyDescent="0.25">
      <c r="I227" s="37"/>
      <c r="J227" s="35"/>
    </row>
    <row r="228" spans="9:10" x14ac:dyDescent="0.25">
      <c r="I228" s="37"/>
      <c r="J228" s="35"/>
    </row>
    <row r="229" spans="9:10" x14ac:dyDescent="0.25">
      <c r="I229" s="37"/>
      <c r="J229" s="35"/>
    </row>
    <row r="230" spans="9:10" x14ac:dyDescent="0.25">
      <c r="I230" s="37"/>
      <c r="J230" s="35"/>
    </row>
    <row r="231" spans="9:10" x14ac:dyDescent="0.25">
      <c r="I231" s="37"/>
      <c r="J231" s="35"/>
    </row>
    <row r="232" spans="9:10" x14ac:dyDescent="0.25">
      <c r="I232" s="37"/>
      <c r="J232" s="35"/>
    </row>
    <row r="233" spans="9:10" x14ac:dyDescent="0.25">
      <c r="I233" s="37"/>
      <c r="J233" s="35"/>
    </row>
    <row r="234" spans="9:10" x14ac:dyDescent="0.25">
      <c r="I234" s="37"/>
      <c r="J234" s="35"/>
    </row>
    <row r="235" spans="9:10" x14ac:dyDescent="0.25">
      <c r="I235" s="37"/>
      <c r="J235" s="35"/>
    </row>
    <row r="236" spans="9:10" x14ac:dyDescent="0.25">
      <c r="I236" s="37"/>
      <c r="J236" s="35"/>
    </row>
    <row r="237" spans="9:10" x14ac:dyDescent="0.25">
      <c r="I237" s="37"/>
      <c r="J237" s="35"/>
    </row>
    <row r="238" spans="9:10" x14ac:dyDescent="0.25">
      <c r="I238" s="37"/>
      <c r="J238" s="35"/>
    </row>
    <row r="239" spans="9:10" x14ac:dyDescent="0.25">
      <c r="I239" s="37"/>
      <c r="J239" s="35"/>
    </row>
    <row r="240" spans="9:10" x14ac:dyDescent="0.25">
      <c r="I240" s="37"/>
      <c r="J240" s="35"/>
    </row>
    <row r="241" spans="9:10" x14ac:dyDescent="0.25">
      <c r="I241" s="37"/>
      <c r="J241" s="35"/>
    </row>
    <row r="242" spans="9:10" x14ac:dyDescent="0.25">
      <c r="I242" s="37"/>
      <c r="J242" s="35"/>
    </row>
    <row r="243" spans="9:10" x14ac:dyDescent="0.25">
      <c r="I243" s="37"/>
      <c r="J243" s="35"/>
    </row>
    <row r="244" spans="9:10" x14ac:dyDescent="0.25">
      <c r="I244" s="37"/>
      <c r="J244" s="35"/>
    </row>
    <row r="245" spans="9:10" x14ac:dyDescent="0.25">
      <c r="I245" s="37"/>
      <c r="J245" s="35"/>
    </row>
    <row r="246" spans="9:10" x14ac:dyDescent="0.25">
      <c r="I246" s="37"/>
      <c r="J246" s="35"/>
    </row>
    <row r="247" spans="9:10" x14ac:dyDescent="0.25">
      <c r="I247" s="37"/>
      <c r="J247" s="35"/>
    </row>
    <row r="248" spans="9:10" x14ac:dyDescent="0.25">
      <c r="I248" s="37"/>
      <c r="J248" s="35"/>
    </row>
    <row r="249" spans="9:10" x14ac:dyDescent="0.25">
      <c r="I249" s="37"/>
      <c r="J249" s="35"/>
    </row>
    <row r="250" spans="9:10" x14ac:dyDescent="0.25">
      <c r="I250" s="37"/>
      <c r="J250" s="35"/>
    </row>
    <row r="251" spans="9:10" x14ac:dyDescent="0.25">
      <c r="I251" s="37"/>
      <c r="J251" s="35"/>
    </row>
    <row r="252" spans="9:10" x14ac:dyDescent="0.25">
      <c r="I252" s="37"/>
      <c r="J252" s="35"/>
    </row>
    <row r="253" spans="9:10" x14ac:dyDescent="0.25">
      <c r="I253" s="37"/>
      <c r="J253" s="35"/>
    </row>
    <row r="254" spans="9:10" x14ac:dyDescent="0.25">
      <c r="I254" s="37"/>
      <c r="J254" s="35"/>
    </row>
    <row r="255" spans="9:10" x14ac:dyDescent="0.25">
      <c r="I255" s="37"/>
      <c r="J255" s="35"/>
    </row>
    <row r="256" spans="9:10" x14ac:dyDescent="0.25">
      <c r="I256" s="37"/>
      <c r="J256" s="35"/>
    </row>
    <row r="257" spans="9:10" x14ac:dyDescent="0.25">
      <c r="I257" s="37"/>
      <c r="J257" s="35"/>
    </row>
    <row r="258" spans="9:10" x14ac:dyDescent="0.25">
      <c r="I258" s="37"/>
      <c r="J258" s="35"/>
    </row>
    <row r="259" spans="9:10" x14ac:dyDescent="0.25">
      <c r="I259" s="37"/>
      <c r="J259" s="35"/>
    </row>
    <row r="260" spans="9:10" x14ac:dyDescent="0.25">
      <c r="I260" s="37"/>
      <c r="J260" s="35"/>
    </row>
    <row r="261" spans="9:10" x14ac:dyDescent="0.25">
      <c r="I261" s="37"/>
      <c r="J261" s="35"/>
    </row>
    <row r="262" spans="9:10" x14ac:dyDescent="0.25">
      <c r="I262" s="37"/>
      <c r="J262" s="35"/>
    </row>
    <row r="263" spans="9:10" x14ac:dyDescent="0.25">
      <c r="I263" s="37"/>
      <c r="J263" s="35"/>
    </row>
    <row r="264" spans="9:10" x14ac:dyDescent="0.25">
      <c r="I264" s="37"/>
      <c r="J264" s="35"/>
    </row>
    <row r="265" spans="9:10" x14ac:dyDescent="0.25">
      <c r="I265" s="37"/>
      <c r="J265" s="35"/>
    </row>
    <row r="266" spans="9:10" x14ac:dyDescent="0.25">
      <c r="I266" s="37"/>
      <c r="J266" s="35"/>
    </row>
    <row r="267" spans="9:10" x14ac:dyDescent="0.25">
      <c r="I267" s="37"/>
      <c r="J267" s="35"/>
    </row>
    <row r="268" spans="9:10" x14ac:dyDescent="0.25">
      <c r="I268" s="37"/>
      <c r="J268" s="35"/>
    </row>
    <row r="269" spans="9:10" x14ac:dyDescent="0.25">
      <c r="I269" s="37"/>
      <c r="J269" s="35"/>
    </row>
    <row r="270" spans="9:10" x14ac:dyDescent="0.25">
      <c r="I270" s="37"/>
      <c r="J270" s="35"/>
    </row>
    <row r="271" spans="9:10" x14ac:dyDescent="0.25">
      <c r="I271" s="37"/>
      <c r="J271" s="35"/>
    </row>
    <row r="272" spans="9:10" x14ac:dyDescent="0.25">
      <c r="I272" s="37"/>
      <c r="J272" s="35"/>
    </row>
    <row r="273" spans="9:10" x14ac:dyDescent="0.25">
      <c r="I273" s="37"/>
      <c r="J273" s="35"/>
    </row>
    <row r="274" spans="9:10" x14ac:dyDescent="0.25">
      <c r="I274" s="37"/>
      <c r="J274" s="35"/>
    </row>
    <row r="275" spans="9:10" x14ac:dyDescent="0.25">
      <c r="I275" s="37"/>
      <c r="J275" s="35"/>
    </row>
    <row r="276" spans="9:10" x14ac:dyDescent="0.25">
      <c r="I276" s="37"/>
      <c r="J276" s="35"/>
    </row>
    <row r="277" spans="9:10" x14ac:dyDescent="0.25">
      <c r="I277" s="37"/>
      <c r="J277" s="35"/>
    </row>
    <row r="278" spans="9:10" x14ac:dyDescent="0.25">
      <c r="I278" s="37"/>
      <c r="J278" s="35"/>
    </row>
    <row r="279" spans="9:10" x14ac:dyDescent="0.25">
      <c r="I279" s="37"/>
      <c r="J279" s="35"/>
    </row>
    <row r="280" spans="9:10" x14ac:dyDescent="0.25">
      <c r="I280" s="37"/>
      <c r="J280" s="35"/>
    </row>
    <row r="281" spans="9:10" x14ac:dyDescent="0.25">
      <c r="I281" s="37"/>
      <c r="J281" s="35"/>
    </row>
    <row r="282" spans="9:10" x14ac:dyDescent="0.25">
      <c r="I282" s="37"/>
      <c r="J282" s="35"/>
    </row>
    <row r="283" spans="9:10" x14ac:dyDescent="0.25">
      <c r="I283" s="37"/>
      <c r="J283" s="35"/>
    </row>
    <row r="284" spans="9:10" x14ac:dyDescent="0.25">
      <c r="I284" s="37"/>
      <c r="J284" s="35"/>
    </row>
    <row r="285" spans="9:10" x14ac:dyDescent="0.25">
      <c r="I285" s="37"/>
      <c r="J285" s="35"/>
    </row>
    <row r="286" spans="9:10" x14ac:dyDescent="0.25">
      <c r="I286" s="37"/>
      <c r="J286" s="35"/>
    </row>
    <row r="287" spans="9:10" x14ac:dyDescent="0.25">
      <c r="I287" s="37"/>
      <c r="J287" s="35"/>
    </row>
    <row r="288" spans="9:10" x14ac:dyDescent="0.25">
      <c r="I288" s="37"/>
      <c r="J288" s="35"/>
    </row>
    <row r="289" spans="9:10" x14ac:dyDescent="0.25">
      <c r="I289" s="37"/>
      <c r="J289" s="35"/>
    </row>
    <row r="290" spans="9:10" x14ac:dyDescent="0.25">
      <c r="I290" s="37"/>
      <c r="J290" s="35"/>
    </row>
    <row r="291" spans="9:10" x14ac:dyDescent="0.25">
      <c r="I291" s="37"/>
      <c r="J291" s="35"/>
    </row>
    <row r="292" spans="9:10" x14ac:dyDescent="0.25">
      <c r="I292" s="37"/>
      <c r="J292" s="35"/>
    </row>
    <row r="293" spans="9:10" x14ac:dyDescent="0.25">
      <c r="I293" s="37"/>
      <c r="J293" s="35"/>
    </row>
    <row r="294" spans="9:10" x14ac:dyDescent="0.25">
      <c r="I294" s="37"/>
      <c r="J294" s="35"/>
    </row>
    <row r="295" spans="9:10" x14ac:dyDescent="0.25">
      <c r="I295" s="37"/>
      <c r="J295" s="35"/>
    </row>
    <row r="296" spans="9:10" x14ac:dyDescent="0.25">
      <c r="I296" s="37"/>
      <c r="J296" s="35"/>
    </row>
    <row r="297" spans="9:10" x14ac:dyDescent="0.25">
      <c r="I297" s="37"/>
      <c r="J297" s="35"/>
    </row>
    <row r="298" spans="9:10" x14ac:dyDescent="0.25">
      <c r="I298" s="37"/>
      <c r="J298" s="35"/>
    </row>
    <row r="299" spans="9:10" x14ac:dyDescent="0.25">
      <c r="I299" s="37"/>
      <c r="J299" s="35"/>
    </row>
    <row r="300" spans="9:10" x14ac:dyDescent="0.25">
      <c r="I300" s="37"/>
      <c r="J300" s="35"/>
    </row>
    <row r="301" spans="9:10" x14ac:dyDescent="0.25">
      <c r="I301" s="37"/>
      <c r="J301" s="35"/>
    </row>
    <row r="302" spans="9:10" x14ac:dyDescent="0.25">
      <c r="I302" s="37"/>
      <c r="J302" s="35"/>
    </row>
    <row r="303" spans="9:10" x14ac:dyDescent="0.25">
      <c r="I303" s="37"/>
      <c r="J303" s="35"/>
    </row>
    <row r="304" spans="9:10" x14ac:dyDescent="0.25">
      <c r="I304" s="37"/>
      <c r="J304" s="35"/>
    </row>
    <row r="305" spans="9:12" x14ac:dyDescent="0.25">
      <c r="I305" s="37"/>
      <c r="J305" s="35"/>
    </row>
    <row r="306" spans="9:12" x14ac:dyDescent="0.25">
      <c r="I306" s="37"/>
      <c r="J306" s="35"/>
    </row>
    <row r="307" spans="9:12" x14ac:dyDescent="0.25">
      <c r="I307" s="37"/>
      <c r="J307" s="35"/>
    </row>
    <row r="308" spans="9:12" x14ac:dyDescent="0.25">
      <c r="I308" s="37"/>
      <c r="J308" s="35"/>
    </row>
    <row r="309" spans="9:12" x14ac:dyDescent="0.25">
      <c r="I309" s="37"/>
      <c r="J309" s="35"/>
    </row>
    <row r="310" spans="9:12" x14ac:dyDescent="0.25">
      <c r="I310" s="37"/>
      <c r="J310" s="35"/>
    </row>
    <row r="311" spans="9:12" x14ac:dyDescent="0.25">
      <c r="I311" s="37"/>
      <c r="J311" s="35"/>
    </row>
    <row r="312" spans="9:12" x14ac:dyDescent="0.25">
      <c r="I312" s="37"/>
      <c r="J312" s="35"/>
      <c r="L312" s="36"/>
    </row>
    <row r="313" spans="9:12" x14ac:dyDescent="0.25">
      <c r="I313" s="37"/>
      <c r="J313" s="35"/>
    </row>
    <row r="314" spans="9:12" x14ac:dyDescent="0.25">
      <c r="I314" s="37"/>
      <c r="J314" s="35"/>
    </row>
    <row r="315" spans="9:12" x14ac:dyDescent="0.25">
      <c r="I315" s="37"/>
      <c r="J315" s="35"/>
    </row>
    <row r="316" spans="9:12" x14ac:dyDescent="0.25">
      <c r="I316" s="37"/>
      <c r="J316" s="35"/>
    </row>
    <row r="317" spans="9:12" x14ac:dyDescent="0.25">
      <c r="I317" s="37"/>
      <c r="J317" s="35"/>
    </row>
    <row r="318" spans="9:12" x14ac:dyDescent="0.25">
      <c r="I318" s="37"/>
      <c r="J318" s="35"/>
    </row>
    <row r="319" spans="9:12" x14ac:dyDescent="0.25">
      <c r="I319" s="37"/>
      <c r="J319" s="35"/>
    </row>
    <row r="320" spans="9:12" x14ac:dyDescent="0.25">
      <c r="I320" s="37"/>
      <c r="J320" s="35"/>
    </row>
    <row r="321" spans="9:10" x14ac:dyDescent="0.25">
      <c r="I321" s="37"/>
      <c r="J321" s="35"/>
    </row>
    <row r="322" spans="9:10" x14ac:dyDescent="0.25">
      <c r="I322" s="37"/>
      <c r="J322" s="35"/>
    </row>
    <row r="323" spans="9:10" x14ac:dyDescent="0.25">
      <c r="I323" s="37"/>
      <c r="J323" s="35"/>
    </row>
    <row r="324" spans="9:10" x14ac:dyDescent="0.25">
      <c r="I324" s="37"/>
      <c r="J324" s="35"/>
    </row>
    <row r="325" spans="9:10" x14ac:dyDescent="0.25">
      <c r="I325" s="37"/>
      <c r="J325" s="35"/>
    </row>
    <row r="326" spans="9:10" x14ac:dyDescent="0.25">
      <c r="I326" s="37"/>
      <c r="J326" s="35"/>
    </row>
    <row r="327" spans="9:10" x14ac:dyDescent="0.25">
      <c r="I327" s="37"/>
      <c r="J327" s="35"/>
    </row>
    <row r="328" spans="9:10" x14ac:dyDescent="0.25">
      <c r="I328" s="37"/>
      <c r="J328" s="35"/>
    </row>
    <row r="329" spans="9:10" x14ac:dyDescent="0.25">
      <c r="I329" s="37"/>
      <c r="J329" s="35"/>
    </row>
    <row r="330" spans="9:10" x14ac:dyDescent="0.25">
      <c r="I330" s="37"/>
      <c r="J330" s="35"/>
    </row>
    <row r="331" spans="9:10" x14ac:dyDescent="0.25">
      <c r="I331" s="37"/>
      <c r="J331" s="35"/>
    </row>
    <row r="332" spans="9:10" x14ac:dyDescent="0.25">
      <c r="I332" s="37"/>
      <c r="J332" s="35"/>
    </row>
    <row r="333" spans="9:10" x14ac:dyDescent="0.25">
      <c r="I333" s="37"/>
      <c r="J333" s="35"/>
    </row>
    <row r="334" spans="9:10" x14ac:dyDescent="0.25">
      <c r="I334" s="37"/>
      <c r="J334" s="35"/>
    </row>
    <row r="335" spans="9:10" x14ac:dyDescent="0.25">
      <c r="I335" s="37"/>
      <c r="J335" s="35"/>
    </row>
    <row r="336" spans="9:10" x14ac:dyDescent="0.25">
      <c r="I336" s="37"/>
      <c r="J336" s="35"/>
    </row>
    <row r="337" spans="9:10" x14ac:dyDescent="0.25">
      <c r="I337" s="37"/>
      <c r="J337" s="35"/>
    </row>
    <row r="338" spans="9:10" x14ac:dyDescent="0.25">
      <c r="I338" s="37"/>
      <c r="J338" s="35"/>
    </row>
    <row r="339" spans="9:10" x14ac:dyDescent="0.25">
      <c r="I339" s="37"/>
      <c r="J339" s="35"/>
    </row>
    <row r="340" spans="9:10" x14ac:dyDescent="0.25">
      <c r="I340" s="37"/>
      <c r="J340" s="35"/>
    </row>
    <row r="341" spans="9:10" x14ac:dyDescent="0.25">
      <c r="I341" s="37"/>
      <c r="J341" s="35"/>
    </row>
    <row r="342" spans="9:10" x14ac:dyDescent="0.25">
      <c r="I342" s="37"/>
      <c r="J342" s="35"/>
    </row>
    <row r="343" spans="9:10" x14ac:dyDescent="0.25">
      <c r="I343" s="37"/>
      <c r="J343" s="35"/>
    </row>
    <row r="344" spans="9:10" x14ac:dyDescent="0.25">
      <c r="I344" s="37"/>
      <c r="J344" s="35"/>
    </row>
    <row r="345" spans="9:10" x14ac:dyDescent="0.25">
      <c r="I345" s="37"/>
      <c r="J345" s="35"/>
    </row>
    <row r="346" spans="9:10" x14ac:dyDescent="0.25">
      <c r="I346" s="37"/>
      <c r="J346" s="35"/>
    </row>
    <row r="347" spans="9:10" x14ac:dyDescent="0.25">
      <c r="I347" s="37"/>
      <c r="J347" s="35"/>
    </row>
    <row r="348" spans="9:10" x14ac:dyDescent="0.25">
      <c r="I348" s="37"/>
      <c r="J348" s="35"/>
    </row>
    <row r="349" spans="9:10" x14ac:dyDescent="0.25">
      <c r="I349" s="37"/>
      <c r="J349" s="35"/>
    </row>
    <row r="350" spans="9:10" x14ac:dyDescent="0.25">
      <c r="I350" s="37"/>
      <c r="J350" s="35"/>
    </row>
    <row r="351" spans="9:10" x14ac:dyDescent="0.25">
      <c r="I351" s="37"/>
      <c r="J351" s="35"/>
    </row>
    <row r="352" spans="9:10" x14ac:dyDescent="0.25">
      <c r="I352" s="37"/>
      <c r="J352" s="35"/>
    </row>
    <row r="353" spans="9:10" x14ac:dyDescent="0.25">
      <c r="I353" s="37"/>
      <c r="J353" s="35"/>
    </row>
    <row r="354" spans="9:10" x14ac:dyDescent="0.25">
      <c r="I354" s="37"/>
      <c r="J354" s="35"/>
    </row>
    <row r="355" spans="9:10" x14ac:dyDescent="0.25">
      <c r="I355" s="37"/>
      <c r="J355" s="35"/>
    </row>
    <row r="356" spans="9:10" x14ac:dyDescent="0.25">
      <c r="I356" s="37"/>
      <c r="J356" s="35"/>
    </row>
    <row r="357" spans="9:10" x14ac:dyDescent="0.25">
      <c r="I357" s="37"/>
      <c r="J357" s="35"/>
    </row>
    <row r="358" spans="9:10" x14ac:dyDescent="0.25">
      <c r="I358" s="37"/>
      <c r="J358" s="35"/>
    </row>
    <row r="359" spans="9:10" x14ac:dyDescent="0.25">
      <c r="I359" s="37"/>
      <c r="J359" s="35"/>
    </row>
    <row r="360" spans="9:10" x14ac:dyDescent="0.25">
      <c r="I360" s="37"/>
      <c r="J360" s="35"/>
    </row>
    <row r="361" spans="9:10" x14ac:dyDescent="0.25">
      <c r="I361" s="37"/>
      <c r="J361" s="35"/>
    </row>
    <row r="362" spans="9:10" x14ac:dyDescent="0.25">
      <c r="I362" s="37"/>
      <c r="J362" s="35"/>
    </row>
    <row r="363" spans="9:10" x14ac:dyDescent="0.25">
      <c r="I363" s="37"/>
      <c r="J363" s="35"/>
    </row>
    <row r="364" spans="9:10" x14ac:dyDescent="0.25">
      <c r="I364" s="37"/>
      <c r="J364" s="35"/>
    </row>
    <row r="365" spans="9:10" x14ac:dyDescent="0.25">
      <c r="I365" s="37"/>
      <c r="J365" s="35"/>
    </row>
    <row r="366" spans="9:10" x14ac:dyDescent="0.25">
      <c r="I366" s="37"/>
      <c r="J366" s="35"/>
    </row>
    <row r="367" spans="9:10" x14ac:dyDescent="0.25">
      <c r="I367" s="37"/>
      <c r="J367" s="35"/>
    </row>
    <row r="368" spans="9:10" x14ac:dyDescent="0.25">
      <c r="I368" s="37"/>
      <c r="J368" s="35"/>
    </row>
    <row r="369" spans="9:10" x14ac:dyDescent="0.25">
      <c r="I369" s="37"/>
      <c r="J369" s="35"/>
    </row>
    <row r="370" spans="9:10" x14ac:dyDescent="0.25">
      <c r="I370" s="37"/>
      <c r="J370" s="35"/>
    </row>
    <row r="371" spans="9:10" x14ac:dyDescent="0.25">
      <c r="I371" s="37"/>
      <c r="J371" s="35"/>
    </row>
    <row r="372" spans="9:10" x14ac:dyDescent="0.25">
      <c r="I372" s="37"/>
      <c r="J372" s="35"/>
    </row>
    <row r="373" spans="9:10" x14ac:dyDescent="0.25">
      <c r="I373" s="37"/>
      <c r="J373" s="35"/>
    </row>
    <row r="374" spans="9:10" x14ac:dyDescent="0.25">
      <c r="I374" s="37"/>
      <c r="J374" s="35"/>
    </row>
    <row r="375" spans="9:10" x14ac:dyDescent="0.25">
      <c r="I375" s="37"/>
      <c r="J375" s="35"/>
    </row>
    <row r="376" spans="9:10" x14ac:dyDescent="0.25">
      <c r="I376" s="37"/>
      <c r="J376" s="35"/>
    </row>
    <row r="377" spans="9:10" x14ac:dyDescent="0.25">
      <c r="I377" s="37"/>
      <c r="J377" s="35"/>
    </row>
    <row r="378" spans="9:10" x14ac:dyDescent="0.25">
      <c r="I378" s="37"/>
      <c r="J378" s="35"/>
    </row>
    <row r="379" spans="9:10" x14ac:dyDescent="0.25">
      <c r="I379" s="37"/>
      <c r="J379" s="35"/>
    </row>
    <row r="380" spans="9:10" x14ac:dyDescent="0.25">
      <c r="I380" s="37"/>
      <c r="J380" s="35"/>
    </row>
    <row r="381" spans="9:10" x14ac:dyDescent="0.25">
      <c r="I381" s="37"/>
      <c r="J381" s="35"/>
    </row>
    <row r="382" spans="9:10" x14ac:dyDescent="0.25">
      <c r="I382" s="37"/>
      <c r="J382" s="35"/>
    </row>
    <row r="383" spans="9:10" x14ac:dyDescent="0.25">
      <c r="I383" s="37"/>
      <c r="J383" s="35"/>
    </row>
    <row r="384" spans="9:10" x14ac:dyDescent="0.25">
      <c r="I384" s="37"/>
      <c r="J384" s="35"/>
    </row>
    <row r="385" spans="9:10" x14ac:dyDescent="0.25">
      <c r="I385" s="37"/>
      <c r="J385" s="35"/>
    </row>
    <row r="386" spans="9:10" x14ac:dyDescent="0.25">
      <c r="I386" s="37"/>
      <c r="J386" s="35"/>
    </row>
    <row r="387" spans="9:10" x14ac:dyDescent="0.25">
      <c r="I387" s="37"/>
      <c r="J387" s="35"/>
    </row>
    <row r="388" spans="9:10" x14ac:dyDescent="0.25">
      <c r="I388" s="37"/>
      <c r="J388" s="35"/>
    </row>
    <row r="389" spans="9:10" x14ac:dyDescent="0.25">
      <c r="I389" s="37"/>
      <c r="J389" s="35"/>
    </row>
    <row r="390" spans="9:10" x14ac:dyDescent="0.25">
      <c r="I390" s="37"/>
      <c r="J390" s="35"/>
    </row>
    <row r="391" spans="9:10" x14ac:dyDescent="0.25">
      <c r="I391" s="37"/>
      <c r="J391" s="35"/>
    </row>
    <row r="392" spans="9:10" x14ac:dyDescent="0.25">
      <c r="I392" s="37"/>
      <c r="J392" s="35"/>
    </row>
    <row r="393" spans="9:10" x14ac:dyDescent="0.25">
      <c r="I393" s="37"/>
      <c r="J393" s="35"/>
    </row>
    <row r="394" spans="9:10" x14ac:dyDescent="0.25">
      <c r="I394" s="37"/>
      <c r="J394" s="35"/>
    </row>
    <row r="395" spans="9:10" x14ac:dyDescent="0.25">
      <c r="I395" s="37"/>
      <c r="J395" s="35"/>
    </row>
    <row r="396" spans="9:10" x14ac:dyDescent="0.25">
      <c r="I396" s="37"/>
      <c r="J396" s="35"/>
    </row>
    <row r="397" spans="9:10" x14ac:dyDescent="0.25">
      <c r="I397" s="37"/>
      <c r="J397" s="35"/>
    </row>
    <row r="398" spans="9:10" x14ac:dyDescent="0.25">
      <c r="I398" s="37"/>
      <c r="J398" s="35"/>
    </row>
    <row r="399" spans="9:10" x14ac:dyDescent="0.25">
      <c r="I399" s="37"/>
      <c r="J399" s="35"/>
    </row>
    <row r="400" spans="9:10" x14ac:dyDescent="0.25">
      <c r="I400" s="37"/>
      <c r="J400" s="35"/>
    </row>
    <row r="401" spans="9:10" x14ac:dyDescent="0.25">
      <c r="I401" s="37"/>
      <c r="J401" s="35"/>
    </row>
    <row r="402" spans="9:10" x14ac:dyDescent="0.25">
      <c r="I402" s="37"/>
      <c r="J402" s="35"/>
    </row>
    <row r="403" spans="9:10" x14ac:dyDescent="0.25">
      <c r="I403" s="37"/>
      <c r="J403" s="35"/>
    </row>
    <row r="404" spans="9:10" x14ac:dyDescent="0.25">
      <c r="I404" s="37"/>
      <c r="J404" s="35"/>
    </row>
    <row r="405" spans="9:10" x14ac:dyDescent="0.25">
      <c r="I405" s="37"/>
      <c r="J405" s="35"/>
    </row>
    <row r="406" spans="9:10" x14ac:dyDescent="0.25">
      <c r="I406" s="37"/>
      <c r="J406" s="35"/>
    </row>
    <row r="407" spans="9:10" x14ac:dyDescent="0.25">
      <c r="I407" s="37"/>
      <c r="J407" s="35"/>
    </row>
    <row r="408" spans="9:10" x14ac:dyDescent="0.25">
      <c r="I408" s="37"/>
      <c r="J408" s="35"/>
    </row>
    <row r="409" spans="9:10" x14ac:dyDescent="0.25">
      <c r="I409" s="37"/>
      <c r="J409" s="35"/>
    </row>
    <row r="410" spans="9:10" x14ac:dyDescent="0.25">
      <c r="I410" s="37"/>
      <c r="J410" s="35"/>
    </row>
    <row r="411" spans="9:10" x14ac:dyDescent="0.25">
      <c r="I411" s="37"/>
      <c r="J411" s="35"/>
    </row>
    <row r="412" spans="9:10" x14ac:dyDescent="0.25">
      <c r="I412" s="37"/>
      <c r="J412" s="35"/>
    </row>
    <row r="413" spans="9:10" x14ac:dyDescent="0.25">
      <c r="I413" s="37"/>
      <c r="J413" s="35"/>
    </row>
    <row r="414" spans="9:10" x14ac:dyDescent="0.25">
      <c r="I414" s="37"/>
      <c r="J414" s="35"/>
    </row>
    <row r="415" spans="9:10" x14ac:dyDescent="0.25">
      <c r="I415" s="37"/>
      <c r="J415" s="35"/>
    </row>
    <row r="416" spans="9:10" x14ac:dyDescent="0.25">
      <c r="I416" s="37"/>
      <c r="J416" s="35"/>
    </row>
    <row r="417" spans="9:10" x14ac:dyDescent="0.25">
      <c r="I417" s="37"/>
      <c r="J417" s="35"/>
    </row>
    <row r="418" spans="9:10" x14ac:dyDescent="0.25">
      <c r="I418" s="37"/>
      <c r="J418" s="35"/>
    </row>
    <row r="419" spans="9:10" x14ac:dyDescent="0.25">
      <c r="I419" s="37"/>
      <c r="J419" s="35"/>
    </row>
    <row r="420" spans="9:10" x14ac:dyDescent="0.25">
      <c r="I420" s="37"/>
      <c r="J420" s="35"/>
    </row>
    <row r="421" spans="9:10" x14ac:dyDescent="0.25">
      <c r="I421" s="37"/>
      <c r="J421" s="35"/>
    </row>
    <row r="422" spans="9:10" x14ac:dyDescent="0.25">
      <c r="I422" s="37"/>
      <c r="J422" s="35"/>
    </row>
    <row r="423" spans="9:10" x14ac:dyDescent="0.25">
      <c r="I423" s="37"/>
      <c r="J423" s="35"/>
    </row>
    <row r="424" spans="9:10" x14ac:dyDescent="0.25">
      <c r="I424" s="37"/>
      <c r="J424" s="35"/>
    </row>
    <row r="425" spans="9:10" x14ac:dyDescent="0.25">
      <c r="I425" s="37"/>
      <c r="J425" s="35"/>
    </row>
    <row r="426" spans="9:10" x14ac:dyDescent="0.25">
      <c r="I426" s="37"/>
      <c r="J426" s="35"/>
    </row>
    <row r="427" spans="9:10" x14ac:dyDescent="0.25">
      <c r="I427" s="37"/>
      <c r="J427" s="35"/>
    </row>
    <row r="428" spans="9:10" x14ac:dyDescent="0.25">
      <c r="I428" s="37"/>
      <c r="J428" s="35"/>
    </row>
    <row r="429" spans="9:10" x14ac:dyDescent="0.25">
      <c r="I429" s="37"/>
      <c r="J429" s="35"/>
    </row>
    <row r="430" spans="9:10" x14ac:dyDescent="0.25">
      <c r="I430" s="37"/>
      <c r="J430" s="35"/>
    </row>
    <row r="431" spans="9:10" x14ac:dyDescent="0.25">
      <c r="I431" s="37"/>
      <c r="J431" s="35"/>
    </row>
    <row r="432" spans="9:10" x14ac:dyDescent="0.25">
      <c r="I432" s="37"/>
      <c r="J432" s="35"/>
    </row>
    <row r="433" spans="9:10" x14ac:dyDescent="0.25">
      <c r="I433" s="37"/>
      <c r="J433" s="35"/>
    </row>
    <row r="434" spans="9:10" x14ac:dyDescent="0.25">
      <c r="I434" s="37"/>
      <c r="J434" s="35"/>
    </row>
    <row r="435" spans="9:10" x14ac:dyDescent="0.25">
      <c r="I435" s="37"/>
      <c r="J435" s="35"/>
    </row>
    <row r="436" spans="9:10" x14ac:dyDescent="0.25">
      <c r="I436" s="37"/>
      <c r="J436" s="35"/>
    </row>
    <row r="437" spans="9:10" x14ac:dyDescent="0.25">
      <c r="I437" s="37"/>
      <c r="J437" s="35"/>
    </row>
    <row r="438" spans="9:10" x14ac:dyDescent="0.25">
      <c r="I438" s="37"/>
      <c r="J438" s="35"/>
    </row>
    <row r="439" spans="9:10" x14ac:dyDescent="0.25">
      <c r="I439" s="37"/>
      <c r="J439" s="35"/>
    </row>
    <row r="440" spans="9:10" x14ac:dyDescent="0.25">
      <c r="I440" s="37"/>
      <c r="J440" s="35"/>
    </row>
    <row r="441" spans="9:10" x14ac:dyDescent="0.25">
      <c r="I441" s="37"/>
      <c r="J441" s="35"/>
    </row>
    <row r="442" spans="9:10" x14ac:dyDescent="0.25">
      <c r="I442" s="37"/>
      <c r="J442" s="35"/>
    </row>
    <row r="443" spans="9:10" x14ac:dyDescent="0.25">
      <c r="I443" s="37"/>
      <c r="J443" s="35"/>
    </row>
    <row r="444" spans="9:10" x14ac:dyDescent="0.25">
      <c r="I444" s="37"/>
      <c r="J444" s="35"/>
    </row>
    <row r="445" spans="9:10" x14ac:dyDescent="0.25">
      <c r="I445" s="37"/>
      <c r="J445" s="35"/>
    </row>
    <row r="446" spans="9:10" x14ac:dyDescent="0.25">
      <c r="I446" s="37"/>
      <c r="J446" s="35"/>
    </row>
    <row r="447" spans="9:10" x14ac:dyDescent="0.25">
      <c r="I447" s="37"/>
      <c r="J447" s="35"/>
    </row>
    <row r="448" spans="9:10" x14ac:dyDescent="0.25">
      <c r="I448" s="37"/>
      <c r="J448" s="35"/>
    </row>
    <row r="449" spans="9:10" x14ac:dyDescent="0.25">
      <c r="I449" s="37"/>
      <c r="J449" s="35"/>
    </row>
    <row r="450" spans="9:10" x14ac:dyDescent="0.25">
      <c r="I450" s="37"/>
      <c r="J450" s="35"/>
    </row>
    <row r="451" spans="9:10" x14ac:dyDescent="0.25">
      <c r="I451" s="37"/>
      <c r="J451" s="35"/>
    </row>
    <row r="452" spans="9:10" x14ac:dyDescent="0.25">
      <c r="I452" s="37"/>
      <c r="J452" s="35"/>
    </row>
    <row r="453" spans="9:10" x14ac:dyDescent="0.25">
      <c r="I453" s="37"/>
      <c r="J453" s="35"/>
    </row>
    <row r="454" spans="9:10" x14ac:dyDescent="0.25">
      <c r="I454" s="37"/>
      <c r="J454" s="35"/>
    </row>
    <row r="455" spans="9:10" x14ac:dyDescent="0.25">
      <c r="I455" s="37"/>
      <c r="J455" s="35"/>
    </row>
    <row r="456" spans="9:10" x14ac:dyDescent="0.25">
      <c r="I456" s="37"/>
      <c r="J456" s="35"/>
    </row>
    <row r="457" spans="9:10" x14ac:dyDescent="0.25">
      <c r="I457" s="37"/>
      <c r="J457" s="35"/>
    </row>
    <row r="458" spans="9:10" x14ac:dyDescent="0.25">
      <c r="I458" s="37"/>
      <c r="J458" s="35"/>
    </row>
    <row r="459" spans="9:10" x14ac:dyDescent="0.25">
      <c r="I459" s="37"/>
      <c r="J459" s="35"/>
    </row>
    <row r="460" spans="9:10" x14ac:dyDescent="0.25">
      <c r="I460" s="37"/>
      <c r="J460" s="35"/>
    </row>
    <row r="461" spans="9:10" x14ac:dyDescent="0.25">
      <c r="I461" s="37"/>
      <c r="J461" s="35"/>
    </row>
    <row r="462" spans="9:10" x14ac:dyDescent="0.25">
      <c r="I462" s="37"/>
      <c r="J462" s="35"/>
    </row>
    <row r="463" spans="9:10" x14ac:dyDescent="0.25">
      <c r="I463" s="37"/>
      <c r="J463" s="35"/>
    </row>
    <row r="464" spans="9:10" x14ac:dyDescent="0.25">
      <c r="I464" s="37"/>
      <c r="J464" s="35"/>
    </row>
    <row r="465" spans="9:10" x14ac:dyDescent="0.25">
      <c r="I465" s="37"/>
      <c r="J465" s="35"/>
    </row>
    <row r="466" spans="9:10" x14ac:dyDescent="0.25">
      <c r="I466" s="37"/>
      <c r="J466" s="35"/>
    </row>
    <row r="467" spans="9:10" x14ac:dyDescent="0.25">
      <c r="I467" s="37"/>
      <c r="J467" s="35"/>
    </row>
    <row r="468" spans="9:10" x14ac:dyDescent="0.25">
      <c r="I468" s="37"/>
      <c r="J468" s="35"/>
    </row>
    <row r="469" spans="9:10" x14ac:dyDescent="0.25">
      <c r="I469" s="37"/>
      <c r="J469" s="35"/>
    </row>
    <row r="470" spans="9:10" x14ac:dyDescent="0.25">
      <c r="I470" s="37"/>
      <c r="J470" s="35"/>
    </row>
    <row r="471" spans="9:10" x14ac:dyDescent="0.25">
      <c r="I471" s="37"/>
      <c r="J471" s="35"/>
    </row>
    <row r="472" spans="9:10" x14ac:dyDescent="0.25">
      <c r="I472" s="37"/>
      <c r="J472" s="35"/>
    </row>
    <row r="473" spans="9:10" x14ac:dyDescent="0.25">
      <c r="I473" s="37"/>
      <c r="J473" s="35"/>
    </row>
    <row r="474" spans="9:10" x14ac:dyDescent="0.25">
      <c r="I474" s="37"/>
      <c r="J474" s="35"/>
    </row>
    <row r="475" spans="9:10" x14ac:dyDescent="0.25">
      <c r="I475" s="37"/>
      <c r="J475" s="35"/>
    </row>
    <row r="476" spans="9:10" x14ac:dyDescent="0.25">
      <c r="I476" s="37"/>
      <c r="J476" s="35"/>
    </row>
    <row r="477" spans="9:10" x14ac:dyDescent="0.25">
      <c r="I477" s="37"/>
      <c r="J477" s="35"/>
    </row>
    <row r="478" spans="9:10" x14ac:dyDescent="0.25">
      <c r="I478" s="37"/>
      <c r="J478" s="35"/>
    </row>
    <row r="479" spans="9:10" x14ac:dyDescent="0.25">
      <c r="I479" s="37"/>
      <c r="J479" s="35"/>
    </row>
    <row r="480" spans="9:10" x14ac:dyDescent="0.25">
      <c r="I480" s="37"/>
      <c r="J480" s="35"/>
    </row>
    <row r="481" spans="9:10" x14ac:dyDescent="0.25">
      <c r="I481" s="37"/>
      <c r="J481" s="35"/>
    </row>
    <row r="482" spans="9:10" x14ac:dyDescent="0.25">
      <c r="I482" s="37"/>
      <c r="J482" s="35"/>
    </row>
    <row r="483" spans="9:10" x14ac:dyDescent="0.25">
      <c r="I483" s="37"/>
      <c r="J483" s="35"/>
    </row>
    <row r="484" spans="9:10" x14ac:dyDescent="0.25">
      <c r="I484" s="37"/>
      <c r="J484" s="35"/>
    </row>
    <row r="485" spans="9:10" x14ac:dyDescent="0.25">
      <c r="I485" s="37"/>
      <c r="J485" s="35"/>
    </row>
    <row r="486" spans="9:10" x14ac:dyDescent="0.25">
      <c r="I486" s="37"/>
      <c r="J486" s="35"/>
    </row>
    <row r="487" spans="9:10" x14ac:dyDescent="0.25">
      <c r="I487" s="37"/>
      <c r="J487" s="35"/>
    </row>
    <row r="488" spans="9:10" x14ac:dyDescent="0.25">
      <c r="I488" s="37"/>
      <c r="J488" s="35"/>
    </row>
    <row r="489" spans="9:10" x14ac:dyDescent="0.25">
      <c r="I489" s="37"/>
      <c r="J489" s="35"/>
    </row>
    <row r="490" spans="9:10" x14ac:dyDescent="0.25">
      <c r="I490" s="37"/>
      <c r="J490" s="35"/>
    </row>
    <row r="491" spans="9:10" x14ac:dyDescent="0.25">
      <c r="I491" s="37"/>
      <c r="J491" s="35"/>
    </row>
    <row r="492" spans="9:10" x14ac:dyDescent="0.25">
      <c r="I492" s="37"/>
      <c r="J492" s="35"/>
    </row>
    <row r="493" spans="9:10" x14ac:dyDescent="0.25">
      <c r="I493" s="37"/>
      <c r="J493" s="35"/>
    </row>
    <row r="494" spans="9:10" x14ac:dyDescent="0.25">
      <c r="I494" s="37"/>
      <c r="J494" s="35"/>
    </row>
    <row r="495" spans="9:10" x14ac:dyDescent="0.25">
      <c r="I495" s="37"/>
      <c r="J495" s="35"/>
    </row>
    <row r="496" spans="9:10" x14ac:dyDescent="0.25">
      <c r="I496" s="37"/>
      <c r="J496" s="35"/>
    </row>
    <row r="497" spans="9:10" x14ac:dyDescent="0.25">
      <c r="I497" s="37"/>
      <c r="J497" s="35"/>
    </row>
    <row r="498" spans="9:10" x14ac:dyDescent="0.25">
      <c r="I498" s="37"/>
      <c r="J498" s="35"/>
    </row>
    <row r="499" spans="9:10" x14ac:dyDescent="0.25">
      <c r="I499" s="37"/>
      <c r="J499" s="35"/>
    </row>
    <row r="500" spans="9:10" x14ac:dyDescent="0.25">
      <c r="I500" s="37"/>
      <c r="J500" s="35"/>
    </row>
    <row r="501" spans="9:10" x14ac:dyDescent="0.25">
      <c r="I501" s="37"/>
      <c r="J501" s="35"/>
    </row>
    <row r="502" spans="9:10" x14ac:dyDescent="0.25">
      <c r="I502" s="37"/>
      <c r="J502" s="35"/>
    </row>
    <row r="503" spans="9:10" x14ac:dyDescent="0.25">
      <c r="I503" s="37"/>
      <c r="J503" s="35"/>
    </row>
    <row r="504" spans="9:10" x14ac:dyDescent="0.25">
      <c r="I504" s="37"/>
      <c r="J504" s="35"/>
    </row>
    <row r="505" spans="9:10" x14ac:dyDescent="0.25">
      <c r="I505" s="37"/>
      <c r="J505" s="35"/>
    </row>
    <row r="506" spans="9:10" x14ac:dyDescent="0.25">
      <c r="I506" s="37"/>
      <c r="J506" s="35"/>
    </row>
    <row r="507" spans="9:10" x14ac:dyDescent="0.25">
      <c r="I507" s="37"/>
      <c r="J507" s="35"/>
    </row>
    <row r="508" spans="9:10" x14ac:dyDescent="0.25">
      <c r="I508" s="37"/>
      <c r="J508" s="35"/>
    </row>
    <row r="509" spans="9:10" x14ac:dyDescent="0.25">
      <c r="I509" s="37"/>
      <c r="J509" s="35"/>
    </row>
    <row r="510" spans="9:10" x14ac:dyDescent="0.25">
      <c r="I510" s="37"/>
      <c r="J510" s="35"/>
    </row>
    <row r="511" spans="9:10" x14ac:dyDescent="0.25">
      <c r="I511" s="37"/>
      <c r="J511" s="35"/>
    </row>
    <row r="512" spans="9:10" x14ac:dyDescent="0.25">
      <c r="I512" s="37"/>
      <c r="J512" s="35"/>
    </row>
    <row r="513" spans="9:10" x14ac:dyDescent="0.25">
      <c r="I513" s="37"/>
      <c r="J513" s="35"/>
    </row>
    <row r="514" spans="9:10" x14ac:dyDescent="0.25">
      <c r="I514" s="37"/>
      <c r="J514" s="35"/>
    </row>
    <row r="515" spans="9:10" x14ac:dyDescent="0.25">
      <c r="I515" s="37"/>
      <c r="J515" s="35"/>
    </row>
    <row r="516" spans="9:10" x14ac:dyDescent="0.25">
      <c r="I516" s="37"/>
      <c r="J516" s="35"/>
    </row>
    <row r="517" spans="9:10" x14ac:dyDescent="0.25">
      <c r="I517" s="37"/>
      <c r="J517" s="35"/>
    </row>
    <row r="518" spans="9:10" x14ac:dyDescent="0.25">
      <c r="I518" s="37"/>
      <c r="J518" s="35"/>
    </row>
    <row r="519" spans="9:10" x14ac:dyDescent="0.25">
      <c r="I519" s="37"/>
      <c r="J519" s="35"/>
    </row>
    <row r="520" spans="9:10" x14ac:dyDescent="0.25">
      <c r="I520" s="37"/>
      <c r="J520" s="35"/>
    </row>
    <row r="521" spans="9:10" x14ac:dyDescent="0.25">
      <c r="I521" s="37"/>
      <c r="J521" s="35"/>
    </row>
    <row r="522" spans="9:10" x14ac:dyDescent="0.25">
      <c r="I522" s="37"/>
      <c r="J522" s="35"/>
    </row>
    <row r="523" spans="9:10" x14ac:dyDescent="0.25">
      <c r="I523" s="37"/>
      <c r="J523" s="35"/>
    </row>
    <row r="524" spans="9:10" x14ac:dyDescent="0.25">
      <c r="I524" s="37"/>
      <c r="J524" s="35"/>
    </row>
    <row r="525" spans="9:10" x14ac:dyDescent="0.25">
      <c r="I525" s="37"/>
      <c r="J525" s="35"/>
    </row>
    <row r="526" spans="9:10" x14ac:dyDescent="0.25">
      <c r="I526" s="37"/>
      <c r="J526" s="35"/>
    </row>
    <row r="527" spans="9:10" x14ac:dyDescent="0.25">
      <c r="I527" s="37"/>
      <c r="J527" s="35"/>
    </row>
    <row r="528" spans="9:10" x14ac:dyDescent="0.25">
      <c r="I528" s="37"/>
      <c r="J528" s="35"/>
    </row>
    <row r="529" spans="9:10" x14ac:dyDescent="0.25">
      <c r="I529" s="37"/>
      <c r="J529" s="35"/>
    </row>
    <row r="530" spans="9:10" x14ac:dyDescent="0.25">
      <c r="I530" s="37"/>
      <c r="J530" s="35"/>
    </row>
    <row r="531" spans="9:10" x14ac:dyDescent="0.25">
      <c r="I531" s="37"/>
      <c r="J531" s="35"/>
    </row>
    <row r="532" spans="9:10" x14ac:dyDescent="0.25">
      <c r="I532" s="37"/>
      <c r="J532" s="35"/>
    </row>
    <row r="533" spans="9:10" x14ac:dyDescent="0.25">
      <c r="I533" s="37"/>
      <c r="J533" s="35"/>
    </row>
    <row r="534" spans="9:10" x14ac:dyDescent="0.25">
      <c r="I534" s="37"/>
      <c r="J534" s="35"/>
    </row>
    <row r="535" spans="9:10" x14ac:dyDescent="0.25">
      <c r="I535" s="37"/>
      <c r="J535" s="35"/>
    </row>
    <row r="536" spans="9:10" x14ac:dyDescent="0.25">
      <c r="I536" s="37"/>
      <c r="J536" s="35"/>
    </row>
    <row r="537" spans="9:10" x14ac:dyDescent="0.25">
      <c r="I537" s="37"/>
      <c r="J537" s="35"/>
    </row>
    <row r="538" spans="9:10" x14ac:dyDescent="0.25">
      <c r="I538" s="37"/>
      <c r="J538" s="35"/>
    </row>
    <row r="539" spans="9:10" x14ac:dyDescent="0.25">
      <c r="I539" s="37"/>
      <c r="J539" s="35"/>
    </row>
    <row r="540" spans="9:10" x14ac:dyDescent="0.25">
      <c r="I540" s="37"/>
      <c r="J540" s="35"/>
    </row>
    <row r="541" spans="9:10" x14ac:dyDescent="0.25">
      <c r="I541" s="37"/>
      <c r="J541" s="35"/>
    </row>
    <row r="542" spans="9:10" x14ac:dyDescent="0.25">
      <c r="I542" s="37"/>
      <c r="J542" s="35"/>
    </row>
    <row r="543" spans="9:10" x14ac:dyDescent="0.25">
      <c r="I543" s="37"/>
      <c r="J543" s="35"/>
    </row>
    <row r="544" spans="9:10" x14ac:dyDescent="0.25">
      <c r="I544" s="37"/>
      <c r="J544" s="35"/>
    </row>
    <row r="545" spans="9:10" x14ac:dyDescent="0.25">
      <c r="I545" s="37"/>
      <c r="J545" s="35"/>
    </row>
    <row r="546" spans="9:10" x14ac:dyDescent="0.25">
      <c r="I546" s="37"/>
      <c r="J546" s="35"/>
    </row>
    <row r="547" spans="9:10" x14ac:dyDescent="0.25">
      <c r="I547" s="37"/>
      <c r="J547" s="35"/>
    </row>
    <row r="548" spans="9:10" x14ac:dyDescent="0.25">
      <c r="I548" s="37"/>
      <c r="J548" s="35"/>
    </row>
    <row r="549" spans="9:10" x14ac:dyDescent="0.25">
      <c r="I549" s="37"/>
      <c r="J549" s="35"/>
    </row>
    <row r="550" spans="9:10" x14ac:dyDescent="0.25">
      <c r="I550" s="37"/>
      <c r="J550" s="35"/>
    </row>
    <row r="551" spans="9:10" x14ac:dyDescent="0.25">
      <c r="I551" s="37"/>
      <c r="J551" s="35"/>
    </row>
    <row r="552" spans="9:10" x14ac:dyDescent="0.25">
      <c r="I552" s="37"/>
      <c r="J552" s="35"/>
    </row>
    <row r="553" spans="9:10" x14ac:dyDescent="0.25">
      <c r="I553" s="37"/>
      <c r="J553" s="35"/>
    </row>
    <row r="554" spans="9:10" x14ac:dyDescent="0.25">
      <c r="I554" s="37"/>
      <c r="J554" s="35"/>
    </row>
    <row r="555" spans="9:10" x14ac:dyDescent="0.25">
      <c r="I555" s="37"/>
      <c r="J555" s="35"/>
    </row>
    <row r="556" spans="9:10" x14ac:dyDescent="0.25">
      <c r="I556" s="37"/>
      <c r="J556" s="35"/>
    </row>
    <row r="557" spans="9:10" x14ac:dyDescent="0.25">
      <c r="I557" s="37"/>
      <c r="J557" s="35"/>
    </row>
    <row r="558" spans="9:10" x14ac:dyDescent="0.25">
      <c r="I558" s="37"/>
      <c r="J558" s="35"/>
    </row>
    <row r="559" spans="9:10" x14ac:dyDescent="0.25">
      <c r="I559" s="37"/>
      <c r="J559" s="35"/>
    </row>
    <row r="560" spans="9:10" x14ac:dyDescent="0.25">
      <c r="I560" s="37"/>
      <c r="J560" s="35"/>
    </row>
    <row r="561" spans="9:10" x14ac:dyDescent="0.25">
      <c r="I561" s="37"/>
      <c r="J561" s="35"/>
    </row>
    <row r="562" spans="9:10" x14ac:dyDescent="0.25">
      <c r="I562" s="37"/>
      <c r="J562" s="35"/>
    </row>
    <row r="563" spans="9:10" x14ac:dyDescent="0.25">
      <c r="I563" s="37"/>
      <c r="J563" s="35"/>
    </row>
    <row r="564" spans="9:10" x14ac:dyDescent="0.25">
      <c r="I564" s="37"/>
      <c r="J564" s="35"/>
    </row>
    <row r="565" spans="9:10" x14ac:dyDescent="0.25">
      <c r="I565" s="37"/>
      <c r="J565" s="35"/>
    </row>
    <row r="566" spans="9:10" x14ac:dyDescent="0.25">
      <c r="I566" s="37"/>
      <c r="J566" s="35"/>
    </row>
    <row r="567" spans="9:10" x14ac:dyDescent="0.25">
      <c r="I567" s="37"/>
      <c r="J567" s="35"/>
    </row>
    <row r="568" spans="9:10" x14ac:dyDescent="0.25">
      <c r="I568" s="37"/>
      <c r="J568" s="35"/>
    </row>
    <row r="569" spans="9:10" x14ac:dyDescent="0.25">
      <c r="I569" s="37"/>
      <c r="J569" s="35"/>
    </row>
    <row r="570" spans="9:10" x14ac:dyDescent="0.25">
      <c r="I570" s="37"/>
      <c r="J570" s="35"/>
    </row>
    <row r="571" spans="9:10" x14ac:dyDescent="0.25">
      <c r="I571" s="37"/>
      <c r="J571" s="35"/>
    </row>
    <row r="572" spans="9:10" x14ac:dyDescent="0.25">
      <c r="I572" s="37"/>
      <c r="J572" s="35"/>
    </row>
    <row r="573" spans="9:10" x14ac:dyDescent="0.25">
      <c r="I573" s="37"/>
      <c r="J573" s="35"/>
    </row>
    <row r="574" spans="9:10" x14ac:dyDescent="0.25">
      <c r="I574" s="37"/>
      <c r="J574" s="35"/>
    </row>
    <row r="575" spans="9:10" x14ac:dyDescent="0.25">
      <c r="I575" s="37"/>
      <c r="J575" s="35"/>
    </row>
    <row r="576" spans="9:10" x14ac:dyDescent="0.25">
      <c r="I576" s="37"/>
      <c r="J576" s="35"/>
    </row>
    <row r="577" spans="9:10" x14ac:dyDescent="0.25">
      <c r="I577" s="37"/>
      <c r="J577" s="35"/>
    </row>
    <row r="578" spans="9:10" x14ac:dyDescent="0.25">
      <c r="I578" s="37"/>
      <c r="J578" s="35"/>
    </row>
    <row r="579" spans="9:10" x14ac:dyDescent="0.25">
      <c r="I579" s="37"/>
      <c r="J579" s="35"/>
    </row>
    <row r="580" spans="9:10" x14ac:dyDescent="0.25">
      <c r="I580" s="37"/>
      <c r="J580" s="35"/>
    </row>
    <row r="581" spans="9:10" x14ac:dyDescent="0.25">
      <c r="I581" s="37"/>
      <c r="J581" s="35"/>
    </row>
    <row r="582" spans="9:10" x14ac:dyDescent="0.25">
      <c r="I582" s="37"/>
      <c r="J582" s="35"/>
    </row>
    <row r="583" spans="9:10" x14ac:dyDescent="0.25">
      <c r="I583" s="37"/>
      <c r="J583" s="35"/>
    </row>
    <row r="584" spans="9:10" x14ac:dyDescent="0.25">
      <c r="I584" s="37"/>
      <c r="J584" s="35"/>
    </row>
    <row r="585" spans="9:10" x14ac:dyDescent="0.25">
      <c r="I585" s="37"/>
      <c r="J585" s="35"/>
    </row>
    <row r="586" spans="9:10" x14ac:dyDescent="0.25">
      <c r="I586" s="37"/>
      <c r="J586" s="35"/>
    </row>
    <row r="587" spans="9:10" x14ac:dyDescent="0.25">
      <c r="I587" s="37"/>
      <c r="J587" s="35"/>
    </row>
    <row r="588" spans="9:10" x14ac:dyDescent="0.25">
      <c r="I588" s="37"/>
      <c r="J588" s="35"/>
    </row>
    <row r="589" spans="9:10" x14ac:dyDescent="0.25">
      <c r="I589" s="37"/>
      <c r="J589" s="35"/>
    </row>
    <row r="590" spans="9:10" x14ac:dyDescent="0.25">
      <c r="I590" s="37"/>
      <c r="J590" s="35"/>
    </row>
    <row r="591" spans="9:10" x14ac:dyDescent="0.25">
      <c r="I591" s="37"/>
      <c r="J591" s="35"/>
    </row>
    <row r="592" spans="9:10" x14ac:dyDescent="0.25">
      <c r="I592" s="37"/>
      <c r="J592" s="35"/>
    </row>
    <row r="593" spans="9:10" x14ac:dyDescent="0.25">
      <c r="I593" s="37"/>
      <c r="J593" s="35"/>
    </row>
    <row r="594" spans="9:10" x14ac:dyDescent="0.25">
      <c r="I594" s="37"/>
      <c r="J594" s="35"/>
    </row>
    <row r="595" spans="9:10" x14ac:dyDescent="0.25">
      <c r="I595" s="37"/>
      <c r="J595" s="35"/>
    </row>
    <row r="596" spans="9:10" x14ac:dyDescent="0.25">
      <c r="I596" s="37"/>
      <c r="J596" s="35"/>
    </row>
    <row r="597" spans="9:10" x14ac:dyDescent="0.25">
      <c r="I597" s="37"/>
      <c r="J597" s="35"/>
    </row>
    <row r="598" spans="9:10" x14ac:dyDescent="0.25">
      <c r="I598" s="37"/>
      <c r="J598" s="35"/>
    </row>
    <row r="599" spans="9:10" x14ac:dyDescent="0.25">
      <c r="I599" s="37"/>
      <c r="J599" s="35"/>
    </row>
    <row r="600" spans="9:10" x14ac:dyDescent="0.25">
      <c r="I600" s="37"/>
      <c r="J600" s="35"/>
    </row>
    <row r="601" spans="9:10" x14ac:dyDescent="0.25">
      <c r="I601" s="37"/>
      <c r="J601" s="35"/>
    </row>
    <row r="602" spans="9:10" x14ac:dyDescent="0.25">
      <c r="I602" s="37"/>
      <c r="J602" s="35"/>
    </row>
    <row r="603" spans="9:10" x14ac:dyDescent="0.25">
      <c r="I603" s="37"/>
      <c r="J603" s="35"/>
    </row>
    <row r="604" spans="9:10" x14ac:dyDescent="0.25">
      <c r="I604" s="37"/>
      <c r="J604" s="35"/>
    </row>
    <row r="605" spans="9:10" x14ac:dyDescent="0.25">
      <c r="I605" s="37"/>
      <c r="J605" s="35"/>
    </row>
    <row r="606" spans="9:10" x14ac:dyDescent="0.25">
      <c r="I606" s="37"/>
      <c r="J606" s="35"/>
    </row>
    <row r="607" spans="9:10" x14ac:dyDescent="0.25">
      <c r="I607" s="37"/>
      <c r="J607" s="35"/>
    </row>
    <row r="608" spans="9:10" x14ac:dyDescent="0.25">
      <c r="I608" s="37"/>
      <c r="J608" s="35"/>
    </row>
    <row r="609" spans="9:10" x14ac:dyDescent="0.25">
      <c r="I609" s="37"/>
      <c r="J609" s="35"/>
    </row>
    <row r="610" spans="9:10" x14ac:dyDescent="0.25">
      <c r="I610" s="37"/>
      <c r="J610" s="35"/>
    </row>
    <row r="611" spans="9:10" x14ac:dyDescent="0.25">
      <c r="I611" s="37"/>
      <c r="J611" s="35"/>
    </row>
    <row r="612" spans="9:10" x14ac:dyDescent="0.25">
      <c r="I612" s="37"/>
      <c r="J612" s="35"/>
    </row>
    <row r="613" spans="9:10" x14ac:dyDescent="0.25">
      <c r="I613" s="37"/>
      <c r="J613" s="35"/>
    </row>
    <row r="614" spans="9:10" x14ac:dyDescent="0.25">
      <c r="I614" s="37"/>
      <c r="J614" s="35"/>
    </row>
    <row r="615" spans="9:10" x14ac:dyDescent="0.25">
      <c r="I615" s="37"/>
      <c r="J615" s="35"/>
    </row>
    <row r="616" spans="9:10" x14ac:dyDescent="0.25">
      <c r="I616" s="37"/>
      <c r="J616" s="35"/>
    </row>
    <row r="617" spans="9:10" x14ac:dyDescent="0.25">
      <c r="I617" s="37"/>
      <c r="J617" s="35"/>
    </row>
    <row r="618" spans="9:10" x14ac:dyDescent="0.25">
      <c r="I618" s="37"/>
      <c r="J618" s="35"/>
    </row>
    <row r="619" spans="9:10" x14ac:dyDescent="0.25">
      <c r="I619" s="37"/>
      <c r="J619" s="35"/>
    </row>
    <row r="620" spans="9:10" x14ac:dyDescent="0.25">
      <c r="I620" s="37"/>
      <c r="J620" s="35"/>
    </row>
    <row r="621" spans="9:10" x14ac:dyDescent="0.25">
      <c r="I621" s="37"/>
      <c r="J621" s="35"/>
    </row>
    <row r="622" spans="9:10" x14ac:dyDescent="0.25">
      <c r="I622" s="37"/>
      <c r="J622" s="35"/>
    </row>
    <row r="623" spans="9:10" x14ac:dyDescent="0.25">
      <c r="I623" s="37"/>
      <c r="J623" s="35"/>
    </row>
    <row r="624" spans="9:10" x14ac:dyDescent="0.25">
      <c r="I624" s="37"/>
      <c r="J624" s="35"/>
    </row>
    <row r="625" spans="9:10" x14ac:dyDescent="0.25">
      <c r="I625" s="37"/>
      <c r="J625" s="35"/>
    </row>
    <row r="626" spans="9:10" x14ac:dyDescent="0.25">
      <c r="I626" s="37"/>
      <c r="J626" s="35"/>
    </row>
    <row r="627" spans="9:10" x14ac:dyDescent="0.25">
      <c r="I627" s="37"/>
      <c r="J627" s="35"/>
    </row>
    <row r="628" spans="9:10" x14ac:dyDescent="0.25">
      <c r="I628" s="37"/>
      <c r="J628" s="35"/>
    </row>
    <row r="629" spans="9:10" x14ac:dyDescent="0.25">
      <c r="I629" s="37"/>
      <c r="J629" s="35"/>
    </row>
    <row r="630" spans="9:10" x14ac:dyDescent="0.25">
      <c r="I630" s="37"/>
      <c r="J630" s="35"/>
    </row>
    <row r="631" spans="9:10" x14ac:dyDescent="0.25">
      <c r="I631" s="37"/>
      <c r="J631" s="35"/>
    </row>
    <row r="632" spans="9:10" x14ac:dyDescent="0.25">
      <c r="I632" s="37"/>
      <c r="J632" s="35"/>
    </row>
    <row r="633" spans="9:10" x14ac:dyDescent="0.25">
      <c r="I633" s="37"/>
      <c r="J633" s="35"/>
    </row>
    <row r="634" spans="9:10" x14ac:dyDescent="0.25">
      <c r="I634" s="37"/>
      <c r="J634" s="35"/>
    </row>
    <row r="635" spans="9:10" x14ac:dyDescent="0.25">
      <c r="I635" s="37"/>
      <c r="J635" s="35"/>
    </row>
    <row r="636" spans="9:10" x14ac:dyDescent="0.25">
      <c r="I636" s="37"/>
      <c r="J636" s="35"/>
    </row>
    <row r="637" spans="9:10" x14ac:dyDescent="0.25">
      <c r="I637" s="37"/>
      <c r="J637" s="35"/>
    </row>
    <row r="638" spans="9:10" x14ac:dyDescent="0.25">
      <c r="I638" s="37"/>
      <c r="J638" s="35"/>
    </row>
    <row r="639" spans="9:10" x14ac:dyDescent="0.25">
      <c r="I639" s="37"/>
      <c r="J639" s="35"/>
    </row>
    <row r="640" spans="9:10" x14ac:dyDescent="0.25">
      <c r="I640" s="37"/>
      <c r="J640" s="35"/>
    </row>
    <row r="641" spans="9:10" x14ac:dyDescent="0.25">
      <c r="I641" s="37"/>
      <c r="J641" s="35"/>
    </row>
    <row r="642" spans="9:10" x14ac:dyDescent="0.25">
      <c r="I642" s="37"/>
      <c r="J642" s="35"/>
    </row>
    <row r="643" spans="9:10" x14ac:dyDescent="0.25">
      <c r="I643" s="37"/>
      <c r="J643" s="35"/>
    </row>
    <row r="644" spans="9:10" x14ac:dyDescent="0.25">
      <c r="I644" s="37"/>
      <c r="J644" s="35"/>
    </row>
    <row r="645" spans="9:10" x14ac:dyDescent="0.25">
      <c r="I645" s="37"/>
      <c r="J645" s="35"/>
    </row>
    <row r="646" spans="9:10" x14ac:dyDescent="0.25">
      <c r="I646" s="37"/>
      <c r="J646" s="35"/>
    </row>
    <row r="647" spans="9:10" x14ac:dyDescent="0.25">
      <c r="I647" s="37"/>
      <c r="J647" s="35"/>
    </row>
    <row r="648" spans="9:10" x14ac:dyDescent="0.25">
      <c r="I648" s="37"/>
      <c r="J648" s="35"/>
    </row>
    <row r="649" spans="9:10" x14ac:dyDescent="0.25">
      <c r="I649" s="37"/>
      <c r="J649" s="35"/>
    </row>
    <row r="650" spans="9:10" x14ac:dyDescent="0.25">
      <c r="I650" s="37"/>
      <c r="J650" s="35"/>
    </row>
    <row r="651" spans="9:10" x14ac:dyDescent="0.25">
      <c r="I651" s="37"/>
      <c r="J651" s="35"/>
    </row>
    <row r="652" spans="9:10" x14ac:dyDescent="0.25">
      <c r="I652" s="37"/>
      <c r="J652" s="35"/>
    </row>
    <row r="653" spans="9:10" x14ac:dyDescent="0.25">
      <c r="I653" s="37"/>
      <c r="J653" s="35"/>
    </row>
    <row r="654" spans="9:10" x14ac:dyDescent="0.25">
      <c r="I654" s="37"/>
      <c r="J654" s="35"/>
    </row>
    <row r="655" spans="9:10" x14ac:dyDescent="0.25">
      <c r="I655" s="37"/>
      <c r="J655" s="35"/>
    </row>
    <row r="656" spans="9:10" x14ac:dyDescent="0.25">
      <c r="I656" s="37"/>
      <c r="J656" s="35"/>
    </row>
    <row r="657" spans="9:10" x14ac:dyDescent="0.25">
      <c r="I657" s="37"/>
      <c r="J657" s="35"/>
    </row>
    <row r="658" spans="9:10" x14ac:dyDescent="0.25">
      <c r="I658" s="37"/>
      <c r="J658" s="35"/>
    </row>
    <row r="659" spans="9:10" x14ac:dyDescent="0.25">
      <c r="I659" s="37"/>
      <c r="J659" s="35"/>
    </row>
    <row r="660" spans="9:10" x14ac:dyDescent="0.25">
      <c r="I660" s="37"/>
      <c r="J660" s="35"/>
    </row>
    <row r="661" spans="9:10" x14ac:dyDescent="0.25">
      <c r="I661" s="37"/>
      <c r="J661" s="35"/>
    </row>
    <row r="662" spans="9:10" x14ac:dyDescent="0.25">
      <c r="I662" s="37"/>
      <c r="J662" s="35"/>
    </row>
    <row r="663" spans="9:10" x14ac:dyDescent="0.25">
      <c r="I663" s="37"/>
      <c r="J663" s="35"/>
    </row>
    <row r="664" spans="9:10" x14ac:dyDescent="0.25">
      <c r="I664" s="37"/>
      <c r="J664" s="35"/>
    </row>
    <row r="665" spans="9:10" x14ac:dyDescent="0.25">
      <c r="I665" s="37"/>
      <c r="J665" s="35"/>
    </row>
    <row r="666" spans="9:10" x14ac:dyDescent="0.25">
      <c r="I666" s="37"/>
      <c r="J666" s="35"/>
    </row>
    <row r="667" spans="9:10" x14ac:dyDescent="0.25">
      <c r="I667" s="37"/>
      <c r="J667" s="35"/>
    </row>
    <row r="668" spans="9:10" x14ac:dyDescent="0.25">
      <c r="I668" s="37"/>
      <c r="J668" s="35"/>
    </row>
    <row r="669" spans="9:10" x14ac:dyDescent="0.25">
      <c r="I669" s="37"/>
      <c r="J669" s="35"/>
    </row>
    <row r="670" spans="9:10" x14ac:dyDescent="0.25">
      <c r="I670" s="37"/>
      <c r="J670" s="35"/>
    </row>
    <row r="671" spans="9:10" x14ac:dyDescent="0.25">
      <c r="I671" s="37"/>
      <c r="J671" s="35"/>
    </row>
    <row r="672" spans="9:10" x14ac:dyDescent="0.25">
      <c r="I672" s="37"/>
      <c r="J672" s="35"/>
    </row>
    <row r="673" spans="9:10" x14ac:dyDescent="0.25">
      <c r="I673" s="37"/>
      <c r="J673" s="35"/>
    </row>
    <row r="674" spans="9:10" x14ac:dyDescent="0.25">
      <c r="I674" s="37"/>
      <c r="J674" s="35"/>
    </row>
    <row r="675" spans="9:10" x14ac:dyDescent="0.25">
      <c r="I675" s="37"/>
      <c r="J675" s="35"/>
    </row>
    <row r="676" spans="9:10" x14ac:dyDescent="0.25">
      <c r="I676" s="37"/>
      <c r="J676" s="35"/>
    </row>
    <row r="677" spans="9:10" x14ac:dyDescent="0.25">
      <c r="I677" s="37"/>
      <c r="J677" s="35"/>
    </row>
    <row r="678" spans="9:10" x14ac:dyDescent="0.25">
      <c r="I678" s="37"/>
      <c r="J678" s="35"/>
    </row>
    <row r="679" spans="9:10" x14ac:dyDescent="0.25">
      <c r="I679" s="37"/>
      <c r="J679" s="35"/>
    </row>
    <row r="680" spans="9:10" x14ac:dyDescent="0.25">
      <c r="I680" s="37"/>
      <c r="J680" s="35"/>
    </row>
    <row r="681" spans="9:10" x14ac:dyDescent="0.25">
      <c r="I681" s="37"/>
      <c r="J681" s="35"/>
    </row>
    <row r="682" spans="9:10" x14ac:dyDescent="0.25">
      <c r="I682" s="37"/>
      <c r="J682" s="35"/>
    </row>
    <row r="683" spans="9:10" x14ac:dyDescent="0.25">
      <c r="I683" s="37"/>
      <c r="J683" s="35"/>
    </row>
    <row r="684" spans="9:10" x14ac:dyDescent="0.25">
      <c r="I684" s="37"/>
      <c r="J684" s="35"/>
    </row>
    <row r="685" spans="9:10" x14ac:dyDescent="0.25">
      <c r="I685" s="37"/>
      <c r="J685" s="35"/>
    </row>
    <row r="686" spans="9:10" x14ac:dyDescent="0.25">
      <c r="I686" s="37"/>
      <c r="J686" s="35"/>
    </row>
    <row r="687" spans="9:10" x14ac:dyDescent="0.25">
      <c r="I687" s="37"/>
      <c r="J687" s="35"/>
    </row>
    <row r="688" spans="9:10" x14ac:dyDescent="0.25">
      <c r="I688" s="37"/>
      <c r="J688" s="35"/>
    </row>
    <row r="689" spans="9:10" x14ac:dyDescent="0.25">
      <c r="I689" s="37"/>
      <c r="J689" s="35"/>
    </row>
    <row r="690" spans="9:10" x14ac:dyDescent="0.25">
      <c r="I690" s="37"/>
      <c r="J690" s="35"/>
    </row>
    <row r="691" spans="9:10" x14ac:dyDescent="0.25">
      <c r="I691" s="37"/>
      <c r="J691" s="35"/>
    </row>
    <row r="692" spans="9:10" x14ac:dyDescent="0.25">
      <c r="I692" s="37"/>
      <c r="J692" s="35"/>
    </row>
    <row r="693" spans="9:10" x14ac:dyDescent="0.25">
      <c r="I693" s="37"/>
      <c r="J693" s="35"/>
    </row>
    <row r="694" spans="9:10" x14ac:dyDescent="0.25">
      <c r="I694" s="37"/>
      <c r="J694" s="35"/>
    </row>
    <row r="695" spans="9:10" x14ac:dyDescent="0.25">
      <c r="I695" s="37"/>
      <c r="J695" s="35"/>
    </row>
    <row r="696" spans="9:10" x14ac:dyDescent="0.25">
      <c r="I696" s="37"/>
      <c r="J696" s="35"/>
    </row>
    <row r="697" spans="9:10" x14ac:dyDescent="0.25">
      <c r="I697" s="37"/>
      <c r="J697" s="35"/>
    </row>
    <row r="698" spans="9:10" x14ac:dyDescent="0.25">
      <c r="I698" s="37"/>
      <c r="J698" s="35"/>
    </row>
    <row r="699" spans="9:10" x14ac:dyDescent="0.25">
      <c r="I699" s="37"/>
      <c r="J699" s="35"/>
    </row>
    <row r="700" spans="9:10" x14ac:dyDescent="0.25">
      <c r="I700" s="37"/>
      <c r="J700" s="35"/>
    </row>
    <row r="701" spans="9:10" x14ac:dyDescent="0.25">
      <c r="I701" s="37"/>
      <c r="J701" s="35"/>
    </row>
    <row r="702" spans="9:10" x14ac:dyDescent="0.25">
      <c r="I702" s="37"/>
      <c r="J702" s="35"/>
    </row>
    <row r="703" spans="9:10" x14ac:dyDescent="0.25">
      <c r="I703" s="37"/>
      <c r="J703" s="35"/>
    </row>
    <row r="704" spans="9:10" x14ac:dyDescent="0.25">
      <c r="I704" s="37"/>
      <c r="J704" s="35"/>
    </row>
    <row r="705" spans="9:10" x14ac:dyDescent="0.25">
      <c r="I705" s="37"/>
      <c r="J705" s="35"/>
    </row>
    <row r="706" spans="9:10" x14ac:dyDescent="0.25">
      <c r="I706" s="37"/>
      <c r="J706" s="35"/>
    </row>
    <row r="707" spans="9:10" x14ac:dyDescent="0.25">
      <c r="I707" s="37"/>
      <c r="J707" s="35"/>
    </row>
    <row r="708" spans="9:10" x14ac:dyDescent="0.25">
      <c r="I708" s="37"/>
      <c r="J708" s="35"/>
    </row>
    <row r="709" spans="9:10" x14ac:dyDescent="0.25">
      <c r="I709" s="37"/>
      <c r="J709" s="35"/>
    </row>
    <row r="710" spans="9:10" x14ac:dyDescent="0.25">
      <c r="I710" s="37"/>
      <c r="J710" s="35"/>
    </row>
    <row r="711" spans="9:10" x14ac:dyDescent="0.25">
      <c r="I711" s="37"/>
      <c r="J711" s="35"/>
    </row>
    <row r="712" spans="9:10" x14ac:dyDescent="0.25">
      <c r="I712" s="37"/>
      <c r="J712" s="35"/>
    </row>
    <row r="713" spans="9:10" x14ac:dyDescent="0.25">
      <c r="I713" s="37"/>
      <c r="J713" s="35"/>
    </row>
    <row r="714" spans="9:10" x14ac:dyDescent="0.25">
      <c r="I714" s="37"/>
      <c r="J714" s="35"/>
    </row>
    <row r="715" spans="9:10" x14ac:dyDescent="0.25">
      <c r="I715" s="37"/>
      <c r="J715" s="35"/>
    </row>
    <row r="716" spans="9:10" x14ac:dyDescent="0.25">
      <c r="I716" s="37"/>
      <c r="J716" s="35"/>
    </row>
    <row r="717" spans="9:10" x14ac:dyDescent="0.25">
      <c r="I717" s="37"/>
      <c r="J717" s="35"/>
    </row>
    <row r="718" spans="9:10" x14ac:dyDescent="0.25">
      <c r="I718" s="37"/>
      <c r="J718" s="35"/>
    </row>
    <row r="719" spans="9:10" x14ac:dyDescent="0.25">
      <c r="I719" s="37"/>
      <c r="J719" s="35"/>
    </row>
    <row r="720" spans="9:10" x14ac:dyDescent="0.25">
      <c r="I720" s="37"/>
      <c r="J720" s="35"/>
    </row>
    <row r="721" spans="9:10" x14ac:dyDescent="0.25">
      <c r="I721" s="37"/>
      <c r="J721" s="35"/>
    </row>
    <row r="722" spans="9:10" x14ac:dyDescent="0.25">
      <c r="I722" s="37"/>
      <c r="J722" s="35"/>
    </row>
    <row r="723" spans="9:10" x14ac:dyDescent="0.25">
      <c r="I723" s="37"/>
      <c r="J723" s="35"/>
    </row>
    <row r="724" spans="9:10" x14ac:dyDescent="0.25">
      <c r="I724" s="37"/>
      <c r="J724" s="35"/>
    </row>
    <row r="725" spans="9:10" x14ac:dyDescent="0.25">
      <c r="I725" s="37"/>
      <c r="J725" s="35"/>
    </row>
    <row r="726" spans="9:10" x14ac:dyDescent="0.25">
      <c r="I726" s="37"/>
      <c r="J726" s="35"/>
    </row>
    <row r="727" spans="9:10" x14ac:dyDescent="0.25">
      <c r="I727" s="37"/>
      <c r="J727" s="35"/>
    </row>
    <row r="728" spans="9:10" x14ac:dyDescent="0.25">
      <c r="I728" s="37"/>
      <c r="J728" s="35"/>
    </row>
    <row r="729" spans="9:10" x14ac:dyDescent="0.25">
      <c r="I729" s="37"/>
      <c r="J729" s="35"/>
    </row>
    <row r="730" spans="9:10" x14ac:dyDescent="0.25">
      <c r="I730" s="37"/>
      <c r="J730" s="35"/>
    </row>
    <row r="731" spans="9:10" x14ac:dyDescent="0.25">
      <c r="I731" s="37"/>
      <c r="J731" s="35"/>
    </row>
    <row r="732" spans="9:10" x14ac:dyDescent="0.25">
      <c r="I732" s="37"/>
      <c r="J732" s="35"/>
    </row>
    <row r="733" spans="9:10" x14ac:dyDescent="0.25">
      <c r="I733" s="37"/>
      <c r="J733" s="35"/>
    </row>
    <row r="734" spans="9:10" x14ac:dyDescent="0.25">
      <c r="I734" s="37"/>
      <c r="J734" s="35"/>
    </row>
    <row r="735" spans="9:10" x14ac:dyDescent="0.25">
      <c r="I735" s="37"/>
      <c r="J735" s="35"/>
    </row>
    <row r="736" spans="9:10" x14ac:dyDescent="0.25">
      <c r="I736" s="37"/>
      <c r="J736" s="35"/>
    </row>
    <row r="737" spans="9:10" x14ac:dyDescent="0.25">
      <c r="I737" s="37"/>
      <c r="J737" s="35"/>
    </row>
    <row r="738" spans="9:10" x14ac:dyDescent="0.25">
      <c r="I738" s="37"/>
      <c r="J738" s="35"/>
    </row>
    <row r="739" spans="9:10" x14ac:dyDescent="0.25">
      <c r="I739" s="37"/>
      <c r="J739" s="35"/>
    </row>
    <row r="740" spans="9:10" x14ac:dyDescent="0.25">
      <c r="I740" s="37"/>
      <c r="J740" s="35"/>
    </row>
    <row r="741" spans="9:10" x14ac:dyDescent="0.25">
      <c r="I741" s="37"/>
      <c r="J741" s="35"/>
    </row>
    <row r="742" spans="9:10" x14ac:dyDescent="0.25">
      <c r="I742" s="37"/>
      <c r="J742" s="35"/>
    </row>
    <row r="743" spans="9:10" x14ac:dyDescent="0.25">
      <c r="I743" s="37"/>
      <c r="J743" s="35"/>
    </row>
    <row r="744" spans="9:10" x14ac:dyDescent="0.25">
      <c r="I744" s="37"/>
      <c r="J744" s="35"/>
    </row>
    <row r="745" spans="9:10" x14ac:dyDescent="0.25">
      <c r="I745" s="37"/>
      <c r="J745" s="35"/>
    </row>
    <row r="746" spans="9:10" x14ac:dyDescent="0.25">
      <c r="I746" s="37"/>
      <c r="J746" s="35"/>
    </row>
    <row r="747" spans="9:10" x14ac:dyDescent="0.25">
      <c r="I747" s="37"/>
      <c r="J747" s="35"/>
    </row>
    <row r="748" spans="9:10" x14ac:dyDescent="0.25">
      <c r="I748" s="37"/>
      <c r="J748" s="35"/>
    </row>
    <row r="749" spans="9:10" x14ac:dyDescent="0.25">
      <c r="I749" s="37"/>
      <c r="J749" s="35"/>
    </row>
    <row r="750" spans="9:10" x14ac:dyDescent="0.25">
      <c r="I750" s="37"/>
      <c r="J750" s="35"/>
    </row>
    <row r="751" spans="9:10" x14ac:dyDescent="0.25">
      <c r="I751" s="37"/>
      <c r="J751" s="35"/>
    </row>
    <row r="752" spans="9:10" x14ac:dyDescent="0.25">
      <c r="I752" s="37"/>
      <c r="J752" s="35"/>
    </row>
    <row r="753" spans="9:10" x14ac:dyDescent="0.25">
      <c r="I753" s="37"/>
      <c r="J753" s="35"/>
    </row>
    <row r="754" spans="9:10" x14ac:dyDescent="0.25">
      <c r="I754" s="37"/>
      <c r="J754" s="35"/>
    </row>
    <row r="755" spans="9:10" x14ac:dyDescent="0.25">
      <c r="I755" s="37"/>
      <c r="J755" s="35"/>
    </row>
    <row r="756" spans="9:10" x14ac:dyDescent="0.25">
      <c r="I756" s="37"/>
      <c r="J756" s="35"/>
    </row>
    <row r="757" spans="9:10" x14ac:dyDescent="0.25">
      <c r="I757" s="37"/>
      <c r="J757" s="35"/>
    </row>
    <row r="758" spans="9:10" x14ac:dyDescent="0.25">
      <c r="I758" s="37"/>
      <c r="J758" s="35"/>
    </row>
    <row r="759" spans="9:10" x14ac:dyDescent="0.25">
      <c r="I759" s="37"/>
      <c r="J759" s="35"/>
    </row>
    <row r="760" spans="9:10" x14ac:dyDescent="0.25">
      <c r="I760" s="37"/>
      <c r="J760" s="35"/>
    </row>
    <row r="761" spans="9:10" x14ac:dyDescent="0.25">
      <c r="I761" s="37"/>
      <c r="J761" s="35"/>
    </row>
    <row r="762" spans="9:10" x14ac:dyDescent="0.25">
      <c r="I762" s="37"/>
      <c r="J762" s="35"/>
    </row>
    <row r="763" spans="9:10" x14ac:dyDescent="0.25">
      <c r="I763" s="37"/>
      <c r="J763" s="35"/>
    </row>
    <row r="764" spans="9:10" x14ac:dyDescent="0.25">
      <c r="I764" s="37"/>
      <c r="J764" s="35"/>
    </row>
    <row r="765" spans="9:10" x14ac:dyDescent="0.25">
      <c r="I765" s="37"/>
      <c r="J765" s="35"/>
    </row>
    <row r="766" spans="9:10" x14ac:dyDescent="0.25">
      <c r="I766" s="37"/>
      <c r="J766" s="35"/>
    </row>
    <row r="767" spans="9:10" x14ac:dyDescent="0.25">
      <c r="I767" s="37"/>
      <c r="J767" s="35"/>
    </row>
    <row r="768" spans="9:10" x14ac:dyDescent="0.25">
      <c r="I768" s="37"/>
      <c r="J768" s="35"/>
    </row>
    <row r="769" spans="9:10" x14ac:dyDescent="0.25">
      <c r="I769" s="37"/>
      <c r="J769" s="35"/>
    </row>
    <row r="770" spans="9:10" x14ac:dyDescent="0.25">
      <c r="I770" s="37"/>
      <c r="J770" s="35"/>
    </row>
    <row r="771" spans="9:10" x14ac:dyDescent="0.25">
      <c r="I771" s="37"/>
      <c r="J771" s="35"/>
    </row>
    <row r="772" spans="9:10" x14ac:dyDescent="0.25">
      <c r="I772" s="37"/>
      <c r="J772" s="35"/>
    </row>
    <row r="773" spans="9:10" x14ac:dyDescent="0.25">
      <c r="I773" s="37"/>
      <c r="J773" s="35"/>
    </row>
    <row r="774" spans="9:10" x14ac:dyDescent="0.25">
      <c r="I774" s="37"/>
      <c r="J774" s="35"/>
    </row>
    <row r="775" spans="9:10" x14ac:dyDescent="0.25">
      <c r="I775" s="37"/>
      <c r="J775" s="35"/>
    </row>
    <row r="776" spans="9:10" x14ac:dyDescent="0.25">
      <c r="I776" s="37"/>
      <c r="J776" s="35"/>
    </row>
    <row r="777" spans="9:10" x14ac:dyDescent="0.25">
      <c r="I777" s="37"/>
      <c r="J777" s="35"/>
    </row>
    <row r="778" spans="9:10" x14ac:dyDescent="0.25">
      <c r="I778" s="37"/>
      <c r="J778" s="35"/>
    </row>
    <row r="779" spans="9:10" x14ac:dyDescent="0.25">
      <c r="I779" s="37"/>
      <c r="J779" s="35"/>
    </row>
    <row r="780" spans="9:10" x14ac:dyDescent="0.25">
      <c r="I780" s="37"/>
      <c r="J780" s="35"/>
    </row>
    <row r="781" spans="9:10" x14ac:dyDescent="0.25">
      <c r="I781" s="37"/>
      <c r="J781" s="35"/>
    </row>
    <row r="782" spans="9:10" x14ac:dyDescent="0.25">
      <c r="I782" s="37"/>
      <c r="J782" s="35"/>
    </row>
    <row r="783" spans="9:10" x14ac:dyDescent="0.25">
      <c r="I783" s="37"/>
      <c r="J783" s="35"/>
    </row>
    <row r="784" spans="9:10" x14ac:dyDescent="0.25">
      <c r="I784" s="37"/>
      <c r="J784" s="35"/>
    </row>
    <row r="785" spans="9:10" x14ac:dyDescent="0.25">
      <c r="I785" s="37"/>
      <c r="J785" s="35"/>
    </row>
    <row r="786" spans="9:10" x14ac:dyDescent="0.25">
      <c r="I786" s="37"/>
      <c r="J786" s="35"/>
    </row>
    <row r="787" spans="9:10" x14ac:dyDescent="0.25">
      <c r="I787" s="37"/>
      <c r="J787" s="35"/>
    </row>
    <row r="788" spans="9:10" x14ac:dyDescent="0.25">
      <c r="I788" s="37"/>
      <c r="J788" s="35"/>
    </row>
    <row r="789" spans="9:10" x14ac:dyDescent="0.25">
      <c r="I789" s="37"/>
      <c r="J789" s="35"/>
    </row>
    <row r="790" spans="9:10" x14ac:dyDescent="0.25">
      <c r="I790" s="37"/>
      <c r="J790" s="35"/>
    </row>
    <row r="791" spans="9:10" x14ac:dyDescent="0.25">
      <c r="I791" s="37"/>
      <c r="J791" s="35"/>
    </row>
    <row r="792" spans="9:10" x14ac:dyDescent="0.25">
      <c r="I792" s="37"/>
      <c r="J792" s="35"/>
    </row>
    <row r="793" spans="9:10" x14ac:dyDescent="0.25">
      <c r="I793" s="37"/>
      <c r="J793" s="35"/>
    </row>
    <row r="794" spans="9:10" x14ac:dyDescent="0.25">
      <c r="I794" s="37"/>
      <c r="J794" s="35"/>
    </row>
    <row r="795" spans="9:10" x14ac:dyDescent="0.25">
      <c r="I795" s="37"/>
      <c r="J795" s="35"/>
    </row>
    <row r="796" spans="9:10" x14ac:dyDescent="0.25">
      <c r="I796" s="37"/>
      <c r="J796" s="35"/>
    </row>
    <row r="797" spans="9:10" x14ac:dyDescent="0.25">
      <c r="I797" s="37"/>
      <c r="J797" s="35"/>
    </row>
    <row r="798" spans="9:10" x14ac:dyDescent="0.25">
      <c r="I798" s="37"/>
      <c r="J798" s="35"/>
    </row>
    <row r="799" spans="9:10" x14ac:dyDescent="0.25">
      <c r="I799" s="37"/>
      <c r="J799" s="35"/>
    </row>
    <row r="800" spans="9:10" x14ac:dyDescent="0.25">
      <c r="I800" s="37"/>
      <c r="J800" s="35"/>
    </row>
    <row r="801" spans="9:10" x14ac:dyDescent="0.25">
      <c r="I801" s="37"/>
      <c r="J801" s="35"/>
    </row>
    <row r="802" spans="9:10" x14ac:dyDescent="0.25">
      <c r="I802" s="37"/>
      <c r="J802" s="35"/>
    </row>
    <row r="803" spans="9:10" x14ac:dyDescent="0.25">
      <c r="I803" s="37"/>
      <c r="J803" s="35"/>
    </row>
    <row r="804" spans="9:10" x14ac:dyDescent="0.25">
      <c r="I804" s="37"/>
      <c r="J804" s="35"/>
    </row>
    <row r="805" spans="9:10" x14ac:dyDescent="0.25">
      <c r="I805" s="37"/>
      <c r="J805" s="35"/>
    </row>
    <row r="806" spans="9:10" x14ac:dyDescent="0.25">
      <c r="I806" s="37"/>
      <c r="J806" s="35"/>
    </row>
    <row r="807" spans="9:10" x14ac:dyDescent="0.25">
      <c r="I807" s="37"/>
      <c r="J807" s="35"/>
    </row>
    <row r="808" spans="9:10" x14ac:dyDescent="0.25">
      <c r="I808" s="37"/>
      <c r="J808" s="35"/>
    </row>
    <row r="809" spans="9:10" x14ac:dyDescent="0.25">
      <c r="I809" s="37"/>
      <c r="J809" s="35"/>
    </row>
    <row r="810" spans="9:10" x14ac:dyDescent="0.25">
      <c r="I810" s="37"/>
      <c r="J810" s="35"/>
    </row>
    <row r="811" spans="9:10" x14ac:dyDescent="0.25">
      <c r="I811" s="37"/>
      <c r="J811" s="35"/>
    </row>
    <row r="812" spans="9:10" x14ac:dyDescent="0.25">
      <c r="I812" s="37"/>
      <c r="J812" s="35"/>
    </row>
    <row r="813" spans="9:10" x14ac:dyDescent="0.25">
      <c r="I813" s="37"/>
      <c r="J813" s="35"/>
    </row>
    <row r="814" spans="9:10" x14ac:dyDescent="0.25">
      <c r="I814" s="37"/>
      <c r="J814" s="35"/>
    </row>
    <row r="815" spans="9:10" x14ac:dyDescent="0.25">
      <c r="I815" s="37"/>
      <c r="J815" s="35"/>
    </row>
    <row r="816" spans="9:10" x14ac:dyDescent="0.25">
      <c r="I816" s="37"/>
      <c r="J816" s="35"/>
    </row>
    <row r="817" spans="9:10" x14ac:dyDescent="0.25">
      <c r="I817" s="37"/>
      <c r="J817" s="35"/>
    </row>
    <row r="818" spans="9:10" x14ac:dyDescent="0.25">
      <c r="I818" s="37"/>
      <c r="J818" s="35"/>
    </row>
    <row r="819" spans="9:10" x14ac:dyDescent="0.25">
      <c r="I819" s="37"/>
      <c r="J819" s="35"/>
    </row>
    <row r="820" spans="9:10" x14ac:dyDescent="0.25">
      <c r="I820" s="37"/>
      <c r="J820" s="35"/>
    </row>
    <row r="821" spans="9:10" x14ac:dyDescent="0.25">
      <c r="I821" s="37"/>
      <c r="J821" s="35"/>
    </row>
    <row r="822" spans="9:10" x14ac:dyDescent="0.25">
      <c r="I822" s="37"/>
      <c r="J822" s="35"/>
    </row>
    <row r="823" spans="9:10" x14ac:dyDescent="0.25">
      <c r="I823" s="37"/>
      <c r="J823" s="35"/>
    </row>
    <row r="824" spans="9:10" x14ac:dyDescent="0.25">
      <c r="I824" s="37"/>
      <c r="J824" s="35"/>
    </row>
    <row r="825" spans="9:10" x14ac:dyDescent="0.25">
      <c r="I825" s="37"/>
      <c r="J825" s="35"/>
    </row>
    <row r="826" spans="9:10" x14ac:dyDescent="0.25">
      <c r="I826" s="37"/>
      <c r="J826" s="35"/>
    </row>
    <row r="827" spans="9:10" x14ac:dyDescent="0.25">
      <c r="I827" s="37"/>
      <c r="J827" s="35"/>
    </row>
    <row r="828" spans="9:10" x14ac:dyDescent="0.25">
      <c r="I828" s="37"/>
      <c r="J828" s="35"/>
    </row>
    <row r="829" spans="9:10" x14ac:dyDescent="0.25">
      <c r="I829" s="37"/>
      <c r="J829" s="35"/>
    </row>
    <row r="830" spans="9:10" x14ac:dyDescent="0.25">
      <c r="I830" s="37"/>
      <c r="J830" s="35"/>
    </row>
    <row r="831" spans="9:10" x14ac:dyDescent="0.25">
      <c r="I831" s="37"/>
      <c r="J831" s="35"/>
    </row>
    <row r="832" spans="9:10" x14ac:dyDescent="0.25">
      <c r="I832" s="37"/>
      <c r="J832" s="35"/>
    </row>
    <row r="833" spans="9:10" x14ac:dyDescent="0.25">
      <c r="I833" s="37"/>
      <c r="J833" s="35"/>
    </row>
    <row r="834" spans="9:10" x14ac:dyDescent="0.25">
      <c r="I834" s="37"/>
      <c r="J834" s="35"/>
    </row>
    <row r="835" spans="9:10" x14ac:dyDescent="0.25">
      <c r="I835" s="37"/>
      <c r="J835" s="35"/>
    </row>
    <row r="836" spans="9:10" x14ac:dyDescent="0.25">
      <c r="I836" s="37"/>
      <c r="J836" s="35"/>
    </row>
    <row r="837" spans="9:10" x14ac:dyDescent="0.25">
      <c r="I837" s="37"/>
      <c r="J837" s="35"/>
    </row>
    <row r="838" spans="9:10" x14ac:dyDescent="0.25">
      <c r="I838" s="37"/>
      <c r="J838" s="35"/>
    </row>
    <row r="839" spans="9:10" x14ac:dyDescent="0.25">
      <c r="I839" s="37"/>
      <c r="J839" s="35"/>
    </row>
    <row r="840" spans="9:10" x14ac:dyDescent="0.25">
      <c r="I840" s="37"/>
      <c r="J840" s="35"/>
    </row>
    <row r="841" spans="9:10" x14ac:dyDescent="0.25">
      <c r="I841" s="37"/>
      <c r="J841" s="35"/>
    </row>
    <row r="842" spans="9:10" x14ac:dyDescent="0.25">
      <c r="I842" s="37"/>
      <c r="J842" s="35"/>
    </row>
    <row r="843" spans="9:10" x14ac:dyDescent="0.25">
      <c r="I843" s="37"/>
      <c r="J843" s="35"/>
    </row>
    <row r="844" spans="9:10" x14ac:dyDescent="0.25">
      <c r="I844" s="37"/>
      <c r="J844" s="35"/>
    </row>
    <row r="845" spans="9:10" x14ac:dyDescent="0.25">
      <c r="I845" s="37"/>
      <c r="J845" s="35"/>
    </row>
    <row r="846" spans="9:10" x14ac:dyDescent="0.25">
      <c r="I846" s="37"/>
      <c r="J846" s="35"/>
    </row>
    <row r="847" spans="9:10" x14ac:dyDescent="0.25">
      <c r="I847" s="37"/>
      <c r="J847" s="35"/>
    </row>
    <row r="848" spans="9:10" x14ac:dyDescent="0.25">
      <c r="I848" s="37"/>
      <c r="J848" s="35"/>
    </row>
    <row r="849" spans="9:10" x14ac:dyDescent="0.25">
      <c r="I849" s="37"/>
      <c r="J849" s="35"/>
    </row>
    <row r="850" spans="9:10" x14ac:dyDescent="0.25">
      <c r="I850" s="37"/>
      <c r="J850" s="35"/>
    </row>
    <row r="851" spans="9:10" x14ac:dyDescent="0.25">
      <c r="I851" s="37"/>
      <c r="J851" s="35"/>
    </row>
    <row r="852" spans="9:10" x14ac:dyDescent="0.25">
      <c r="I852" s="37"/>
      <c r="J852" s="35"/>
    </row>
    <row r="853" spans="9:10" x14ac:dyDescent="0.25">
      <c r="I853" s="37"/>
      <c r="J853" s="35"/>
    </row>
    <row r="854" spans="9:10" x14ac:dyDescent="0.25">
      <c r="I854" s="37"/>
      <c r="J854" s="35"/>
    </row>
    <row r="855" spans="9:10" x14ac:dyDescent="0.25">
      <c r="I855" s="37"/>
      <c r="J855" s="35"/>
    </row>
    <row r="856" spans="9:10" x14ac:dyDescent="0.25">
      <c r="I856" s="37"/>
      <c r="J856" s="35"/>
    </row>
    <row r="857" spans="9:10" x14ac:dyDescent="0.25">
      <c r="I857" s="37"/>
      <c r="J857" s="35"/>
    </row>
    <row r="858" spans="9:10" x14ac:dyDescent="0.25">
      <c r="I858" s="37"/>
      <c r="J858" s="35"/>
    </row>
    <row r="859" spans="9:10" x14ac:dyDescent="0.25">
      <c r="I859" s="37"/>
      <c r="J859" s="35"/>
    </row>
    <row r="860" spans="9:10" x14ac:dyDescent="0.25">
      <c r="I860" s="37"/>
      <c r="J860" s="35"/>
    </row>
    <row r="861" spans="9:10" x14ac:dyDescent="0.25">
      <c r="I861" s="37"/>
      <c r="J861" s="35"/>
    </row>
    <row r="862" spans="9:10" x14ac:dyDescent="0.25">
      <c r="I862" s="37"/>
      <c r="J862" s="35"/>
    </row>
    <row r="863" spans="9:10" x14ac:dyDescent="0.25">
      <c r="I863" s="37"/>
      <c r="J863" s="35"/>
    </row>
    <row r="864" spans="9:10" x14ac:dyDescent="0.25">
      <c r="I864" s="37"/>
      <c r="J864" s="35"/>
    </row>
    <row r="865" spans="9:10" x14ac:dyDescent="0.25">
      <c r="I865" s="37"/>
      <c r="J865" s="35"/>
    </row>
    <row r="866" spans="9:10" x14ac:dyDescent="0.25">
      <c r="I866" s="37"/>
      <c r="J866" s="35"/>
    </row>
    <row r="867" spans="9:10" x14ac:dyDescent="0.25">
      <c r="I867" s="37"/>
      <c r="J867" s="35"/>
    </row>
    <row r="868" spans="9:10" x14ac:dyDescent="0.25">
      <c r="I868" s="37"/>
      <c r="J868" s="35"/>
    </row>
    <row r="869" spans="9:10" x14ac:dyDescent="0.25">
      <c r="I869" s="37"/>
      <c r="J869" s="35"/>
    </row>
    <row r="870" spans="9:10" x14ac:dyDescent="0.25">
      <c r="I870" s="37"/>
      <c r="J870" s="35"/>
    </row>
    <row r="871" spans="9:10" x14ac:dyDescent="0.25">
      <c r="I871" s="37"/>
      <c r="J871" s="35"/>
    </row>
    <row r="872" spans="9:10" x14ac:dyDescent="0.25">
      <c r="I872" s="37"/>
      <c r="J872" s="35"/>
    </row>
    <row r="873" spans="9:10" x14ac:dyDescent="0.25">
      <c r="I873" s="37"/>
      <c r="J873" s="35"/>
    </row>
    <row r="874" spans="9:10" x14ac:dyDescent="0.25">
      <c r="I874" s="37"/>
      <c r="J874" s="35"/>
    </row>
    <row r="875" spans="9:10" x14ac:dyDescent="0.25">
      <c r="I875" s="37"/>
      <c r="J875" s="35"/>
    </row>
    <row r="876" spans="9:10" x14ac:dyDescent="0.25">
      <c r="I876" s="37"/>
      <c r="J876" s="35"/>
    </row>
    <row r="877" spans="9:10" x14ac:dyDescent="0.25">
      <c r="I877" s="37"/>
      <c r="J877" s="35"/>
    </row>
    <row r="878" spans="9:10" x14ac:dyDescent="0.25">
      <c r="I878" s="37"/>
      <c r="J878" s="35"/>
    </row>
    <row r="879" spans="9:10" x14ac:dyDescent="0.25">
      <c r="I879" s="37"/>
      <c r="J879" s="35"/>
    </row>
    <row r="880" spans="9:10" x14ac:dyDescent="0.25">
      <c r="I880" s="37"/>
      <c r="J880" s="35"/>
    </row>
    <row r="881" spans="9:10" x14ac:dyDescent="0.25">
      <c r="I881" s="37"/>
      <c r="J881" s="35"/>
    </row>
    <row r="882" spans="9:10" x14ac:dyDescent="0.25">
      <c r="I882" s="37"/>
      <c r="J882" s="35"/>
    </row>
    <row r="883" spans="9:10" x14ac:dyDescent="0.25">
      <c r="I883" s="37"/>
      <c r="J883" s="35"/>
    </row>
    <row r="884" spans="9:10" x14ac:dyDescent="0.25">
      <c r="I884" s="37"/>
      <c r="J884" s="35"/>
    </row>
    <row r="885" spans="9:10" x14ac:dyDescent="0.25">
      <c r="I885" s="37"/>
      <c r="J885" s="35"/>
    </row>
    <row r="886" spans="9:10" x14ac:dyDescent="0.25">
      <c r="I886" s="37"/>
      <c r="J886" s="35"/>
    </row>
    <row r="887" spans="9:10" x14ac:dyDescent="0.25">
      <c r="I887" s="37"/>
      <c r="J887" s="35"/>
    </row>
    <row r="888" spans="9:10" x14ac:dyDescent="0.25">
      <c r="I888" s="37"/>
      <c r="J888" s="35"/>
    </row>
    <row r="889" spans="9:10" x14ac:dyDescent="0.25">
      <c r="I889" s="37"/>
      <c r="J889" s="35"/>
    </row>
    <row r="890" spans="9:10" x14ac:dyDescent="0.25">
      <c r="I890" s="37"/>
      <c r="J890" s="35"/>
    </row>
    <row r="891" spans="9:10" x14ac:dyDescent="0.25">
      <c r="I891" s="37"/>
      <c r="J891" s="35"/>
    </row>
    <row r="892" spans="9:10" x14ac:dyDescent="0.25">
      <c r="I892" s="37"/>
      <c r="J892" s="35"/>
    </row>
    <row r="893" spans="9:10" x14ac:dyDescent="0.25">
      <c r="I893" s="37"/>
      <c r="J893" s="35"/>
    </row>
    <row r="894" spans="9:10" x14ac:dyDescent="0.25">
      <c r="I894" s="37"/>
      <c r="J894" s="35"/>
    </row>
    <row r="895" spans="9:10" x14ac:dyDescent="0.25">
      <c r="I895" s="37"/>
      <c r="J895" s="35"/>
    </row>
    <row r="896" spans="9:10" x14ac:dyDescent="0.25">
      <c r="I896" s="37"/>
      <c r="J896" s="35"/>
    </row>
    <row r="897" spans="9:10" x14ac:dyDescent="0.25">
      <c r="I897" s="37"/>
      <c r="J897" s="35"/>
    </row>
    <row r="898" spans="9:10" x14ac:dyDescent="0.25">
      <c r="I898" s="37"/>
      <c r="J898" s="35"/>
    </row>
    <row r="899" spans="9:10" x14ac:dyDescent="0.25">
      <c r="I899" s="37"/>
      <c r="J899" s="35"/>
    </row>
    <row r="900" spans="9:10" x14ac:dyDescent="0.25">
      <c r="I900" s="37"/>
      <c r="J900" s="35"/>
    </row>
    <row r="901" spans="9:10" x14ac:dyDescent="0.25">
      <c r="I901" s="37"/>
      <c r="J901" s="35"/>
    </row>
    <row r="902" spans="9:10" x14ac:dyDescent="0.25">
      <c r="I902" s="37"/>
      <c r="J902" s="35"/>
    </row>
    <row r="903" spans="9:10" x14ac:dyDescent="0.25">
      <c r="I903" s="37"/>
      <c r="J903" s="35"/>
    </row>
    <row r="904" spans="9:10" x14ac:dyDescent="0.25">
      <c r="I904" s="37"/>
      <c r="J904" s="35"/>
    </row>
    <row r="905" spans="9:10" x14ac:dyDescent="0.25">
      <c r="I905" s="37"/>
      <c r="J905" s="35"/>
    </row>
    <row r="906" spans="9:10" x14ac:dyDescent="0.25">
      <c r="I906" s="37"/>
      <c r="J906" s="35"/>
    </row>
    <row r="907" spans="9:10" x14ac:dyDescent="0.25">
      <c r="I907" s="37"/>
      <c r="J907" s="35"/>
    </row>
    <row r="908" spans="9:10" x14ac:dyDescent="0.25">
      <c r="I908" s="37"/>
      <c r="J908" s="35"/>
    </row>
    <row r="909" spans="9:10" x14ac:dyDescent="0.25">
      <c r="I909" s="37"/>
      <c r="J909" s="35"/>
    </row>
    <row r="910" spans="9:10" x14ac:dyDescent="0.25">
      <c r="I910" s="37"/>
      <c r="J910" s="35"/>
    </row>
    <row r="911" spans="9:10" x14ac:dyDescent="0.25">
      <c r="I911" s="37"/>
      <c r="J911" s="35"/>
    </row>
    <row r="912" spans="9:10" x14ac:dyDescent="0.25">
      <c r="I912" s="37"/>
      <c r="J912" s="35"/>
    </row>
    <row r="913" spans="9:10" x14ac:dyDescent="0.25">
      <c r="I913" s="37"/>
      <c r="J913" s="35"/>
    </row>
    <row r="914" spans="9:10" x14ac:dyDescent="0.25">
      <c r="I914" s="37"/>
      <c r="J914" s="35"/>
    </row>
    <row r="915" spans="9:10" x14ac:dyDescent="0.25">
      <c r="I915" s="37"/>
      <c r="J915" s="35"/>
    </row>
    <row r="916" spans="9:10" x14ac:dyDescent="0.25">
      <c r="I916" s="37"/>
      <c r="J916" s="35"/>
    </row>
    <row r="917" spans="9:10" x14ac:dyDescent="0.25">
      <c r="I917" s="37"/>
      <c r="J917" s="35"/>
    </row>
    <row r="918" spans="9:10" x14ac:dyDescent="0.25">
      <c r="I918" s="37"/>
      <c r="J918" s="35"/>
    </row>
    <row r="919" spans="9:10" x14ac:dyDescent="0.25">
      <c r="I919" s="37"/>
      <c r="J919" s="35"/>
    </row>
    <row r="920" spans="9:10" x14ac:dyDescent="0.25">
      <c r="I920" s="37"/>
      <c r="J920" s="35"/>
    </row>
    <row r="921" spans="9:10" x14ac:dyDescent="0.25">
      <c r="I921" s="37"/>
      <c r="J921" s="35"/>
    </row>
    <row r="922" spans="9:10" x14ac:dyDescent="0.25">
      <c r="I922" s="37"/>
      <c r="J922" s="35"/>
    </row>
    <row r="923" spans="9:10" x14ac:dyDescent="0.25">
      <c r="I923" s="37"/>
      <c r="J923" s="35"/>
    </row>
    <row r="924" spans="9:10" x14ac:dyDescent="0.25">
      <c r="I924" s="37"/>
      <c r="J924" s="35"/>
    </row>
    <row r="925" spans="9:10" x14ac:dyDescent="0.25">
      <c r="I925" s="37"/>
      <c r="J925" s="35"/>
    </row>
    <row r="926" spans="9:10" x14ac:dyDescent="0.25">
      <c r="I926" s="37"/>
      <c r="J926" s="35"/>
    </row>
    <row r="927" spans="9:10" x14ac:dyDescent="0.25">
      <c r="I927" s="37"/>
      <c r="J927" s="35"/>
    </row>
    <row r="928" spans="9:10" x14ac:dyDescent="0.25">
      <c r="I928" s="37"/>
      <c r="J928" s="35"/>
    </row>
    <row r="929" spans="9:10" x14ac:dyDescent="0.25">
      <c r="I929" s="37"/>
      <c r="J929" s="35"/>
    </row>
    <row r="930" spans="9:10" x14ac:dyDescent="0.25">
      <c r="I930" s="37"/>
      <c r="J930" s="35"/>
    </row>
    <row r="931" spans="9:10" x14ac:dyDescent="0.25">
      <c r="I931" s="37"/>
      <c r="J931" s="35"/>
    </row>
    <row r="932" spans="9:10" x14ac:dyDescent="0.25">
      <c r="I932" s="37"/>
      <c r="J932" s="35"/>
    </row>
    <row r="933" spans="9:10" x14ac:dyDescent="0.25">
      <c r="I933" s="37"/>
      <c r="J933" s="35"/>
    </row>
    <row r="934" spans="9:10" x14ac:dyDescent="0.25">
      <c r="I934" s="37"/>
      <c r="J934" s="35"/>
    </row>
    <row r="935" spans="9:10" x14ac:dyDescent="0.25">
      <c r="I935" s="37"/>
      <c r="J935" s="35"/>
    </row>
    <row r="936" spans="9:10" x14ac:dyDescent="0.25">
      <c r="I936" s="37"/>
      <c r="J936" s="35"/>
    </row>
    <row r="937" spans="9:10" x14ac:dyDescent="0.25">
      <c r="I937" s="37"/>
      <c r="J937" s="35"/>
    </row>
    <row r="938" spans="9:10" x14ac:dyDescent="0.25">
      <c r="I938" s="37"/>
      <c r="J938" s="35"/>
    </row>
    <row r="939" spans="9:10" x14ac:dyDescent="0.25">
      <c r="I939" s="37"/>
      <c r="J939" s="35"/>
    </row>
    <row r="940" spans="9:10" x14ac:dyDescent="0.25">
      <c r="I940" s="37"/>
      <c r="J940" s="35"/>
    </row>
    <row r="941" spans="9:10" x14ac:dyDescent="0.25">
      <c r="I941" s="37"/>
      <c r="J941" s="35"/>
    </row>
    <row r="942" spans="9:10" x14ac:dyDescent="0.25">
      <c r="I942" s="37"/>
      <c r="J942" s="35"/>
    </row>
    <row r="943" spans="9:10" x14ac:dyDescent="0.25">
      <c r="I943" s="37"/>
      <c r="J943" s="35"/>
    </row>
    <row r="944" spans="9:10" x14ac:dyDescent="0.25">
      <c r="I944" s="37"/>
      <c r="J944" s="35"/>
    </row>
    <row r="945" spans="9:10" x14ac:dyDescent="0.25">
      <c r="I945" s="37"/>
      <c r="J945" s="35"/>
    </row>
    <row r="946" spans="9:10" x14ac:dyDescent="0.25">
      <c r="I946" s="37"/>
      <c r="J946" s="35"/>
    </row>
    <row r="947" spans="9:10" x14ac:dyDescent="0.25">
      <c r="I947" s="37"/>
      <c r="J947" s="35"/>
    </row>
    <row r="948" spans="9:10" x14ac:dyDescent="0.25">
      <c r="I948" s="37"/>
      <c r="J948" s="35"/>
    </row>
    <row r="949" spans="9:10" x14ac:dyDescent="0.25">
      <c r="I949" s="37"/>
      <c r="J949" s="35"/>
    </row>
    <row r="950" spans="9:10" x14ac:dyDescent="0.25">
      <c r="I950" s="37"/>
      <c r="J950" s="35"/>
    </row>
    <row r="951" spans="9:10" x14ac:dyDescent="0.25">
      <c r="I951" s="37"/>
      <c r="J951" s="35"/>
    </row>
    <row r="952" spans="9:10" x14ac:dyDescent="0.25">
      <c r="I952" s="37"/>
      <c r="J952" s="35"/>
    </row>
    <row r="953" spans="9:10" x14ac:dyDescent="0.25">
      <c r="I953" s="37"/>
      <c r="J953" s="35"/>
    </row>
    <row r="954" spans="9:10" x14ac:dyDescent="0.25">
      <c r="I954" s="37"/>
      <c r="J954" s="35"/>
    </row>
    <row r="955" spans="9:10" x14ac:dyDescent="0.25">
      <c r="I955" s="37"/>
      <c r="J955" s="35"/>
    </row>
    <row r="956" spans="9:10" x14ac:dyDescent="0.25">
      <c r="I956" s="37"/>
      <c r="J956" s="35"/>
    </row>
    <row r="957" spans="9:10" x14ac:dyDescent="0.25">
      <c r="I957" s="37"/>
      <c r="J957" s="35"/>
    </row>
    <row r="958" spans="9:10" x14ac:dyDescent="0.25">
      <c r="I958" s="37"/>
      <c r="J958" s="35"/>
    </row>
    <row r="959" spans="9:10" x14ac:dyDescent="0.25">
      <c r="I959" s="37"/>
      <c r="J959" s="35"/>
    </row>
    <row r="960" spans="9:10" x14ac:dyDescent="0.25">
      <c r="I960" s="37"/>
      <c r="J960" s="35"/>
    </row>
    <row r="961" spans="9:10" x14ac:dyDescent="0.25">
      <c r="I961" s="37"/>
      <c r="J961" s="35"/>
    </row>
    <row r="962" spans="9:10" x14ac:dyDescent="0.25">
      <c r="I962" s="37"/>
      <c r="J962" s="35"/>
    </row>
    <row r="963" spans="9:10" x14ac:dyDescent="0.25">
      <c r="I963" s="37"/>
      <c r="J963" s="35"/>
    </row>
    <row r="964" spans="9:10" x14ac:dyDescent="0.25">
      <c r="I964" s="37"/>
      <c r="J964" s="35"/>
    </row>
    <row r="965" spans="9:10" x14ac:dyDescent="0.25">
      <c r="I965" s="37"/>
      <c r="J965" s="35"/>
    </row>
    <row r="966" spans="9:10" x14ac:dyDescent="0.25">
      <c r="I966" s="37"/>
      <c r="J966" s="35"/>
    </row>
    <row r="967" spans="9:10" x14ac:dyDescent="0.25">
      <c r="I967" s="37"/>
      <c r="J967" s="35"/>
    </row>
    <row r="968" spans="9:10" x14ac:dyDescent="0.25">
      <c r="I968" s="37"/>
      <c r="J968" s="35"/>
    </row>
    <row r="969" spans="9:10" x14ac:dyDescent="0.25">
      <c r="I969" s="37"/>
      <c r="J969" s="35"/>
    </row>
    <row r="970" spans="9:10" x14ac:dyDescent="0.25">
      <c r="I970" s="37"/>
      <c r="J970" s="35"/>
    </row>
    <row r="971" spans="9:10" x14ac:dyDescent="0.25">
      <c r="I971" s="37"/>
      <c r="J971" s="35"/>
    </row>
    <row r="972" spans="9:10" x14ac:dyDescent="0.25">
      <c r="I972" s="37"/>
      <c r="J972" s="35"/>
    </row>
    <row r="973" spans="9:10" x14ac:dyDescent="0.25">
      <c r="I973" s="37"/>
      <c r="J973" s="35"/>
    </row>
    <row r="974" spans="9:10" x14ac:dyDescent="0.25">
      <c r="I974" s="37"/>
      <c r="J974" s="35"/>
    </row>
    <row r="975" spans="9:10" x14ac:dyDescent="0.25">
      <c r="I975" s="37"/>
      <c r="J975" s="35"/>
    </row>
    <row r="976" spans="9:10" x14ac:dyDescent="0.25">
      <c r="I976" s="37"/>
      <c r="J976" s="35"/>
    </row>
    <row r="977" spans="9:10" x14ac:dyDescent="0.25">
      <c r="I977" s="37"/>
      <c r="J977" s="35"/>
    </row>
    <row r="978" spans="9:10" x14ac:dyDescent="0.25">
      <c r="I978" s="37"/>
      <c r="J978" s="35"/>
    </row>
    <row r="979" spans="9:10" x14ac:dyDescent="0.25">
      <c r="I979" s="37"/>
      <c r="J979" s="35"/>
    </row>
    <row r="980" spans="9:10" x14ac:dyDescent="0.25">
      <c r="I980" s="37"/>
      <c r="J980" s="35"/>
    </row>
    <row r="981" spans="9:10" x14ac:dyDescent="0.25">
      <c r="I981" s="37"/>
      <c r="J981" s="35"/>
    </row>
    <row r="982" spans="9:10" x14ac:dyDescent="0.25">
      <c r="I982" s="37"/>
      <c r="J982" s="35"/>
    </row>
    <row r="983" spans="9:10" x14ac:dyDescent="0.25">
      <c r="I983" s="37"/>
      <c r="J983" s="35"/>
    </row>
    <row r="984" spans="9:10" x14ac:dyDescent="0.25">
      <c r="I984" s="37"/>
      <c r="J984" s="35"/>
    </row>
    <row r="985" spans="9:10" x14ac:dyDescent="0.25">
      <c r="I985" s="37"/>
      <c r="J985" s="35"/>
    </row>
    <row r="986" spans="9:10" x14ac:dyDescent="0.25">
      <c r="I986" s="37"/>
      <c r="J986" s="35"/>
    </row>
    <row r="987" spans="9:10" x14ac:dyDescent="0.25">
      <c r="I987" s="37"/>
      <c r="J987" s="35"/>
    </row>
    <row r="988" spans="9:10" x14ac:dyDescent="0.25">
      <c r="I988" s="37"/>
      <c r="J988" s="35"/>
    </row>
    <row r="989" spans="9:10" x14ac:dyDescent="0.25">
      <c r="I989" s="37"/>
      <c r="J989" s="35"/>
    </row>
    <row r="990" spans="9:10" x14ac:dyDescent="0.25">
      <c r="I990" s="37"/>
      <c r="J990" s="35"/>
    </row>
    <row r="991" spans="9:10" x14ac:dyDescent="0.25">
      <c r="I991" s="37"/>
      <c r="J991" s="35"/>
    </row>
    <row r="992" spans="9:10" x14ac:dyDescent="0.25">
      <c r="I992" s="37"/>
      <c r="J992" s="35"/>
    </row>
    <row r="993" spans="9:10" x14ac:dyDescent="0.25">
      <c r="I993" s="37"/>
      <c r="J993" s="35"/>
    </row>
    <row r="994" spans="9:10" x14ac:dyDescent="0.25">
      <c r="I994" s="37"/>
      <c r="J994" s="35"/>
    </row>
    <row r="995" spans="9:10" x14ac:dyDescent="0.25">
      <c r="I995" s="37"/>
      <c r="J995" s="35"/>
    </row>
    <row r="996" spans="9:10" x14ac:dyDescent="0.25">
      <c r="I996" s="37"/>
      <c r="J996" s="35"/>
    </row>
    <row r="997" spans="9:10" x14ac:dyDescent="0.25">
      <c r="I997" s="37"/>
      <c r="J997" s="35"/>
    </row>
    <row r="998" spans="9:10" x14ac:dyDescent="0.25">
      <c r="I998" s="37"/>
      <c r="J998" s="35"/>
    </row>
    <row r="999" spans="9:10" x14ac:dyDescent="0.25">
      <c r="I999" s="37"/>
      <c r="J999" s="35"/>
    </row>
    <row r="1000" spans="9:10" x14ac:dyDescent="0.25">
      <c r="I1000" s="37"/>
      <c r="J1000" s="35"/>
    </row>
    <row r="1001" spans="9:10" x14ac:dyDescent="0.25">
      <c r="I1001" s="37"/>
      <c r="J1001" s="35"/>
    </row>
    <row r="1002" spans="9:10" x14ac:dyDescent="0.25">
      <c r="I1002" s="37"/>
      <c r="J1002" s="35"/>
    </row>
    <row r="1003" spans="9:10" x14ac:dyDescent="0.25">
      <c r="I1003" s="37"/>
      <c r="J1003" s="35"/>
    </row>
    <row r="1004" spans="9:10" x14ac:dyDescent="0.25">
      <c r="I1004" s="37"/>
      <c r="J1004" s="35"/>
    </row>
    <row r="1005" spans="9:10" x14ac:dyDescent="0.25">
      <c r="I1005" s="37"/>
      <c r="J1005" s="35"/>
    </row>
    <row r="1006" spans="9:10" x14ac:dyDescent="0.25">
      <c r="I1006" s="37"/>
      <c r="J1006" s="35"/>
    </row>
    <row r="1007" spans="9:10" x14ac:dyDescent="0.25">
      <c r="I1007" s="37"/>
      <c r="J1007" s="35"/>
    </row>
    <row r="1008" spans="9:10" x14ac:dyDescent="0.25">
      <c r="I1008" s="37"/>
      <c r="J1008" s="35"/>
    </row>
    <row r="1009" spans="9:10" x14ac:dyDescent="0.25">
      <c r="I1009" s="37"/>
      <c r="J1009" s="35"/>
    </row>
    <row r="1010" spans="9:10" x14ac:dyDescent="0.25">
      <c r="I1010" s="37"/>
      <c r="J1010" s="35"/>
    </row>
    <row r="1011" spans="9:10" x14ac:dyDescent="0.25">
      <c r="I1011" s="37"/>
      <c r="J1011" s="35"/>
    </row>
    <row r="1012" spans="9:10" x14ac:dyDescent="0.25">
      <c r="I1012" s="37"/>
      <c r="J1012" s="35"/>
    </row>
    <row r="1013" spans="9:10" x14ac:dyDescent="0.25">
      <c r="I1013" s="37"/>
      <c r="J1013" s="35"/>
    </row>
    <row r="1014" spans="9:10" x14ac:dyDescent="0.25">
      <c r="I1014" s="37"/>
      <c r="J1014" s="35"/>
    </row>
    <row r="1015" spans="9:10" x14ac:dyDescent="0.25">
      <c r="I1015" s="37"/>
      <c r="J1015" s="35"/>
    </row>
    <row r="1016" spans="9:10" x14ac:dyDescent="0.25">
      <c r="I1016" s="37"/>
      <c r="J1016" s="35"/>
    </row>
    <row r="1017" spans="9:10" x14ac:dyDescent="0.25">
      <c r="I1017" s="37"/>
      <c r="J1017" s="35"/>
    </row>
    <row r="1018" spans="9:10" x14ac:dyDescent="0.25">
      <c r="I1018" s="37"/>
      <c r="J1018" s="35"/>
    </row>
    <row r="1019" spans="9:10" x14ac:dyDescent="0.25">
      <c r="I1019" s="37"/>
      <c r="J1019" s="35"/>
    </row>
    <row r="1020" spans="9:10" x14ac:dyDescent="0.25">
      <c r="I1020" s="37"/>
      <c r="J1020" s="35"/>
    </row>
    <row r="1021" spans="9:10" x14ac:dyDescent="0.25">
      <c r="I1021" s="37"/>
      <c r="J1021" s="35"/>
    </row>
    <row r="1022" spans="9:10" x14ac:dyDescent="0.25">
      <c r="I1022" s="37"/>
      <c r="J1022" s="35"/>
    </row>
    <row r="1023" spans="9:10" x14ac:dyDescent="0.25">
      <c r="I1023" s="37"/>
      <c r="J1023" s="35"/>
    </row>
    <row r="1024" spans="9:10" x14ac:dyDescent="0.25">
      <c r="I1024" s="37"/>
      <c r="J1024" s="35"/>
    </row>
    <row r="1025" spans="9:10" x14ac:dyDescent="0.25">
      <c r="I1025" s="37"/>
      <c r="J1025" s="35"/>
    </row>
    <row r="1026" spans="9:10" x14ac:dyDescent="0.25">
      <c r="I1026" s="37"/>
      <c r="J1026" s="35"/>
    </row>
    <row r="1027" spans="9:10" x14ac:dyDescent="0.25">
      <c r="I1027" s="37"/>
      <c r="J1027" s="35"/>
    </row>
    <row r="1028" spans="9:10" x14ac:dyDescent="0.25">
      <c r="I1028" s="37"/>
      <c r="J1028" s="35"/>
    </row>
    <row r="1029" spans="9:10" x14ac:dyDescent="0.25">
      <c r="I1029" s="37"/>
      <c r="J1029" s="35"/>
    </row>
    <row r="1030" spans="9:10" x14ac:dyDescent="0.25">
      <c r="I1030" s="37"/>
      <c r="J1030" s="35"/>
    </row>
    <row r="1031" spans="9:10" x14ac:dyDescent="0.25">
      <c r="I1031" s="37"/>
      <c r="J1031" s="35"/>
    </row>
    <row r="1032" spans="9:10" x14ac:dyDescent="0.25">
      <c r="I1032" s="37"/>
      <c r="J1032" s="35"/>
    </row>
    <row r="1033" spans="9:10" x14ac:dyDescent="0.25">
      <c r="I1033" s="37"/>
      <c r="J1033" s="35"/>
    </row>
    <row r="1034" spans="9:10" x14ac:dyDescent="0.25">
      <c r="I1034" s="37"/>
      <c r="J1034" s="35"/>
    </row>
    <row r="1035" spans="9:10" x14ac:dyDescent="0.25">
      <c r="I1035" s="37"/>
      <c r="J1035" s="35"/>
    </row>
    <row r="1036" spans="9:10" x14ac:dyDescent="0.25">
      <c r="I1036" s="37"/>
      <c r="J1036" s="35"/>
    </row>
    <row r="1037" spans="9:10" x14ac:dyDescent="0.25">
      <c r="I1037" s="37"/>
      <c r="J1037" s="35"/>
    </row>
    <row r="1038" spans="9:10" x14ac:dyDescent="0.25">
      <c r="I1038" s="37"/>
      <c r="J1038" s="35"/>
    </row>
    <row r="1039" spans="9:10" x14ac:dyDescent="0.25">
      <c r="I1039" s="37"/>
      <c r="J1039" s="35"/>
    </row>
    <row r="1040" spans="9:10" x14ac:dyDescent="0.25">
      <c r="I1040" s="37"/>
      <c r="J1040" s="35"/>
    </row>
    <row r="1041" spans="9:10" x14ac:dyDescent="0.25">
      <c r="I1041" s="37"/>
      <c r="J1041" s="35"/>
    </row>
    <row r="1042" spans="9:10" x14ac:dyDescent="0.25">
      <c r="I1042" s="37"/>
      <c r="J1042" s="35"/>
    </row>
    <row r="1043" spans="9:10" x14ac:dyDescent="0.25">
      <c r="I1043" s="37"/>
      <c r="J1043" s="35"/>
    </row>
    <row r="1044" spans="9:10" x14ac:dyDescent="0.25">
      <c r="I1044" s="37"/>
      <c r="J1044" s="35"/>
    </row>
    <row r="1045" spans="9:10" x14ac:dyDescent="0.25">
      <c r="I1045" s="37"/>
      <c r="J1045" s="35"/>
    </row>
    <row r="1046" spans="9:10" x14ac:dyDescent="0.25">
      <c r="I1046" s="37"/>
      <c r="J1046" s="35"/>
    </row>
    <row r="1047" spans="9:10" x14ac:dyDescent="0.25">
      <c r="I1047" s="37"/>
      <c r="J1047" s="35"/>
    </row>
    <row r="1048" spans="9:10" x14ac:dyDescent="0.25">
      <c r="I1048" s="37"/>
      <c r="J1048" s="35"/>
    </row>
    <row r="1049" spans="9:10" x14ac:dyDescent="0.25">
      <c r="I1049" s="37"/>
      <c r="J1049" s="35"/>
    </row>
    <row r="1050" spans="9:10" x14ac:dyDescent="0.25">
      <c r="I1050" s="37"/>
      <c r="J1050" s="35"/>
    </row>
    <row r="1051" spans="9:10" x14ac:dyDescent="0.25">
      <c r="I1051" s="37"/>
      <c r="J1051" s="35"/>
    </row>
    <row r="1052" spans="9:10" x14ac:dyDescent="0.25">
      <c r="I1052" s="37"/>
      <c r="J1052" s="35"/>
    </row>
    <row r="1053" spans="9:10" x14ac:dyDescent="0.25">
      <c r="I1053" s="37"/>
      <c r="J1053" s="35"/>
    </row>
    <row r="1054" spans="9:10" x14ac:dyDescent="0.25">
      <c r="I1054" s="37"/>
      <c r="J1054" s="35"/>
    </row>
    <row r="1055" spans="9:10" x14ac:dyDescent="0.25">
      <c r="I1055" s="37"/>
      <c r="J1055" s="35"/>
    </row>
    <row r="1056" spans="9:10" x14ac:dyDescent="0.25">
      <c r="I1056" s="37"/>
      <c r="J1056" s="35"/>
    </row>
    <row r="1057" spans="9:10" x14ac:dyDescent="0.25">
      <c r="I1057" s="37"/>
      <c r="J1057" s="35"/>
    </row>
    <row r="1058" spans="9:10" x14ac:dyDescent="0.25">
      <c r="I1058" s="37"/>
      <c r="J1058" s="35"/>
    </row>
    <row r="1059" spans="9:10" x14ac:dyDescent="0.25">
      <c r="I1059" s="37"/>
      <c r="J1059" s="35"/>
    </row>
    <row r="1060" spans="9:10" x14ac:dyDescent="0.25">
      <c r="I1060" s="37"/>
      <c r="J1060" s="35"/>
    </row>
    <row r="1061" spans="9:10" x14ac:dyDescent="0.25">
      <c r="I1061" s="37"/>
      <c r="J1061" s="35"/>
    </row>
    <row r="1062" spans="9:10" x14ac:dyDescent="0.25">
      <c r="I1062" s="37"/>
      <c r="J1062" s="35"/>
    </row>
    <row r="1063" spans="9:10" x14ac:dyDescent="0.25">
      <c r="I1063" s="37"/>
      <c r="J1063" s="35"/>
    </row>
    <row r="1064" spans="9:10" x14ac:dyDescent="0.25">
      <c r="I1064" s="37"/>
      <c r="J1064" s="35"/>
    </row>
    <row r="1065" spans="9:10" x14ac:dyDescent="0.25">
      <c r="I1065" s="37"/>
      <c r="J1065" s="35"/>
    </row>
    <row r="1066" spans="9:10" x14ac:dyDescent="0.25">
      <c r="I1066" s="37"/>
      <c r="J1066" s="35"/>
    </row>
    <row r="1067" spans="9:10" x14ac:dyDescent="0.25">
      <c r="I1067" s="37"/>
      <c r="J1067" s="35"/>
    </row>
    <row r="1068" spans="9:10" x14ac:dyDescent="0.25">
      <c r="I1068" s="37"/>
      <c r="J1068" s="35"/>
    </row>
    <row r="1069" spans="9:10" x14ac:dyDescent="0.25">
      <c r="I1069" s="37"/>
      <c r="J1069" s="35"/>
    </row>
    <row r="1070" spans="9:10" x14ac:dyDescent="0.25">
      <c r="I1070" s="37"/>
      <c r="J1070" s="35"/>
    </row>
    <row r="1071" spans="9:10" x14ac:dyDescent="0.25">
      <c r="I1071" s="37"/>
      <c r="J1071" s="35"/>
    </row>
    <row r="1072" spans="9:10" x14ac:dyDescent="0.25">
      <c r="I1072" s="37"/>
      <c r="J1072" s="35"/>
    </row>
    <row r="1073" spans="9:10" x14ac:dyDescent="0.25">
      <c r="I1073" s="37"/>
      <c r="J1073" s="35"/>
    </row>
    <row r="1074" spans="9:10" x14ac:dyDescent="0.25">
      <c r="I1074" s="37"/>
      <c r="J1074" s="35"/>
    </row>
    <row r="1075" spans="9:10" x14ac:dyDescent="0.25">
      <c r="I1075" s="37"/>
      <c r="J1075" s="35"/>
    </row>
    <row r="1076" spans="9:10" x14ac:dyDescent="0.25">
      <c r="I1076" s="37"/>
      <c r="J1076" s="35"/>
    </row>
    <row r="1077" spans="9:10" x14ac:dyDescent="0.25">
      <c r="I1077" s="37"/>
      <c r="J1077" s="35"/>
    </row>
    <row r="1078" spans="9:10" x14ac:dyDescent="0.25">
      <c r="I1078" s="37"/>
      <c r="J1078" s="35"/>
    </row>
    <row r="1079" spans="9:10" x14ac:dyDescent="0.25">
      <c r="I1079" s="37"/>
      <c r="J1079" s="35"/>
    </row>
    <row r="1080" spans="9:10" x14ac:dyDescent="0.25">
      <c r="I1080" s="37"/>
      <c r="J1080" s="35"/>
    </row>
    <row r="1081" spans="9:10" x14ac:dyDescent="0.25">
      <c r="I1081" s="37"/>
      <c r="J1081" s="35"/>
    </row>
    <row r="1082" spans="9:10" x14ac:dyDescent="0.25">
      <c r="I1082" s="37"/>
      <c r="J1082" s="35"/>
    </row>
    <row r="1083" spans="9:10" x14ac:dyDescent="0.25">
      <c r="I1083" s="37"/>
      <c r="J1083" s="35"/>
    </row>
    <row r="1084" spans="9:10" x14ac:dyDescent="0.25">
      <c r="I1084" s="37"/>
      <c r="J1084" s="35"/>
    </row>
    <row r="1085" spans="9:10" x14ac:dyDescent="0.25">
      <c r="I1085" s="37"/>
      <c r="J1085" s="35"/>
    </row>
    <row r="1086" spans="9:10" x14ac:dyDescent="0.25">
      <c r="I1086" s="37"/>
      <c r="J1086" s="35"/>
    </row>
    <row r="1087" spans="9:10" x14ac:dyDescent="0.25">
      <c r="I1087" s="37"/>
      <c r="J1087" s="35"/>
    </row>
    <row r="1088" spans="9:10" x14ac:dyDescent="0.25">
      <c r="I1088" s="37"/>
      <c r="J1088" s="35"/>
    </row>
    <row r="1089" spans="9:10" x14ac:dyDescent="0.25">
      <c r="I1089" s="37"/>
      <c r="J1089" s="35"/>
    </row>
    <row r="1090" spans="9:10" x14ac:dyDescent="0.25">
      <c r="I1090" s="37"/>
      <c r="J1090" s="35"/>
    </row>
    <row r="1091" spans="9:10" x14ac:dyDescent="0.25">
      <c r="I1091" s="37"/>
      <c r="J1091" s="35"/>
    </row>
    <row r="1092" spans="9:10" x14ac:dyDescent="0.25">
      <c r="I1092" s="37"/>
      <c r="J1092" s="35"/>
    </row>
    <row r="1093" spans="9:10" x14ac:dyDescent="0.25">
      <c r="I1093" s="37"/>
      <c r="J1093" s="35"/>
    </row>
    <row r="1094" spans="9:10" x14ac:dyDescent="0.25">
      <c r="I1094" s="37"/>
      <c r="J1094" s="35"/>
    </row>
    <row r="1095" spans="9:10" x14ac:dyDescent="0.25">
      <c r="I1095" s="37"/>
      <c r="J1095" s="35"/>
    </row>
    <row r="1096" spans="9:10" x14ac:dyDescent="0.25">
      <c r="I1096" s="37"/>
      <c r="J1096" s="35"/>
    </row>
    <row r="1097" spans="9:10" x14ac:dyDescent="0.25">
      <c r="I1097" s="37"/>
      <c r="J1097" s="35"/>
    </row>
    <row r="1098" spans="9:10" x14ac:dyDescent="0.25">
      <c r="I1098" s="37"/>
      <c r="J1098" s="35"/>
    </row>
    <row r="1099" spans="9:10" x14ac:dyDescent="0.25">
      <c r="I1099" s="37"/>
      <c r="J1099" s="35"/>
    </row>
    <row r="1100" spans="9:10" x14ac:dyDescent="0.25">
      <c r="I1100" s="37"/>
      <c r="J1100" s="35"/>
    </row>
    <row r="1101" spans="9:10" x14ac:dyDescent="0.25">
      <c r="I1101" s="37"/>
      <c r="J1101" s="35"/>
    </row>
    <row r="1102" spans="9:10" x14ac:dyDescent="0.25">
      <c r="I1102" s="37"/>
      <c r="J1102" s="35"/>
    </row>
    <row r="1103" spans="9:10" x14ac:dyDescent="0.25">
      <c r="I1103" s="37"/>
      <c r="J1103" s="35"/>
    </row>
    <row r="1104" spans="9:10" x14ac:dyDescent="0.25">
      <c r="I1104" s="37"/>
      <c r="J1104" s="35"/>
    </row>
    <row r="1105" spans="9:10" x14ac:dyDescent="0.25">
      <c r="I1105" s="37"/>
      <c r="J1105" s="35"/>
    </row>
    <row r="1106" spans="9:10" x14ac:dyDescent="0.25">
      <c r="I1106" s="37"/>
      <c r="J1106" s="35"/>
    </row>
    <row r="1107" spans="9:10" x14ac:dyDescent="0.25">
      <c r="I1107" s="37"/>
      <c r="J1107" s="35"/>
    </row>
    <row r="1108" spans="9:10" x14ac:dyDescent="0.25">
      <c r="I1108" s="37"/>
      <c r="J1108" s="35"/>
    </row>
    <row r="1109" spans="9:10" x14ac:dyDescent="0.25">
      <c r="I1109" s="37"/>
      <c r="J1109" s="35"/>
    </row>
    <row r="1110" spans="9:10" x14ac:dyDescent="0.25">
      <c r="I1110" s="37"/>
      <c r="J1110" s="35"/>
    </row>
    <row r="1111" spans="9:10" x14ac:dyDescent="0.25">
      <c r="I1111" s="37"/>
      <c r="J1111" s="35"/>
    </row>
    <row r="1112" spans="9:10" x14ac:dyDescent="0.25">
      <c r="I1112" s="37"/>
      <c r="J1112" s="35"/>
    </row>
    <row r="1113" spans="9:10" x14ac:dyDescent="0.25">
      <c r="I1113" s="37"/>
      <c r="J1113" s="35"/>
    </row>
    <row r="1114" spans="9:10" x14ac:dyDescent="0.25">
      <c r="I1114" s="37"/>
      <c r="J1114" s="35"/>
    </row>
    <row r="1115" spans="9:10" x14ac:dyDescent="0.25">
      <c r="I1115" s="37"/>
      <c r="J1115" s="35"/>
    </row>
    <row r="1116" spans="9:10" x14ac:dyDescent="0.25">
      <c r="I1116" s="37"/>
      <c r="J1116" s="35"/>
    </row>
    <row r="1117" spans="9:10" x14ac:dyDescent="0.25">
      <c r="I1117" s="37"/>
      <c r="J1117" s="35"/>
    </row>
    <row r="1118" spans="9:10" x14ac:dyDescent="0.25">
      <c r="I1118" s="37"/>
      <c r="J1118" s="35"/>
    </row>
    <row r="1119" spans="9:10" x14ac:dyDescent="0.25">
      <c r="I1119" s="37"/>
      <c r="J1119" s="35"/>
    </row>
    <row r="1120" spans="9:10" x14ac:dyDescent="0.25">
      <c r="I1120" s="37"/>
      <c r="J1120" s="35"/>
    </row>
    <row r="1121" spans="9:10" x14ac:dyDescent="0.25">
      <c r="I1121" s="37"/>
      <c r="J1121" s="35"/>
    </row>
    <row r="1122" spans="9:10" x14ac:dyDescent="0.25">
      <c r="I1122" s="37"/>
      <c r="J1122" s="35"/>
    </row>
    <row r="1123" spans="9:10" x14ac:dyDescent="0.25">
      <c r="I1123" s="37"/>
      <c r="J1123" s="35"/>
    </row>
    <row r="1124" spans="9:10" x14ac:dyDescent="0.25">
      <c r="I1124" s="37"/>
      <c r="J1124" s="35"/>
    </row>
    <row r="1125" spans="9:10" x14ac:dyDescent="0.25">
      <c r="I1125" s="37"/>
      <c r="J1125" s="35"/>
    </row>
    <row r="1126" spans="9:10" x14ac:dyDescent="0.25">
      <c r="I1126" s="37"/>
      <c r="J1126" s="35"/>
    </row>
    <row r="1127" spans="9:10" x14ac:dyDescent="0.25">
      <c r="I1127" s="37"/>
      <c r="J1127" s="35"/>
    </row>
    <row r="1128" spans="9:10" x14ac:dyDescent="0.25">
      <c r="I1128" s="37"/>
      <c r="J1128" s="35"/>
    </row>
    <row r="1129" spans="9:10" x14ac:dyDescent="0.25">
      <c r="I1129" s="37"/>
      <c r="J1129" s="35"/>
    </row>
    <row r="1130" spans="9:10" x14ac:dyDescent="0.25">
      <c r="I1130" s="37"/>
      <c r="J1130" s="35"/>
    </row>
    <row r="1131" spans="9:10" x14ac:dyDescent="0.25">
      <c r="I1131" s="37"/>
      <c r="J1131" s="35"/>
    </row>
    <row r="1132" spans="9:10" x14ac:dyDescent="0.25">
      <c r="I1132" s="37"/>
      <c r="J1132" s="35"/>
    </row>
    <row r="1133" spans="9:10" x14ac:dyDescent="0.25">
      <c r="I1133" s="37"/>
      <c r="J1133" s="35"/>
    </row>
    <row r="1134" spans="9:10" x14ac:dyDescent="0.25">
      <c r="I1134" s="37"/>
      <c r="J1134" s="35"/>
    </row>
    <row r="1135" spans="9:10" x14ac:dyDescent="0.25">
      <c r="I1135" s="37"/>
      <c r="J1135" s="35"/>
    </row>
    <row r="1136" spans="9:10" x14ac:dyDescent="0.25">
      <c r="I1136" s="37"/>
      <c r="J1136" s="35"/>
    </row>
    <row r="1137" spans="9:10" x14ac:dyDescent="0.25">
      <c r="I1137" s="37"/>
      <c r="J1137" s="35"/>
    </row>
    <row r="1138" spans="9:10" x14ac:dyDescent="0.25">
      <c r="I1138" s="37"/>
      <c r="J1138" s="35"/>
    </row>
    <row r="1139" spans="9:10" x14ac:dyDescent="0.25">
      <c r="I1139" s="37"/>
      <c r="J1139" s="35"/>
    </row>
    <row r="1140" spans="9:10" x14ac:dyDescent="0.25">
      <c r="I1140" s="37"/>
      <c r="J1140" s="35"/>
    </row>
    <row r="1141" spans="9:10" x14ac:dyDescent="0.25">
      <c r="I1141" s="37"/>
      <c r="J1141" s="35"/>
    </row>
    <row r="1142" spans="9:10" x14ac:dyDescent="0.25">
      <c r="I1142" s="37"/>
      <c r="J1142" s="35"/>
    </row>
    <row r="1143" spans="9:10" x14ac:dyDescent="0.25">
      <c r="I1143" s="37"/>
      <c r="J1143" s="35"/>
    </row>
    <row r="1144" spans="9:10" x14ac:dyDescent="0.25">
      <c r="I1144" s="37"/>
      <c r="J1144" s="35"/>
    </row>
    <row r="1145" spans="9:10" x14ac:dyDescent="0.25">
      <c r="I1145" s="37"/>
      <c r="J1145" s="35"/>
    </row>
    <row r="1146" spans="9:10" x14ac:dyDescent="0.25">
      <c r="I1146" s="37"/>
      <c r="J1146" s="35"/>
    </row>
    <row r="1147" spans="9:10" x14ac:dyDescent="0.25">
      <c r="I1147" s="37"/>
      <c r="J1147" s="35"/>
    </row>
    <row r="1148" spans="9:10" x14ac:dyDescent="0.25">
      <c r="I1148" s="37"/>
      <c r="J1148" s="35"/>
    </row>
    <row r="1149" spans="9:10" x14ac:dyDescent="0.25">
      <c r="I1149" s="37"/>
      <c r="J1149" s="35"/>
    </row>
    <row r="1150" spans="9:10" x14ac:dyDescent="0.25">
      <c r="I1150" s="37"/>
      <c r="J1150" s="35"/>
    </row>
    <row r="1151" spans="9:10" x14ac:dyDescent="0.25">
      <c r="I1151" s="37"/>
      <c r="J1151" s="35"/>
    </row>
    <row r="1152" spans="9:10" x14ac:dyDescent="0.25">
      <c r="I1152" s="37"/>
      <c r="J1152" s="35"/>
    </row>
    <row r="1153" spans="9:10" x14ac:dyDescent="0.25">
      <c r="I1153" s="37"/>
      <c r="J1153" s="35"/>
    </row>
    <row r="1154" spans="9:10" x14ac:dyDescent="0.25">
      <c r="I1154" s="37"/>
      <c r="J1154" s="35"/>
    </row>
    <row r="1155" spans="9:10" x14ac:dyDescent="0.25">
      <c r="I1155" s="37"/>
      <c r="J1155" s="35"/>
    </row>
    <row r="1156" spans="9:10" x14ac:dyDescent="0.25">
      <c r="I1156" s="37"/>
      <c r="J1156" s="35"/>
    </row>
    <row r="1157" spans="9:10" x14ac:dyDescent="0.25">
      <c r="I1157" s="37"/>
      <c r="J1157" s="35"/>
    </row>
    <row r="1158" spans="9:10" x14ac:dyDescent="0.25">
      <c r="I1158" s="37"/>
      <c r="J1158" s="35"/>
    </row>
    <row r="1159" spans="9:10" x14ac:dyDescent="0.25">
      <c r="I1159" s="37"/>
      <c r="J1159" s="35"/>
    </row>
    <row r="1160" spans="9:10" x14ac:dyDescent="0.25">
      <c r="I1160" s="37"/>
      <c r="J1160" s="35"/>
    </row>
    <row r="1161" spans="9:10" x14ac:dyDescent="0.25">
      <c r="I1161" s="37"/>
      <c r="J1161" s="35"/>
    </row>
    <row r="1162" spans="9:10" x14ac:dyDescent="0.25">
      <c r="I1162" s="37"/>
      <c r="J1162" s="35"/>
    </row>
    <row r="1163" spans="9:10" x14ac:dyDescent="0.25">
      <c r="I1163" s="37"/>
      <c r="J1163" s="35"/>
    </row>
    <row r="1164" spans="9:10" x14ac:dyDescent="0.25">
      <c r="I1164" s="37"/>
      <c r="J1164" s="35"/>
    </row>
    <row r="1165" spans="9:10" x14ac:dyDescent="0.25">
      <c r="I1165" s="37"/>
      <c r="J1165" s="35"/>
    </row>
    <row r="1166" spans="9:10" x14ac:dyDescent="0.25">
      <c r="I1166" s="37"/>
      <c r="J1166" s="35"/>
    </row>
    <row r="1167" spans="9:10" x14ac:dyDescent="0.25">
      <c r="I1167" s="37"/>
      <c r="J1167" s="35"/>
    </row>
    <row r="1168" spans="9:10" x14ac:dyDescent="0.25">
      <c r="I1168" s="37"/>
      <c r="J1168" s="35"/>
    </row>
    <row r="1169" spans="9:10" x14ac:dyDescent="0.25">
      <c r="I1169" s="37"/>
      <c r="J1169" s="35"/>
    </row>
    <row r="1170" spans="9:10" x14ac:dyDescent="0.25">
      <c r="I1170" s="37"/>
      <c r="J1170" s="35"/>
    </row>
    <row r="1171" spans="9:10" x14ac:dyDescent="0.25">
      <c r="I1171" s="37"/>
      <c r="J1171" s="35"/>
    </row>
    <row r="1172" spans="9:10" x14ac:dyDescent="0.25">
      <c r="I1172" s="37"/>
      <c r="J1172" s="35"/>
    </row>
    <row r="1173" spans="9:10" x14ac:dyDescent="0.25">
      <c r="I1173" s="37"/>
      <c r="J1173" s="35"/>
    </row>
    <row r="1174" spans="9:10" x14ac:dyDescent="0.25">
      <c r="I1174" s="37"/>
      <c r="J1174" s="35"/>
    </row>
    <row r="1175" spans="9:10" x14ac:dyDescent="0.25">
      <c r="I1175" s="37"/>
      <c r="J1175" s="35"/>
    </row>
    <row r="1176" spans="9:10" x14ac:dyDescent="0.25">
      <c r="I1176" s="37"/>
      <c r="J1176" s="35"/>
    </row>
    <row r="1177" spans="9:10" x14ac:dyDescent="0.25">
      <c r="I1177" s="37"/>
      <c r="J1177" s="35"/>
    </row>
    <row r="1178" spans="9:10" x14ac:dyDescent="0.25">
      <c r="I1178" s="37"/>
      <c r="J1178" s="35"/>
    </row>
    <row r="1179" spans="9:10" x14ac:dyDescent="0.25">
      <c r="I1179" s="37"/>
      <c r="J1179" s="35"/>
    </row>
    <row r="1180" spans="9:10" x14ac:dyDescent="0.25">
      <c r="I1180" s="37"/>
      <c r="J1180" s="35"/>
    </row>
    <row r="1181" spans="9:10" x14ac:dyDescent="0.25">
      <c r="I1181" s="37"/>
      <c r="J1181" s="35"/>
    </row>
    <row r="1182" spans="9:10" x14ac:dyDescent="0.25">
      <c r="I1182" s="37"/>
      <c r="J1182" s="35"/>
    </row>
    <row r="1183" spans="9:10" x14ac:dyDescent="0.25">
      <c r="I1183" s="37"/>
      <c r="J1183" s="35"/>
    </row>
    <row r="1184" spans="9:10" x14ac:dyDescent="0.25">
      <c r="I1184" s="37"/>
      <c r="J1184" s="35"/>
    </row>
    <row r="1185" spans="9:10" x14ac:dyDescent="0.25">
      <c r="I1185" s="37"/>
      <c r="J1185" s="35"/>
    </row>
    <row r="1186" spans="9:10" x14ac:dyDescent="0.25">
      <c r="I1186" s="37"/>
      <c r="J1186" s="35"/>
    </row>
    <row r="1187" spans="9:10" x14ac:dyDescent="0.25">
      <c r="I1187" s="37"/>
      <c r="J1187" s="35"/>
    </row>
    <row r="1188" spans="9:10" x14ac:dyDescent="0.25">
      <c r="I1188" s="37"/>
      <c r="J1188" s="35"/>
    </row>
    <row r="1189" spans="9:10" x14ac:dyDescent="0.25">
      <c r="I1189" s="37"/>
      <c r="J1189" s="35"/>
    </row>
    <row r="1190" spans="9:10" x14ac:dyDescent="0.25">
      <c r="I1190" s="37"/>
      <c r="J1190" s="35"/>
    </row>
    <row r="1191" spans="9:10" x14ac:dyDescent="0.25">
      <c r="I1191" s="37"/>
      <c r="J1191" s="35"/>
    </row>
    <row r="1192" spans="9:10" x14ac:dyDescent="0.25">
      <c r="I1192" s="37"/>
      <c r="J1192" s="35"/>
    </row>
    <row r="1193" spans="9:10" x14ac:dyDescent="0.25">
      <c r="I1193" s="37"/>
      <c r="J1193" s="35"/>
    </row>
    <row r="1194" spans="9:10" x14ac:dyDescent="0.25">
      <c r="I1194" s="37"/>
      <c r="J1194" s="35"/>
    </row>
    <row r="1195" spans="9:10" x14ac:dyDescent="0.25">
      <c r="I1195" s="37"/>
      <c r="J1195" s="35"/>
    </row>
    <row r="1196" spans="9:10" x14ac:dyDescent="0.25">
      <c r="I1196" s="37"/>
      <c r="J1196" s="35"/>
    </row>
    <row r="1197" spans="9:10" x14ac:dyDescent="0.25">
      <c r="I1197" s="37"/>
      <c r="J1197" s="35"/>
    </row>
    <row r="1198" spans="9:10" x14ac:dyDescent="0.25">
      <c r="I1198" s="37"/>
      <c r="J1198" s="35"/>
    </row>
    <row r="1199" spans="9:10" x14ac:dyDescent="0.25">
      <c r="I1199" s="37"/>
      <c r="J1199" s="35"/>
    </row>
    <row r="1200" spans="9:10" x14ac:dyDescent="0.25">
      <c r="I1200" s="37"/>
      <c r="J1200" s="35"/>
    </row>
    <row r="1201" spans="9:10" x14ac:dyDescent="0.25">
      <c r="I1201" s="37"/>
      <c r="J1201" s="35"/>
    </row>
    <row r="1202" spans="9:10" x14ac:dyDescent="0.25">
      <c r="I1202" s="37"/>
      <c r="J1202" s="35"/>
    </row>
    <row r="1203" spans="9:10" x14ac:dyDescent="0.25">
      <c r="I1203" s="37"/>
      <c r="J1203" s="35"/>
    </row>
    <row r="1204" spans="9:10" x14ac:dyDescent="0.25">
      <c r="I1204" s="37"/>
      <c r="J1204" s="35"/>
    </row>
    <row r="1205" spans="9:10" x14ac:dyDescent="0.25">
      <c r="I1205" s="37"/>
      <c r="J1205" s="35"/>
    </row>
    <row r="1206" spans="9:10" x14ac:dyDescent="0.25">
      <c r="I1206" s="37"/>
      <c r="J1206" s="35"/>
    </row>
    <row r="1207" spans="9:10" x14ac:dyDescent="0.25">
      <c r="I1207" s="37"/>
      <c r="J1207" s="35"/>
    </row>
    <row r="1208" spans="9:10" x14ac:dyDescent="0.25">
      <c r="I1208" s="37"/>
      <c r="J1208" s="35"/>
    </row>
    <row r="1209" spans="9:10" x14ac:dyDescent="0.25">
      <c r="I1209" s="37"/>
      <c r="J1209" s="35"/>
    </row>
    <row r="1210" spans="9:10" x14ac:dyDescent="0.25">
      <c r="I1210" s="37"/>
      <c r="J1210" s="35"/>
    </row>
    <row r="1211" spans="9:10" x14ac:dyDescent="0.25">
      <c r="I1211" s="37"/>
      <c r="J1211" s="35"/>
    </row>
    <row r="1212" spans="9:10" x14ac:dyDescent="0.25">
      <c r="I1212" s="37"/>
      <c r="J1212" s="35"/>
    </row>
    <row r="1213" spans="9:10" x14ac:dyDescent="0.25">
      <c r="I1213" s="37"/>
      <c r="J1213" s="35"/>
    </row>
    <row r="1214" spans="9:10" x14ac:dyDescent="0.25">
      <c r="I1214" s="37"/>
      <c r="J1214" s="35"/>
    </row>
    <row r="1215" spans="9:10" x14ac:dyDescent="0.25">
      <c r="I1215" s="37"/>
      <c r="J1215" s="35"/>
    </row>
    <row r="1216" spans="9:10" x14ac:dyDescent="0.25">
      <c r="I1216" s="37"/>
      <c r="J1216" s="35"/>
    </row>
    <row r="1217" spans="9:10" x14ac:dyDescent="0.25">
      <c r="I1217" s="37"/>
      <c r="J1217" s="35"/>
    </row>
    <row r="1218" spans="9:10" x14ac:dyDescent="0.25">
      <c r="I1218" s="37"/>
      <c r="J1218" s="35"/>
    </row>
    <row r="1219" spans="9:10" x14ac:dyDescent="0.25">
      <c r="I1219" s="37"/>
      <c r="J1219" s="35"/>
    </row>
    <row r="1220" spans="9:10" x14ac:dyDescent="0.25">
      <c r="I1220" s="37"/>
      <c r="J1220" s="35"/>
    </row>
    <row r="1221" spans="9:10" x14ac:dyDescent="0.25">
      <c r="I1221" s="37"/>
      <c r="J1221" s="35"/>
    </row>
    <row r="1222" spans="9:10" x14ac:dyDescent="0.25">
      <c r="I1222" s="37"/>
      <c r="J1222" s="35"/>
    </row>
    <row r="1223" spans="9:10" x14ac:dyDescent="0.25">
      <c r="I1223" s="37"/>
      <c r="J1223" s="35"/>
    </row>
    <row r="1224" spans="9:10" x14ac:dyDescent="0.25">
      <c r="I1224" s="37"/>
      <c r="J1224" s="35"/>
    </row>
    <row r="1225" spans="9:10" x14ac:dyDescent="0.25">
      <c r="I1225" s="37"/>
      <c r="J1225" s="35"/>
    </row>
    <row r="1226" spans="9:10" x14ac:dyDescent="0.25">
      <c r="I1226" s="37"/>
      <c r="J1226" s="35"/>
    </row>
    <row r="1227" spans="9:10" x14ac:dyDescent="0.25">
      <c r="I1227" s="37"/>
      <c r="J1227" s="35"/>
    </row>
    <row r="1228" spans="9:10" x14ac:dyDescent="0.25">
      <c r="I1228" s="37"/>
      <c r="J1228" s="35"/>
    </row>
    <row r="1229" spans="9:10" x14ac:dyDescent="0.25">
      <c r="I1229" s="37"/>
      <c r="J1229" s="35"/>
    </row>
    <row r="1230" spans="9:10" x14ac:dyDescent="0.25">
      <c r="I1230" s="37"/>
      <c r="J1230" s="35"/>
    </row>
    <row r="1231" spans="9:10" x14ac:dyDescent="0.25">
      <c r="I1231" s="37"/>
      <c r="J1231" s="35"/>
    </row>
    <row r="1232" spans="9:10" x14ac:dyDescent="0.25">
      <c r="I1232" s="37"/>
      <c r="J1232" s="35"/>
    </row>
    <row r="1233" spans="9:10" x14ac:dyDescent="0.25">
      <c r="I1233" s="37"/>
      <c r="J1233" s="35"/>
    </row>
    <row r="1234" spans="9:10" x14ac:dyDescent="0.25">
      <c r="I1234" s="37"/>
      <c r="J1234" s="35"/>
    </row>
    <row r="1235" spans="9:10" x14ac:dyDescent="0.25">
      <c r="I1235" s="37"/>
      <c r="J1235" s="35"/>
    </row>
    <row r="1236" spans="9:10" x14ac:dyDescent="0.25">
      <c r="I1236" s="37"/>
      <c r="J1236" s="35"/>
    </row>
    <row r="1237" spans="9:10" x14ac:dyDescent="0.25">
      <c r="I1237" s="37"/>
      <c r="J1237" s="35"/>
    </row>
    <row r="1238" spans="9:10" x14ac:dyDescent="0.25">
      <c r="I1238" s="37"/>
      <c r="J1238" s="35"/>
    </row>
    <row r="1239" spans="9:10" x14ac:dyDescent="0.25">
      <c r="I1239" s="37"/>
      <c r="J1239" s="35"/>
    </row>
    <row r="1240" spans="9:10" x14ac:dyDescent="0.25">
      <c r="I1240" s="37"/>
      <c r="J1240" s="35"/>
    </row>
    <row r="1241" spans="9:10" x14ac:dyDescent="0.25">
      <c r="I1241" s="37"/>
      <c r="J1241" s="35"/>
    </row>
    <row r="1242" spans="9:10" x14ac:dyDescent="0.25">
      <c r="I1242" s="37"/>
      <c r="J1242" s="35"/>
    </row>
    <row r="1243" spans="9:10" x14ac:dyDescent="0.25">
      <c r="I1243" s="37"/>
      <c r="J1243" s="35"/>
    </row>
    <row r="1244" spans="9:10" x14ac:dyDescent="0.25">
      <c r="I1244" s="37"/>
      <c r="J1244" s="35"/>
    </row>
    <row r="1245" spans="9:10" x14ac:dyDescent="0.25">
      <c r="I1245" s="37"/>
      <c r="J1245" s="35"/>
    </row>
    <row r="1246" spans="9:10" x14ac:dyDescent="0.25">
      <c r="I1246" s="37"/>
      <c r="J1246" s="35"/>
    </row>
    <row r="1247" spans="9:10" x14ac:dyDescent="0.25">
      <c r="I1247" s="37"/>
      <c r="J1247" s="35"/>
    </row>
    <row r="1248" spans="9:10" x14ac:dyDescent="0.25">
      <c r="I1248" s="37"/>
      <c r="J1248" s="35"/>
    </row>
    <row r="1249" spans="9:10" x14ac:dyDescent="0.25">
      <c r="I1249" s="37"/>
      <c r="J1249" s="35"/>
    </row>
    <row r="1250" spans="9:10" x14ac:dyDescent="0.25">
      <c r="I1250" s="37"/>
      <c r="J1250" s="35"/>
    </row>
    <row r="1251" spans="9:10" x14ac:dyDescent="0.25">
      <c r="I1251" s="37"/>
      <c r="J1251" s="35"/>
    </row>
    <row r="1252" spans="9:10" x14ac:dyDescent="0.25">
      <c r="I1252" s="37"/>
      <c r="J1252" s="35"/>
    </row>
    <row r="1253" spans="9:10" x14ac:dyDescent="0.25">
      <c r="I1253" s="37"/>
      <c r="J1253" s="35"/>
    </row>
    <row r="1254" spans="9:10" x14ac:dyDescent="0.25">
      <c r="I1254" s="37"/>
      <c r="J1254" s="35"/>
    </row>
    <row r="1255" spans="9:10" x14ac:dyDescent="0.25">
      <c r="I1255" s="37"/>
      <c r="J1255" s="35"/>
    </row>
    <row r="1256" spans="9:10" x14ac:dyDescent="0.25">
      <c r="I1256" s="37"/>
      <c r="J1256" s="35"/>
    </row>
    <row r="1257" spans="9:10" x14ac:dyDescent="0.25">
      <c r="I1257" s="37"/>
      <c r="J1257" s="35"/>
    </row>
    <row r="1258" spans="9:10" x14ac:dyDescent="0.25">
      <c r="I1258" s="37"/>
      <c r="J1258" s="35"/>
    </row>
    <row r="1259" spans="9:10" x14ac:dyDescent="0.25">
      <c r="I1259" s="37"/>
      <c r="J1259" s="35"/>
    </row>
    <row r="1260" spans="9:10" x14ac:dyDescent="0.25">
      <c r="I1260" s="37"/>
      <c r="J1260" s="35"/>
    </row>
    <row r="1261" spans="9:10" x14ac:dyDescent="0.25">
      <c r="I1261" s="37"/>
      <c r="J1261" s="35"/>
    </row>
    <row r="1262" spans="9:10" x14ac:dyDescent="0.25">
      <c r="I1262" s="37"/>
      <c r="J1262" s="35"/>
    </row>
    <row r="1263" spans="9:10" x14ac:dyDescent="0.25">
      <c r="I1263" s="37"/>
      <c r="J1263" s="35"/>
    </row>
    <row r="1264" spans="9:10" x14ac:dyDescent="0.25">
      <c r="I1264" s="37"/>
      <c r="J1264" s="35"/>
    </row>
    <row r="1265" spans="9:10" x14ac:dyDescent="0.25">
      <c r="I1265" s="37"/>
      <c r="J1265" s="35"/>
    </row>
    <row r="1266" spans="9:10" x14ac:dyDescent="0.25">
      <c r="I1266" s="37"/>
      <c r="J1266" s="35"/>
    </row>
    <row r="1267" spans="9:10" x14ac:dyDescent="0.25">
      <c r="I1267" s="37"/>
      <c r="J1267" s="35"/>
    </row>
    <row r="1268" spans="9:10" x14ac:dyDescent="0.25">
      <c r="I1268" s="37"/>
      <c r="J1268" s="35"/>
    </row>
    <row r="1269" spans="9:10" x14ac:dyDescent="0.25">
      <c r="I1269" s="37"/>
      <c r="J1269" s="35"/>
    </row>
    <row r="1270" spans="9:10" x14ac:dyDescent="0.25">
      <c r="I1270" s="37"/>
      <c r="J1270" s="35"/>
    </row>
    <row r="1271" spans="9:10" x14ac:dyDescent="0.25">
      <c r="I1271" s="37"/>
      <c r="J1271" s="35"/>
    </row>
    <row r="1272" spans="9:10" x14ac:dyDescent="0.25">
      <c r="I1272" s="37"/>
      <c r="J1272" s="35"/>
    </row>
    <row r="1273" spans="9:10" x14ac:dyDescent="0.25">
      <c r="I1273" s="37"/>
      <c r="J1273" s="35"/>
    </row>
    <row r="1274" spans="9:10" x14ac:dyDescent="0.25">
      <c r="I1274" s="37"/>
      <c r="J1274" s="35"/>
    </row>
    <row r="1275" spans="9:10" x14ac:dyDescent="0.25">
      <c r="I1275" s="37"/>
      <c r="J1275" s="35"/>
    </row>
    <row r="1276" spans="9:10" x14ac:dyDescent="0.25">
      <c r="I1276" s="37"/>
      <c r="J1276" s="35"/>
    </row>
    <row r="1277" spans="9:10" x14ac:dyDescent="0.25">
      <c r="I1277" s="37"/>
      <c r="J1277" s="35"/>
    </row>
    <row r="1278" spans="9:10" x14ac:dyDescent="0.25">
      <c r="I1278" s="37"/>
      <c r="J1278" s="35"/>
    </row>
    <row r="1279" spans="9:10" x14ac:dyDescent="0.25">
      <c r="I1279" s="37"/>
      <c r="J1279" s="35"/>
    </row>
    <row r="1280" spans="9:10" x14ac:dyDescent="0.25">
      <c r="I1280" s="37"/>
      <c r="J1280" s="35"/>
    </row>
    <row r="1281" spans="9:10" x14ac:dyDescent="0.25">
      <c r="I1281" s="37"/>
      <c r="J1281" s="35"/>
    </row>
    <row r="1282" spans="9:10" x14ac:dyDescent="0.25">
      <c r="I1282" s="37"/>
      <c r="J1282" s="35"/>
    </row>
    <row r="1283" spans="9:10" x14ac:dyDescent="0.25">
      <c r="I1283" s="37"/>
      <c r="J1283" s="35"/>
    </row>
    <row r="1284" spans="9:10" x14ac:dyDescent="0.25">
      <c r="I1284" s="37"/>
      <c r="J1284" s="35"/>
    </row>
    <row r="1285" spans="9:10" x14ac:dyDescent="0.25">
      <c r="I1285" s="37"/>
      <c r="J1285" s="35"/>
    </row>
    <row r="1286" spans="9:10" x14ac:dyDescent="0.25">
      <c r="I1286" s="37"/>
      <c r="J1286" s="35"/>
    </row>
    <row r="1287" spans="9:10" x14ac:dyDescent="0.25">
      <c r="I1287" s="37"/>
      <c r="J1287" s="35"/>
    </row>
    <row r="1288" spans="9:10" x14ac:dyDescent="0.25">
      <c r="I1288" s="37"/>
      <c r="J1288" s="35"/>
    </row>
    <row r="1289" spans="9:10" x14ac:dyDescent="0.25">
      <c r="I1289" s="37"/>
      <c r="J1289" s="35"/>
    </row>
    <row r="1290" spans="9:10" x14ac:dyDescent="0.25">
      <c r="I1290" s="37"/>
      <c r="J1290" s="35"/>
    </row>
    <row r="1291" spans="9:10" x14ac:dyDescent="0.25">
      <c r="I1291" s="37"/>
      <c r="J1291" s="35"/>
    </row>
    <row r="1292" spans="9:10" x14ac:dyDescent="0.25">
      <c r="I1292" s="37"/>
      <c r="J1292" s="35"/>
    </row>
    <row r="1293" spans="9:10" x14ac:dyDescent="0.25">
      <c r="I1293" s="37"/>
      <c r="J1293" s="35"/>
    </row>
    <row r="1294" spans="9:10" x14ac:dyDescent="0.25">
      <c r="I1294" s="37"/>
      <c r="J1294" s="35"/>
    </row>
    <row r="1295" spans="9:10" x14ac:dyDescent="0.25">
      <c r="I1295" s="37"/>
      <c r="J1295" s="35"/>
    </row>
    <row r="1296" spans="9:10" x14ac:dyDescent="0.25">
      <c r="I1296" s="37"/>
      <c r="J1296" s="35"/>
    </row>
    <row r="1297" spans="9:10" x14ac:dyDescent="0.25">
      <c r="I1297" s="37"/>
      <c r="J1297" s="35"/>
    </row>
    <row r="1298" spans="9:10" x14ac:dyDescent="0.25">
      <c r="I1298" s="37"/>
      <c r="J1298" s="35"/>
    </row>
    <row r="1299" spans="9:10" x14ac:dyDescent="0.25">
      <c r="I1299" s="37"/>
      <c r="J1299" s="35"/>
    </row>
    <row r="1300" spans="9:10" x14ac:dyDescent="0.25">
      <c r="I1300" s="37"/>
      <c r="J1300" s="35"/>
    </row>
    <row r="1301" spans="9:10" x14ac:dyDescent="0.25">
      <c r="I1301" s="37"/>
      <c r="J1301" s="35"/>
    </row>
    <row r="1302" spans="9:10" x14ac:dyDescent="0.25">
      <c r="I1302" s="37"/>
      <c r="J1302" s="35"/>
    </row>
    <row r="1303" spans="9:10" x14ac:dyDescent="0.25">
      <c r="I1303" s="37"/>
      <c r="J1303" s="35"/>
    </row>
    <row r="1304" spans="9:10" x14ac:dyDescent="0.25">
      <c r="I1304" s="37"/>
      <c r="J1304" s="35"/>
    </row>
    <row r="1305" spans="9:10" x14ac:dyDescent="0.25">
      <c r="I1305" s="37"/>
      <c r="J1305" s="35"/>
    </row>
    <row r="1306" spans="9:10" x14ac:dyDescent="0.25">
      <c r="I1306" s="37"/>
      <c r="J1306" s="35"/>
    </row>
    <row r="1307" spans="9:10" x14ac:dyDescent="0.25">
      <c r="I1307" s="37"/>
      <c r="J1307" s="35"/>
    </row>
    <row r="1308" spans="9:10" x14ac:dyDescent="0.25">
      <c r="I1308" s="37"/>
      <c r="J1308" s="35"/>
    </row>
    <row r="1309" spans="9:10" x14ac:dyDescent="0.25">
      <c r="I1309" s="37"/>
      <c r="J1309" s="35"/>
    </row>
    <row r="1310" spans="9:10" x14ac:dyDescent="0.25">
      <c r="I1310" s="37"/>
      <c r="J1310" s="35"/>
    </row>
    <row r="1311" spans="9:10" x14ac:dyDescent="0.25">
      <c r="I1311" s="37"/>
      <c r="J1311" s="35"/>
    </row>
    <row r="1312" spans="9:10" x14ac:dyDescent="0.25">
      <c r="I1312" s="37"/>
      <c r="J1312" s="35"/>
    </row>
    <row r="1313" spans="9:10" x14ac:dyDescent="0.25">
      <c r="I1313" s="37"/>
      <c r="J1313" s="35"/>
    </row>
    <row r="1314" spans="9:10" x14ac:dyDescent="0.25">
      <c r="I1314" s="37"/>
      <c r="J1314" s="35"/>
    </row>
    <row r="1315" spans="9:10" x14ac:dyDescent="0.25">
      <c r="I1315" s="37"/>
      <c r="J1315" s="35"/>
    </row>
    <row r="1316" spans="9:10" x14ac:dyDescent="0.25">
      <c r="I1316" s="37"/>
      <c r="J1316" s="35"/>
    </row>
    <row r="1317" spans="9:10" x14ac:dyDescent="0.25">
      <c r="I1317" s="37"/>
      <c r="J1317" s="35"/>
    </row>
    <row r="1318" spans="9:10" x14ac:dyDescent="0.25">
      <c r="I1318" s="37"/>
      <c r="J1318" s="35"/>
    </row>
    <row r="1319" spans="9:10" x14ac:dyDescent="0.25">
      <c r="I1319" s="37"/>
      <c r="J1319" s="35"/>
    </row>
    <row r="1320" spans="9:10" x14ac:dyDescent="0.25">
      <c r="I1320" s="37"/>
      <c r="J1320" s="35"/>
    </row>
    <row r="1321" spans="9:10" x14ac:dyDescent="0.25">
      <c r="I1321" s="37"/>
      <c r="J1321" s="35"/>
    </row>
    <row r="1322" spans="9:10" x14ac:dyDescent="0.25">
      <c r="I1322" s="37"/>
      <c r="J1322" s="35"/>
    </row>
    <row r="1323" spans="9:10" x14ac:dyDescent="0.25">
      <c r="I1323" s="37"/>
      <c r="J1323" s="35"/>
    </row>
    <row r="1324" spans="9:10" x14ac:dyDescent="0.25">
      <c r="I1324" s="37"/>
      <c r="J1324" s="35"/>
    </row>
    <row r="1325" spans="9:10" x14ac:dyDescent="0.25">
      <c r="I1325" s="37"/>
      <c r="J1325" s="35"/>
    </row>
    <row r="1326" spans="9:10" x14ac:dyDescent="0.25">
      <c r="I1326" s="37"/>
      <c r="J1326" s="35"/>
    </row>
    <row r="1327" spans="9:10" x14ac:dyDescent="0.25">
      <c r="I1327" s="37"/>
      <c r="J1327" s="35"/>
    </row>
    <row r="1328" spans="9:10" x14ac:dyDescent="0.25">
      <c r="I1328" s="37"/>
      <c r="J1328" s="35"/>
    </row>
    <row r="1329" spans="9:10" x14ac:dyDescent="0.25">
      <c r="I1329" s="37"/>
      <c r="J1329" s="35"/>
    </row>
    <row r="1330" spans="9:10" x14ac:dyDescent="0.25">
      <c r="I1330" s="37"/>
      <c r="J1330" s="35"/>
    </row>
    <row r="1331" spans="9:10" x14ac:dyDescent="0.25">
      <c r="I1331" s="37"/>
      <c r="J1331" s="35"/>
    </row>
    <row r="1332" spans="9:10" x14ac:dyDescent="0.25">
      <c r="I1332" s="37"/>
      <c r="J1332" s="35"/>
    </row>
    <row r="1333" spans="9:10" x14ac:dyDescent="0.25">
      <c r="I1333" s="37"/>
      <c r="J1333" s="35"/>
    </row>
    <row r="1334" spans="9:10" x14ac:dyDescent="0.25">
      <c r="I1334" s="37"/>
      <c r="J1334" s="35"/>
    </row>
  </sheetData>
  <mergeCells count="18">
    <mergeCell ref="T29:U29"/>
    <mergeCell ref="J16:K16"/>
    <mergeCell ref="L16:M16"/>
    <mergeCell ref="N16:O16"/>
    <mergeCell ref="P16:Q16"/>
    <mergeCell ref="R16:S16"/>
    <mergeCell ref="T16:U16"/>
    <mergeCell ref="J29:K29"/>
    <mergeCell ref="L29:M29"/>
    <mergeCell ref="N29:O29"/>
    <mergeCell ref="P29:Q29"/>
    <mergeCell ref="R29:S29"/>
    <mergeCell ref="T2:U2"/>
    <mergeCell ref="J2:K2"/>
    <mergeCell ref="L2:M2"/>
    <mergeCell ref="N2:O2"/>
    <mergeCell ref="P2:Q2"/>
    <mergeCell ref="R2:S2"/>
  </mergeCells>
  <conditionalFormatting sqref="AE3:AI1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:AI2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0:AI3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AE59-34F2-4F70-AA24-13606C740B06}">
  <dimension ref="B1:AP1333"/>
  <sheetViews>
    <sheetView showGridLines="0" zoomScale="85" zoomScaleNormal="85" workbookViewId="0">
      <selection activeCell="Z17" sqref="Z17"/>
    </sheetView>
  </sheetViews>
  <sheetFormatPr defaultRowHeight="15" outlineLevelRow="1" outlineLevelCol="1" x14ac:dyDescent="0.25"/>
  <cols>
    <col min="1" max="1" width="2.5703125" customWidth="1"/>
    <col min="3" max="3" width="16.28515625" bestFit="1" customWidth="1"/>
    <col min="4" max="4" width="15.28515625" bestFit="1" customWidth="1"/>
    <col min="5" max="5" width="2.5703125" customWidth="1"/>
    <col min="6" max="6" width="8.42578125" bestFit="1" customWidth="1"/>
    <col min="7" max="7" width="2.5703125" customWidth="1"/>
    <col min="8" max="8" width="25.140625" bestFit="1" customWidth="1"/>
    <col min="9" max="9" width="24.28515625" style="11" customWidth="1" outlineLevel="1"/>
    <col min="10" max="10" width="9.42578125" style="6" customWidth="1"/>
    <col min="11" max="11" width="19" style="11" customWidth="1" outlineLevel="1"/>
    <col min="12" max="12" width="9.28515625" style="6" customWidth="1"/>
    <col min="13" max="13" width="19.5703125" style="11" hidden="1" customWidth="1" outlineLevel="1"/>
    <col min="14" max="14" width="7.5703125" style="6" bestFit="1" customWidth="1" collapsed="1"/>
    <col min="15" max="15" width="17.85546875" style="11" hidden="1" customWidth="1" outlineLevel="1"/>
    <col min="16" max="16" width="8.140625" style="6" bestFit="1" customWidth="1" collapsed="1"/>
    <col min="17" max="17" width="18" style="11" hidden="1" customWidth="1" outlineLevel="1"/>
    <col min="18" max="18" width="7.140625" style="5" bestFit="1" customWidth="1" collapsed="1"/>
    <col min="19" max="19" width="19.5703125" style="10" hidden="1" customWidth="1" outlineLevel="1"/>
    <col min="20" max="20" width="8.140625" style="10" bestFit="1" customWidth="1" collapsed="1"/>
    <col min="21" max="21" width="19.5703125" style="10" hidden="1" customWidth="1" outlineLevel="1"/>
    <col min="22" max="22" width="2.5703125" customWidth="1" collapsed="1"/>
    <col min="23" max="24" width="7.140625" hidden="1" customWidth="1" outlineLevel="1"/>
    <col min="25" max="25" width="17.85546875" bestFit="1" customWidth="1" collapsed="1"/>
    <col min="26" max="27" width="17.85546875" bestFit="1" customWidth="1"/>
    <col min="28" max="28" width="16.140625" bestFit="1" customWidth="1"/>
    <col min="29" max="29" width="15.140625" bestFit="1" customWidth="1"/>
    <col min="30" max="30" width="2.5703125" customWidth="1"/>
    <col min="31" max="31" width="7.85546875" bestFit="1" customWidth="1"/>
    <col min="32" max="32" width="11.140625" bestFit="1" customWidth="1"/>
    <col min="33" max="33" width="13.28515625" bestFit="1" customWidth="1"/>
    <col min="34" max="34" width="7.85546875" bestFit="1" customWidth="1"/>
    <col min="35" max="35" width="8.140625" bestFit="1" customWidth="1"/>
    <col min="36" max="36" width="2.5703125" customWidth="1"/>
    <col min="37" max="37" width="17.85546875" bestFit="1" customWidth="1"/>
    <col min="38" max="38" width="8.140625" bestFit="1" customWidth="1"/>
    <col min="39" max="39" width="2.5703125" customWidth="1"/>
    <col min="41" max="41" width="16.28515625" bestFit="1" customWidth="1"/>
  </cols>
  <sheetData>
    <row r="1" spans="2:42" ht="9" customHeight="1" x14ac:dyDescent="0.25"/>
    <row r="2" spans="2:42" x14ac:dyDescent="0.25">
      <c r="B2" s="1"/>
      <c r="C2" s="1" t="s">
        <v>20</v>
      </c>
      <c r="D2" s="1"/>
      <c r="H2" s="4" t="s">
        <v>1</v>
      </c>
      <c r="I2" s="9" t="s">
        <v>4</v>
      </c>
      <c r="J2" s="112" t="s">
        <v>7</v>
      </c>
      <c r="K2" s="112"/>
      <c r="L2" s="112" t="s">
        <v>8</v>
      </c>
      <c r="M2" s="112"/>
      <c r="N2" s="112" t="s">
        <v>10</v>
      </c>
      <c r="O2" s="112"/>
      <c r="P2" s="112" t="s">
        <v>9</v>
      </c>
      <c r="Q2" s="112"/>
      <c r="R2" s="112" t="s">
        <v>21</v>
      </c>
      <c r="S2" s="112"/>
      <c r="T2" s="112" t="s">
        <v>55</v>
      </c>
      <c r="U2" s="112"/>
      <c r="W2" s="1" t="s">
        <v>46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27" t="s">
        <v>49</v>
      </c>
      <c r="AF2" s="27" t="s">
        <v>50</v>
      </c>
      <c r="AG2" s="27" t="s">
        <v>51</v>
      </c>
      <c r="AH2" s="27" t="s">
        <v>52</v>
      </c>
      <c r="AI2" s="27" t="s">
        <v>53</v>
      </c>
      <c r="AK2" s="75" t="s">
        <v>60</v>
      </c>
      <c r="AL2" s="75" t="s">
        <v>61</v>
      </c>
      <c r="AN2" s="1"/>
      <c r="AO2" s="1" t="s">
        <v>20</v>
      </c>
      <c r="AP2" s="1"/>
    </row>
    <row r="3" spans="2:42" x14ac:dyDescent="0.25">
      <c r="B3" t="s">
        <v>11</v>
      </c>
      <c r="C3" s="2" t="s">
        <v>10</v>
      </c>
      <c r="D3" t="s">
        <v>7</v>
      </c>
      <c r="F3" s="7">
        <f>J3+L3+N3+P3+R3+T3</f>
        <v>1</v>
      </c>
      <c r="H3" s="21" t="s">
        <v>5</v>
      </c>
      <c r="I3" s="80">
        <v>425547805.76999998</v>
      </c>
      <c r="J3" s="81">
        <f>43.1%+1.2%</f>
        <v>0.443</v>
      </c>
      <c r="K3" s="80">
        <f>+J3*$I3</f>
        <v>188517677.95611</v>
      </c>
      <c r="L3" s="81">
        <f>9%+8.9%+3.7%+2.4%</f>
        <v>0.24</v>
      </c>
      <c r="M3" s="80">
        <f t="shared" ref="M3:M13" si="0">+L3*$I3</f>
        <v>102131473.38479999</v>
      </c>
      <c r="N3" s="81">
        <f>27.1%+0.7%</f>
        <v>0.27800000000000002</v>
      </c>
      <c r="O3" s="80">
        <f t="shared" ref="O3:O13" si="1">+N3*$I3</f>
        <v>118302290.00406</v>
      </c>
      <c r="P3" s="81">
        <v>3.9E-2</v>
      </c>
      <c r="Q3" s="80">
        <f t="shared" ref="Q3:Q13" si="2">+P3*$I3</f>
        <v>16596364.425029999</v>
      </c>
      <c r="R3" s="82"/>
      <c r="S3" s="80">
        <f t="shared" ref="S3:U13" si="3">+R3*$I3</f>
        <v>0</v>
      </c>
      <c r="T3" s="81"/>
      <c r="U3" s="65">
        <f t="shared" si="3"/>
        <v>0</v>
      </c>
      <c r="Y3" s="12">
        <f>K3-'Jul24'!K3</f>
        <v>19843375.852369994</v>
      </c>
      <c r="Z3" s="12">
        <f>M3-'Jul24'!M3</f>
        <v>365979.9540399909</v>
      </c>
      <c r="AA3" s="12">
        <f>O3-'Jul24'!O3</f>
        <v>3715947.0072200149</v>
      </c>
      <c r="AB3" s="12">
        <f>Q3-'Jul24'!Q3</f>
        <v>970954.01636999846</v>
      </c>
      <c r="AC3" s="12">
        <f>+S3-'Jul24'!S3</f>
        <v>0</v>
      </c>
      <c r="AE3" s="28">
        <f>J3-'Jul24'!J3</f>
        <v>2.200000000000002E-2</v>
      </c>
      <c r="AF3" s="28">
        <f>L3-'Jul24'!L3</f>
        <v>-1.4000000000000012E-2</v>
      </c>
      <c r="AG3" s="28">
        <f>N3-'Jul24'!N3</f>
        <v>-7.9999999999999516E-3</v>
      </c>
      <c r="AH3" s="28">
        <f>P3-'Jul24'!P3</f>
        <v>0</v>
      </c>
      <c r="AI3" s="28">
        <f>R3-'Jul24'!R3</f>
        <v>0</v>
      </c>
      <c r="AK3" s="10">
        <f>I3-'Jul24'!I3</f>
        <v>24896256.829999983</v>
      </c>
      <c r="AL3" s="76">
        <f>I3/'Jul24'!I3-1</f>
        <v>6.2139424883961514E-2</v>
      </c>
      <c r="AN3" t="s">
        <v>11</v>
      </c>
      <c r="AO3" s="2" t="s">
        <v>10</v>
      </c>
      <c r="AP3" t="s">
        <v>7</v>
      </c>
    </row>
    <row r="4" spans="2:42" x14ac:dyDescent="0.25">
      <c r="B4" t="s">
        <v>12</v>
      </c>
      <c r="C4" s="2" t="s">
        <v>16</v>
      </c>
      <c r="D4" t="s">
        <v>58</v>
      </c>
      <c r="F4" s="7">
        <f t="shared" ref="F4:F35" si="4">J4+L4+N4+P4+R4+T4</f>
        <v>1</v>
      </c>
      <c r="H4" s="3" t="s">
        <v>0</v>
      </c>
      <c r="I4" s="78">
        <v>1500223670</v>
      </c>
      <c r="J4" s="77">
        <v>0.38</v>
      </c>
      <c r="K4" s="78">
        <f t="shared" ref="K4:K13" si="5">+J4*$I4</f>
        <v>570084994.60000002</v>
      </c>
      <c r="L4" s="77">
        <f>4%+1%+6%+5%</f>
        <v>0.16</v>
      </c>
      <c r="M4" s="78">
        <f t="shared" si="0"/>
        <v>240035787.20000002</v>
      </c>
      <c r="N4" s="77">
        <v>0.39</v>
      </c>
      <c r="O4" s="78">
        <f t="shared" si="1"/>
        <v>585087231.30000007</v>
      </c>
      <c r="P4" s="77">
        <v>7.0000000000000007E-2</v>
      </c>
      <c r="Q4" s="78">
        <f t="shared" si="2"/>
        <v>105015656.90000001</v>
      </c>
      <c r="R4" s="77"/>
      <c r="S4" s="78">
        <f t="shared" si="3"/>
        <v>0</v>
      </c>
      <c r="T4" s="77"/>
      <c r="U4" s="57">
        <f t="shared" si="3"/>
        <v>0</v>
      </c>
      <c r="Y4" s="12">
        <f>K4-'Jul24'!K4</f>
        <v>53842587.640000045</v>
      </c>
      <c r="Z4" s="12">
        <f>M4-'Jul24'!M4</f>
        <v>-3745349.4199999869</v>
      </c>
      <c r="AA4" s="12">
        <f>O4-'Jul24'!O4</f>
        <v>11484556.900000095</v>
      </c>
      <c r="AB4" s="12">
        <f>Q4-'Jul24'!Q4</f>
        <v>4635188.8799999952</v>
      </c>
      <c r="AC4" s="12">
        <f>+S4-'Jul24'!S4</f>
        <v>0</v>
      </c>
      <c r="AE4" s="28">
        <f>J4-'Jul24'!J4</f>
        <v>2.0000000000000018E-2</v>
      </c>
      <c r="AF4" s="28">
        <f>L4-'Jul24'!L4</f>
        <v>-1.0000000000000009E-2</v>
      </c>
      <c r="AG4" s="28">
        <f>N4-'Jul24'!N4</f>
        <v>-1.0000000000000009E-2</v>
      </c>
      <c r="AH4" s="28">
        <f>P4-'Jul24'!P4</f>
        <v>0</v>
      </c>
      <c r="AI4" s="28">
        <f>R4-'Jul24'!R4</f>
        <v>0</v>
      </c>
      <c r="AK4" s="10">
        <f>I4-'Jul24'!I4</f>
        <v>66216984</v>
      </c>
      <c r="AL4" s="76">
        <f>I4/'Jul24'!I4-1</f>
        <v>4.6176203114299819E-2</v>
      </c>
      <c r="AN4" t="s">
        <v>12</v>
      </c>
      <c r="AO4" s="2" t="s">
        <v>16</v>
      </c>
      <c r="AP4" t="s">
        <v>58</v>
      </c>
    </row>
    <row r="5" spans="2:42" x14ac:dyDescent="0.25">
      <c r="B5" t="s">
        <v>13</v>
      </c>
      <c r="C5" s="2" t="s">
        <v>17</v>
      </c>
      <c r="D5" t="s">
        <v>59</v>
      </c>
      <c r="F5" s="7">
        <f t="shared" si="4"/>
        <v>1</v>
      </c>
      <c r="H5" s="3" t="s">
        <v>3</v>
      </c>
      <c r="I5" s="78">
        <v>616706950.52999997</v>
      </c>
      <c r="J5" s="77">
        <v>0.46</v>
      </c>
      <c r="K5" s="78">
        <f t="shared" si="5"/>
        <v>283685197.24379998</v>
      </c>
      <c r="L5" s="77"/>
      <c r="M5" s="78">
        <f t="shared" si="0"/>
        <v>0</v>
      </c>
      <c r="N5" s="77">
        <v>0.31</v>
      </c>
      <c r="O5" s="78">
        <f t="shared" si="1"/>
        <v>191179154.66429999</v>
      </c>
      <c r="P5" s="77">
        <v>0.05</v>
      </c>
      <c r="Q5" s="78">
        <f t="shared" si="2"/>
        <v>30835347.526500002</v>
      </c>
      <c r="R5" s="77">
        <v>0.16</v>
      </c>
      <c r="S5" s="78">
        <f t="shared" si="3"/>
        <v>98673112.08479999</v>
      </c>
      <c r="T5" s="77">
        <v>0.02</v>
      </c>
      <c r="U5" s="57">
        <f t="shared" si="3"/>
        <v>12334139.010599999</v>
      </c>
      <c r="Y5" s="12">
        <f>K5-'Jul24'!K5</f>
        <v>-84195764.962100029</v>
      </c>
      <c r="Z5" s="12">
        <f>M5-'Jul24'!M5</f>
        <v>0</v>
      </c>
      <c r="AA5" s="12">
        <f>O5-'Jul24'!O5</f>
        <v>-3173051.7841000259</v>
      </c>
      <c r="AB5" s="12">
        <f>Q5-'Jul24'!Q5</f>
        <v>3070746.6053000018</v>
      </c>
      <c r="AC5" s="12">
        <f>+S5-'Jul24'!S5</f>
        <v>1497008.8605999798</v>
      </c>
      <c r="AE5" s="28">
        <f>J5-'Jul24'!J5</f>
        <v>-7.0000000000000007E-2</v>
      </c>
      <c r="AF5" s="28">
        <f>L5-'Jul24'!L5</f>
        <v>0</v>
      </c>
      <c r="AG5" s="28">
        <f>N5-'Jul24'!N5</f>
        <v>2.9999999999999971E-2</v>
      </c>
      <c r="AH5" s="28">
        <f>P5-'Jul24'!P5</f>
        <v>1.0000000000000002E-2</v>
      </c>
      <c r="AI5" s="28">
        <f>R5-'Jul24'!R5</f>
        <v>1.999999999999999E-2</v>
      </c>
      <c r="AK5" s="10">
        <f>I5-'Jul24'!I5</f>
        <v>-77408072.5</v>
      </c>
      <c r="AL5" s="76">
        <f>I5/'Jul24'!I5-1</f>
        <v>-0.1115205260391755</v>
      </c>
      <c r="AN5" t="s">
        <v>13</v>
      </c>
      <c r="AO5" s="2" t="s">
        <v>17</v>
      </c>
      <c r="AP5" t="s">
        <v>59</v>
      </c>
    </row>
    <row r="6" spans="2:42" x14ac:dyDescent="0.25">
      <c r="B6" t="s">
        <v>14</v>
      </c>
      <c r="C6" s="2" t="s">
        <v>18</v>
      </c>
      <c r="F6" s="7">
        <f t="shared" si="4"/>
        <v>1</v>
      </c>
      <c r="H6" s="3" t="s">
        <v>62</v>
      </c>
      <c r="I6" s="78">
        <v>4069500677</v>
      </c>
      <c r="J6" s="77">
        <v>0.20499999999999999</v>
      </c>
      <c r="K6" s="78">
        <f t="shared" si="5"/>
        <v>834247638.78499997</v>
      </c>
      <c r="L6" s="77">
        <v>0.21</v>
      </c>
      <c r="M6" s="78">
        <f t="shared" si="0"/>
        <v>854595142.16999996</v>
      </c>
      <c r="N6" s="77">
        <f>50.6%+1.6%+1.5%+1%</f>
        <v>0.54700000000000004</v>
      </c>
      <c r="O6" s="78">
        <f t="shared" si="1"/>
        <v>2226016870.3190002</v>
      </c>
      <c r="P6" s="77"/>
      <c r="Q6" s="78">
        <f t="shared" si="2"/>
        <v>0</v>
      </c>
      <c r="R6" s="77"/>
      <c r="S6" s="78">
        <f t="shared" si="3"/>
        <v>0</v>
      </c>
      <c r="T6" s="77">
        <v>3.7999999999999999E-2</v>
      </c>
      <c r="U6" s="57">
        <f t="shared" si="3"/>
        <v>154641025.72600001</v>
      </c>
      <c r="Y6" s="12">
        <f>K6-'Jul24'!K6</f>
        <v>-35877416.422999978</v>
      </c>
      <c r="Z6" s="12">
        <f>M6-'Jul24'!M6</f>
        <v>194984213.222</v>
      </c>
      <c r="AA6" s="12">
        <f>O6-'Jul24'!O6</f>
        <v>292795477.49800014</v>
      </c>
      <c r="AB6" s="12">
        <f>Q6-'Jul24'!Q6</f>
        <v>0</v>
      </c>
      <c r="AC6" s="12">
        <f>+S6-'Jul24'!S6</f>
        <v>0</v>
      </c>
      <c r="AE6" s="28">
        <f>J6-'Jul24'!J6</f>
        <v>-4.300000000000001E-2</v>
      </c>
      <c r="AF6" s="28">
        <f>L6-'Jul24'!L6</f>
        <v>2.1999999999999992E-2</v>
      </c>
      <c r="AG6" s="28">
        <f>N6-'Jul24'!N6</f>
        <v>-4.0000000000000036E-3</v>
      </c>
      <c r="AH6" s="28">
        <f>P6-'Jul24'!P6</f>
        <v>0</v>
      </c>
      <c r="AI6" s="28">
        <f>R6-'Jul24'!R6</f>
        <v>0</v>
      </c>
      <c r="AK6" s="10">
        <f>I6-'Jul24'!I6</f>
        <v>560931906</v>
      </c>
      <c r="AL6" s="76">
        <f>I6/'Jul24'!I6-1</f>
        <v>0.15987485000618218</v>
      </c>
      <c r="AN6" t="s">
        <v>14</v>
      </c>
      <c r="AO6" s="2" t="s">
        <v>18</v>
      </c>
    </row>
    <row r="7" spans="2:42" x14ac:dyDescent="0.25">
      <c r="B7" t="s">
        <v>15</v>
      </c>
      <c r="C7" s="2" t="s">
        <v>19</v>
      </c>
      <c r="F7" s="7">
        <f t="shared" si="4"/>
        <v>1</v>
      </c>
      <c r="H7" s="3" t="s">
        <v>22</v>
      </c>
      <c r="I7" s="78">
        <v>1747000000.5999999</v>
      </c>
      <c r="J7" s="77">
        <v>0.28199999999999997</v>
      </c>
      <c r="K7" s="78">
        <f t="shared" si="5"/>
        <v>492654000.16919994</v>
      </c>
      <c r="L7" s="77">
        <v>0.223</v>
      </c>
      <c r="M7" s="78">
        <f t="shared" si="0"/>
        <v>389581000.13379997</v>
      </c>
      <c r="N7" s="77">
        <f>4.1%+43.2%</f>
        <v>0.47300000000000003</v>
      </c>
      <c r="O7" s="78">
        <f t="shared" si="1"/>
        <v>826331000.28380001</v>
      </c>
      <c r="P7" s="77">
        <v>2.1999999999999999E-2</v>
      </c>
      <c r="Q7" s="78">
        <f t="shared" si="2"/>
        <v>38434000.013199992</v>
      </c>
      <c r="R7" s="77"/>
      <c r="S7" s="78">
        <f t="shared" si="3"/>
        <v>0</v>
      </c>
      <c r="T7" s="77"/>
      <c r="U7" s="57">
        <f t="shared" si="3"/>
        <v>0</v>
      </c>
      <c r="Y7" s="12">
        <f>K7-'Jul24'!K7</f>
        <v>20261560.169200003</v>
      </c>
      <c r="Z7" s="12">
        <f>M7-'Jul24'!M7</f>
        <v>200082600.13379994</v>
      </c>
      <c r="AA7" s="12">
        <f>O7-'Jul24'!O7</f>
        <v>195572040.28380001</v>
      </c>
      <c r="AB7" s="12">
        <f>Q7-'Jul24'!Q7</f>
        <v>-22476199.986800008</v>
      </c>
      <c r="AC7" s="12">
        <f>+S7-'Jul24'!S7</f>
        <v>0</v>
      </c>
      <c r="AE7" s="28">
        <f>J7-'Jul24'!J7</f>
        <v>-6.7000000000000004E-2</v>
      </c>
      <c r="AF7" s="28">
        <f>L7-'Jul24'!L7</f>
        <v>8.299999999999999E-2</v>
      </c>
      <c r="AG7" s="28">
        <f>N7-'Jul24'!N7</f>
        <v>7.0000000000000062E-3</v>
      </c>
      <c r="AH7" s="28">
        <f>P7-'Jul24'!P7</f>
        <v>-2.3E-2</v>
      </c>
      <c r="AI7" s="28">
        <f>R7-'Jul24'!R7</f>
        <v>0</v>
      </c>
      <c r="AK7" s="10">
        <f>I7-'Jul24'!I7</f>
        <v>393440000.5999999</v>
      </c>
      <c r="AL7" s="76">
        <f>I7/'Jul24'!I7-1</f>
        <v>0.29067052853216691</v>
      </c>
      <c r="AN7" t="s">
        <v>15</v>
      </c>
      <c r="AO7" s="2" t="s">
        <v>19</v>
      </c>
    </row>
    <row r="8" spans="2:42" x14ac:dyDescent="0.25">
      <c r="B8" t="s">
        <v>57</v>
      </c>
      <c r="F8" s="7">
        <f t="shared" si="4"/>
        <v>1</v>
      </c>
      <c r="H8" s="3" t="s">
        <v>23</v>
      </c>
      <c r="I8" s="78">
        <v>2560430316.2600002</v>
      </c>
      <c r="J8" s="77">
        <v>0.37</v>
      </c>
      <c r="K8" s="78">
        <f t="shared" si="5"/>
        <v>947359217.01620007</v>
      </c>
      <c r="L8" s="77">
        <f>6%+1%+25%</f>
        <v>0.32</v>
      </c>
      <c r="M8" s="78">
        <f t="shared" si="0"/>
        <v>819337701.2032001</v>
      </c>
      <c r="N8" s="77">
        <v>0.23</v>
      </c>
      <c r="O8" s="78">
        <f t="shared" si="1"/>
        <v>588898972.7398001</v>
      </c>
      <c r="P8" s="77">
        <v>0.05</v>
      </c>
      <c r="Q8" s="78">
        <f t="shared" si="2"/>
        <v>128021515.81300002</v>
      </c>
      <c r="R8" s="77"/>
      <c r="S8" s="78">
        <f t="shared" si="3"/>
        <v>0</v>
      </c>
      <c r="T8" s="77">
        <v>0.03</v>
      </c>
      <c r="U8" s="57">
        <f t="shared" si="3"/>
        <v>76812909.487800002</v>
      </c>
      <c r="Y8" s="12">
        <f>K8-'Jul24'!K8</f>
        <v>206805004.07419991</v>
      </c>
      <c r="Z8" s="12">
        <f>M8-'Jul24'!M8</f>
        <v>100564494.52419996</v>
      </c>
      <c r="AA8" s="12">
        <f>O8-'Jul24'!O8</f>
        <v>44373816.164800048</v>
      </c>
      <c r="AB8" s="12">
        <f>Q8-'Jul24'!Q8</f>
        <v>-2664521.7649999857</v>
      </c>
      <c r="AC8" s="12">
        <f>+S8-'Jul24'!S8</f>
        <v>0</v>
      </c>
      <c r="AE8" s="28">
        <f>J8-'Jul24'!J8</f>
        <v>2.9999999999999971E-2</v>
      </c>
      <c r="AF8" s="28">
        <f>L8-'Jul24'!L8</f>
        <v>-1.0000000000000009E-2</v>
      </c>
      <c r="AG8" s="28">
        <f>N8-'Jul24'!N8</f>
        <v>-1.999999999999999E-2</v>
      </c>
      <c r="AH8" s="28">
        <f>P8-'Jul24'!P8</f>
        <v>-9.999999999999995E-3</v>
      </c>
      <c r="AI8" s="28">
        <f>R8-'Jul24'!R8</f>
        <v>0</v>
      </c>
      <c r="AK8" s="10">
        <f>I8-'Jul24'!I8</f>
        <v>382329689.96000004</v>
      </c>
      <c r="AL8" s="76">
        <f>I8/'Jul24'!I8-1</f>
        <v>0.17553352923343768</v>
      </c>
      <c r="AN8" t="s">
        <v>57</v>
      </c>
    </row>
    <row r="9" spans="2:42" x14ac:dyDescent="0.25">
      <c r="F9" s="7">
        <f t="shared" si="4"/>
        <v>1</v>
      </c>
      <c r="H9" s="3" t="s">
        <v>24</v>
      </c>
      <c r="I9" s="78">
        <v>1789905781</v>
      </c>
      <c r="J9" s="77">
        <v>0.40510000000000002</v>
      </c>
      <c r="K9" s="78">
        <f t="shared" si="5"/>
        <v>725090831.88310003</v>
      </c>
      <c r="L9" s="77">
        <v>0.1784</v>
      </c>
      <c r="M9" s="78">
        <f t="shared" si="0"/>
        <v>319319191.33039999</v>
      </c>
      <c r="N9" s="77">
        <v>0.36980000000000002</v>
      </c>
      <c r="O9" s="78">
        <f t="shared" si="1"/>
        <v>661907157.81379998</v>
      </c>
      <c r="P9" s="77">
        <v>4.5999999999999999E-2</v>
      </c>
      <c r="Q9" s="78">
        <f t="shared" si="2"/>
        <v>82335665.925999999</v>
      </c>
      <c r="R9" s="77"/>
      <c r="S9" s="78">
        <f t="shared" si="3"/>
        <v>0</v>
      </c>
      <c r="T9" s="77">
        <v>6.9999999999999999E-4</v>
      </c>
      <c r="U9" s="57">
        <f t="shared" si="3"/>
        <v>1252934.0467000001</v>
      </c>
      <c r="Y9" s="12">
        <f>K9-'Jul24'!K9</f>
        <v>725090831.88310003</v>
      </c>
      <c r="Z9" s="12">
        <f>M9-'Jul24'!M9</f>
        <v>319319191.33039999</v>
      </c>
      <c r="AA9" s="12">
        <f>O9-'Jul24'!O9</f>
        <v>661907157.81379998</v>
      </c>
      <c r="AB9" s="12">
        <f>Q9-'Jul24'!Q9</f>
        <v>0</v>
      </c>
      <c r="AC9" s="12">
        <f>+S9-'Jul24'!S9</f>
        <v>0</v>
      </c>
      <c r="AE9" s="28">
        <f>J9-'Jul24'!J9</f>
        <v>0</v>
      </c>
      <c r="AF9" s="28">
        <f>L9-'Jul24'!L9</f>
        <v>0</v>
      </c>
      <c r="AG9" s="28">
        <f>N9-'Jul24'!N9</f>
        <v>0</v>
      </c>
      <c r="AH9" s="28">
        <f>P9-'Jul24'!P9</f>
        <v>0</v>
      </c>
      <c r="AI9" s="28">
        <f>R9-'Jul24'!R9</f>
        <v>0</v>
      </c>
      <c r="AK9" s="10">
        <f>I9-'Jul24'!I9</f>
        <v>0</v>
      </c>
      <c r="AL9" s="76">
        <f>I9/'Jul24'!I9-1</f>
        <v>0</v>
      </c>
    </row>
    <row r="10" spans="2:42" x14ac:dyDescent="0.25">
      <c r="F10" s="7">
        <f t="shared" si="4"/>
        <v>1</v>
      </c>
      <c r="H10" s="3" t="s">
        <v>25</v>
      </c>
      <c r="I10" s="78">
        <v>93528292</v>
      </c>
      <c r="J10" s="77">
        <v>0.78</v>
      </c>
      <c r="K10" s="78">
        <f t="shared" si="5"/>
        <v>72952067.760000005</v>
      </c>
      <c r="L10" s="77">
        <v>0.03</v>
      </c>
      <c r="M10" s="78">
        <f t="shared" si="0"/>
        <v>2805848.76</v>
      </c>
      <c r="N10" s="77">
        <v>0.16</v>
      </c>
      <c r="O10" s="78">
        <f t="shared" si="1"/>
        <v>14964526.720000001</v>
      </c>
      <c r="P10" s="77">
        <v>0.03</v>
      </c>
      <c r="Q10" s="78">
        <f t="shared" si="2"/>
        <v>2805848.76</v>
      </c>
      <c r="R10" s="77"/>
      <c r="S10" s="78">
        <f t="shared" si="3"/>
        <v>0</v>
      </c>
      <c r="T10" s="77"/>
      <c r="U10" s="57">
        <f t="shared" si="3"/>
        <v>0</v>
      </c>
      <c r="Y10" s="12">
        <f>K10-'Jul24'!K10</f>
        <v>72952067.760000005</v>
      </c>
      <c r="Z10" s="12">
        <f>M10-'Jul24'!M10</f>
        <v>2805848.76</v>
      </c>
      <c r="AA10" s="12">
        <f>O10-'Jul24'!O10</f>
        <v>14964526.720000001</v>
      </c>
      <c r="AB10" s="12">
        <f>Q10-'Jul24'!Q10</f>
        <v>-111518.39999999991</v>
      </c>
      <c r="AC10" s="12">
        <f>+S10-'Jul24'!S10</f>
        <v>0</v>
      </c>
      <c r="AE10" s="28">
        <f>J10-'Jul24'!J10</f>
        <v>-1.0000000000000009E-2</v>
      </c>
      <c r="AF10" s="28">
        <f>L10-'Jul24'!L10</f>
        <v>9.9999999999999985E-3</v>
      </c>
      <c r="AG10" s="28">
        <f>N10-'Jul24'!N10</f>
        <v>0</v>
      </c>
      <c r="AH10" s="28">
        <f>P10-'Jul24'!P10</f>
        <v>0</v>
      </c>
      <c r="AI10" s="28">
        <f>R10-'Jul24'!R10</f>
        <v>0</v>
      </c>
      <c r="AK10" s="10">
        <f>I10-'Jul24'!I10</f>
        <v>-3717280</v>
      </c>
      <c r="AL10" s="76">
        <f>I10/'Jul24'!I10-1</f>
        <v>-3.8225699366548072E-2</v>
      </c>
    </row>
    <row r="11" spans="2:42" x14ac:dyDescent="0.25">
      <c r="F11" s="7">
        <f t="shared" si="4"/>
        <v>1</v>
      </c>
      <c r="H11" s="3" t="s">
        <v>29</v>
      </c>
      <c r="I11" s="78">
        <v>7916605100</v>
      </c>
      <c r="J11" s="77">
        <v>0.44400000000000001</v>
      </c>
      <c r="K11" s="78">
        <f t="shared" si="5"/>
        <v>3514972664.4000001</v>
      </c>
      <c r="L11" s="77">
        <f>29.1%+5.3%</f>
        <v>0.34400000000000003</v>
      </c>
      <c r="M11" s="78">
        <f t="shared" si="0"/>
        <v>2723312154.4000001</v>
      </c>
      <c r="N11" s="77">
        <f>18.6%+0.4%</f>
        <v>0.19000000000000003</v>
      </c>
      <c r="O11" s="78">
        <f t="shared" si="1"/>
        <v>1504154969.0000002</v>
      </c>
      <c r="P11" s="77">
        <v>2.1999999999999999E-2</v>
      </c>
      <c r="Q11" s="78">
        <f t="shared" si="2"/>
        <v>174165312.19999999</v>
      </c>
      <c r="R11" s="77"/>
      <c r="S11" s="78">
        <f t="shared" si="3"/>
        <v>0</v>
      </c>
      <c r="T11" s="77"/>
      <c r="U11" s="57">
        <f t="shared" si="3"/>
        <v>0</v>
      </c>
      <c r="Y11" s="12">
        <f>K11-'Jul24'!K11</f>
        <v>334034566.6500001</v>
      </c>
      <c r="Z11" s="12">
        <f>M11-'Jul24'!M11</f>
        <v>433036724.01999998</v>
      </c>
      <c r="AA11" s="12">
        <f>O11-'Jul24'!O11</f>
        <v>-90056359.989999533</v>
      </c>
      <c r="AB11" s="12">
        <f>Q11-'Jul24'!Q11</f>
        <v>-244970060.68000001</v>
      </c>
      <c r="AC11" s="12">
        <f>+S11-'Jul24'!S11</f>
        <v>0</v>
      </c>
      <c r="AE11" s="28">
        <f>J11-'Jul24'!J11</f>
        <v>1.9000000000000017E-2</v>
      </c>
      <c r="AF11" s="28">
        <f>L11-'Jul24'!L11</f>
        <v>3.8000000000000034E-2</v>
      </c>
      <c r="AG11" s="28">
        <f>N11-'Jul24'!N11</f>
        <v>-2.2999999999999937E-2</v>
      </c>
      <c r="AH11" s="28">
        <f>P11-'Jul24'!P11</f>
        <v>-3.4000000000000002E-2</v>
      </c>
      <c r="AI11" s="28">
        <f>R11-'Jul24'!R11</f>
        <v>0</v>
      </c>
      <c r="AK11" s="10">
        <f>I11-'Jul24'!I11</f>
        <v>432044870</v>
      </c>
      <c r="AL11" s="76">
        <f>I11/'Jul24'!I11-1</f>
        <v>5.7724817053145694E-2</v>
      </c>
    </row>
    <row r="12" spans="2:42" x14ac:dyDescent="0.25">
      <c r="F12" s="7">
        <f t="shared" si="4"/>
        <v>1</v>
      </c>
      <c r="H12" s="3" t="s">
        <v>47</v>
      </c>
      <c r="I12" s="78">
        <v>2628716862.1399999</v>
      </c>
      <c r="J12" s="77">
        <f>39.06%+27.51%</f>
        <v>0.66569999999999996</v>
      </c>
      <c r="K12" s="78">
        <f t="shared" si="5"/>
        <v>1749936815.1265979</v>
      </c>
      <c r="L12" s="77">
        <v>9.6699999999999994E-2</v>
      </c>
      <c r="M12" s="78">
        <f t="shared" si="0"/>
        <v>254196920.56893796</v>
      </c>
      <c r="N12" s="77">
        <v>0.1726</v>
      </c>
      <c r="O12" s="78">
        <f t="shared" si="1"/>
        <v>453716530.40536398</v>
      </c>
      <c r="P12" s="77"/>
      <c r="Q12" s="78">
        <f t="shared" si="2"/>
        <v>0</v>
      </c>
      <c r="R12" s="77"/>
      <c r="S12" s="78">
        <f t="shared" si="3"/>
        <v>0</v>
      </c>
      <c r="T12" s="77">
        <v>6.5000000000000002E-2</v>
      </c>
      <c r="U12" s="57">
        <f t="shared" si="3"/>
        <v>170866596.03909999</v>
      </c>
      <c r="Y12" s="12">
        <f>K12-'Jul24'!K12</f>
        <v>-18595344.257205248</v>
      </c>
      <c r="Z12" s="12">
        <f>M12-'Jul24'!M12</f>
        <v>26997526.64041692</v>
      </c>
      <c r="AA12" s="12">
        <f>O12-'Jul24'!O12</f>
        <v>-7475594.8116670251</v>
      </c>
      <c r="AB12" s="12">
        <f>Q12-'Jul24'!Q12</f>
        <v>0</v>
      </c>
      <c r="AC12" s="12">
        <f>+S12-'Jul24'!S12</f>
        <v>0</v>
      </c>
      <c r="AE12" s="28">
        <f>J12-'Jul24'!J12</f>
        <v>-3.7200000000000011E-2</v>
      </c>
      <c r="AF12" s="28">
        <f>L12-'Jul24'!L12</f>
        <v>6.399999999999989E-3</v>
      </c>
      <c r="AG12" s="28">
        <f>N12-'Jul24'!N12</f>
        <v>-1.0699999999999987E-2</v>
      </c>
      <c r="AH12" s="28">
        <f>P12-'Jul24'!P12</f>
        <v>0</v>
      </c>
      <c r="AI12" s="28">
        <f>R12-'Jul24'!R12</f>
        <v>0</v>
      </c>
      <c r="AK12" s="10">
        <f>I12-'Jul24'!I12</f>
        <v>112665988.06999969</v>
      </c>
      <c r="AL12" s="76">
        <f>I12/'Jul24'!I12-1</f>
        <v>4.4778899040204934E-2</v>
      </c>
    </row>
    <row r="13" spans="2:42" x14ac:dyDescent="0.25">
      <c r="F13" s="7">
        <f t="shared" si="4"/>
        <v>1</v>
      </c>
      <c r="H13" s="3" t="s">
        <v>30</v>
      </c>
      <c r="I13" s="78">
        <v>1250620000</v>
      </c>
      <c r="J13" s="77">
        <v>0.44700000000000001</v>
      </c>
      <c r="K13" s="78">
        <f t="shared" si="5"/>
        <v>559027140</v>
      </c>
      <c r="L13" s="77">
        <f>10.2%+11.5%</f>
        <v>0.217</v>
      </c>
      <c r="M13" s="78">
        <f t="shared" si="0"/>
        <v>271384540</v>
      </c>
      <c r="N13" s="77">
        <v>0.32800000000000001</v>
      </c>
      <c r="O13" s="78">
        <f t="shared" si="1"/>
        <v>410203360</v>
      </c>
      <c r="P13" s="77">
        <v>8.0000000000000002E-3</v>
      </c>
      <c r="Q13" s="78">
        <f t="shared" si="2"/>
        <v>10004960</v>
      </c>
      <c r="R13" s="77"/>
      <c r="S13" s="78">
        <f t="shared" si="3"/>
        <v>0</v>
      </c>
      <c r="T13" s="77"/>
      <c r="U13" s="57">
        <f t="shared" si="3"/>
        <v>0</v>
      </c>
      <c r="Y13" s="12">
        <f>K13-'Jul24'!K13</f>
        <v>60634740</v>
      </c>
      <c r="Z13" s="12">
        <f>M13-'Jul24'!M13</f>
        <v>19922920</v>
      </c>
      <c r="AA13" s="12">
        <f>O13-'Jul24'!O13</f>
        <v>37541770</v>
      </c>
      <c r="AB13" s="12">
        <f>Q13-'Jul24'!Q13</f>
        <v>-189430</v>
      </c>
      <c r="AC13" s="12">
        <f>+S13-'Jul24'!S13</f>
        <v>0</v>
      </c>
      <c r="AE13" s="28">
        <f>J13-'Jul24'!J13</f>
        <v>7.0000000000000062E-3</v>
      </c>
      <c r="AF13" s="28">
        <f>L13-'Jul24'!L13</f>
        <v>-5.0000000000000044E-3</v>
      </c>
      <c r="AG13" s="28">
        <f>N13-'Jul24'!N13</f>
        <v>-1.0000000000000009E-3</v>
      </c>
      <c r="AH13" s="28">
        <f>P13-'Jul24'!P13</f>
        <v>-9.9999999999999915E-4</v>
      </c>
      <c r="AI13" s="28">
        <f>R13-'Jul24'!R13</f>
        <v>0</v>
      </c>
      <c r="AK13" s="10">
        <f>I13-'Jul24'!I13</f>
        <v>117910000</v>
      </c>
      <c r="AL13" s="76">
        <f>I13/'Jul24'!I13-1</f>
        <v>0.10409548781241451</v>
      </c>
    </row>
    <row r="14" spans="2:42" x14ac:dyDescent="0.25">
      <c r="F14" s="7">
        <f t="shared" ref="F14" si="6">J14+L14+N14+P14+R14+T14</f>
        <v>1</v>
      </c>
      <c r="H14" s="3" t="s">
        <v>63</v>
      </c>
      <c r="I14" s="78">
        <v>50206699.439999998</v>
      </c>
      <c r="J14" s="77">
        <v>0.52800000000000002</v>
      </c>
      <c r="K14" s="78">
        <f t="shared" ref="K14" si="7">+J14*$I14</f>
        <v>26509137.30432</v>
      </c>
      <c r="L14" s="77">
        <v>9.5000000000000001E-2</v>
      </c>
      <c r="M14" s="78">
        <f t="shared" ref="M14" si="8">+L14*$I14</f>
        <v>4769636.4468</v>
      </c>
      <c r="N14" s="77">
        <v>0.377</v>
      </c>
      <c r="O14" s="78">
        <f t="shared" ref="O14" si="9">+N14*$I14</f>
        <v>18927925.68888</v>
      </c>
      <c r="P14" s="77"/>
      <c r="Q14" s="78">
        <f t="shared" ref="Q14" si="10">+P14*$I14</f>
        <v>0</v>
      </c>
      <c r="R14" s="77"/>
      <c r="S14" s="78">
        <f t="shared" ref="S14" si="11">+R14*$I14</f>
        <v>0</v>
      </c>
      <c r="T14" s="77"/>
      <c r="U14" s="57">
        <f t="shared" ref="U14" si="12">+T14*$I14</f>
        <v>0</v>
      </c>
      <c r="Y14" s="12">
        <f>K14-'Jul24'!K13</f>
        <v>-471883262.69568002</v>
      </c>
      <c r="Z14" s="12">
        <f>M14-'Jul24'!M13</f>
        <v>-246691983.55320001</v>
      </c>
      <c r="AA14" s="12">
        <f>O14-'Jul24'!O13</f>
        <v>-353733664.31111997</v>
      </c>
      <c r="AB14" s="12">
        <f>Q14-'Jul24'!Q13</f>
        <v>-10194390</v>
      </c>
      <c r="AC14" s="12">
        <f>+S14-'Jul24'!S13</f>
        <v>0</v>
      </c>
      <c r="AE14" s="28">
        <f>J14-'Jul24'!J13</f>
        <v>8.8000000000000023E-2</v>
      </c>
      <c r="AF14" s="28">
        <f>L14-'Jul24'!L13</f>
        <v>-0.127</v>
      </c>
      <c r="AG14" s="28">
        <f>N14-'Jul24'!N13</f>
        <v>4.7999999999999987E-2</v>
      </c>
      <c r="AH14" s="28">
        <f>P14-'Jul24'!P13</f>
        <v>-8.9999999999999993E-3</v>
      </c>
      <c r="AI14" s="28">
        <f>R14-'Jul24'!R13</f>
        <v>0</v>
      </c>
      <c r="AK14" s="10">
        <f>I14-'Jul24'!I13</f>
        <v>-1082503300.5599999</v>
      </c>
      <c r="AL14" s="76">
        <f>I14/'Jul24'!I13-1</f>
        <v>-0.95567559265831503</v>
      </c>
    </row>
    <row r="15" spans="2:42" s="8" customFormat="1" x14ac:dyDescent="0.25">
      <c r="F15" s="7">
        <f>J15+L15+N15+P15+R15+T15</f>
        <v>1</v>
      </c>
      <c r="H15" s="21" t="s">
        <v>45</v>
      </c>
      <c r="I15" s="20">
        <f>SUM(I3:I14)</f>
        <v>24648992154.739998</v>
      </c>
      <c r="J15" s="15">
        <f>K15/$I$15</f>
        <v>0.40427768079467102</v>
      </c>
      <c r="K15" s="17">
        <f>SUM(K3:K14)</f>
        <v>9965037382.2443275</v>
      </c>
      <c r="L15" s="15">
        <f>M15/$I$15</f>
        <v>0.24266588094344063</v>
      </c>
      <c r="M15" s="20">
        <f>SUM(M3:M14)</f>
        <v>5981469395.5979385</v>
      </c>
      <c r="N15" s="15">
        <f>O15/$I$15</f>
        <v>0.30831645940045405</v>
      </c>
      <c r="O15" s="17">
        <f>SUM(O3:O14)</f>
        <v>7599689988.9390049</v>
      </c>
      <c r="P15" s="15">
        <f>Q15/$I$15</f>
        <v>2.3863639854768519E-2</v>
      </c>
      <c r="Q15" s="17">
        <f>SUM(Q3:Q14)</f>
        <v>588214671.56373</v>
      </c>
      <c r="R15" s="15">
        <f>S15/$I$15</f>
        <v>4.0031296803275246E-3</v>
      </c>
      <c r="S15" s="17">
        <f>SUM(S3:S14)</f>
        <v>98673112.08479999</v>
      </c>
      <c r="T15" s="15">
        <f>U15/$I$15</f>
        <v>1.6873209326338359E-2</v>
      </c>
      <c r="U15" s="63">
        <f>SUM(U3:U14)</f>
        <v>415907604.31019998</v>
      </c>
      <c r="Y15" s="12">
        <f>K15-'Jul24'!K15</f>
        <v>1381305345.6908846</v>
      </c>
      <c r="Z15" s="12">
        <f>M15-'Jul24'!M15</f>
        <v>1299103785.6116571</v>
      </c>
      <c r="AA15" s="12">
        <f>O15-'Jul24'!O15</f>
        <v>1161650285.8018541</v>
      </c>
      <c r="AB15" s="12">
        <f>Q15-'Jul24'!Q15</f>
        <v>-261734841.3301301</v>
      </c>
      <c r="AC15" s="12">
        <f>+S15-'Jul24'!S15</f>
        <v>1497008.8605999798</v>
      </c>
      <c r="AE15" s="28">
        <f>J15-'Jul24'!J15</f>
        <v>2.5132244568305429E-2</v>
      </c>
      <c r="AF15" s="28">
        <f>L15-'Jul24'!L15</f>
        <v>3.5844705234605007E-2</v>
      </c>
      <c r="AG15" s="28">
        <f>N15-'Jul24'!N15</f>
        <v>2.3946751528178378E-2</v>
      </c>
      <c r="AH15" s="28">
        <f>P15-'Jul24'!P15</f>
        <v>-1.3678827391904971E-2</v>
      </c>
      <c r="AI15" s="28">
        <f>R15-'Jul24'!R15</f>
        <v>-2.8916135238640783E-4</v>
      </c>
      <c r="AK15" s="92">
        <f>I15-'Jul24'!I15</f>
        <v>2009310342.9599991</v>
      </c>
      <c r="AL15" s="76">
        <f>I15/'Jul24'!I15-1</f>
        <v>8.8751704183161362E-2</v>
      </c>
    </row>
    <row r="16" spans="2:42" x14ac:dyDescent="0.25">
      <c r="F16" s="7"/>
      <c r="I16" s="10"/>
      <c r="J16" s="10"/>
      <c r="K16" s="10"/>
      <c r="L16" s="5"/>
      <c r="M16" s="10"/>
      <c r="N16" s="10"/>
      <c r="O16" s="10"/>
      <c r="P16" s="5"/>
      <c r="Q16" s="10"/>
    </row>
    <row r="17" spans="6:38" x14ac:dyDescent="0.25">
      <c r="F17" s="7"/>
      <c r="H17" s="4" t="s">
        <v>2</v>
      </c>
      <c r="I17" s="9" t="s">
        <v>4</v>
      </c>
      <c r="J17" s="112" t="s">
        <v>7</v>
      </c>
      <c r="K17" s="112"/>
      <c r="L17" s="112" t="s">
        <v>8</v>
      </c>
      <c r="M17" s="112"/>
      <c r="N17" s="112" t="s">
        <v>10</v>
      </c>
      <c r="O17" s="112"/>
      <c r="P17" s="112" t="s">
        <v>9</v>
      </c>
      <c r="Q17" s="112"/>
      <c r="R17" s="112" t="s">
        <v>21</v>
      </c>
      <c r="S17" s="112"/>
      <c r="T17" s="112" t="s">
        <v>55</v>
      </c>
      <c r="U17" s="112"/>
      <c r="Y17" s="27" t="s">
        <v>49</v>
      </c>
      <c r="Z17" s="27" t="s">
        <v>50</v>
      </c>
      <c r="AA17" s="27" t="s">
        <v>51</v>
      </c>
      <c r="AB17" s="27" t="s">
        <v>52</v>
      </c>
      <c r="AC17" s="27" t="s">
        <v>53</v>
      </c>
      <c r="AE17" s="27" t="s">
        <v>49</v>
      </c>
      <c r="AF17" s="27" t="s">
        <v>50</v>
      </c>
      <c r="AG17" s="27" t="s">
        <v>51</v>
      </c>
      <c r="AH17" s="27" t="s">
        <v>52</v>
      </c>
      <c r="AI17" s="27" t="s">
        <v>53</v>
      </c>
    </row>
    <row r="18" spans="6:38" x14ac:dyDescent="0.25">
      <c r="F18" s="7">
        <f t="shared" si="4"/>
        <v>0.99999999999999989</v>
      </c>
      <c r="H18" s="21" t="s">
        <v>6</v>
      </c>
      <c r="I18" s="80">
        <v>266708552.25</v>
      </c>
      <c r="J18" s="81">
        <f>20.9%+0.64%</f>
        <v>0.21539999999999998</v>
      </c>
      <c r="K18" s="80">
        <f t="shared" ref="K18:K25" si="13">+J18*$I18</f>
        <v>57449022.154649995</v>
      </c>
      <c r="L18" s="81">
        <f>10.57%+7.14%+5.95%+2.49%+6.27%</f>
        <v>0.32419999999999993</v>
      </c>
      <c r="M18" s="80">
        <f t="shared" ref="M18:M25" si="14">+L18*$I18</f>
        <v>86466912.639449984</v>
      </c>
      <c r="N18" s="81">
        <f>38.02%+1.03%</f>
        <v>0.39050000000000001</v>
      </c>
      <c r="O18" s="80">
        <f t="shared" ref="O18:O25" si="15">+N18*$I18</f>
        <v>104149689.653625</v>
      </c>
      <c r="P18" s="81">
        <v>6.9900000000000004E-2</v>
      </c>
      <c r="Q18" s="80">
        <f t="shared" ref="Q18:Q25" si="16">+P18*$I18</f>
        <v>18642927.802275002</v>
      </c>
      <c r="R18" s="81"/>
      <c r="S18" s="80">
        <f t="shared" ref="S18:S25" si="17">+R18*$I18</f>
        <v>0</v>
      </c>
      <c r="T18" s="81"/>
      <c r="U18" s="79">
        <f>T18*$I18</f>
        <v>0</v>
      </c>
      <c r="Y18" s="12">
        <f>K18-'Jul24'!K18</f>
        <v>10587357.788268998</v>
      </c>
      <c r="Z18" s="12">
        <f>M18-'Jul24'!M18</f>
        <v>-4300950.3556140214</v>
      </c>
      <c r="AA18" s="12">
        <f>O18-'Jul24'!O18</f>
        <v>3137881.8558619767</v>
      </c>
      <c r="AB18" s="12">
        <f>Q18-'Jul24'!Q18</f>
        <v>1486198.7317399979</v>
      </c>
      <c r="AC18" s="12">
        <f>+S18-'Jul24'!S18</f>
        <v>0</v>
      </c>
      <c r="AE18" s="28">
        <f>J18-'Jul24'!J18</f>
        <v>2.8299999999999992E-2</v>
      </c>
      <c r="AF18" s="28">
        <f>L18-'Jul24'!L18</f>
        <v>-3.8200000000000067E-2</v>
      </c>
      <c r="AG18" s="28">
        <f>N18-'Jul24'!N18</f>
        <v>-1.2800000000000034E-2</v>
      </c>
      <c r="AH18" s="28">
        <f>P18-'Jul24'!P18</f>
        <v>1.3999999999999985E-3</v>
      </c>
      <c r="AI18" s="28">
        <f>R18-'Jul24'!R18</f>
        <v>0</v>
      </c>
      <c r="AK18" s="10">
        <f>I18-'Jul24'!I18</f>
        <v>16245354.139999986</v>
      </c>
      <c r="AL18" s="76">
        <f>I18/'Jul24'!I18-1</f>
        <v>6.4861242140912267E-2</v>
      </c>
    </row>
    <row r="19" spans="6:38" x14ac:dyDescent="0.25">
      <c r="F19" s="7">
        <f t="shared" si="4"/>
        <v>1</v>
      </c>
      <c r="H19" s="3" t="s">
        <v>26</v>
      </c>
      <c r="I19" s="78">
        <v>728073423.17999995</v>
      </c>
      <c r="J19" s="77">
        <v>0.28999999999999998</v>
      </c>
      <c r="K19" s="78">
        <f t="shared" si="13"/>
        <v>211141292.72219998</v>
      </c>
      <c r="L19" s="77">
        <f>1%+4%+11%</f>
        <v>0.16</v>
      </c>
      <c r="M19" s="78">
        <f t="shared" si="14"/>
        <v>116491747.70879999</v>
      </c>
      <c r="N19" s="77">
        <v>0.33</v>
      </c>
      <c r="O19" s="78">
        <f t="shared" si="15"/>
        <v>240264229.6494</v>
      </c>
      <c r="P19" s="77">
        <v>0.14000000000000001</v>
      </c>
      <c r="Q19" s="78">
        <f t="shared" si="16"/>
        <v>101930279.24520001</v>
      </c>
      <c r="R19" s="77">
        <v>0.08</v>
      </c>
      <c r="S19" s="78">
        <f t="shared" si="17"/>
        <v>58245873.854399994</v>
      </c>
      <c r="T19" s="77"/>
      <c r="U19" s="57">
        <f>T19*$I19</f>
        <v>0</v>
      </c>
      <c r="Y19" s="12">
        <f>K19-'Jul24'!K19</f>
        <v>-1903406.3844000399</v>
      </c>
      <c r="Z19" s="12">
        <f>M19-'Jul24'!M19</f>
        <v>-339216.31740002334</v>
      </c>
      <c r="AA19" s="12">
        <f>O19-'Jul24'!O19</f>
        <v>13474711.245599985</v>
      </c>
      <c r="AB19" s="12">
        <f>Q19-'Jul24'!Q19</f>
        <v>26333773.11060001</v>
      </c>
      <c r="AC19" s="12">
        <f>+S19-'Jul24'!S19</f>
        <v>3266596.6655999944</v>
      </c>
      <c r="AE19" s="28">
        <f>J19-'Jul24'!J19</f>
        <v>-2.0000000000000018E-2</v>
      </c>
      <c r="AF19" s="28">
        <f>L19-'Jul24'!L19</f>
        <v>-1.0000000000000009E-2</v>
      </c>
      <c r="AG19" s="28">
        <f>N19-'Jul24'!N19</f>
        <v>0</v>
      </c>
      <c r="AH19" s="28">
        <f>P19-'Jul24'!P19</f>
        <v>3.0000000000000013E-2</v>
      </c>
      <c r="AI19" s="28">
        <f>R19-'Jul24'!R19</f>
        <v>0</v>
      </c>
      <c r="AK19" s="10">
        <f>I19-'Jul24'!I19</f>
        <v>40832458.319999933</v>
      </c>
      <c r="AL19" s="76">
        <f>I19/'Jul24'!I19-1</f>
        <v>5.9415052954996606E-2</v>
      </c>
    </row>
    <row r="20" spans="6:38" x14ac:dyDescent="0.25">
      <c r="F20" s="7">
        <f t="shared" si="4"/>
        <v>1</v>
      </c>
      <c r="H20" s="3" t="s">
        <v>27</v>
      </c>
      <c r="I20" s="78">
        <v>366512460</v>
      </c>
      <c r="J20" s="77">
        <v>1.7000000000000001E-2</v>
      </c>
      <c r="K20" s="78">
        <f t="shared" si="13"/>
        <v>6230711.8200000003</v>
      </c>
      <c r="L20" s="77">
        <v>0.25700000000000001</v>
      </c>
      <c r="M20" s="78">
        <f t="shared" si="14"/>
        <v>94193702.219999999</v>
      </c>
      <c r="N20" s="77">
        <f>60.7%+2.3%+2.1%</f>
        <v>0.65100000000000002</v>
      </c>
      <c r="O20" s="78">
        <f t="shared" si="15"/>
        <v>238599611.46000001</v>
      </c>
      <c r="P20" s="77">
        <v>0.04</v>
      </c>
      <c r="Q20" s="78">
        <f t="shared" si="16"/>
        <v>14660498.4</v>
      </c>
      <c r="R20" s="77"/>
      <c r="S20" s="78">
        <f t="shared" si="17"/>
        <v>0</v>
      </c>
      <c r="T20" s="77">
        <v>3.5000000000000003E-2</v>
      </c>
      <c r="U20" s="57">
        <f t="shared" ref="U20:U25" si="18">T20*$I20</f>
        <v>12827936.100000001</v>
      </c>
      <c r="Y20" s="12">
        <f>K20-'Jul24'!K20</f>
        <v>-14076099.914999999</v>
      </c>
      <c r="Z20" s="12">
        <f>M20-'Jul24'!M20</f>
        <v>4059958.9050000012</v>
      </c>
      <c r="AA20" s="12">
        <f>O20-'Jul24'!O20</f>
        <v>8455745.1299999952</v>
      </c>
      <c r="AB20" s="12">
        <f>Q20-'Jul24'!Q20</f>
        <v>1478883.7650000006</v>
      </c>
      <c r="AC20" s="12">
        <f>+S20-'Jul24'!S20</f>
        <v>0</v>
      </c>
      <c r="AE20" s="28">
        <f>J20-'Jul24'!J20</f>
        <v>-0.04</v>
      </c>
      <c r="AF20" s="28">
        <f>L20-'Jul24'!L20</f>
        <v>4.0000000000000036E-3</v>
      </c>
      <c r="AG20" s="28">
        <f>N20-'Jul24'!N20</f>
        <v>5.0000000000000044E-3</v>
      </c>
      <c r="AH20" s="28">
        <f>P20-'Jul24'!P20</f>
        <v>3.0000000000000027E-3</v>
      </c>
      <c r="AI20" s="28">
        <f>R20-'Jul24'!R20</f>
        <v>0</v>
      </c>
      <c r="AK20" s="10">
        <f>I20-'Jul24'!I20</f>
        <v>10252605</v>
      </c>
      <c r="AL20" s="76">
        <f>I20/'Jul24'!I20-1</f>
        <v>2.8778446002567515E-2</v>
      </c>
    </row>
    <row r="21" spans="6:38" x14ac:dyDescent="0.25">
      <c r="F21" s="7">
        <f t="shared" si="4"/>
        <v>1</v>
      </c>
      <c r="H21" s="3" t="s">
        <v>28</v>
      </c>
      <c r="I21" s="78">
        <v>1095035494</v>
      </c>
      <c r="J21" s="77">
        <v>0.14000000000000001</v>
      </c>
      <c r="K21" s="78">
        <f t="shared" si="13"/>
        <v>153304969.16000003</v>
      </c>
      <c r="L21" s="77">
        <f>8%+7%+4%+2%</f>
        <v>0.21000000000000002</v>
      </c>
      <c r="M21" s="78">
        <f t="shared" si="14"/>
        <v>229957453.74000001</v>
      </c>
      <c r="N21" s="77">
        <v>0.52</v>
      </c>
      <c r="O21" s="78">
        <f t="shared" si="15"/>
        <v>569418456.88</v>
      </c>
      <c r="P21" s="77">
        <v>0.12</v>
      </c>
      <c r="Q21" s="78">
        <f t="shared" si="16"/>
        <v>131404259.28</v>
      </c>
      <c r="R21" s="77"/>
      <c r="S21" s="78">
        <f t="shared" si="17"/>
        <v>0</v>
      </c>
      <c r="T21" s="77">
        <v>0.01</v>
      </c>
      <c r="U21" s="57">
        <f t="shared" si="18"/>
        <v>10950354.939999999</v>
      </c>
      <c r="Y21" s="12">
        <f>K21-'Jul24'!K21</f>
        <v>-7109466.1899999678</v>
      </c>
      <c r="Z21" s="12">
        <f>M21-'Jul24'!M21</f>
        <v>37460131.320000023</v>
      </c>
      <c r="AA21" s="12">
        <f>O21-'Jul24'!O21</f>
        <v>-8073510.3799999952</v>
      </c>
      <c r="AB21" s="12">
        <f>Q21-'Jul24'!Q21</f>
        <v>-7621584.6899999976</v>
      </c>
      <c r="AC21" s="12">
        <f>+S21-'Jul24'!S21</f>
        <v>0</v>
      </c>
      <c r="AE21" s="28">
        <f>J21-'Jul24'!J21</f>
        <v>-9.9999999999999811E-3</v>
      </c>
      <c r="AF21" s="28">
        <f>L21-'Jul24'!L21</f>
        <v>3.0000000000000027E-2</v>
      </c>
      <c r="AG21" s="28">
        <f>N21-'Jul24'!N21</f>
        <v>-2.0000000000000018E-2</v>
      </c>
      <c r="AH21" s="28">
        <f>P21-'Jul24'!P21</f>
        <v>-1.0000000000000009E-2</v>
      </c>
      <c r="AI21" s="28">
        <f>R21-'Jul24'!R21</f>
        <v>0</v>
      </c>
      <c r="AK21" s="10">
        <f>I21-'Jul24'!I21</f>
        <v>25605925</v>
      </c>
      <c r="AL21" s="76">
        <f>I21/'Jul24'!I21-1</f>
        <v>2.3943535640167157E-2</v>
      </c>
    </row>
    <row r="22" spans="6:38" x14ac:dyDescent="0.25">
      <c r="F22" s="7">
        <f t="shared" si="4"/>
        <v>1</v>
      </c>
      <c r="H22" s="3" t="s">
        <v>32</v>
      </c>
      <c r="I22" s="78">
        <v>241300000</v>
      </c>
      <c r="J22" s="77">
        <v>0.13</v>
      </c>
      <c r="K22" s="78">
        <f t="shared" si="13"/>
        <v>31369000</v>
      </c>
      <c r="L22" s="77">
        <v>0.14000000000000001</v>
      </c>
      <c r="M22" s="78">
        <f t="shared" si="14"/>
        <v>33782000</v>
      </c>
      <c r="N22" s="77">
        <f>59%+3%</f>
        <v>0.62</v>
      </c>
      <c r="O22" s="78">
        <f t="shared" si="15"/>
        <v>149606000</v>
      </c>
      <c r="P22" s="77">
        <v>0.11</v>
      </c>
      <c r="Q22" s="78">
        <f t="shared" si="16"/>
        <v>26543000</v>
      </c>
      <c r="R22" s="77"/>
      <c r="S22" s="78">
        <f t="shared" si="17"/>
        <v>0</v>
      </c>
      <c r="T22" s="77"/>
      <c r="U22" s="57">
        <f t="shared" si="18"/>
        <v>0</v>
      </c>
      <c r="Y22" s="12">
        <f>K22-'Jul24'!K22</f>
        <v>12121000</v>
      </c>
      <c r="Z22" s="12">
        <f>M22-'Jul24'!M22</f>
        <v>98000</v>
      </c>
      <c r="AA22" s="12">
        <f>O22-'Jul24'!O22</f>
        <v>-9189999.9999999702</v>
      </c>
      <c r="AB22" s="12">
        <f>Q22-'Jul24'!Q22</f>
        <v>-2329000</v>
      </c>
      <c r="AC22" s="12">
        <f>+S22-'Jul24'!S22</f>
        <v>0</v>
      </c>
      <c r="AE22" s="28">
        <f>J22-'Jul24'!J22</f>
        <v>0.05</v>
      </c>
      <c r="AF22" s="28">
        <f>L22-'Jul24'!L22</f>
        <v>0</v>
      </c>
      <c r="AG22" s="28">
        <f>N22-'Jul24'!N22</f>
        <v>-3.9999999999999925E-2</v>
      </c>
      <c r="AH22" s="28">
        <f>P22-'Jul24'!P22</f>
        <v>-9.999999999999995E-3</v>
      </c>
      <c r="AI22" s="28">
        <f>R22-'Jul24'!R22</f>
        <v>0</v>
      </c>
      <c r="AK22" s="10">
        <f>I22-'Jul24'!I22</f>
        <v>700000</v>
      </c>
      <c r="AL22" s="76">
        <f>I22/'Jul24'!I22-1</f>
        <v>2.9093931837074205E-3</v>
      </c>
    </row>
    <row r="23" spans="6:38" x14ac:dyDescent="0.25">
      <c r="F23" s="7">
        <f t="shared" si="4"/>
        <v>1</v>
      </c>
      <c r="H23" s="3" t="s">
        <v>33</v>
      </c>
      <c r="I23" s="84">
        <v>963400000</v>
      </c>
      <c r="J23" s="77">
        <v>0.28999999999999998</v>
      </c>
      <c r="K23" s="78">
        <f t="shared" si="13"/>
        <v>279386000</v>
      </c>
      <c r="L23" s="77">
        <v>0.14000000000000001</v>
      </c>
      <c r="M23" s="78">
        <f t="shared" si="14"/>
        <v>134876000</v>
      </c>
      <c r="N23" s="77">
        <v>0.55000000000000004</v>
      </c>
      <c r="O23" s="78">
        <f t="shared" si="15"/>
        <v>529870000.00000006</v>
      </c>
      <c r="P23" s="77">
        <v>0.02</v>
      </c>
      <c r="Q23" s="78">
        <f t="shared" si="16"/>
        <v>19268000</v>
      </c>
      <c r="R23" s="77"/>
      <c r="S23" s="78">
        <f t="shared" si="17"/>
        <v>0</v>
      </c>
      <c r="T23" s="77"/>
      <c r="U23" s="57">
        <f t="shared" si="18"/>
        <v>0</v>
      </c>
      <c r="Y23" s="12">
        <f>K23-'Jul24'!K23</f>
        <v>33437000.00000003</v>
      </c>
      <c r="Z23" s="12">
        <f>M23-'Jul24'!M23</f>
        <v>16141999.999999985</v>
      </c>
      <c r="AA23" s="12">
        <f>O23-'Jul24'!O23</f>
        <v>63415000</v>
      </c>
      <c r="AB23" s="12">
        <f>Q23-'Jul24'!Q23</f>
        <v>2306000</v>
      </c>
      <c r="AC23" s="12">
        <f>+S23-'Jul24'!S23</f>
        <v>0</v>
      </c>
      <c r="AE23" s="28">
        <f>J23-'Jul24'!J23</f>
        <v>0</v>
      </c>
      <c r="AF23" s="28">
        <f>L23-'Jul24'!L23</f>
        <v>0</v>
      </c>
      <c r="AG23" s="28">
        <f>N23-'Jul24'!N23</f>
        <v>0</v>
      </c>
      <c r="AH23" s="28">
        <f>P23-'Jul24'!P23</f>
        <v>0</v>
      </c>
      <c r="AI23" s="28">
        <f>R23-'Jul24'!R23</f>
        <v>0</v>
      </c>
      <c r="AK23" s="10">
        <f>I23-'Jul24'!I23</f>
        <v>115300000</v>
      </c>
      <c r="AL23" s="76">
        <f>I23/'Jul24'!I23-1</f>
        <v>0.13595094918052109</v>
      </c>
    </row>
    <row r="24" spans="6:38" x14ac:dyDescent="0.25">
      <c r="F24" s="7">
        <f t="shared" si="4"/>
        <v>1</v>
      </c>
      <c r="H24" s="3" t="s">
        <v>34</v>
      </c>
      <c r="I24" s="84">
        <v>220136537</v>
      </c>
      <c r="J24" s="77">
        <v>0.2898</v>
      </c>
      <c r="K24" s="78">
        <f t="shared" si="13"/>
        <v>63795568.422600001</v>
      </c>
      <c r="L24" s="77">
        <v>0.1331</v>
      </c>
      <c r="M24" s="78">
        <f t="shared" si="14"/>
        <v>29300173.074699998</v>
      </c>
      <c r="N24" s="77">
        <v>0.48170000000000002</v>
      </c>
      <c r="O24" s="78">
        <f t="shared" si="15"/>
        <v>106039769.87290001</v>
      </c>
      <c r="P24" s="77">
        <v>9.5000000000000001E-2</v>
      </c>
      <c r="Q24" s="78">
        <f t="shared" si="16"/>
        <v>20912971.015000001</v>
      </c>
      <c r="R24" s="77"/>
      <c r="S24" s="78">
        <f t="shared" si="17"/>
        <v>0</v>
      </c>
      <c r="T24" s="77">
        <v>4.0000000000000002E-4</v>
      </c>
      <c r="U24" s="57">
        <f t="shared" si="18"/>
        <v>88054.61480000001</v>
      </c>
      <c r="Y24" s="12">
        <f>K24-'Jul24'!K24</f>
        <v>3104373.632600002</v>
      </c>
      <c r="Z24" s="12">
        <f>M24-'Jul24'!M24</f>
        <v>4747.7597000002861</v>
      </c>
      <c r="AA24" s="12">
        <f>O24-'Jul24'!O24</f>
        <v>-1252810.9670999944</v>
      </c>
      <c r="AB24" s="12">
        <f>Q24-'Jul24'!Q24</f>
        <v>-396770.77499999851</v>
      </c>
      <c r="AC24" s="12">
        <f>+S24-'Jul24'!S24</f>
        <v>0</v>
      </c>
      <c r="AE24" s="28">
        <f>J24-'Jul24'!J24</f>
        <v>1.2400000000000022E-2</v>
      </c>
      <c r="AF24" s="28">
        <f>L24-'Jul24'!L24</f>
        <v>-7.9999999999999516E-4</v>
      </c>
      <c r="AG24" s="28">
        <f>N24-'Jul24'!N24</f>
        <v>-8.6999999999999855E-3</v>
      </c>
      <c r="AH24" s="28">
        <f>P24-'Jul24'!P24</f>
        <v>-2.3999999999999994E-3</v>
      </c>
      <c r="AI24" s="28">
        <f>R24-'Jul24'!R24</f>
        <v>0</v>
      </c>
      <c r="AK24" s="10">
        <f>I24-'Jul24'!I24</f>
        <v>1350687</v>
      </c>
      <c r="AL24" s="76">
        <f>I24/'Jul24'!I24-1</f>
        <v>6.1735573849954761E-3</v>
      </c>
    </row>
    <row r="25" spans="6:38" x14ac:dyDescent="0.25">
      <c r="F25" s="7">
        <f t="shared" si="4"/>
        <v>1</v>
      </c>
      <c r="H25" s="3" t="s">
        <v>35</v>
      </c>
      <c r="I25" s="84">
        <v>379804901</v>
      </c>
      <c r="J25" s="77">
        <v>0.17499999999999999</v>
      </c>
      <c r="K25" s="78">
        <f t="shared" si="13"/>
        <v>66465857.674999997</v>
      </c>
      <c r="L25" s="77">
        <f>35.1%+8.4%</f>
        <v>0.43500000000000005</v>
      </c>
      <c r="M25" s="78">
        <f t="shared" si="14"/>
        <v>165215131.93500003</v>
      </c>
      <c r="N25" s="77">
        <f>33.8%+0.3%</f>
        <v>0.34099999999999997</v>
      </c>
      <c r="O25" s="78">
        <f t="shared" si="15"/>
        <v>129513471.24099998</v>
      </c>
      <c r="P25" s="77">
        <v>4.9000000000000002E-2</v>
      </c>
      <c r="Q25" s="78">
        <f t="shared" si="16"/>
        <v>18610440.149</v>
      </c>
      <c r="R25" s="77"/>
      <c r="S25" s="78">
        <f t="shared" si="17"/>
        <v>0</v>
      </c>
      <c r="T25" s="77"/>
      <c r="U25" s="57">
        <f t="shared" si="18"/>
        <v>0</v>
      </c>
      <c r="Y25" s="12">
        <f>K25-'Jul24'!K25</f>
        <v>18345858.139999993</v>
      </c>
      <c r="Z25" s="12">
        <f>M25-'Jul24'!M25</f>
        <v>-1244422.0119999647</v>
      </c>
      <c r="AA25" s="12">
        <f>O25-'Jul24'!O25</f>
        <v>1193472.4809999913</v>
      </c>
      <c r="AB25" s="12">
        <f>Q25-'Jul24'!Q25</f>
        <v>5065551.3910000008</v>
      </c>
      <c r="AC25" s="12">
        <f>+S25-'Jul24'!S25</f>
        <v>0</v>
      </c>
      <c r="AE25" s="28">
        <f>J25-'Jul24'!J25</f>
        <v>3.999999999999998E-2</v>
      </c>
      <c r="AF25" s="28">
        <f>L25-'Jul24'!L25</f>
        <v>-3.1999999999999917E-2</v>
      </c>
      <c r="AG25" s="28">
        <f>N25-'Jul24'!N25</f>
        <v>-1.9000000000000017E-2</v>
      </c>
      <c r="AH25" s="28">
        <f>P25-'Jul24'!P25</f>
        <v>1.1000000000000003E-2</v>
      </c>
      <c r="AI25" s="28">
        <f>R25-'Jul24'!R25</f>
        <v>0</v>
      </c>
      <c r="AK25" s="10">
        <f>I25-'Jul24'!I25</f>
        <v>23360460</v>
      </c>
      <c r="AL25" s="76">
        <f>I25/'Jul24'!I25-1</f>
        <v>6.5537450757999105E-2</v>
      </c>
    </row>
    <row r="26" spans="6:38" x14ac:dyDescent="0.25">
      <c r="F26" s="7">
        <f t="shared" ref="F26" si="19">J26+L26+N26+P26+R26+T26</f>
        <v>1</v>
      </c>
      <c r="H26" s="3" t="s">
        <v>36</v>
      </c>
      <c r="I26" s="84">
        <v>674970000</v>
      </c>
      <c r="J26" s="77">
        <v>0.18</v>
      </c>
      <c r="K26" s="78">
        <f t="shared" ref="K26" si="20">+J26*$I26</f>
        <v>121494600</v>
      </c>
      <c r="L26" s="77">
        <v>0.19</v>
      </c>
      <c r="M26" s="78">
        <f t="shared" ref="M26" si="21">+L26*$I26</f>
        <v>128244300</v>
      </c>
      <c r="N26" s="77">
        <f>54%+3%</f>
        <v>0.57000000000000006</v>
      </c>
      <c r="O26" s="78">
        <f t="shared" ref="O26" si="22">+N26*$I26</f>
        <v>384732900.00000006</v>
      </c>
      <c r="P26" s="77">
        <v>0.06</v>
      </c>
      <c r="Q26" s="78">
        <f t="shared" ref="Q26" si="23">+P26*$I26</f>
        <v>40498200</v>
      </c>
      <c r="R26" s="77"/>
      <c r="S26" s="78">
        <f t="shared" ref="S26" si="24">+R26*$I26</f>
        <v>0</v>
      </c>
      <c r="T26" s="77"/>
      <c r="U26" s="57">
        <f t="shared" ref="U26" si="25">T26*$I26</f>
        <v>0</v>
      </c>
      <c r="Y26" s="12">
        <f>K26-'Jul24'!K25</f>
        <v>73374600.465000004</v>
      </c>
      <c r="Z26" s="12">
        <f>M26-'Jul24'!M25</f>
        <v>-38215253.946999997</v>
      </c>
      <c r="AA26" s="12">
        <f>O26-'Jul24'!O25</f>
        <v>256412901.24000007</v>
      </c>
      <c r="AB26" s="12">
        <f>Q26-'Jul24'!Q25</f>
        <v>26953311.241999999</v>
      </c>
      <c r="AC26" s="12">
        <f>+S26-'Jul24'!S25</f>
        <v>0</v>
      </c>
      <c r="AE26" s="28">
        <f>J26-'Jul24'!J25</f>
        <v>4.4999999999999984E-2</v>
      </c>
      <c r="AF26" s="28">
        <f>L26-'Jul24'!L25</f>
        <v>-0.27699999999999997</v>
      </c>
      <c r="AG26" s="28">
        <f>N26-'Jul24'!N25</f>
        <v>0.21000000000000008</v>
      </c>
      <c r="AH26" s="28">
        <f>P26-'Jul24'!P25</f>
        <v>2.1999999999999999E-2</v>
      </c>
      <c r="AI26" s="28">
        <f>R26-'Jul24'!R25</f>
        <v>0</v>
      </c>
      <c r="AK26" s="10">
        <f>I26-'Jul24'!I25</f>
        <v>318525559</v>
      </c>
      <c r="AL26" s="76">
        <f>I26/'Jul24'!I25-1</f>
        <v>0.89361909560542152</v>
      </c>
    </row>
    <row r="27" spans="6:38" s="8" customFormat="1" x14ac:dyDescent="0.25">
      <c r="F27" s="7">
        <f t="shared" si="4"/>
        <v>1</v>
      </c>
      <c r="H27" s="21" t="s">
        <v>45</v>
      </c>
      <c r="I27" s="20">
        <f>SUM(I18:I26)</f>
        <v>4935941367.4300003</v>
      </c>
      <c r="J27" s="15">
        <f>K27/$I$27</f>
        <v>0.20069870126318892</v>
      </c>
      <c r="K27" s="63">
        <f>SUM(K18:K26)</f>
        <v>990637021.95444989</v>
      </c>
      <c r="L27" s="15">
        <f>M27/$I$27</f>
        <v>0.20634917344009443</v>
      </c>
      <c r="M27" s="62">
        <f>SUM(M18:M26)</f>
        <v>1018527421.31795</v>
      </c>
      <c r="N27" s="15">
        <f>O27/$I$27</f>
        <v>0.49680373939160272</v>
      </c>
      <c r="O27" s="63">
        <f>SUM(O18:O26)</f>
        <v>2452194128.7569251</v>
      </c>
      <c r="P27" s="15">
        <f>Q27/$I$27</f>
        <v>7.9512811574547315E-2</v>
      </c>
      <c r="Q27" s="63">
        <f>SUM(Q18:Q26)</f>
        <v>392470575.89147502</v>
      </c>
      <c r="R27" s="15">
        <f>S27/$I$27</f>
        <v>1.1800357726843687E-2</v>
      </c>
      <c r="S27" s="63">
        <f>SUM(S18:S26)</f>
        <v>58245873.854399994</v>
      </c>
      <c r="T27" s="15">
        <f>U27/$I$27</f>
        <v>4.8352166037228484E-3</v>
      </c>
      <c r="U27" s="17">
        <f>SUM(U18:U26)</f>
        <v>23866345.654799998</v>
      </c>
      <c r="Y27" s="12">
        <f>K27-'Jul24'!K27</f>
        <v>83263717.071468949</v>
      </c>
      <c r="Z27" s="12">
        <f>M27-'Jul24'!M27</f>
        <v>62657049.299685955</v>
      </c>
      <c r="AA27" s="12">
        <f>O27-'Jul24'!O27</f>
        <v>84943389.365362167</v>
      </c>
      <c r="AB27" s="12">
        <f>Q27-'Jul24'!Q27</f>
        <v>29726251.533339977</v>
      </c>
      <c r="AC27" s="12">
        <f>+S27-'Jul24'!S27</f>
        <v>3266596.6655999944</v>
      </c>
      <c r="AE27" s="28">
        <f>J27-'Jul24'!J27</f>
        <v>5.3787410778866063E-3</v>
      </c>
      <c r="AF27" s="28">
        <f>L27-'Jul24'!L27</f>
        <v>5.8979965182190397E-4</v>
      </c>
      <c r="AG27" s="28">
        <f>N27-'Jul24'!N27</f>
        <v>-1.2767478626781736E-2</v>
      </c>
      <c r="AH27" s="28">
        <f>P27-'Jul24'!P27</f>
        <v>1.4289550076929253E-3</v>
      </c>
      <c r="AI27" s="28">
        <f>R27-'Jul24'!R27</f>
        <v>-3.4407715057879415E-5</v>
      </c>
      <c r="AK27" s="92">
        <f>I27-'Jul24'!I27</f>
        <v>290367489.46000004</v>
      </c>
      <c r="AL27" s="76">
        <f>I27/'Jul24'!I27-1</f>
        <v>6.2504116194764592E-2</v>
      </c>
    </row>
    <row r="28" spans="6:38" x14ac:dyDescent="0.25">
      <c r="F28" s="7"/>
      <c r="I28" s="10"/>
      <c r="J28" s="10"/>
      <c r="K28" s="10"/>
      <c r="L28" s="5"/>
      <c r="M28" s="10"/>
      <c r="N28" s="10"/>
      <c r="O28" s="10"/>
      <c r="P28" s="5"/>
      <c r="Q28" s="10"/>
    </row>
    <row r="29" spans="6:38" x14ac:dyDescent="0.25">
      <c r="F29" s="7"/>
      <c r="H29" s="4" t="s">
        <v>38</v>
      </c>
      <c r="I29" s="9" t="s">
        <v>4</v>
      </c>
      <c r="J29" s="113" t="s">
        <v>7</v>
      </c>
      <c r="K29" s="113"/>
      <c r="L29" s="112" t="s">
        <v>8</v>
      </c>
      <c r="M29" s="112"/>
      <c r="N29" s="112" t="s">
        <v>10</v>
      </c>
      <c r="O29" s="112"/>
      <c r="P29" s="112" t="s">
        <v>9</v>
      </c>
      <c r="Q29" s="112"/>
      <c r="R29" s="112" t="s">
        <v>40</v>
      </c>
      <c r="S29" s="112"/>
      <c r="T29" s="112" t="s">
        <v>55</v>
      </c>
      <c r="U29" s="112"/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  <c r="AE29" s="27" t="s">
        <v>49</v>
      </c>
      <c r="AF29" s="27" t="s">
        <v>50</v>
      </c>
      <c r="AG29" s="27" t="s">
        <v>51</v>
      </c>
      <c r="AH29" s="27" t="s">
        <v>52</v>
      </c>
      <c r="AI29" s="27" t="s">
        <v>54</v>
      </c>
    </row>
    <row r="30" spans="6:38" x14ac:dyDescent="0.25">
      <c r="F30" s="7">
        <f>J30+L30+N30+P30+R30+T30</f>
        <v>1.0000000000000002</v>
      </c>
      <c r="H30" s="21" t="s">
        <v>39</v>
      </c>
      <c r="I30" s="94">
        <v>233389815.41999999</v>
      </c>
      <c r="J30" s="81">
        <f>5.2%+2.6%</f>
        <v>7.8000000000000014E-2</v>
      </c>
      <c r="K30" s="80">
        <f t="shared" ref="K30:K33" si="26">+J30*$I30</f>
        <v>18204405.602760002</v>
      </c>
      <c r="L30" s="81">
        <f>13.1%+6.9%+2.1%+1.1%</f>
        <v>0.23200000000000001</v>
      </c>
      <c r="M30" s="80">
        <f t="shared" ref="M30:M33" si="27">+L30*$I30</f>
        <v>54146437.177440003</v>
      </c>
      <c r="N30" s="81">
        <f>52.7%+4%+1.9%</f>
        <v>0.58600000000000008</v>
      </c>
      <c r="O30" s="80">
        <f t="shared" ref="O30:O33" si="28">+N30*$I30</f>
        <v>136766431.83612001</v>
      </c>
      <c r="P30" s="81">
        <v>0.111</v>
      </c>
      <c r="Q30" s="80">
        <f t="shared" ref="Q30:Q33" si="29">+P30*$I30</f>
        <v>25906269.51162</v>
      </c>
      <c r="R30" s="88">
        <v>5.8000000000000003E-2</v>
      </c>
      <c r="S30" s="80">
        <f t="shared" ref="S30:S33" si="30">+R30*$I30</f>
        <v>13536609.294360001</v>
      </c>
      <c r="T30" s="81">
        <f>-0.9%-8.3%+2.7%</f>
        <v>-6.5000000000000002E-2</v>
      </c>
      <c r="U30" s="65">
        <f>$I30*T30</f>
        <v>-15170338.0023</v>
      </c>
      <c r="Y30" s="12">
        <f>K30-'Jul24'!K30</f>
        <v>4153850.2405999992</v>
      </c>
      <c r="Z30" s="12">
        <f>M30-'Jul24'!M30</f>
        <v>890299.91764000058</v>
      </c>
      <c r="AA30" s="12">
        <f>O30-'Jul24'!O30</f>
        <v>340071.70675998926</v>
      </c>
      <c r="AB30" s="12">
        <f>Q30-'Jul24'!Q30</f>
        <v>1884352.2795399986</v>
      </c>
      <c r="AC30" s="12">
        <f>+S30-'Jul24'!S30</f>
        <v>165919.5142400004</v>
      </c>
      <c r="AE30" s="28">
        <f>J30-'Jul24'!J30</f>
        <v>1.6000000000000007E-2</v>
      </c>
      <c r="AF30" s="28">
        <f>L30-'Jul24'!L30</f>
        <v>-3.0000000000000027E-3</v>
      </c>
      <c r="AG30" s="28">
        <f>N30-'Jul24'!N30</f>
        <v>-1.6000000000000014E-2</v>
      </c>
      <c r="AH30" s="28">
        <f>P30-'Jul24'!P30</f>
        <v>5.0000000000000044E-3</v>
      </c>
      <c r="AI30" s="28">
        <f>R30-'Jul24'!R30</f>
        <v>-9.9999999999999395E-4</v>
      </c>
      <c r="AK30" s="10">
        <f>I30-'Jul24'!I30</f>
        <v>6767954.7399999797</v>
      </c>
      <c r="AL30" s="76">
        <f>I30/'Jul24'!I30-1</f>
        <v>2.9864527277695618E-2</v>
      </c>
    </row>
    <row r="31" spans="6:38" hidden="1" outlineLevel="1" x14ac:dyDescent="0.25">
      <c r="F31" s="7">
        <f t="shared" si="4"/>
        <v>0</v>
      </c>
      <c r="H31" s="3" t="s">
        <v>56</v>
      </c>
      <c r="I31" s="78"/>
      <c r="J31" s="77"/>
      <c r="K31" s="78">
        <f t="shared" si="26"/>
        <v>0</v>
      </c>
      <c r="L31" s="77"/>
      <c r="M31" s="78">
        <f t="shared" si="27"/>
        <v>0</v>
      </c>
      <c r="N31" s="77"/>
      <c r="O31" s="78">
        <f t="shared" si="28"/>
        <v>0</v>
      </c>
      <c r="P31" s="77"/>
      <c r="Q31" s="78">
        <f t="shared" si="29"/>
        <v>0</v>
      </c>
      <c r="R31" s="77"/>
      <c r="S31" s="78">
        <f t="shared" si="30"/>
        <v>0</v>
      </c>
      <c r="T31" s="77"/>
      <c r="U31" s="72"/>
      <c r="Y31" s="12">
        <f>K31-'Jul24'!K31</f>
        <v>0</v>
      </c>
      <c r="Z31" s="12">
        <f>M31-'Jul24'!M31</f>
        <v>0</v>
      </c>
      <c r="AA31" s="12">
        <f>O31-'Jul24'!O31</f>
        <v>0</v>
      </c>
      <c r="AB31" s="12">
        <f>Q31-'Jul24'!Q31</f>
        <v>0</v>
      </c>
      <c r="AC31" s="12">
        <f>+S31-'Jul24'!S31</f>
        <v>0</v>
      </c>
      <c r="AE31" s="28">
        <f>J31-'Jul24'!J31</f>
        <v>0</v>
      </c>
      <c r="AF31" s="28">
        <f>L31-'Jul24'!L31</f>
        <v>0</v>
      </c>
      <c r="AG31" s="28">
        <f>N31-'Jul24'!N31</f>
        <v>0</v>
      </c>
      <c r="AH31" s="28">
        <f>P31-'Jul24'!P31</f>
        <v>0</v>
      </c>
      <c r="AI31" s="28">
        <f>R31-'Jul24'!R31</f>
        <v>0</v>
      </c>
      <c r="AK31" s="10">
        <f>I31-'Jul24'!I31</f>
        <v>0</v>
      </c>
      <c r="AL31" s="76" t="e">
        <f>I31/'Jul24'!I31-1</f>
        <v>#DIV/0!</v>
      </c>
    </row>
    <row r="32" spans="6:38" collapsed="1" x14ac:dyDescent="0.25">
      <c r="F32" s="7">
        <f t="shared" si="4"/>
        <v>1</v>
      </c>
      <c r="H32" s="3" t="s">
        <v>42</v>
      </c>
      <c r="I32" s="84">
        <v>276845149</v>
      </c>
      <c r="J32" s="77">
        <v>0.11</v>
      </c>
      <c r="K32" s="78">
        <f t="shared" si="26"/>
        <v>30452966.390000001</v>
      </c>
      <c r="L32" s="77">
        <v>0.13</v>
      </c>
      <c r="M32" s="78">
        <f t="shared" si="27"/>
        <v>35989869.370000005</v>
      </c>
      <c r="N32" s="77">
        <f>44%+7%</f>
        <v>0.51</v>
      </c>
      <c r="O32" s="78">
        <f t="shared" si="28"/>
        <v>141191025.99000001</v>
      </c>
      <c r="P32" s="77">
        <v>0.04</v>
      </c>
      <c r="Q32" s="78">
        <f t="shared" si="29"/>
        <v>11073805.960000001</v>
      </c>
      <c r="R32" s="77">
        <v>0.14000000000000001</v>
      </c>
      <c r="S32" s="78">
        <f t="shared" si="30"/>
        <v>38758320.860000007</v>
      </c>
      <c r="T32" s="77">
        <v>7.0000000000000007E-2</v>
      </c>
      <c r="U32" s="72">
        <f>$I32*T32</f>
        <v>19379160.430000003</v>
      </c>
      <c r="Y32" s="12">
        <f>K32-'Jul24'!K32</f>
        <v>5270243.7699999996</v>
      </c>
      <c r="Z32" s="12">
        <f>M32-'Jul24'!M32</f>
        <v>6228469.9100000039</v>
      </c>
      <c r="AA32" s="12">
        <f>O32-'Jul24'!O32</f>
        <v>29013443.410000011</v>
      </c>
      <c r="AB32" s="12">
        <f>Q32-'Jul24'!Q32</f>
        <v>-372886.1400000006</v>
      </c>
      <c r="AC32" s="12">
        <f>+S32-'Jul24'!S32</f>
        <v>4418244.5600000098</v>
      </c>
      <c r="AE32" s="28">
        <f>J32-'Jul24'!J32</f>
        <v>0</v>
      </c>
      <c r="AF32" s="28">
        <f>L32-'Jul24'!L32</f>
        <v>0</v>
      </c>
      <c r="AG32" s="28">
        <f>N32-'Jul24'!N32</f>
        <v>2.0000000000000018E-2</v>
      </c>
      <c r="AH32" s="28">
        <f>P32-'Jul24'!P32</f>
        <v>-1.0000000000000002E-2</v>
      </c>
      <c r="AI32" s="28">
        <f>R32-'Jul24'!R32</f>
        <v>-9.9999999999999811E-3</v>
      </c>
      <c r="AK32" s="10">
        <f>I32-'Jul24'!I32</f>
        <v>47911307</v>
      </c>
      <c r="AL32" s="76">
        <f>I32/'Jul24'!I32-1</f>
        <v>0.20928014216438995</v>
      </c>
    </row>
    <row r="33" spans="6:38" x14ac:dyDescent="0.25">
      <c r="F33" s="7">
        <f t="shared" si="4"/>
        <v>1</v>
      </c>
      <c r="H33" s="3" t="s">
        <v>43</v>
      </c>
      <c r="I33" s="84">
        <v>446473705</v>
      </c>
      <c r="J33" s="77">
        <v>0.13</v>
      </c>
      <c r="K33" s="78">
        <f t="shared" si="26"/>
        <v>58041581.649999999</v>
      </c>
      <c r="L33" s="77">
        <f>5%+2%+2%</f>
        <v>9.0000000000000011E-2</v>
      </c>
      <c r="M33" s="78">
        <f t="shared" si="27"/>
        <v>40182633.450000003</v>
      </c>
      <c r="N33" s="77">
        <v>0.62</v>
      </c>
      <c r="O33" s="78">
        <f t="shared" si="28"/>
        <v>276813697.10000002</v>
      </c>
      <c r="P33" s="77">
        <v>0.15</v>
      </c>
      <c r="Q33" s="78">
        <f t="shared" si="29"/>
        <v>66971055.75</v>
      </c>
      <c r="R33" s="77"/>
      <c r="S33" s="78">
        <f t="shared" si="30"/>
        <v>0</v>
      </c>
      <c r="T33" s="77">
        <v>0.01</v>
      </c>
      <c r="U33" s="72">
        <f t="shared" ref="U33" si="31">$I33*T33</f>
        <v>4464737.05</v>
      </c>
      <c r="Y33" s="12">
        <f>K33-'Jul24'!K33</f>
        <v>7552739.2899999991</v>
      </c>
      <c r="Z33" s="12">
        <f>M33-'Jul24'!M33</f>
        <v>3463475.3700000048</v>
      </c>
      <c r="AA33" s="12">
        <f>O33-'Jul24'!O33</f>
        <v>-16939567.539999962</v>
      </c>
      <c r="AB33" s="12">
        <f>Q33-'Jul24'!Q33</f>
        <v>-6467260.4099999964</v>
      </c>
      <c r="AC33" s="12">
        <f>+S33-'Jul24'!S33</f>
        <v>0</v>
      </c>
      <c r="AE33" s="28">
        <f>J33-'Jul24'!J33</f>
        <v>2.0000000000000004E-2</v>
      </c>
      <c r="AF33" s="28">
        <f>L33-'Jul24'!L33</f>
        <v>1.0000000000000009E-2</v>
      </c>
      <c r="AG33" s="28">
        <f>N33-'Jul24'!N33</f>
        <v>-2.0000000000000018E-2</v>
      </c>
      <c r="AH33" s="28">
        <f>P33-'Jul24'!P33</f>
        <v>-1.0000000000000009E-2</v>
      </c>
      <c r="AI33" s="28">
        <f>R33-'Jul24'!R33</f>
        <v>0</v>
      </c>
      <c r="AK33" s="10">
        <f>I33-'Jul24'!I33</f>
        <v>-12515771</v>
      </c>
      <c r="AL33" s="76">
        <f>I33/'Jul24'!I33-1</f>
        <v>-2.7268100151385588E-2</v>
      </c>
    </row>
    <row r="34" spans="6:38" x14ac:dyDescent="0.25">
      <c r="F34" s="7">
        <f t="shared" ref="F34" si="32">J34+L34+N34+P34+R34+T34</f>
        <v>0.99999999999999989</v>
      </c>
      <c r="H34" s="3" t="s">
        <v>44</v>
      </c>
      <c r="I34" s="84">
        <v>30900000</v>
      </c>
      <c r="J34" s="77">
        <v>0.21</v>
      </c>
      <c r="K34" s="78">
        <f t="shared" ref="K34" si="33">+J34*$I34</f>
        <v>6489000</v>
      </c>
      <c r="L34" s="77"/>
      <c r="M34" s="78">
        <f t="shared" ref="M34" si="34">+L34*$I34</f>
        <v>0</v>
      </c>
      <c r="N34" s="77">
        <v>0.57999999999999996</v>
      </c>
      <c r="O34" s="78">
        <f t="shared" ref="O34" si="35">+N34*$I34</f>
        <v>17922000</v>
      </c>
      <c r="P34" s="77"/>
      <c r="Q34" s="78">
        <f t="shared" ref="Q34" si="36">+P34*$I34</f>
        <v>0</v>
      </c>
      <c r="R34" s="77">
        <v>0.21</v>
      </c>
      <c r="S34" s="78">
        <f t="shared" ref="S34" si="37">+R34*$I34</f>
        <v>6489000</v>
      </c>
      <c r="T34" s="77"/>
      <c r="U34" s="72">
        <f t="shared" ref="U34" si="38">$I34*T34</f>
        <v>0</v>
      </c>
      <c r="Y34" s="12">
        <f>K34-'Jul24'!K33</f>
        <v>-43999842.359999999</v>
      </c>
      <c r="Z34" s="12">
        <f>M34-'Jul24'!M33</f>
        <v>-36719158.079999998</v>
      </c>
      <c r="AA34" s="12">
        <f>O34-'Jul24'!O33</f>
        <v>-275831264.63999999</v>
      </c>
      <c r="AB34" s="12">
        <f>Q34-'Jul24'!Q33</f>
        <v>-73438316.159999996</v>
      </c>
      <c r="AC34" s="12">
        <f>+S34-'Jul24'!S33</f>
        <v>6489000</v>
      </c>
      <c r="AE34" s="28">
        <f>J34-'Jul24'!J33</f>
        <v>9.9999999999999992E-2</v>
      </c>
      <c r="AF34" s="28">
        <f>L34-'Jul24'!L33</f>
        <v>-0.08</v>
      </c>
      <c r="AG34" s="28">
        <f>N34-'Jul24'!N33</f>
        <v>-6.0000000000000053E-2</v>
      </c>
      <c r="AH34" s="28">
        <f>P34-'Jul24'!P33</f>
        <v>-0.16</v>
      </c>
      <c r="AI34" s="28">
        <f>R34-'Jul24'!R33</f>
        <v>0.21</v>
      </c>
      <c r="AK34" s="10">
        <f>I34-'Jul24'!I33</f>
        <v>-428089476</v>
      </c>
      <c r="AL34" s="76">
        <f>I34/'Jul24'!I33-1</f>
        <v>-0.93267819500070626</v>
      </c>
    </row>
    <row r="35" spans="6:38" s="8" customFormat="1" x14ac:dyDescent="0.25">
      <c r="F35" s="7">
        <f t="shared" si="4"/>
        <v>1.0000000000000002</v>
      </c>
      <c r="H35" s="3" t="s">
        <v>45</v>
      </c>
      <c r="I35" s="17">
        <f>SUM(I30:I34)</f>
        <v>987608669.41999996</v>
      </c>
      <c r="J35" s="15">
        <f>+K35/$I$35</f>
        <v>0.11460810050324155</v>
      </c>
      <c r="K35" s="17">
        <f>SUM(K30:K34)</f>
        <v>113187953.64276001</v>
      </c>
      <c r="L35" s="15">
        <f>+M35/$I$35</f>
        <v>0.13195402595440292</v>
      </c>
      <c r="M35" s="17">
        <f>SUM(M30:M34)</f>
        <v>130318939.99744001</v>
      </c>
      <c r="N35" s="15">
        <f>+O35/$I$35</f>
        <v>0.5798786226354713</v>
      </c>
      <c r="O35" s="17">
        <f>SUM(O30:O34)</f>
        <v>572693154.92612004</v>
      </c>
      <c r="P35" s="15">
        <f>+Q35/$I$35</f>
        <v>0.10525538549865922</v>
      </c>
      <c r="Q35" s="17">
        <f>SUM(Q30:Q34)</f>
        <v>103951131.22161999</v>
      </c>
      <c r="R35" s="15">
        <f>+S35/$I$35</f>
        <v>5.9521480495794428E-2</v>
      </c>
      <c r="S35" s="17">
        <f>SUM(S30:S34)</f>
        <v>58783930.154360011</v>
      </c>
      <c r="T35" s="15">
        <f>+U35/$I$35</f>
        <v>8.7823849124307359E-3</v>
      </c>
      <c r="U35" s="63">
        <f>SUM(U30:U34)</f>
        <v>8673559.4777000025</v>
      </c>
      <c r="Y35" s="12">
        <f>K35-'Jul24'!K35</f>
        <v>17898833.300600007</v>
      </c>
      <c r="Z35" s="12">
        <f>M35-'Jul24'!M35</f>
        <v>10582245.197640017</v>
      </c>
      <c r="AA35" s="12">
        <f>O35-'Jul24'!O35</f>
        <v>10704947.576760054</v>
      </c>
      <c r="AB35" s="12">
        <f>Q35-'Jul24'!Q35</f>
        <v>-4955794.2704600096</v>
      </c>
      <c r="AC35" s="12">
        <f>+S35-'Jul24'!S35</f>
        <v>6971164.074240014</v>
      </c>
      <c r="AE35" s="28">
        <f>J35-'Jul24'!J35</f>
        <v>1.3649677983750469E-2</v>
      </c>
      <c r="AF35" s="28">
        <f>L35-'Jul24'!L35</f>
        <v>5.093501045798865E-3</v>
      </c>
      <c r="AG35" s="28">
        <f>N35-'Jul24'!N35</f>
        <v>-1.5545521115858607E-2</v>
      </c>
      <c r="AH35" s="28">
        <f>P35-'Jul24'!P35</f>
        <v>-1.0131044343987303E-2</v>
      </c>
      <c r="AI35" s="28">
        <f>R35-'Jul24'!R35</f>
        <v>4.6260725936404651E-3</v>
      </c>
      <c r="AK35" s="92">
        <f>I35-'Jul24'!I35</f>
        <v>43763490.73999989</v>
      </c>
      <c r="AL35" s="76">
        <f>I35/'Jul24'!I35-1</f>
        <v>4.6367234508952748E-2</v>
      </c>
    </row>
    <row r="36" spans="6:38" x14ac:dyDescent="0.25">
      <c r="F36" s="7"/>
    </row>
    <row r="37" spans="6:38" x14ac:dyDescent="0.25">
      <c r="F37" s="7"/>
      <c r="K37"/>
    </row>
    <row r="38" spans="6:38" x14ac:dyDescent="0.25">
      <c r="F38" s="7"/>
      <c r="J38" s="38"/>
    </row>
    <row r="39" spans="6:38" x14ac:dyDescent="0.25">
      <c r="F39" s="7"/>
      <c r="I39" s="30"/>
      <c r="J39" s="35"/>
    </row>
    <row r="40" spans="6:38" x14ac:dyDescent="0.25">
      <c r="F40" s="7"/>
      <c r="I40" s="37"/>
      <c r="J40" s="35"/>
    </row>
    <row r="41" spans="6:38" x14ac:dyDescent="0.25">
      <c r="F41" s="7"/>
      <c r="I41" s="37"/>
      <c r="J41" s="35"/>
    </row>
    <row r="42" spans="6:38" x14ac:dyDescent="0.25">
      <c r="F42" s="7"/>
      <c r="I42" s="37"/>
      <c r="J42" s="35"/>
    </row>
    <row r="43" spans="6:38" x14ac:dyDescent="0.25">
      <c r="F43" s="7"/>
      <c r="I43" s="37"/>
      <c r="J43" s="35"/>
    </row>
    <row r="44" spans="6:38" x14ac:dyDescent="0.25">
      <c r="F44" s="7"/>
      <c r="I44" s="37"/>
      <c r="J44" s="35"/>
      <c r="K44" s="37"/>
    </row>
    <row r="45" spans="6:38" x14ac:dyDescent="0.25">
      <c r="F45" s="7"/>
      <c r="I45" s="37"/>
      <c r="J45" s="35"/>
    </row>
    <row r="46" spans="6:38" x14ac:dyDescent="0.25">
      <c r="F46" s="7"/>
      <c r="I46" s="37"/>
      <c r="J46" s="35"/>
    </row>
    <row r="47" spans="6:38" x14ac:dyDescent="0.25">
      <c r="F47" s="7"/>
      <c r="I47" s="37"/>
      <c r="J47" s="35"/>
    </row>
    <row r="48" spans="6:38" x14ac:dyDescent="0.25">
      <c r="I48" s="37"/>
      <c r="J48" s="35"/>
    </row>
    <row r="49" spans="9:10" x14ac:dyDescent="0.25">
      <c r="I49" s="37"/>
      <c r="J49" s="35"/>
    </row>
    <row r="50" spans="9:10" x14ac:dyDescent="0.25">
      <c r="I50" s="37"/>
      <c r="J50" s="35"/>
    </row>
    <row r="51" spans="9:10" x14ac:dyDescent="0.25">
      <c r="I51" s="37"/>
      <c r="J51" s="35"/>
    </row>
    <row r="52" spans="9:10" x14ac:dyDescent="0.25">
      <c r="I52" s="37"/>
      <c r="J52" s="35"/>
    </row>
    <row r="53" spans="9:10" x14ac:dyDescent="0.25">
      <c r="I53" s="37"/>
      <c r="J53" s="35"/>
    </row>
    <row r="54" spans="9:10" x14ac:dyDescent="0.25">
      <c r="I54" s="37"/>
      <c r="J54" s="35"/>
    </row>
    <row r="55" spans="9:10" x14ac:dyDescent="0.25">
      <c r="I55" s="37"/>
      <c r="J55" s="35"/>
    </row>
    <row r="56" spans="9:10" x14ac:dyDescent="0.25">
      <c r="I56" s="37"/>
      <c r="J56" s="35"/>
    </row>
    <row r="57" spans="9:10" x14ac:dyDescent="0.25">
      <c r="I57" s="37"/>
      <c r="J57" s="35"/>
    </row>
    <row r="58" spans="9:10" x14ac:dyDescent="0.25">
      <c r="I58" s="37"/>
      <c r="J58" s="35"/>
    </row>
    <row r="59" spans="9:10" x14ac:dyDescent="0.25">
      <c r="I59" s="37"/>
      <c r="J59" s="35"/>
    </row>
    <row r="60" spans="9:10" x14ac:dyDescent="0.25">
      <c r="I60" s="37"/>
      <c r="J60" s="35"/>
    </row>
    <row r="61" spans="9:10" x14ac:dyDescent="0.25">
      <c r="I61" s="37"/>
      <c r="J61" s="35"/>
    </row>
    <row r="62" spans="9:10" x14ac:dyDescent="0.25">
      <c r="I62" s="37"/>
      <c r="J62" s="35"/>
    </row>
    <row r="63" spans="9:10" x14ac:dyDescent="0.25">
      <c r="I63" s="37"/>
      <c r="J63" s="35"/>
    </row>
    <row r="64" spans="9:10" x14ac:dyDescent="0.25">
      <c r="I64" s="37"/>
      <c r="J64" s="35"/>
    </row>
    <row r="65" spans="9:10" x14ac:dyDescent="0.25">
      <c r="I65" s="37"/>
      <c r="J65" s="35"/>
    </row>
    <row r="66" spans="9:10" x14ac:dyDescent="0.25">
      <c r="I66" s="37"/>
      <c r="J66" s="35"/>
    </row>
    <row r="67" spans="9:10" x14ac:dyDescent="0.25">
      <c r="I67" s="37"/>
      <c r="J67" s="35"/>
    </row>
    <row r="68" spans="9:10" x14ac:dyDescent="0.25">
      <c r="I68" s="37"/>
      <c r="J68" s="35"/>
    </row>
    <row r="69" spans="9:10" x14ac:dyDescent="0.25">
      <c r="I69" s="37"/>
      <c r="J69" s="35"/>
    </row>
    <row r="70" spans="9:10" x14ac:dyDescent="0.25">
      <c r="I70" s="37"/>
      <c r="J70" s="35"/>
    </row>
    <row r="71" spans="9:10" x14ac:dyDescent="0.25">
      <c r="I71" s="37"/>
      <c r="J71" s="35"/>
    </row>
    <row r="72" spans="9:10" x14ac:dyDescent="0.25">
      <c r="I72" s="37"/>
      <c r="J72" s="35"/>
    </row>
    <row r="73" spans="9:10" x14ac:dyDescent="0.25">
      <c r="I73" s="37"/>
      <c r="J73" s="35"/>
    </row>
    <row r="74" spans="9:10" x14ac:dyDescent="0.25">
      <c r="I74" s="37"/>
      <c r="J74" s="35"/>
    </row>
    <row r="75" spans="9:10" x14ac:dyDescent="0.25">
      <c r="I75" s="37"/>
      <c r="J75" s="35"/>
    </row>
    <row r="76" spans="9:10" x14ac:dyDescent="0.25">
      <c r="I76" s="37"/>
      <c r="J76" s="35"/>
    </row>
    <row r="77" spans="9:10" x14ac:dyDescent="0.25">
      <c r="I77" s="37"/>
      <c r="J77" s="35"/>
    </row>
    <row r="78" spans="9:10" x14ac:dyDescent="0.25">
      <c r="I78" s="37"/>
      <c r="J78" s="35"/>
    </row>
    <row r="79" spans="9:10" x14ac:dyDescent="0.25">
      <c r="I79" s="37"/>
      <c r="J79" s="35"/>
    </row>
    <row r="80" spans="9:10" x14ac:dyDescent="0.25">
      <c r="I80" s="37"/>
      <c r="J80" s="35"/>
    </row>
    <row r="81" spans="9:10" x14ac:dyDescent="0.25">
      <c r="I81" s="37"/>
      <c r="J81" s="35"/>
    </row>
    <row r="82" spans="9:10" x14ac:dyDescent="0.25">
      <c r="I82" s="37"/>
      <c r="J82" s="35"/>
    </row>
    <row r="83" spans="9:10" x14ac:dyDescent="0.25">
      <c r="I83" s="37"/>
      <c r="J83" s="35"/>
    </row>
    <row r="84" spans="9:10" x14ac:dyDescent="0.25">
      <c r="I84" s="37"/>
      <c r="J84" s="35"/>
    </row>
    <row r="85" spans="9:10" x14ac:dyDescent="0.25">
      <c r="I85" s="37"/>
      <c r="J85" s="35"/>
    </row>
    <row r="86" spans="9:10" x14ac:dyDescent="0.25">
      <c r="I86" s="37"/>
      <c r="J86" s="35"/>
    </row>
    <row r="87" spans="9:10" x14ac:dyDescent="0.25">
      <c r="I87" s="37"/>
      <c r="J87" s="35"/>
    </row>
    <row r="88" spans="9:10" x14ac:dyDescent="0.25">
      <c r="I88" s="37"/>
      <c r="J88" s="35"/>
    </row>
    <row r="89" spans="9:10" x14ac:dyDescent="0.25">
      <c r="I89" s="37"/>
      <c r="J89" s="35"/>
    </row>
    <row r="90" spans="9:10" x14ac:dyDescent="0.25">
      <c r="I90" s="37"/>
      <c r="J90" s="35"/>
    </row>
    <row r="91" spans="9:10" x14ac:dyDescent="0.25">
      <c r="I91" s="37"/>
      <c r="J91" s="35"/>
    </row>
    <row r="92" spans="9:10" x14ac:dyDescent="0.25">
      <c r="I92" s="37"/>
      <c r="J92" s="35"/>
    </row>
    <row r="93" spans="9:10" x14ac:dyDescent="0.25">
      <c r="I93" s="37"/>
      <c r="J93" s="35"/>
    </row>
    <row r="94" spans="9:10" x14ac:dyDescent="0.25">
      <c r="I94" s="37"/>
      <c r="J94" s="35"/>
    </row>
    <row r="95" spans="9:10" x14ac:dyDescent="0.25">
      <c r="I95" s="37"/>
      <c r="J95" s="35"/>
    </row>
    <row r="96" spans="9:10" x14ac:dyDescent="0.25">
      <c r="I96" s="37"/>
      <c r="J96" s="35"/>
    </row>
    <row r="97" spans="9:10" x14ac:dyDescent="0.25">
      <c r="I97" s="37"/>
      <c r="J97" s="35"/>
    </row>
    <row r="98" spans="9:10" x14ac:dyDescent="0.25">
      <c r="I98" s="37"/>
      <c r="J98" s="35"/>
    </row>
    <row r="99" spans="9:10" x14ac:dyDescent="0.25">
      <c r="I99" s="37"/>
      <c r="J99" s="35"/>
    </row>
    <row r="100" spans="9:10" x14ac:dyDescent="0.25">
      <c r="I100" s="37"/>
      <c r="J100" s="35"/>
    </row>
    <row r="101" spans="9:10" x14ac:dyDescent="0.25">
      <c r="I101" s="37"/>
      <c r="J101" s="35"/>
    </row>
    <row r="102" spans="9:10" x14ac:dyDescent="0.25">
      <c r="I102" s="37"/>
      <c r="J102" s="35"/>
    </row>
    <row r="103" spans="9:10" x14ac:dyDescent="0.25">
      <c r="I103" s="37"/>
      <c r="J103" s="35"/>
    </row>
    <row r="104" spans="9:10" x14ac:dyDescent="0.25">
      <c r="I104" s="37"/>
      <c r="J104" s="35"/>
    </row>
    <row r="105" spans="9:10" x14ac:dyDescent="0.25">
      <c r="I105" s="37"/>
      <c r="J105" s="35"/>
    </row>
    <row r="106" spans="9:10" x14ac:dyDescent="0.25">
      <c r="I106" s="37"/>
      <c r="J106" s="35"/>
    </row>
    <row r="107" spans="9:10" x14ac:dyDescent="0.25">
      <c r="I107" s="37"/>
      <c r="J107" s="35"/>
    </row>
    <row r="108" spans="9:10" x14ac:dyDescent="0.25">
      <c r="I108" s="37"/>
      <c r="J108" s="35"/>
    </row>
    <row r="109" spans="9:10" x14ac:dyDescent="0.25">
      <c r="I109" s="37"/>
      <c r="J109" s="35"/>
    </row>
    <row r="110" spans="9:10" x14ac:dyDescent="0.25">
      <c r="I110" s="37"/>
      <c r="J110" s="35"/>
    </row>
    <row r="111" spans="9:10" x14ac:dyDescent="0.25">
      <c r="I111" s="37"/>
      <c r="J111" s="35"/>
    </row>
    <row r="112" spans="9:10" x14ac:dyDescent="0.25">
      <c r="I112" s="37"/>
      <c r="J112" s="35"/>
    </row>
    <row r="113" spans="9:10" x14ac:dyDescent="0.25">
      <c r="I113" s="37"/>
      <c r="J113" s="35"/>
    </row>
    <row r="114" spans="9:10" x14ac:dyDescent="0.25">
      <c r="I114" s="37"/>
      <c r="J114" s="35"/>
    </row>
    <row r="115" spans="9:10" x14ac:dyDescent="0.25">
      <c r="I115" s="37"/>
      <c r="J115" s="35"/>
    </row>
    <row r="116" spans="9:10" x14ac:dyDescent="0.25">
      <c r="I116" s="37"/>
      <c r="J116" s="35"/>
    </row>
    <row r="117" spans="9:10" x14ac:dyDescent="0.25">
      <c r="I117" s="37"/>
      <c r="J117" s="35"/>
    </row>
    <row r="118" spans="9:10" x14ac:dyDescent="0.25">
      <c r="I118" s="37"/>
      <c r="J118" s="35"/>
    </row>
    <row r="119" spans="9:10" x14ac:dyDescent="0.25">
      <c r="I119" s="37"/>
      <c r="J119" s="35"/>
    </row>
    <row r="120" spans="9:10" x14ac:dyDescent="0.25">
      <c r="I120" s="37"/>
      <c r="J120" s="35"/>
    </row>
    <row r="121" spans="9:10" x14ac:dyDescent="0.25">
      <c r="I121" s="37"/>
      <c r="J121" s="35"/>
    </row>
    <row r="122" spans="9:10" x14ac:dyDescent="0.25">
      <c r="I122" s="37"/>
      <c r="J122" s="35"/>
    </row>
    <row r="123" spans="9:10" x14ac:dyDescent="0.25">
      <c r="I123" s="37"/>
      <c r="J123" s="35"/>
    </row>
    <row r="124" spans="9:10" x14ac:dyDescent="0.25">
      <c r="I124" s="37"/>
      <c r="J124" s="35"/>
    </row>
    <row r="125" spans="9:10" x14ac:dyDescent="0.25">
      <c r="I125" s="37"/>
      <c r="J125" s="35"/>
    </row>
    <row r="126" spans="9:10" x14ac:dyDescent="0.25">
      <c r="I126" s="37"/>
      <c r="J126" s="35"/>
    </row>
    <row r="127" spans="9:10" x14ac:dyDescent="0.25">
      <c r="I127" s="37"/>
      <c r="J127" s="35"/>
    </row>
    <row r="128" spans="9:10" x14ac:dyDescent="0.25">
      <c r="I128" s="37"/>
      <c r="J128" s="35"/>
    </row>
    <row r="129" spans="9:10" x14ac:dyDescent="0.25">
      <c r="I129" s="37"/>
      <c r="J129" s="35"/>
    </row>
    <row r="130" spans="9:10" x14ac:dyDescent="0.25">
      <c r="I130" s="37"/>
      <c r="J130" s="35"/>
    </row>
    <row r="131" spans="9:10" x14ac:dyDescent="0.25">
      <c r="I131" s="37"/>
      <c r="J131" s="35"/>
    </row>
    <row r="132" spans="9:10" x14ac:dyDescent="0.25">
      <c r="I132" s="37"/>
      <c r="J132" s="35"/>
    </row>
    <row r="133" spans="9:10" x14ac:dyDescent="0.25">
      <c r="I133" s="37"/>
      <c r="J133" s="35"/>
    </row>
    <row r="134" spans="9:10" x14ac:dyDescent="0.25">
      <c r="I134" s="37"/>
      <c r="J134" s="35"/>
    </row>
    <row r="135" spans="9:10" x14ac:dyDescent="0.25">
      <c r="I135" s="37"/>
      <c r="J135" s="35"/>
    </row>
    <row r="136" spans="9:10" x14ac:dyDescent="0.25">
      <c r="I136" s="37"/>
      <c r="J136" s="35"/>
    </row>
    <row r="137" spans="9:10" x14ac:dyDescent="0.25">
      <c r="I137" s="37"/>
      <c r="J137" s="35"/>
    </row>
    <row r="138" spans="9:10" x14ac:dyDescent="0.25">
      <c r="I138" s="37"/>
      <c r="J138" s="35"/>
    </row>
    <row r="139" spans="9:10" x14ac:dyDescent="0.25">
      <c r="I139" s="37"/>
      <c r="J139" s="35"/>
    </row>
    <row r="140" spans="9:10" x14ac:dyDescent="0.25">
      <c r="I140" s="37"/>
      <c r="J140" s="35"/>
    </row>
    <row r="141" spans="9:10" x14ac:dyDescent="0.25">
      <c r="I141" s="37"/>
      <c r="J141" s="35"/>
    </row>
    <row r="142" spans="9:10" x14ac:dyDescent="0.25">
      <c r="I142" s="37"/>
      <c r="J142" s="35"/>
    </row>
    <row r="143" spans="9:10" x14ac:dyDescent="0.25">
      <c r="I143" s="37"/>
      <c r="J143" s="35"/>
    </row>
    <row r="144" spans="9:10" x14ac:dyDescent="0.25">
      <c r="I144" s="37"/>
      <c r="J144" s="35"/>
    </row>
    <row r="145" spans="9:10" x14ac:dyDescent="0.25">
      <c r="I145" s="37"/>
      <c r="J145" s="35"/>
    </row>
    <row r="146" spans="9:10" x14ac:dyDescent="0.25">
      <c r="I146" s="37"/>
      <c r="J146" s="35"/>
    </row>
    <row r="147" spans="9:10" x14ac:dyDescent="0.25">
      <c r="I147" s="37"/>
      <c r="J147" s="35"/>
    </row>
    <row r="148" spans="9:10" x14ac:dyDescent="0.25">
      <c r="I148" s="37"/>
      <c r="J148" s="35"/>
    </row>
    <row r="149" spans="9:10" x14ac:dyDescent="0.25">
      <c r="I149" s="37"/>
      <c r="J149" s="35"/>
    </row>
    <row r="150" spans="9:10" x14ac:dyDescent="0.25">
      <c r="I150" s="37"/>
      <c r="J150" s="35"/>
    </row>
    <row r="151" spans="9:10" x14ac:dyDescent="0.25">
      <c r="I151" s="37"/>
      <c r="J151" s="35"/>
    </row>
    <row r="152" spans="9:10" x14ac:dyDescent="0.25">
      <c r="I152" s="37"/>
      <c r="J152" s="35"/>
    </row>
    <row r="153" spans="9:10" x14ac:dyDescent="0.25">
      <c r="I153" s="37"/>
      <c r="J153" s="35"/>
    </row>
    <row r="154" spans="9:10" x14ac:dyDescent="0.25">
      <c r="I154" s="37"/>
      <c r="J154" s="35"/>
    </row>
    <row r="155" spans="9:10" x14ac:dyDescent="0.25">
      <c r="I155" s="37"/>
      <c r="J155" s="35"/>
    </row>
    <row r="156" spans="9:10" x14ac:dyDescent="0.25">
      <c r="I156" s="37"/>
      <c r="J156" s="35"/>
    </row>
    <row r="157" spans="9:10" x14ac:dyDescent="0.25">
      <c r="I157" s="37"/>
      <c r="J157" s="35"/>
    </row>
    <row r="158" spans="9:10" x14ac:dyDescent="0.25">
      <c r="I158" s="37"/>
      <c r="J158" s="35"/>
    </row>
    <row r="159" spans="9:10" x14ac:dyDescent="0.25">
      <c r="I159" s="37"/>
      <c r="J159" s="35"/>
    </row>
    <row r="160" spans="9:10" x14ac:dyDescent="0.25">
      <c r="I160" s="37"/>
      <c r="J160" s="35"/>
    </row>
    <row r="161" spans="9:10" x14ac:dyDescent="0.25">
      <c r="I161" s="37"/>
      <c r="J161" s="35"/>
    </row>
    <row r="162" spans="9:10" x14ac:dyDescent="0.25">
      <c r="I162" s="37"/>
      <c r="J162" s="35"/>
    </row>
    <row r="163" spans="9:10" x14ac:dyDescent="0.25">
      <c r="I163" s="37"/>
      <c r="J163" s="35"/>
    </row>
    <row r="164" spans="9:10" x14ac:dyDescent="0.25">
      <c r="I164" s="37"/>
      <c r="J164" s="35"/>
    </row>
    <row r="165" spans="9:10" x14ac:dyDescent="0.25">
      <c r="I165" s="37"/>
      <c r="J165" s="35"/>
    </row>
    <row r="166" spans="9:10" x14ac:dyDescent="0.25">
      <c r="I166" s="37"/>
      <c r="J166" s="35"/>
    </row>
    <row r="167" spans="9:10" x14ac:dyDescent="0.25">
      <c r="I167" s="37"/>
      <c r="J167" s="35"/>
    </row>
    <row r="168" spans="9:10" x14ac:dyDescent="0.25">
      <c r="I168" s="37"/>
      <c r="J168" s="35"/>
    </row>
    <row r="169" spans="9:10" x14ac:dyDescent="0.25">
      <c r="I169" s="37"/>
      <c r="J169" s="35"/>
    </row>
    <row r="170" spans="9:10" x14ac:dyDescent="0.25">
      <c r="I170" s="37"/>
      <c r="J170" s="35"/>
    </row>
    <row r="171" spans="9:10" x14ac:dyDescent="0.25">
      <c r="I171" s="37"/>
      <c r="J171" s="35"/>
    </row>
    <row r="172" spans="9:10" x14ac:dyDescent="0.25">
      <c r="I172" s="37"/>
      <c r="J172" s="35"/>
    </row>
    <row r="173" spans="9:10" x14ac:dyDescent="0.25">
      <c r="I173" s="37"/>
      <c r="J173" s="35"/>
    </row>
    <row r="174" spans="9:10" x14ac:dyDescent="0.25">
      <c r="I174" s="37"/>
      <c r="J174" s="35"/>
    </row>
    <row r="175" spans="9:10" x14ac:dyDescent="0.25">
      <c r="I175" s="37"/>
      <c r="J175" s="35"/>
    </row>
    <row r="176" spans="9:10" x14ac:dyDescent="0.25">
      <c r="I176" s="37"/>
      <c r="J176" s="35"/>
    </row>
    <row r="177" spans="9:10" x14ac:dyDescent="0.25">
      <c r="I177" s="37"/>
      <c r="J177" s="35"/>
    </row>
    <row r="178" spans="9:10" x14ac:dyDescent="0.25">
      <c r="I178" s="37"/>
      <c r="J178" s="35"/>
    </row>
    <row r="179" spans="9:10" x14ac:dyDescent="0.25">
      <c r="I179" s="37"/>
      <c r="J179" s="35"/>
    </row>
    <row r="180" spans="9:10" x14ac:dyDescent="0.25">
      <c r="I180" s="37"/>
      <c r="J180" s="35"/>
    </row>
    <row r="181" spans="9:10" x14ac:dyDescent="0.25">
      <c r="I181" s="37"/>
      <c r="J181" s="35"/>
    </row>
    <row r="182" spans="9:10" x14ac:dyDescent="0.25">
      <c r="I182" s="37"/>
      <c r="J182" s="35"/>
    </row>
    <row r="183" spans="9:10" x14ac:dyDescent="0.25">
      <c r="I183" s="37"/>
      <c r="J183" s="35"/>
    </row>
    <row r="184" spans="9:10" x14ac:dyDescent="0.25">
      <c r="I184" s="37"/>
      <c r="J184" s="35"/>
    </row>
    <row r="185" spans="9:10" x14ac:dyDescent="0.25">
      <c r="I185" s="37"/>
      <c r="J185" s="35"/>
    </row>
    <row r="186" spans="9:10" x14ac:dyDescent="0.25">
      <c r="I186" s="37"/>
      <c r="J186" s="35"/>
    </row>
    <row r="187" spans="9:10" x14ac:dyDescent="0.25">
      <c r="I187" s="37"/>
      <c r="J187" s="35"/>
    </row>
    <row r="188" spans="9:10" x14ac:dyDescent="0.25">
      <c r="I188" s="37"/>
      <c r="J188" s="35"/>
    </row>
    <row r="189" spans="9:10" x14ac:dyDescent="0.25">
      <c r="I189" s="37"/>
      <c r="J189" s="35"/>
    </row>
    <row r="190" spans="9:10" x14ac:dyDescent="0.25">
      <c r="I190" s="37"/>
      <c r="J190" s="35"/>
    </row>
    <row r="191" spans="9:10" x14ac:dyDescent="0.25">
      <c r="I191" s="37"/>
      <c r="J191" s="35"/>
    </row>
    <row r="192" spans="9:10" x14ac:dyDescent="0.25">
      <c r="I192" s="37"/>
      <c r="J192" s="35"/>
    </row>
    <row r="193" spans="9:10" x14ac:dyDescent="0.25">
      <c r="I193" s="37"/>
      <c r="J193" s="35"/>
    </row>
    <row r="194" spans="9:10" x14ac:dyDescent="0.25">
      <c r="I194" s="37"/>
      <c r="J194" s="35"/>
    </row>
    <row r="195" spans="9:10" x14ac:dyDescent="0.25">
      <c r="I195" s="37"/>
      <c r="J195" s="35"/>
    </row>
    <row r="196" spans="9:10" x14ac:dyDescent="0.25">
      <c r="I196" s="37"/>
      <c r="J196" s="35"/>
    </row>
    <row r="197" spans="9:10" x14ac:dyDescent="0.25">
      <c r="I197" s="37"/>
      <c r="J197" s="35"/>
    </row>
    <row r="198" spans="9:10" x14ac:dyDescent="0.25">
      <c r="I198" s="37"/>
      <c r="J198" s="35"/>
    </row>
    <row r="199" spans="9:10" x14ac:dyDescent="0.25">
      <c r="I199" s="37"/>
      <c r="J199" s="35"/>
    </row>
    <row r="200" spans="9:10" x14ac:dyDescent="0.25">
      <c r="I200" s="37"/>
      <c r="J200" s="35"/>
    </row>
    <row r="201" spans="9:10" x14ac:dyDescent="0.25">
      <c r="I201" s="37"/>
      <c r="J201" s="35"/>
    </row>
    <row r="202" spans="9:10" x14ac:dyDescent="0.25">
      <c r="I202" s="37"/>
      <c r="J202" s="35"/>
    </row>
    <row r="203" spans="9:10" x14ac:dyDescent="0.25">
      <c r="I203" s="37"/>
      <c r="J203" s="35"/>
    </row>
    <row r="204" spans="9:10" x14ac:dyDescent="0.25">
      <c r="I204" s="37"/>
      <c r="J204" s="35"/>
    </row>
    <row r="205" spans="9:10" x14ac:dyDescent="0.25">
      <c r="I205" s="37"/>
      <c r="J205" s="35"/>
    </row>
    <row r="206" spans="9:10" x14ac:dyDescent="0.25">
      <c r="I206" s="37"/>
      <c r="J206" s="35"/>
    </row>
    <row r="207" spans="9:10" x14ac:dyDescent="0.25">
      <c r="I207" s="37"/>
      <c r="J207" s="35"/>
    </row>
    <row r="208" spans="9:10" x14ac:dyDescent="0.25">
      <c r="I208" s="37"/>
      <c r="J208" s="35"/>
    </row>
    <row r="209" spans="9:10" x14ac:dyDescent="0.25">
      <c r="I209" s="37"/>
      <c r="J209" s="35"/>
    </row>
    <row r="210" spans="9:10" x14ac:dyDescent="0.25">
      <c r="I210" s="37"/>
      <c r="J210" s="35"/>
    </row>
    <row r="211" spans="9:10" x14ac:dyDescent="0.25">
      <c r="I211" s="37"/>
      <c r="J211" s="35"/>
    </row>
    <row r="212" spans="9:10" x14ac:dyDescent="0.25">
      <c r="I212" s="37"/>
      <c r="J212" s="35"/>
    </row>
    <row r="213" spans="9:10" x14ac:dyDescent="0.25">
      <c r="I213" s="37"/>
      <c r="J213" s="35"/>
    </row>
    <row r="214" spans="9:10" x14ac:dyDescent="0.25">
      <c r="I214" s="37"/>
      <c r="J214" s="35"/>
    </row>
    <row r="215" spans="9:10" x14ac:dyDescent="0.25">
      <c r="I215" s="37"/>
      <c r="J215" s="35"/>
    </row>
    <row r="216" spans="9:10" x14ac:dyDescent="0.25">
      <c r="I216" s="37"/>
      <c r="J216" s="35"/>
    </row>
    <row r="217" spans="9:10" x14ac:dyDescent="0.25">
      <c r="I217" s="37"/>
      <c r="J217" s="35"/>
    </row>
    <row r="218" spans="9:10" x14ac:dyDescent="0.25">
      <c r="I218" s="37"/>
      <c r="J218" s="35"/>
    </row>
    <row r="219" spans="9:10" x14ac:dyDescent="0.25">
      <c r="I219" s="37"/>
      <c r="J219" s="35"/>
    </row>
    <row r="220" spans="9:10" x14ac:dyDescent="0.25">
      <c r="I220" s="37"/>
      <c r="J220" s="35"/>
    </row>
    <row r="221" spans="9:10" x14ac:dyDescent="0.25">
      <c r="I221" s="37"/>
      <c r="J221" s="35"/>
    </row>
    <row r="222" spans="9:10" x14ac:dyDescent="0.25">
      <c r="I222" s="37"/>
      <c r="J222" s="35"/>
    </row>
    <row r="223" spans="9:10" x14ac:dyDescent="0.25">
      <c r="I223" s="37"/>
      <c r="J223" s="35"/>
    </row>
    <row r="224" spans="9:10" x14ac:dyDescent="0.25">
      <c r="I224" s="37"/>
      <c r="J224" s="35"/>
    </row>
    <row r="225" spans="9:10" x14ac:dyDescent="0.25">
      <c r="I225" s="37"/>
      <c r="J225" s="35"/>
    </row>
    <row r="226" spans="9:10" x14ac:dyDescent="0.25">
      <c r="I226" s="37"/>
      <c r="J226" s="35"/>
    </row>
    <row r="227" spans="9:10" x14ac:dyDescent="0.25">
      <c r="I227" s="37"/>
      <c r="J227" s="35"/>
    </row>
    <row r="228" spans="9:10" x14ac:dyDescent="0.25">
      <c r="I228" s="37"/>
      <c r="J228" s="35"/>
    </row>
    <row r="229" spans="9:10" x14ac:dyDescent="0.25">
      <c r="I229" s="37"/>
      <c r="J229" s="35"/>
    </row>
    <row r="230" spans="9:10" x14ac:dyDescent="0.25">
      <c r="I230" s="37"/>
      <c r="J230" s="35"/>
    </row>
    <row r="231" spans="9:10" x14ac:dyDescent="0.25">
      <c r="I231" s="37"/>
      <c r="J231" s="35"/>
    </row>
    <row r="232" spans="9:10" x14ac:dyDescent="0.25">
      <c r="I232" s="37"/>
      <c r="J232" s="35"/>
    </row>
    <row r="233" spans="9:10" x14ac:dyDescent="0.25">
      <c r="I233" s="37"/>
      <c r="J233" s="35"/>
    </row>
    <row r="234" spans="9:10" x14ac:dyDescent="0.25">
      <c r="I234" s="37"/>
      <c r="J234" s="35"/>
    </row>
    <row r="235" spans="9:10" x14ac:dyDescent="0.25">
      <c r="I235" s="37"/>
      <c r="J235" s="35"/>
    </row>
    <row r="236" spans="9:10" x14ac:dyDescent="0.25">
      <c r="I236" s="37"/>
      <c r="J236" s="35"/>
    </row>
    <row r="237" spans="9:10" x14ac:dyDescent="0.25">
      <c r="I237" s="37"/>
      <c r="J237" s="35"/>
    </row>
    <row r="238" spans="9:10" x14ac:dyDescent="0.25">
      <c r="I238" s="37"/>
      <c r="J238" s="35"/>
    </row>
    <row r="239" spans="9:10" x14ac:dyDescent="0.25">
      <c r="I239" s="37"/>
      <c r="J239" s="35"/>
    </row>
    <row r="240" spans="9:10" x14ac:dyDescent="0.25">
      <c r="I240" s="37"/>
      <c r="J240" s="35"/>
    </row>
    <row r="241" spans="9:10" x14ac:dyDescent="0.25">
      <c r="I241" s="37"/>
      <c r="J241" s="35"/>
    </row>
    <row r="242" spans="9:10" x14ac:dyDescent="0.25">
      <c r="I242" s="37"/>
      <c r="J242" s="35"/>
    </row>
    <row r="243" spans="9:10" x14ac:dyDescent="0.25">
      <c r="I243" s="37"/>
      <c r="J243" s="35"/>
    </row>
    <row r="244" spans="9:10" x14ac:dyDescent="0.25">
      <c r="I244" s="37"/>
      <c r="J244" s="35"/>
    </row>
    <row r="245" spans="9:10" x14ac:dyDescent="0.25">
      <c r="I245" s="37"/>
      <c r="J245" s="35"/>
    </row>
    <row r="246" spans="9:10" x14ac:dyDescent="0.25">
      <c r="I246" s="37"/>
      <c r="J246" s="35"/>
    </row>
    <row r="247" spans="9:10" x14ac:dyDescent="0.25">
      <c r="I247" s="37"/>
      <c r="J247" s="35"/>
    </row>
    <row r="248" spans="9:10" x14ac:dyDescent="0.25">
      <c r="I248" s="37"/>
      <c r="J248" s="35"/>
    </row>
    <row r="249" spans="9:10" x14ac:dyDescent="0.25">
      <c r="I249" s="37"/>
      <c r="J249" s="35"/>
    </row>
    <row r="250" spans="9:10" x14ac:dyDescent="0.25">
      <c r="I250" s="37"/>
      <c r="J250" s="35"/>
    </row>
    <row r="251" spans="9:10" x14ac:dyDescent="0.25">
      <c r="I251" s="37"/>
      <c r="J251" s="35"/>
    </row>
    <row r="252" spans="9:10" x14ac:dyDescent="0.25">
      <c r="I252" s="37"/>
      <c r="J252" s="35"/>
    </row>
    <row r="253" spans="9:10" x14ac:dyDescent="0.25">
      <c r="I253" s="37"/>
      <c r="J253" s="35"/>
    </row>
    <row r="254" spans="9:10" x14ac:dyDescent="0.25">
      <c r="I254" s="37"/>
      <c r="J254" s="35"/>
    </row>
    <row r="255" spans="9:10" x14ac:dyDescent="0.25">
      <c r="I255" s="37"/>
      <c r="J255" s="35"/>
    </row>
    <row r="256" spans="9:10" x14ac:dyDescent="0.25">
      <c r="I256" s="37"/>
      <c r="J256" s="35"/>
    </row>
    <row r="257" spans="9:10" x14ac:dyDescent="0.25">
      <c r="I257" s="37"/>
      <c r="J257" s="35"/>
    </row>
    <row r="258" spans="9:10" x14ac:dyDescent="0.25">
      <c r="I258" s="37"/>
      <c r="J258" s="35"/>
    </row>
    <row r="259" spans="9:10" x14ac:dyDescent="0.25">
      <c r="I259" s="37"/>
      <c r="J259" s="35"/>
    </row>
    <row r="260" spans="9:10" x14ac:dyDescent="0.25">
      <c r="I260" s="37"/>
      <c r="J260" s="35"/>
    </row>
    <row r="261" spans="9:10" x14ac:dyDescent="0.25">
      <c r="I261" s="37"/>
      <c r="J261" s="35"/>
    </row>
    <row r="262" spans="9:10" x14ac:dyDescent="0.25">
      <c r="I262" s="37"/>
      <c r="J262" s="35"/>
    </row>
    <row r="263" spans="9:10" x14ac:dyDescent="0.25">
      <c r="I263" s="37"/>
      <c r="J263" s="35"/>
    </row>
    <row r="264" spans="9:10" x14ac:dyDescent="0.25">
      <c r="I264" s="37"/>
      <c r="J264" s="35"/>
    </row>
    <row r="265" spans="9:10" x14ac:dyDescent="0.25">
      <c r="I265" s="37"/>
      <c r="J265" s="35"/>
    </row>
    <row r="266" spans="9:10" x14ac:dyDescent="0.25">
      <c r="I266" s="37"/>
      <c r="J266" s="35"/>
    </row>
    <row r="267" spans="9:10" x14ac:dyDescent="0.25">
      <c r="I267" s="37"/>
      <c r="J267" s="35"/>
    </row>
    <row r="268" spans="9:10" x14ac:dyDescent="0.25">
      <c r="I268" s="37"/>
      <c r="J268" s="35"/>
    </row>
    <row r="269" spans="9:10" x14ac:dyDescent="0.25">
      <c r="I269" s="37"/>
      <c r="J269" s="35"/>
    </row>
    <row r="270" spans="9:10" x14ac:dyDescent="0.25">
      <c r="I270" s="37"/>
      <c r="J270" s="35"/>
    </row>
    <row r="271" spans="9:10" x14ac:dyDescent="0.25">
      <c r="I271" s="37"/>
      <c r="J271" s="35"/>
    </row>
    <row r="272" spans="9:10" x14ac:dyDescent="0.25">
      <c r="I272" s="37"/>
      <c r="J272" s="35"/>
    </row>
    <row r="273" spans="9:10" x14ac:dyDescent="0.25">
      <c r="I273" s="37"/>
      <c r="J273" s="35"/>
    </row>
    <row r="274" spans="9:10" x14ac:dyDescent="0.25">
      <c r="I274" s="37"/>
      <c r="J274" s="35"/>
    </row>
    <row r="275" spans="9:10" x14ac:dyDescent="0.25">
      <c r="I275" s="37"/>
      <c r="J275" s="35"/>
    </row>
    <row r="276" spans="9:10" x14ac:dyDescent="0.25">
      <c r="I276" s="37"/>
      <c r="J276" s="35"/>
    </row>
    <row r="277" spans="9:10" x14ac:dyDescent="0.25">
      <c r="I277" s="37"/>
      <c r="J277" s="35"/>
    </row>
    <row r="278" spans="9:10" x14ac:dyDescent="0.25">
      <c r="I278" s="37"/>
      <c r="J278" s="35"/>
    </row>
    <row r="279" spans="9:10" x14ac:dyDescent="0.25">
      <c r="I279" s="37"/>
      <c r="J279" s="35"/>
    </row>
    <row r="280" spans="9:10" x14ac:dyDescent="0.25">
      <c r="I280" s="37"/>
      <c r="J280" s="35"/>
    </row>
    <row r="281" spans="9:10" x14ac:dyDescent="0.25">
      <c r="I281" s="37"/>
      <c r="J281" s="35"/>
    </row>
    <row r="282" spans="9:10" x14ac:dyDescent="0.25">
      <c r="I282" s="37"/>
      <c r="J282" s="35"/>
    </row>
    <row r="283" spans="9:10" x14ac:dyDescent="0.25">
      <c r="I283" s="37"/>
      <c r="J283" s="35"/>
    </row>
    <row r="284" spans="9:10" x14ac:dyDescent="0.25">
      <c r="I284" s="37"/>
      <c r="J284" s="35"/>
    </row>
    <row r="285" spans="9:10" x14ac:dyDescent="0.25">
      <c r="I285" s="37"/>
      <c r="J285" s="35"/>
    </row>
    <row r="286" spans="9:10" x14ac:dyDescent="0.25">
      <c r="I286" s="37"/>
      <c r="J286" s="35"/>
    </row>
    <row r="287" spans="9:10" x14ac:dyDescent="0.25">
      <c r="I287" s="37"/>
      <c r="J287" s="35"/>
    </row>
    <row r="288" spans="9:10" x14ac:dyDescent="0.25">
      <c r="I288" s="37"/>
      <c r="J288" s="35"/>
    </row>
    <row r="289" spans="9:10" x14ac:dyDescent="0.25">
      <c r="I289" s="37"/>
      <c r="J289" s="35"/>
    </row>
    <row r="290" spans="9:10" x14ac:dyDescent="0.25">
      <c r="I290" s="37"/>
      <c r="J290" s="35"/>
    </row>
    <row r="291" spans="9:10" x14ac:dyDescent="0.25">
      <c r="I291" s="37"/>
      <c r="J291" s="35"/>
    </row>
    <row r="292" spans="9:10" x14ac:dyDescent="0.25">
      <c r="I292" s="37"/>
      <c r="J292" s="35"/>
    </row>
    <row r="293" spans="9:10" x14ac:dyDescent="0.25">
      <c r="I293" s="37"/>
      <c r="J293" s="35"/>
    </row>
    <row r="294" spans="9:10" x14ac:dyDescent="0.25">
      <c r="I294" s="37"/>
      <c r="J294" s="35"/>
    </row>
    <row r="295" spans="9:10" x14ac:dyDescent="0.25">
      <c r="I295" s="37"/>
      <c r="J295" s="35"/>
    </row>
    <row r="296" spans="9:10" x14ac:dyDescent="0.25">
      <c r="I296" s="37"/>
      <c r="J296" s="35"/>
    </row>
    <row r="297" spans="9:10" x14ac:dyDescent="0.25">
      <c r="I297" s="37"/>
      <c r="J297" s="35"/>
    </row>
    <row r="298" spans="9:10" x14ac:dyDescent="0.25">
      <c r="I298" s="37"/>
      <c r="J298" s="35"/>
    </row>
    <row r="299" spans="9:10" x14ac:dyDescent="0.25">
      <c r="I299" s="37"/>
      <c r="J299" s="35"/>
    </row>
    <row r="300" spans="9:10" x14ac:dyDescent="0.25">
      <c r="I300" s="37"/>
      <c r="J300" s="35"/>
    </row>
    <row r="301" spans="9:10" x14ac:dyDescent="0.25">
      <c r="I301" s="37"/>
      <c r="J301" s="35"/>
    </row>
    <row r="302" spans="9:10" x14ac:dyDescent="0.25">
      <c r="I302" s="37"/>
      <c r="J302" s="35"/>
    </row>
    <row r="303" spans="9:10" x14ac:dyDescent="0.25">
      <c r="I303" s="37"/>
      <c r="J303" s="35"/>
    </row>
    <row r="304" spans="9:10" x14ac:dyDescent="0.25">
      <c r="I304" s="37"/>
      <c r="J304" s="35"/>
    </row>
    <row r="305" spans="9:12" x14ac:dyDescent="0.25">
      <c r="I305" s="37"/>
      <c r="J305" s="35"/>
    </row>
    <row r="306" spans="9:12" x14ac:dyDescent="0.25">
      <c r="I306" s="37"/>
      <c r="J306" s="35"/>
    </row>
    <row r="307" spans="9:12" x14ac:dyDescent="0.25">
      <c r="I307" s="37"/>
      <c r="J307" s="35"/>
    </row>
    <row r="308" spans="9:12" x14ac:dyDescent="0.25">
      <c r="I308" s="37"/>
      <c r="J308" s="35"/>
    </row>
    <row r="309" spans="9:12" x14ac:dyDescent="0.25">
      <c r="I309" s="37"/>
      <c r="J309" s="35"/>
    </row>
    <row r="310" spans="9:12" x14ac:dyDescent="0.25">
      <c r="I310" s="37"/>
      <c r="J310" s="35"/>
    </row>
    <row r="311" spans="9:12" x14ac:dyDescent="0.25">
      <c r="I311" s="37"/>
      <c r="J311" s="35"/>
      <c r="L311" s="36"/>
    </row>
    <row r="312" spans="9:12" x14ac:dyDescent="0.25">
      <c r="I312" s="37"/>
      <c r="J312" s="35"/>
    </row>
    <row r="313" spans="9:12" x14ac:dyDescent="0.25">
      <c r="I313" s="37"/>
      <c r="J313" s="35"/>
    </row>
    <row r="314" spans="9:12" x14ac:dyDescent="0.25">
      <c r="I314" s="37"/>
      <c r="J314" s="35"/>
    </row>
    <row r="315" spans="9:12" x14ac:dyDescent="0.25">
      <c r="I315" s="37"/>
      <c r="J315" s="35"/>
    </row>
    <row r="316" spans="9:12" x14ac:dyDescent="0.25">
      <c r="I316" s="37"/>
      <c r="J316" s="35"/>
    </row>
    <row r="317" spans="9:12" x14ac:dyDescent="0.25">
      <c r="I317" s="37"/>
      <c r="J317" s="35"/>
    </row>
    <row r="318" spans="9:12" x14ac:dyDescent="0.25">
      <c r="I318" s="37"/>
      <c r="J318" s="35"/>
    </row>
    <row r="319" spans="9:12" x14ac:dyDescent="0.25">
      <c r="I319" s="37"/>
      <c r="J319" s="35"/>
    </row>
    <row r="320" spans="9:12" x14ac:dyDescent="0.25">
      <c r="I320" s="37"/>
      <c r="J320" s="35"/>
    </row>
    <row r="321" spans="9:10" x14ac:dyDescent="0.25">
      <c r="I321" s="37"/>
      <c r="J321" s="35"/>
    </row>
    <row r="322" spans="9:10" x14ac:dyDescent="0.25">
      <c r="I322" s="37"/>
      <c r="J322" s="35"/>
    </row>
    <row r="323" spans="9:10" x14ac:dyDescent="0.25">
      <c r="I323" s="37"/>
      <c r="J323" s="35"/>
    </row>
    <row r="324" spans="9:10" x14ac:dyDescent="0.25">
      <c r="I324" s="37"/>
      <c r="J324" s="35"/>
    </row>
    <row r="325" spans="9:10" x14ac:dyDescent="0.25">
      <c r="I325" s="37"/>
      <c r="J325" s="35"/>
    </row>
    <row r="326" spans="9:10" x14ac:dyDescent="0.25">
      <c r="I326" s="37"/>
      <c r="J326" s="35"/>
    </row>
    <row r="327" spans="9:10" x14ac:dyDescent="0.25">
      <c r="I327" s="37"/>
      <c r="J327" s="35"/>
    </row>
    <row r="328" spans="9:10" x14ac:dyDescent="0.25">
      <c r="I328" s="37"/>
      <c r="J328" s="35"/>
    </row>
    <row r="329" spans="9:10" x14ac:dyDescent="0.25">
      <c r="I329" s="37"/>
      <c r="J329" s="35"/>
    </row>
    <row r="330" spans="9:10" x14ac:dyDescent="0.25">
      <c r="I330" s="37"/>
      <c r="J330" s="35"/>
    </row>
    <row r="331" spans="9:10" x14ac:dyDescent="0.25">
      <c r="I331" s="37"/>
      <c r="J331" s="35"/>
    </row>
    <row r="332" spans="9:10" x14ac:dyDescent="0.25">
      <c r="I332" s="37"/>
      <c r="J332" s="35"/>
    </row>
    <row r="333" spans="9:10" x14ac:dyDescent="0.25">
      <c r="I333" s="37"/>
      <c r="J333" s="35"/>
    </row>
    <row r="334" spans="9:10" x14ac:dyDescent="0.25">
      <c r="I334" s="37"/>
      <c r="J334" s="35"/>
    </row>
    <row r="335" spans="9:10" x14ac:dyDescent="0.25">
      <c r="I335" s="37"/>
      <c r="J335" s="35"/>
    </row>
    <row r="336" spans="9:10" x14ac:dyDescent="0.25">
      <c r="I336" s="37"/>
      <c r="J336" s="35"/>
    </row>
    <row r="337" spans="9:10" x14ac:dyDescent="0.25">
      <c r="I337" s="37"/>
      <c r="J337" s="35"/>
    </row>
    <row r="338" spans="9:10" x14ac:dyDescent="0.25">
      <c r="I338" s="37"/>
      <c r="J338" s="35"/>
    </row>
    <row r="339" spans="9:10" x14ac:dyDescent="0.25">
      <c r="I339" s="37"/>
      <c r="J339" s="35"/>
    </row>
    <row r="340" spans="9:10" x14ac:dyDescent="0.25">
      <c r="I340" s="37"/>
      <c r="J340" s="35"/>
    </row>
    <row r="341" spans="9:10" x14ac:dyDescent="0.25">
      <c r="I341" s="37"/>
      <c r="J341" s="35"/>
    </row>
    <row r="342" spans="9:10" x14ac:dyDescent="0.25">
      <c r="I342" s="37"/>
      <c r="J342" s="35"/>
    </row>
    <row r="343" spans="9:10" x14ac:dyDescent="0.25">
      <c r="I343" s="37"/>
      <c r="J343" s="35"/>
    </row>
    <row r="344" spans="9:10" x14ac:dyDescent="0.25">
      <c r="I344" s="37"/>
      <c r="J344" s="35"/>
    </row>
    <row r="345" spans="9:10" x14ac:dyDescent="0.25">
      <c r="I345" s="37"/>
      <c r="J345" s="35"/>
    </row>
    <row r="346" spans="9:10" x14ac:dyDescent="0.25">
      <c r="I346" s="37"/>
      <c r="J346" s="35"/>
    </row>
    <row r="347" spans="9:10" x14ac:dyDescent="0.25">
      <c r="I347" s="37"/>
      <c r="J347" s="35"/>
    </row>
    <row r="348" spans="9:10" x14ac:dyDescent="0.25">
      <c r="I348" s="37"/>
      <c r="J348" s="35"/>
    </row>
    <row r="349" spans="9:10" x14ac:dyDescent="0.25">
      <c r="I349" s="37"/>
      <c r="J349" s="35"/>
    </row>
    <row r="350" spans="9:10" x14ac:dyDescent="0.25">
      <c r="I350" s="37"/>
      <c r="J350" s="35"/>
    </row>
    <row r="351" spans="9:10" x14ac:dyDescent="0.25">
      <c r="I351" s="37"/>
      <c r="J351" s="35"/>
    </row>
    <row r="352" spans="9:10" x14ac:dyDescent="0.25">
      <c r="I352" s="37"/>
      <c r="J352" s="35"/>
    </row>
    <row r="353" spans="9:10" x14ac:dyDescent="0.25">
      <c r="I353" s="37"/>
      <c r="J353" s="35"/>
    </row>
    <row r="354" spans="9:10" x14ac:dyDescent="0.25">
      <c r="I354" s="37"/>
      <c r="J354" s="35"/>
    </row>
    <row r="355" spans="9:10" x14ac:dyDescent="0.25">
      <c r="I355" s="37"/>
      <c r="J355" s="35"/>
    </row>
    <row r="356" spans="9:10" x14ac:dyDescent="0.25">
      <c r="I356" s="37"/>
      <c r="J356" s="35"/>
    </row>
    <row r="357" spans="9:10" x14ac:dyDescent="0.25">
      <c r="I357" s="37"/>
      <c r="J357" s="35"/>
    </row>
    <row r="358" spans="9:10" x14ac:dyDescent="0.25">
      <c r="I358" s="37"/>
      <c r="J358" s="35"/>
    </row>
    <row r="359" spans="9:10" x14ac:dyDescent="0.25">
      <c r="I359" s="37"/>
      <c r="J359" s="35"/>
    </row>
    <row r="360" spans="9:10" x14ac:dyDescent="0.25">
      <c r="I360" s="37"/>
      <c r="J360" s="35"/>
    </row>
    <row r="361" spans="9:10" x14ac:dyDescent="0.25">
      <c r="I361" s="37"/>
      <c r="J361" s="35"/>
    </row>
    <row r="362" spans="9:10" x14ac:dyDescent="0.25">
      <c r="I362" s="37"/>
      <c r="J362" s="35"/>
    </row>
    <row r="363" spans="9:10" x14ac:dyDescent="0.25">
      <c r="I363" s="37"/>
      <c r="J363" s="35"/>
    </row>
    <row r="364" spans="9:10" x14ac:dyDescent="0.25">
      <c r="I364" s="37"/>
      <c r="J364" s="35"/>
    </row>
    <row r="365" spans="9:10" x14ac:dyDescent="0.25">
      <c r="I365" s="37"/>
      <c r="J365" s="35"/>
    </row>
    <row r="366" spans="9:10" x14ac:dyDescent="0.25">
      <c r="I366" s="37"/>
      <c r="J366" s="35"/>
    </row>
    <row r="367" spans="9:10" x14ac:dyDescent="0.25">
      <c r="I367" s="37"/>
      <c r="J367" s="35"/>
    </row>
    <row r="368" spans="9:10" x14ac:dyDescent="0.25">
      <c r="I368" s="37"/>
      <c r="J368" s="35"/>
    </row>
    <row r="369" spans="9:10" x14ac:dyDescent="0.25">
      <c r="I369" s="37"/>
      <c r="J369" s="35"/>
    </row>
    <row r="370" spans="9:10" x14ac:dyDescent="0.25">
      <c r="I370" s="37"/>
      <c r="J370" s="35"/>
    </row>
    <row r="371" spans="9:10" x14ac:dyDescent="0.25">
      <c r="I371" s="37"/>
      <c r="J371" s="35"/>
    </row>
    <row r="372" spans="9:10" x14ac:dyDescent="0.25">
      <c r="I372" s="37"/>
      <c r="J372" s="35"/>
    </row>
    <row r="373" spans="9:10" x14ac:dyDescent="0.25">
      <c r="I373" s="37"/>
      <c r="J373" s="35"/>
    </row>
    <row r="374" spans="9:10" x14ac:dyDescent="0.25">
      <c r="I374" s="37"/>
      <c r="J374" s="35"/>
    </row>
    <row r="375" spans="9:10" x14ac:dyDescent="0.25">
      <c r="I375" s="37"/>
      <c r="J375" s="35"/>
    </row>
    <row r="376" spans="9:10" x14ac:dyDescent="0.25">
      <c r="I376" s="37"/>
      <c r="J376" s="35"/>
    </row>
    <row r="377" spans="9:10" x14ac:dyDescent="0.25">
      <c r="I377" s="37"/>
      <c r="J377" s="35"/>
    </row>
    <row r="378" spans="9:10" x14ac:dyDescent="0.25">
      <c r="I378" s="37"/>
      <c r="J378" s="35"/>
    </row>
    <row r="379" spans="9:10" x14ac:dyDescent="0.25">
      <c r="I379" s="37"/>
      <c r="J379" s="35"/>
    </row>
    <row r="380" spans="9:10" x14ac:dyDescent="0.25">
      <c r="I380" s="37"/>
      <c r="J380" s="35"/>
    </row>
    <row r="381" spans="9:10" x14ac:dyDescent="0.25">
      <c r="I381" s="37"/>
      <c r="J381" s="35"/>
    </row>
    <row r="382" spans="9:10" x14ac:dyDescent="0.25">
      <c r="I382" s="37"/>
      <c r="J382" s="35"/>
    </row>
    <row r="383" spans="9:10" x14ac:dyDescent="0.25">
      <c r="I383" s="37"/>
      <c r="J383" s="35"/>
    </row>
    <row r="384" spans="9:10" x14ac:dyDescent="0.25">
      <c r="I384" s="37"/>
      <c r="J384" s="35"/>
    </row>
    <row r="385" spans="9:10" x14ac:dyDescent="0.25">
      <c r="I385" s="37"/>
      <c r="J385" s="35"/>
    </row>
    <row r="386" spans="9:10" x14ac:dyDescent="0.25">
      <c r="I386" s="37"/>
      <c r="J386" s="35"/>
    </row>
    <row r="387" spans="9:10" x14ac:dyDescent="0.25">
      <c r="I387" s="37"/>
      <c r="J387" s="35"/>
    </row>
    <row r="388" spans="9:10" x14ac:dyDescent="0.25">
      <c r="I388" s="37"/>
      <c r="J388" s="35"/>
    </row>
    <row r="389" spans="9:10" x14ac:dyDescent="0.25">
      <c r="I389" s="37"/>
      <c r="J389" s="35"/>
    </row>
    <row r="390" spans="9:10" x14ac:dyDescent="0.25">
      <c r="I390" s="37"/>
      <c r="J390" s="35"/>
    </row>
    <row r="391" spans="9:10" x14ac:dyDescent="0.25">
      <c r="I391" s="37"/>
      <c r="J391" s="35"/>
    </row>
    <row r="392" spans="9:10" x14ac:dyDescent="0.25">
      <c r="I392" s="37"/>
      <c r="J392" s="35"/>
    </row>
    <row r="393" spans="9:10" x14ac:dyDescent="0.25">
      <c r="I393" s="37"/>
      <c r="J393" s="35"/>
    </row>
    <row r="394" spans="9:10" x14ac:dyDescent="0.25">
      <c r="I394" s="37"/>
      <c r="J394" s="35"/>
    </row>
    <row r="395" spans="9:10" x14ac:dyDescent="0.25">
      <c r="I395" s="37"/>
      <c r="J395" s="35"/>
    </row>
    <row r="396" spans="9:10" x14ac:dyDescent="0.25">
      <c r="I396" s="37"/>
      <c r="J396" s="35"/>
    </row>
    <row r="397" spans="9:10" x14ac:dyDescent="0.25">
      <c r="I397" s="37"/>
      <c r="J397" s="35"/>
    </row>
    <row r="398" spans="9:10" x14ac:dyDescent="0.25">
      <c r="I398" s="37"/>
      <c r="J398" s="35"/>
    </row>
    <row r="399" spans="9:10" x14ac:dyDescent="0.25">
      <c r="I399" s="37"/>
      <c r="J399" s="35"/>
    </row>
    <row r="400" spans="9:10" x14ac:dyDescent="0.25">
      <c r="I400" s="37"/>
      <c r="J400" s="35"/>
    </row>
    <row r="401" spans="9:10" x14ac:dyDescent="0.25">
      <c r="I401" s="37"/>
      <c r="J401" s="35"/>
    </row>
    <row r="402" spans="9:10" x14ac:dyDescent="0.25">
      <c r="I402" s="37"/>
      <c r="J402" s="35"/>
    </row>
    <row r="403" spans="9:10" x14ac:dyDescent="0.25">
      <c r="I403" s="37"/>
      <c r="J403" s="35"/>
    </row>
    <row r="404" spans="9:10" x14ac:dyDescent="0.25">
      <c r="I404" s="37"/>
      <c r="J404" s="35"/>
    </row>
    <row r="405" spans="9:10" x14ac:dyDescent="0.25">
      <c r="I405" s="37"/>
      <c r="J405" s="35"/>
    </row>
    <row r="406" spans="9:10" x14ac:dyDescent="0.25">
      <c r="I406" s="37"/>
      <c r="J406" s="35"/>
    </row>
    <row r="407" spans="9:10" x14ac:dyDescent="0.25">
      <c r="I407" s="37"/>
      <c r="J407" s="35"/>
    </row>
    <row r="408" spans="9:10" x14ac:dyDescent="0.25">
      <c r="I408" s="37"/>
      <c r="J408" s="35"/>
    </row>
    <row r="409" spans="9:10" x14ac:dyDescent="0.25">
      <c r="I409" s="37"/>
      <c r="J409" s="35"/>
    </row>
    <row r="410" spans="9:10" x14ac:dyDescent="0.25">
      <c r="I410" s="37"/>
      <c r="J410" s="35"/>
    </row>
    <row r="411" spans="9:10" x14ac:dyDescent="0.25">
      <c r="I411" s="37"/>
      <c r="J411" s="35"/>
    </row>
    <row r="412" spans="9:10" x14ac:dyDescent="0.25">
      <c r="I412" s="37"/>
      <c r="J412" s="35"/>
    </row>
    <row r="413" spans="9:10" x14ac:dyDescent="0.25">
      <c r="I413" s="37"/>
      <c r="J413" s="35"/>
    </row>
    <row r="414" spans="9:10" x14ac:dyDescent="0.25">
      <c r="I414" s="37"/>
      <c r="J414" s="35"/>
    </row>
    <row r="415" spans="9:10" x14ac:dyDescent="0.25">
      <c r="I415" s="37"/>
      <c r="J415" s="35"/>
    </row>
    <row r="416" spans="9:10" x14ac:dyDescent="0.25">
      <c r="I416" s="37"/>
      <c r="J416" s="35"/>
    </row>
    <row r="417" spans="9:10" x14ac:dyDescent="0.25">
      <c r="I417" s="37"/>
      <c r="J417" s="35"/>
    </row>
    <row r="418" spans="9:10" x14ac:dyDescent="0.25">
      <c r="I418" s="37"/>
      <c r="J418" s="35"/>
    </row>
    <row r="419" spans="9:10" x14ac:dyDescent="0.25">
      <c r="I419" s="37"/>
      <c r="J419" s="35"/>
    </row>
    <row r="420" spans="9:10" x14ac:dyDescent="0.25">
      <c r="I420" s="37"/>
      <c r="J420" s="35"/>
    </row>
    <row r="421" spans="9:10" x14ac:dyDescent="0.25">
      <c r="I421" s="37"/>
      <c r="J421" s="35"/>
    </row>
    <row r="422" spans="9:10" x14ac:dyDescent="0.25">
      <c r="I422" s="37"/>
      <c r="J422" s="35"/>
    </row>
    <row r="423" spans="9:10" x14ac:dyDescent="0.25">
      <c r="I423" s="37"/>
      <c r="J423" s="35"/>
    </row>
    <row r="424" spans="9:10" x14ac:dyDescent="0.25">
      <c r="I424" s="37"/>
      <c r="J424" s="35"/>
    </row>
    <row r="425" spans="9:10" x14ac:dyDescent="0.25">
      <c r="I425" s="37"/>
      <c r="J425" s="35"/>
    </row>
    <row r="426" spans="9:10" x14ac:dyDescent="0.25">
      <c r="I426" s="37"/>
      <c r="J426" s="35"/>
    </row>
    <row r="427" spans="9:10" x14ac:dyDescent="0.25">
      <c r="I427" s="37"/>
      <c r="J427" s="35"/>
    </row>
    <row r="428" spans="9:10" x14ac:dyDescent="0.25">
      <c r="I428" s="37"/>
      <c r="J428" s="35"/>
    </row>
    <row r="429" spans="9:10" x14ac:dyDescent="0.25">
      <c r="I429" s="37"/>
      <c r="J429" s="35"/>
    </row>
    <row r="430" spans="9:10" x14ac:dyDescent="0.25">
      <c r="I430" s="37"/>
      <c r="J430" s="35"/>
    </row>
    <row r="431" spans="9:10" x14ac:dyDescent="0.25">
      <c r="I431" s="37"/>
      <c r="J431" s="35"/>
    </row>
    <row r="432" spans="9:10" x14ac:dyDescent="0.25">
      <c r="I432" s="37"/>
      <c r="J432" s="35"/>
    </row>
    <row r="433" spans="9:10" x14ac:dyDescent="0.25">
      <c r="I433" s="37"/>
      <c r="J433" s="35"/>
    </row>
    <row r="434" spans="9:10" x14ac:dyDescent="0.25">
      <c r="I434" s="37"/>
      <c r="J434" s="35"/>
    </row>
    <row r="435" spans="9:10" x14ac:dyDescent="0.25">
      <c r="I435" s="37"/>
      <c r="J435" s="35"/>
    </row>
    <row r="436" spans="9:10" x14ac:dyDescent="0.25">
      <c r="I436" s="37"/>
      <c r="J436" s="35"/>
    </row>
    <row r="437" spans="9:10" x14ac:dyDescent="0.25">
      <c r="I437" s="37"/>
      <c r="J437" s="35"/>
    </row>
    <row r="438" spans="9:10" x14ac:dyDescent="0.25">
      <c r="I438" s="37"/>
      <c r="J438" s="35"/>
    </row>
    <row r="439" spans="9:10" x14ac:dyDescent="0.25">
      <c r="I439" s="37"/>
      <c r="J439" s="35"/>
    </row>
    <row r="440" spans="9:10" x14ac:dyDescent="0.25">
      <c r="I440" s="37"/>
      <c r="J440" s="35"/>
    </row>
    <row r="441" spans="9:10" x14ac:dyDescent="0.25">
      <c r="I441" s="37"/>
      <c r="J441" s="35"/>
    </row>
    <row r="442" spans="9:10" x14ac:dyDescent="0.25">
      <c r="I442" s="37"/>
      <c r="J442" s="35"/>
    </row>
    <row r="443" spans="9:10" x14ac:dyDescent="0.25">
      <c r="I443" s="37"/>
      <c r="J443" s="35"/>
    </row>
    <row r="444" spans="9:10" x14ac:dyDescent="0.25">
      <c r="I444" s="37"/>
      <c r="J444" s="35"/>
    </row>
    <row r="445" spans="9:10" x14ac:dyDescent="0.25">
      <c r="I445" s="37"/>
      <c r="J445" s="35"/>
    </row>
    <row r="446" spans="9:10" x14ac:dyDescent="0.25">
      <c r="I446" s="37"/>
      <c r="J446" s="35"/>
    </row>
    <row r="447" spans="9:10" x14ac:dyDescent="0.25">
      <c r="I447" s="37"/>
      <c r="J447" s="35"/>
    </row>
    <row r="448" spans="9:10" x14ac:dyDescent="0.25">
      <c r="I448" s="37"/>
      <c r="J448" s="35"/>
    </row>
    <row r="449" spans="9:10" x14ac:dyDescent="0.25">
      <c r="I449" s="37"/>
      <c r="J449" s="35"/>
    </row>
    <row r="450" spans="9:10" x14ac:dyDescent="0.25">
      <c r="I450" s="37"/>
      <c r="J450" s="35"/>
    </row>
    <row r="451" spans="9:10" x14ac:dyDescent="0.25">
      <c r="I451" s="37"/>
      <c r="J451" s="35"/>
    </row>
    <row r="452" spans="9:10" x14ac:dyDescent="0.25">
      <c r="I452" s="37"/>
      <c r="J452" s="35"/>
    </row>
    <row r="453" spans="9:10" x14ac:dyDescent="0.25">
      <c r="I453" s="37"/>
      <c r="J453" s="35"/>
    </row>
    <row r="454" spans="9:10" x14ac:dyDescent="0.25">
      <c r="I454" s="37"/>
      <c r="J454" s="35"/>
    </row>
    <row r="455" spans="9:10" x14ac:dyDescent="0.25">
      <c r="I455" s="37"/>
      <c r="J455" s="35"/>
    </row>
    <row r="456" spans="9:10" x14ac:dyDescent="0.25">
      <c r="I456" s="37"/>
      <c r="J456" s="35"/>
    </row>
    <row r="457" spans="9:10" x14ac:dyDescent="0.25">
      <c r="I457" s="37"/>
      <c r="J457" s="35"/>
    </row>
    <row r="458" spans="9:10" x14ac:dyDescent="0.25">
      <c r="I458" s="37"/>
      <c r="J458" s="35"/>
    </row>
    <row r="459" spans="9:10" x14ac:dyDescent="0.25">
      <c r="I459" s="37"/>
      <c r="J459" s="35"/>
    </row>
    <row r="460" spans="9:10" x14ac:dyDescent="0.25">
      <c r="I460" s="37"/>
      <c r="J460" s="35"/>
    </row>
    <row r="461" spans="9:10" x14ac:dyDescent="0.25">
      <c r="I461" s="37"/>
      <c r="J461" s="35"/>
    </row>
    <row r="462" spans="9:10" x14ac:dyDescent="0.25">
      <c r="I462" s="37"/>
      <c r="J462" s="35"/>
    </row>
    <row r="463" spans="9:10" x14ac:dyDescent="0.25">
      <c r="I463" s="37"/>
      <c r="J463" s="35"/>
    </row>
    <row r="464" spans="9:10" x14ac:dyDescent="0.25">
      <c r="I464" s="37"/>
      <c r="J464" s="35"/>
    </row>
    <row r="465" spans="9:10" x14ac:dyDescent="0.25">
      <c r="I465" s="37"/>
      <c r="J465" s="35"/>
    </row>
    <row r="466" spans="9:10" x14ac:dyDescent="0.25">
      <c r="I466" s="37"/>
      <c r="J466" s="35"/>
    </row>
    <row r="467" spans="9:10" x14ac:dyDescent="0.25">
      <c r="I467" s="37"/>
      <c r="J467" s="35"/>
    </row>
    <row r="468" spans="9:10" x14ac:dyDescent="0.25">
      <c r="I468" s="37"/>
      <c r="J468" s="35"/>
    </row>
    <row r="469" spans="9:10" x14ac:dyDescent="0.25">
      <c r="I469" s="37"/>
      <c r="J469" s="35"/>
    </row>
    <row r="470" spans="9:10" x14ac:dyDescent="0.25">
      <c r="I470" s="37"/>
      <c r="J470" s="35"/>
    </row>
    <row r="471" spans="9:10" x14ac:dyDescent="0.25">
      <c r="I471" s="37"/>
      <c r="J471" s="35"/>
    </row>
    <row r="472" spans="9:10" x14ac:dyDescent="0.25">
      <c r="I472" s="37"/>
      <c r="J472" s="35"/>
    </row>
    <row r="473" spans="9:10" x14ac:dyDescent="0.25">
      <c r="I473" s="37"/>
      <c r="J473" s="35"/>
    </row>
    <row r="474" spans="9:10" x14ac:dyDescent="0.25">
      <c r="I474" s="37"/>
      <c r="J474" s="35"/>
    </row>
    <row r="475" spans="9:10" x14ac:dyDescent="0.25">
      <c r="I475" s="37"/>
      <c r="J475" s="35"/>
    </row>
    <row r="476" spans="9:10" x14ac:dyDescent="0.25">
      <c r="I476" s="37"/>
      <c r="J476" s="35"/>
    </row>
    <row r="477" spans="9:10" x14ac:dyDescent="0.25">
      <c r="I477" s="37"/>
      <c r="J477" s="35"/>
    </row>
    <row r="478" spans="9:10" x14ac:dyDescent="0.25">
      <c r="I478" s="37"/>
      <c r="J478" s="35"/>
    </row>
    <row r="479" spans="9:10" x14ac:dyDescent="0.25">
      <c r="I479" s="37"/>
      <c r="J479" s="35"/>
    </row>
    <row r="480" spans="9:10" x14ac:dyDescent="0.25">
      <c r="I480" s="37"/>
      <c r="J480" s="35"/>
    </row>
    <row r="481" spans="9:10" x14ac:dyDescent="0.25">
      <c r="I481" s="37"/>
      <c r="J481" s="35"/>
    </row>
    <row r="482" spans="9:10" x14ac:dyDescent="0.25">
      <c r="I482" s="37"/>
      <c r="J482" s="35"/>
    </row>
    <row r="483" spans="9:10" x14ac:dyDescent="0.25">
      <c r="I483" s="37"/>
      <c r="J483" s="35"/>
    </row>
    <row r="484" spans="9:10" x14ac:dyDescent="0.25">
      <c r="I484" s="37"/>
      <c r="J484" s="35"/>
    </row>
    <row r="485" spans="9:10" x14ac:dyDescent="0.25">
      <c r="I485" s="37"/>
      <c r="J485" s="35"/>
    </row>
    <row r="486" spans="9:10" x14ac:dyDescent="0.25">
      <c r="I486" s="37"/>
      <c r="J486" s="35"/>
    </row>
    <row r="487" spans="9:10" x14ac:dyDescent="0.25">
      <c r="I487" s="37"/>
      <c r="J487" s="35"/>
    </row>
    <row r="488" spans="9:10" x14ac:dyDescent="0.25">
      <c r="I488" s="37"/>
      <c r="J488" s="35"/>
    </row>
    <row r="489" spans="9:10" x14ac:dyDescent="0.25">
      <c r="I489" s="37"/>
      <c r="J489" s="35"/>
    </row>
    <row r="490" spans="9:10" x14ac:dyDescent="0.25">
      <c r="I490" s="37"/>
      <c r="J490" s="35"/>
    </row>
    <row r="491" spans="9:10" x14ac:dyDescent="0.25">
      <c r="I491" s="37"/>
      <c r="J491" s="35"/>
    </row>
    <row r="492" spans="9:10" x14ac:dyDescent="0.25">
      <c r="I492" s="37"/>
      <c r="J492" s="35"/>
    </row>
    <row r="493" spans="9:10" x14ac:dyDescent="0.25">
      <c r="I493" s="37"/>
      <c r="J493" s="35"/>
    </row>
    <row r="494" spans="9:10" x14ac:dyDescent="0.25">
      <c r="I494" s="37"/>
      <c r="J494" s="35"/>
    </row>
    <row r="495" spans="9:10" x14ac:dyDescent="0.25">
      <c r="I495" s="37"/>
      <c r="J495" s="35"/>
    </row>
    <row r="496" spans="9:10" x14ac:dyDescent="0.25">
      <c r="I496" s="37"/>
      <c r="J496" s="35"/>
    </row>
    <row r="497" spans="9:10" x14ac:dyDescent="0.25">
      <c r="I497" s="37"/>
      <c r="J497" s="35"/>
    </row>
    <row r="498" spans="9:10" x14ac:dyDescent="0.25">
      <c r="I498" s="37"/>
      <c r="J498" s="35"/>
    </row>
    <row r="499" spans="9:10" x14ac:dyDescent="0.25">
      <c r="I499" s="37"/>
      <c r="J499" s="35"/>
    </row>
    <row r="500" spans="9:10" x14ac:dyDescent="0.25">
      <c r="I500" s="37"/>
      <c r="J500" s="35"/>
    </row>
    <row r="501" spans="9:10" x14ac:dyDescent="0.25">
      <c r="I501" s="37"/>
      <c r="J501" s="35"/>
    </row>
    <row r="502" spans="9:10" x14ac:dyDescent="0.25">
      <c r="I502" s="37"/>
      <c r="J502" s="35"/>
    </row>
    <row r="503" spans="9:10" x14ac:dyDescent="0.25">
      <c r="I503" s="37"/>
      <c r="J503" s="35"/>
    </row>
    <row r="504" spans="9:10" x14ac:dyDescent="0.25">
      <c r="I504" s="37"/>
      <c r="J504" s="35"/>
    </row>
    <row r="505" spans="9:10" x14ac:dyDescent="0.25">
      <c r="I505" s="37"/>
      <c r="J505" s="35"/>
    </row>
    <row r="506" spans="9:10" x14ac:dyDescent="0.25">
      <c r="I506" s="37"/>
      <c r="J506" s="35"/>
    </row>
    <row r="507" spans="9:10" x14ac:dyDescent="0.25">
      <c r="I507" s="37"/>
      <c r="J507" s="35"/>
    </row>
    <row r="508" spans="9:10" x14ac:dyDescent="0.25">
      <c r="I508" s="37"/>
      <c r="J508" s="35"/>
    </row>
    <row r="509" spans="9:10" x14ac:dyDescent="0.25">
      <c r="I509" s="37"/>
      <c r="J509" s="35"/>
    </row>
    <row r="510" spans="9:10" x14ac:dyDescent="0.25">
      <c r="I510" s="37"/>
      <c r="J510" s="35"/>
    </row>
    <row r="511" spans="9:10" x14ac:dyDescent="0.25">
      <c r="I511" s="37"/>
      <c r="J511" s="35"/>
    </row>
    <row r="512" spans="9:10" x14ac:dyDescent="0.25">
      <c r="I512" s="37"/>
      <c r="J512" s="35"/>
    </row>
    <row r="513" spans="9:10" x14ac:dyDescent="0.25">
      <c r="I513" s="37"/>
      <c r="J513" s="35"/>
    </row>
    <row r="514" spans="9:10" x14ac:dyDescent="0.25">
      <c r="I514" s="37"/>
      <c r="J514" s="35"/>
    </row>
    <row r="515" spans="9:10" x14ac:dyDescent="0.25">
      <c r="I515" s="37"/>
      <c r="J515" s="35"/>
    </row>
    <row r="516" spans="9:10" x14ac:dyDescent="0.25">
      <c r="I516" s="37"/>
      <c r="J516" s="35"/>
    </row>
    <row r="517" spans="9:10" x14ac:dyDescent="0.25">
      <c r="I517" s="37"/>
      <c r="J517" s="35"/>
    </row>
    <row r="518" spans="9:10" x14ac:dyDescent="0.25">
      <c r="I518" s="37"/>
      <c r="J518" s="35"/>
    </row>
    <row r="519" spans="9:10" x14ac:dyDescent="0.25">
      <c r="I519" s="37"/>
      <c r="J519" s="35"/>
    </row>
    <row r="520" spans="9:10" x14ac:dyDescent="0.25">
      <c r="I520" s="37"/>
      <c r="J520" s="35"/>
    </row>
    <row r="521" spans="9:10" x14ac:dyDescent="0.25">
      <c r="I521" s="37"/>
      <c r="J521" s="35"/>
    </row>
    <row r="522" spans="9:10" x14ac:dyDescent="0.25">
      <c r="I522" s="37"/>
      <c r="J522" s="35"/>
    </row>
    <row r="523" spans="9:10" x14ac:dyDescent="0.25">
      <c r="I523" s="37"/>
      <c r="J523" s="35"/>
    </row>
    <row r="524" spans="9:10" x14ac:dyDescent="0.25">
      <c r="I524" s="37"/>
      <c r="J524" s="35"/>
    </row>
    <row r="525" spans="9:10" x14ac:dyDescent="0.25">
      <c r="I525" s="37"/>
      <c r="J525" s="35"/>
    </row>
    <row r="526" spans="9:10" x14ac:dyDescent="0.25">
      <c r="I526" s="37"/>
      <c r="J526" s="35"/>
    </row>
    <row r="527" spans="9:10" x14ac:dyDescent="0.25">
      <c r="I527" s="37"/>
      <c r="J527" s="35"/>
    </row>
    <row r="528" spans="9:10" x14ac:dyDescent="0.25">
      <c r="I528" s="37"/>
      <c r="J528" s="35"/>
    </row>
    <row r="529" spans="9:10" x14ac:dyDescent="0.25">
      <c r="I529" s="37"/>
      <c r="J529" s="35"/>
    </row>
    <row r="530" spans="9:10" x14ac:dyDescent="0.25">
      <c r="I530" s="37"/>
      <c r="J530" s="35"/>
    </row>
    <row r="531" spans="9:10" x14ac:dyDescent="0.25">
      <c r="I531" s="37"/>
      <c r="J531" s="35"/>
    </row>
    <row r="532" spans="9:10" x14ac:dyDescent="0.25">
      <c r="I532" s="37"/>
      <c r="J532" s="35"/>
    </row>
    <row r="533" spans="9:10" x14ac:dyDescent="0.25">
      <c r="I533" s="37"/>
      <c r="J533" s="35"/>
    </row>
    <row r="534" spans="9:10" x14ac:dyDescent="0.25">
      <c r="I534" s="37"/>
      <c r="J534" s="35"/>
    </row>
    <row r="535" spans="9:10" x14ac:dyDescent="0.25">
      <c r="I535" s="37"/>
      <c r="J535" s="35"/>
    </row>
    <row r="536" spans="9:10" x14ac:dyDescent="0.25">
      <c r="I536" s="37"/>
      <c r="J536" s="35"/>
    </row>
    <row r="537" spans="9:10" x14ac:dyDescent="0.25">
      <c r="I537" s="37"/>
      <c r="J537" s="35"/>
    </row>
    <row r="538" spans="9:10" x14ac:dyDescent="0.25">
      <c r="I538" s="37"/>
      <c r="J538" s="35"/>
    </row>
    <row r="539" spans="9:10" x14ac:dyDescent="0.25">
      <c r="I539" s="37"/>
      <c r="J539" s="35"/>
    </row>
    <row r="540" spans="9:10" x14ac:dyDescent="0.25">
      <c r="I540" s="37"/>
      <c r="J540" s="35"/>
    </row>
    <row r="541" spans="9:10" x14ac:dyDescent="0.25">
      <c r="I541" s="37"/>
      <c r="J541" s="35"/>
    </row>
    <row r="542" spans="9:10" x14ac:dyDescent="0.25">
      <c r="I542" s="37"/>
      <c r="J542" s="35"/>
    </row>
    <row r="543" spans="9:10" x14ac:dyDescent="0.25">
      <c r="I543" s="37"/>
      <c r="J543" s="35"/>
    </row>
    <row r="544" spans="9:10" x14ac:dyDescent="0.25">
      <c r="I544" s="37"/>
      <c r="J544" s="35"/>
    </row>
    <row r="545" spans="9:10" x14ac:dyDescent="0.25">
      <c r="I545" s="37"/>
      <c r="J545" s="35"/>
    </row>
    <row r="546" spans="9:10" x14ac:dyDescent="0.25">
      <c r="I546" s="37"/>
      <c r="J546" s="35"/>
    </row>
    <row r="547" spans="9:10" x14ac:dyDescent="0.25">
      <c r="I547" s="37"/>
      <c r="J547" s="35"/>
    </row>
    <row r="548" spans="9:10" x14ac:dyDescent="0.25">
      <c r="I548" s="37"/>
      <c r="J548" s="35"/>
    </row>
    <row r="549" spans="9:10" x14ac:dyDescent="0.25">
      <c r="I549" s="37"/>
      <c r="J549" s="35"/>
    </row>
    <row r="550" spans="9:10" x14ac:dyDescent="0.25">
      <c r="I550" s="37"/>
      <c r="J550" s="35"/>
    </row>
    <row r="551" spans="9:10" x14ac:dyDescent="0.25">
      <c r="I551" s="37"/>
      <c r="J551" s="35"/>
    </row>
    <row r="552" spans="9:10" x14ac:dyDescent="0.25">
      <c r="I552" s="37"/>
      <c r="J552" s="35"/>
    </row>
    <row r="553" spans="9:10" x14ac:dyDescent="0.25">
      <c r="I553" s="37"/>
      <c r="J553" s="35"/>
    </row>
    <row r="554" spans="9:10" x14ac:dyDescent="0.25">
      <c r="I554" s="37"/>
      <c r="J554" s="35"/>
    </row>
    <row r="555" spans="9:10" x14ac:dyDescent="0.25">
      <c r="I555" s="37"/>
      <c r="J555" s="35"/>
    </row>
    <row r="556" spans="9:10" x14ac:dyDescent="0.25">
      <c r="I556" s="37"/>
      <c r="J556" s="35"/>
    </row>
    <row r="557" spans="9:10" x14ac:dyDescent="0.25">
      <c r="I557" s="37"/>
      <c r="J557" s="35"/>
    </row>
    <row r="558" spans="9:10" x14ac:dyDescent="0.25">
      <c r="I558" s="37"/>
      <c r="J558" s="35"/>
    </row>
    <row r="559" spans="9:10" x14ac:dyDescent="0.25">
      <c r="I559" s="37"/>
      <c r="J559" s="35"/>
    </row>
    <row r="560" spans="9:10" x14ac:dyDescent="0.25">
      <c r="I560" s="37"/>
      <c r="J560" s="35"/>
    </row>
    <row r="561" spans="9:10" x14ac:dyDescent="0.25">
      <c r="I561" s="37"/>
      <c r="J561" s="35"/>
    </row>
    <row r="562" spans="9:10" x14ac:dyDescent="0.25">
      <c r="I562" s="37"/>
      <c r="J562" s="35"/>
    </row>
    <row r="563" spans="9:10" x14ac:dyDescent="0.25">
      <c r="I563" s="37"/>
      <c r="J563" s="35"/>
    </row>
    <row r="564" spans="9:10" x14ac:dyDescent="0.25">
      <c r="I564" s="37"/>
      <c r="J564" s="35"/>
    </row>
    <row r="565" spans="9:10" x14ac:dyDescent="0.25">
      <c r="I565" s="37"/>
      <c r="J565" s="35"/>
    </row>
    <row r="566" spans="9:10" x14ac:dyDescent="0.25">
      <c r="I566" s="37"/>
      <c r="J566" s="35"/>
    </row>
    <row r="567" spans="9:10" x14ac:dyDescent="0.25">
      <c r="I567" s="37"/>
      <c r="J567" s="35"/>
    </row>
    <row r="568" spans="9:10" x14ac:dyDescent="0.25">
      <c r="I568" s="37"/>
      <c r="J568" s="35"/>
    </row>
    <row r="569" spans="9:10" x14ac:dyDescent="0.25">
      <c r="I569" s="37"/>
      <c r="J569" s="35"/>
    </row>
    <row r="570" spans="9:10" x14ac:dyDescent="0.25">
      <c r="I570" s="37"/>
      <c r="J570" s="35"/>
    </row>
    <row r="571" spans="9:10" x14ac:dyDescent="0.25">
      <c r="I571" s="37"/>
      <c r="J571" s="35"/>
    </row>
    <row r="572" spans="9:10" x14ac:dyDescent="0.25">
      <c r="I572" s="37"/>
      <c r="J572" s="35"/>
    </row>
    <row r="573" spans="9:10" x14ac:dyDescent="0.25">
      <c r="I573" s="37"/>
      <c r="J573" s="35"/>
    </row>
    <row r="574" spans="9:10" x14ac:dyDescent="0.25">
      <c r="I574" s="37"/>
      <c r="J574" s="35"/>
    </row>
    <row r="575" spans="9:10" x14ac:dyDescent="0.25">
      <c r="I575" s="37"/>
      <c r="J575" s="35"/>
    </row>
    <row r="576" spans="9:10" x14ac:dyDescent="0.25">
      <c r="I576" s="37"/>
      <c r="J576" s="35"/>
    </row>
    <row r="577" spans="9:10" x14ac:dyDescent="0.25">
      <c r="I577" s="37"/>
      <c r="J577" s="35"/>
    </row>
    <row r="578" spans="9:10" x14ac:dyDescent="0.25">
      <c r="I578" s="37"/>
      <c r="J578" s="35"/>
    </row>
    <row r="579" spans="9:10" x14ac:dyDescent="0.25">
      <c r="I579" s="37"/>
      <c r="J579" s="35"/>
    </row>
    <row r="580" spans="9:10" x14ac:dyDescent="0.25">
      <c r="I580" s="37"/>
      <c r="J580" s="35"/>
    </row>
    <row r="581" spans="9:10" x14ac:dyDescent="0.25">
      <c r="I581" s="37"/>
      <c r="J581" s="35"/>
    </row>
    <row r="582" spans="9:10" x14ac:dyDescent="0.25">
      <c r="I582" s="37"/>
      <c r="J582" s="35"/>
    </row>
    <row r="583" spans="9:10" x14ac:dyDescent="0.25">
      <c r="I583" s="37"/>
      <c r="J583" s="35"/>
    </row>
    <row r="584" spans="9:10" x14ac:dyDescent="0.25">
      <c r="I584" s="37"/>
      <c r="J584" s="35"/>
    </row>
    <row r="585" spans="9:10" x14ac:dyDescent="0.25">
      <c r="I585" s="37"/>
      <c r="J585" s="35"/>
    </row>
    <row r="586" spans="9:10" x14ac:dyDescent="0.25">
      <c r="I586" s="37"/>
      <c r="J586" s="35"/>
    </row>
    <row r="587" spans="9:10" x14ac:dyDescent="0.25">
      <c r="I587" s="37"/>
      <c r="J587" s="35"/>
    </row>
    <row r="588" spans="9:10" x14ac:dyDescent="0.25">
      <c r="I588" s="37"/>
      <c r="J588" s="35"/>
    </row>
    <row r="589" spans="9:10" x14ac:dyDescent="0.25">
      <c r="I589" s="37"/>
      <c r="J589" s="35"/>
    </row>
    <row r="590" spans="9:10" x14ac:dyDescent="0.25">
      <c r="I590" s="37"/>
      <c r="J590" s="35"/>
    </row>
    <row r="591" spans="9:10" x14ac:dyDescent="0.25">
      <c r="I591" s="37"/>
      <c r="J591" s="35"/>
    </row>
    <row r="592" spans="9:10" x14ac:dyDescent="0.25">
      <c r="I592" s="37"/>
      <c r="J592" s="35"/>
    </row>
    <row r="593" spans="9:10" x14ac:dyDescent="0.25">
      <c r="I593" s="37"/>
      <c r="J593" s="35"/>
    </row>
    <row r="594" spans="9:10" x14ac:dyDescent="0.25">
      <c r="I594" s="37"/>
      <c r="J594" s="35"/>
    </row>
    <row r="595" spans="9:10" x14ac:dyDescent="0.25">
      <c r="I595" s="37"/>
      <c r="J595" s="35"/>
    </row>
    <row r="596" spans="9:10" x14ac:dyDescent="0.25">
      <c r="I596" s="37"/>
      <c r="J596" s="35"/>
    </row>
    <row r="597" spans="9:10" x14ac:dyDescent="0.25">
      <c r="I597" s="37"/>
      <c r="J597" s="35"/>
    </row>
    <row r="598" spans="9:10" x14ac:dyDescent="0.25">
      <c r="I598" s="37"/>
      <c r="J598" s="35"/>
    </row>
    <row r="599" spans="9:10" x14ac:dyDescent="0.25">
      <c r="I599" s="37"/>
      <c r="J599" s="35"/>
    </row>
    <row r="600" spans="9:10" x14ac:dyDescent="0.25">
      <c r="I600" s="37"/>
      <c r="J600" s="35"/>
    </row>
    <row r="601" spans="9:10" x14ac:dyDescent="0.25">
      <c r="I601" s="37"/>
      <c r="J601" s="35"/>
    </row>
    <row r="602" spans="9:10" x14ac:dyDescent="0.25">
      <c r="I602" s="37"/>
      <c r="J602" s="35"/>
    </row>
    <row r="603" spans="9:10" x14ac:dyDescent="0.25">
      <c r="I603" s="37"/>
      <c r="J603" s="35"/>
    </row>
    <row r="604" spans="9:10" x14ac:dyDescent="0.25">
      <c r="I604" s="37"/>
      <c r="J604" s="35"/>
    </row>
    <row r="605" spans="9:10" x14ac:dyDescent="0.25">
      <c r="I605" s="37"/>
      <c r="J605" s="35"/>
    </row>
    <row r="606" spans="9:10" x14ac:dyDescent="0.25">
      <c r="I606" s="37"/>
      <c r="J606" s="35"/>
    </row>
    <row r="607" spans="9:10" x14ac:dyDescent="0.25">
      <c r="I607" s="37"/>
      <c r="J607" s="35"/>
    </row>
    <row r="608" spans="9:10" x14ac:dyDescent="0.25">
      <c r="I608" s="37"/>
      <c r="J608" s="35"/>
    </row>
    <row r="609" spans="9:10" x14ac:dyDescent="0.25">
      <c r="I609" s="37"/>
      <c r="J609" s="35"/>
    </row>
    <row r="610" spans="9:10" x14ac:dyDescent="0.25">
      <c r="I610" s="37"/>
      <c r="J610" s="35"/>
    </row>
    <row r="611" spans="9:10" x14ac:dyDescent="0.25">
      <c r="I611" s="37"/>
      <c r="J611" s="35"/>
    </row>
    <row r="612" spans="9:10" x14ac:dyDescent="0.25">
      <c r="I612" s="37"/>
      <c r="J612" s="35"/>
    </row>
    <row r="613" spans="9:10" x14ac:dyDescent="0.25">
      <c r="I613" s="37"/>
      <c r="J613" s="35"/>
    </row>
    <row r="614" spans="9:10" x14ac:dyDescent="0.25">
      <c r="I614" s="37"/>
      <c r="J614" s="35"/>
    </row>
    <row r="615" spans="9:10" x14ac:dyDescent="0.25">
      <c r="I615" s="37"/>
      <c r="J615" s="35"/>
    </row>
    <row r="616" spans="9:10" x14ac:dyDescent="0.25">
      <c r="I616" s="37"/>
      <c r="J616" s="35"/>
    </row>
    <row r="617" spans="9:10" x14ac:dyDescent="0.25">
      <c r="I617" s="37"/>
      <c r="J617" s="35"/>
    </row>
    <row r="618" spans="9:10" x14ac:dyDescent="0.25">
      <c r="I618" s="37"/>
      <c r="J618" s="35"/>
    </row>
    <row r="619" spans="9:10" x14ac:dyDescent="0.25">
      <c r="I619" s="37"/>
      <c r="J619" s="35"/>
    </row>
    <row r="620" spans="9:10" x14ac:dyDescent="0.25">
      <c r="I620" s="37"/>
      <c r="J620" s="35"/>
    </row>
    <row r="621" spans="9:10" x14ac:dyDescent="0.25">
      <c r="I621" s="37"/>
      <c r="J621" s="35"/>
    </row>
    <row r="622" spans="9:10" x14ac:dyDescent="0.25">
      <c r="I622" s="37"/>
      <c r="J622" s="35"/>
    </row>
    <row r="623" spans="9:10" x14ac:dyDescent="0.25">
      <c r="I623" s="37"/>
      <c r="J623" s="35"/>
    </row>
    <row r="624" spans="9:10" x14ac:dyDescent="0.25">
      <c r="I624" s="37"/>
      <c r="J624" s="35"/>
    </row>
    <row r="625" spans="9:10" x14ac:dyDescent="0.25">
      <c r="I625" s="37"/>
      <c r="J625" s="35"/>
    </row>
    <row r="626" spans="9:10" x14ac:dyDescent="0.25">
      <c r="I626" s="37"/>
      <c r="J626" s="35"/>
    </row>
    <row r="627" spans="9:10" x14ac:dyDescent="0.25">
      <c r="I627" s="37"/>
      <c r="J627" s="35"/>
    </row>
    <row r="628" spans="9:10" x14ac:dyDescent="0.25">
      <c r="I628" s="37"/>
      <c r="J628" s="35"/>
    </row>
    <row r="629" spans="9:10" x14ac:dyDescent="0.25">
      <c r="I629" s="37"/>
      <c r="J629" s="35"/>
    </row>
    <row r="630" spans="9:10" x14ac:dyDescent="0.25">
      <c r="I630" s="37"/>
      <c r="J630" s="35"/>
    </row>
    <row r="631" spans="9:10" x14ac:dyDescent="0.25">
      <c r="I631" s="37"/>
      <c r="J631" s="35"/>
    </row>
    <row r="632" spans="9:10" x14ac:dyDescent="0.25">
      <c r="I632" s="37"/>
      <c r="J632" s="35"/>
    </row>
    <row r="633" spans="9:10" x14ac:dyDescent="0.25">
      <c r="I633" s="37"/>
      <c r="J633" s="35"/>
    </row>
    <row r="634" spans="9:10" x14ac:dyDescent="0.25">
      <c r="I634" s="37"/>
      <c r="J634" s="35"/>
    </row>
    <row r="635" spans="9:10" x14ac:dyDescent="0.25">
      <c r="I635" s="37"/>
      <c r="J635" s="35"/>
    </row>
    <row r="636" spans="9:10" x14ac:dyDescent="0.25">
      <c r="I636" s="37"/>
      <c r="J636" s="35"/>
    </row>
    <row r="637" spans="9:10" x14ac:dyDescent="0.25">
      <c r="I637" s="37"/>
      <c r="J637" s="35"/>
    </row>
    <row r="638" spans="9:10" x14ac:dyDescent="0.25">
      <c r="I638" s="37"/>
      <c r="J638" s="35"/>
    </row>
    <row r="639" spans="9:10" x14ac:dyDescent="0.25">
      <c r="I639" s="37"/>
      <c r="J639" s="35"/>
    </row>
    <row r="640" spans="9:10" x14ac:dyDescent="0.25">
      <c r="I640" s="37"/>
      <c r="J640" s="35"/>
    </row>
    <row r="641" spans="9:10" x14ac:dyDescent="0.25">
      <c r="I641" s="37"/>
      <c r="J641" s="35"/>
    </row>
    <row r="642" spans="9:10" x14ac:dyDescent="0.25">
      <c r="I642" s="37"/>
      <c r="J642" s="35"/>
    </row>
    <row r="643" spans="9:10" x14ac:dyDescent="0.25">
      <c r="I643" s="37"/>
      <c r="J643" s="35"/>
    </row>
    <row r="644" spans="9:10" x14ac:dyDescent="0.25">
      <c r="I644" s="37"/>
      <c r="J644" s="35"/>
    </row>
    <row r="645" spans="9:10" x14ac:dyDescent="0.25">
      <c r="I645" s="37"/>
      <c r="J645" s="35"/>
    </row>
    <row r="646" spans="9:10" x14ac:dyDescent="0.25">
      <c r="I646" s="37"/>
      <c r="J646" s="35"/>
    </row>
    <row r="647" spans="9:10" x14ac:dyDescent="0.25">
      <c r="I647" s="37"/>
      <c r="J647" s="35"/>
    </row>
    <row r="648" spans="9:10" x14ac:dyDescent="0.25">
      <c r="I648" s="37"/>
      <c r="J648" s="35"/>
    </row>
    <row r="649" spans="9:10" x14ac:dyDescent="0.25">
      <c r="I649" s="37"/>
      <c r="J649" s="35"/>
    </row>
    <row r="650" spans="9:10" x14ac:dyDescent="0.25">
      <c r="I650" s="37"/>
      <c r="J650" s="35"/>
    </row>
    <row r="651" spans="9:10" x14ac:dyDescent="0.25">
      <c r="I651" s="37"/>
      <c r="J651" s="35"/>
    </row>
    <row r="652" spans="9:10" x14ac:dyDescent="0.25">
      <c r="I652" s="37"/>
      <c r="J652" s="35"/>
    </row>
    <row r="653" spans="9:10" x14ac:dyDescent="0.25">
      <c r="I653" s="37"/>
      <c r="J653" s="35"/>
    </row>
    <row r="654" spans="9:10" x14ac:dyDescent="0.25">
      <c r="I654" s="37"/>
      <c r="J654" s="35"/>
    </row>
    <row r="655" spans="9:10" x14ac:dyDescent="0.25">
      <c r="I655" s="37"/>
      <c r="J655" s="35"/>
    </row>
    <row r="656" spans="9:10" x14ac:dyDescent="0.25">
      <c r="I656" s="37"/>
      <c r="J656" s="35"/>
    </row>
    <row r="657" spans="9:10" x14ac:dyDescent="0.25">
      <c r="I657" s="37"/>
      <c r="J657" s="35"/>
    </row>
    <row r="658" spans="9:10" x14ac:dyDescent="0.25">
      <c r="I658" s="37"/>
      <c r="J658" s="35"/>
    </row>
    <row r="659" spans="9:10" x14ac:dyDescent="0.25">
      <c r="I659" s="37"/>
      <c r="J659" s="35"/>
    </row>
    <row r="660" spans="9:10" x14ac:dyDescent="0.25">
      <c r="I660" s="37"/>
      <c r="J660" s="35"/>
    </row>
    <row r="661" spans="9:10" x14ac:dyDescent="0.25">
      <c r="I661" s="37"/>
      <c r="J661" s="35"/>
    </row>
    <row r="662" spans="9:10" x14ac:dyDescent="0.25">
      <c r="I662" s="37"/>
      <c r="J662" s="35"/>
    </row>
    <row r="663" spans="9:10" x14ac:dyDescent="0.25">
      <c r="I663" s="37"/>
      <c r="J663" s="35"/>
    </row>
    <row r="664" spans="9:10" x14ac:dyDescent="0.25">
      <c r="I664" s="37"/>
      <c r="J664" s="35"/>
    </row>
    <row r="665" spans="9:10" x14ac:dyDescent="0.25">
      <c r="I665" s="37"/>
      <c r="J665" s="35"/>
    </row>
    <row r="666" spans="9:10" x14ac:dyDescent="0.25">
      <c r="I666" s="37"/>
      <c r="J666" s="35"/>
    </row>
    <row r="667" spans="9:10" x14ac:dyDescent="0.25">
      <c r="I667" s="37"/>
      <c r="J667" s="35"/>
    </row>
    <row r="668" spans="9:10" x14ac:dyDescent="0.25">
      <c r="I668" s="37"/>
      <c r="J668" s="35"/>
    </row>
    <row r="669" spans="9:10" x14ac:dyDescent="0.25">
      <c r="I669" s="37"/>
      <c r="J669" s="35"/>
    </row>
    <row r="670" spans="9:10" x14ac:dyDescent="0.25">
      <c r="I670" s="37"/>
      <c r="J670" s="35"/>
    </row>
    <row r="671" spans="9:10" x14ac:dyDescent="0.25">
      <c r="I671" s="37"/>
      <c r="J671" s="35"/>
    </row>
    <row r="672" spans="9:10" x14ac:dyDescent="0.25">
      <c r="I672" s="37"/>
      <c r="J672" s="35"/>
    </row>
    <row r="673" spans="9:10" x14ac:dyDescent="0.25">
      <c r="I673" s="37"/>
      <c r="J673" s="35"/>
    </row>
    <row r="674" spans="9:10" x14ac:dyDescent="0.25">
      <c r="I674" s="37"/>
      <c r="J674" s="35"/>
    </row>
    <row r="675" spans="9:10" x14ac:dyDescent="0.25">
      <c r="I675" s="37"/>
      <c r="J675" s="35"/>
    </row>
    <row r="676" spans="9:10" x14ac:dyDescent="0.25">
      <c r="I676" s="37"/>
      <c r="J676" s="35"/>
    </row>
    <row r="677" spans="9:10" x14ac:dyDescent="0.25">
      <c r="I677" s="37"/>
      <c r="J677" s="35"/>
    </row>
    <row r="678" spans="9:10" x14ac:dyDescent="0.25">
      <c r="I678" s="37"/>
      <c r="J678" s="35"/>
    </row>
    <row r="679" spans="9:10" x14ac:dyDescent="0.25">
      <c r="I679" s="37"/>
      <c r="J679" s="35"/>
    </row>
    <row r="680" spans="9:10" x14ac:dyDescent="0.25">
      <c r="I680" s="37"/>
      <c r="J680" s="35"/>
    </row>
    <row r="681" spans="9:10" x14ac:dyDescent="0.25">
      <c r="I681" s="37"/>
      <c r="J681" s="35"/>
    </row>
    <row r="682" spans="9:10" x14ac:dyDescent="0.25">
      <c r="I682" s="37"/>
      <c r="J682" s="35"/>
    </row>
    <row r="683" spans="9:10" x14ac:dyDescent="0.25">
      <c r="I683" s="37"/>
      <c r="J683" s="35"/>
    </row>
    <row r="684" spans="9:10" x14ac:dyDescent="0.25">
      <c r="I684" s="37"/>
      <c r="J684" s="35"/>
    </row>
    <row r="685" spans="9:10" x14ac:dyDescent="0.25">
      <c r="I685" s="37"/>
      <c r="J685" s="35"/>
    </row>
    <row r="686" spans="9:10" x14ac:dyDescent="0.25">
      <c r="I686" s="37"/>
      <c r="J686" s="35"/>
    </row>
    <row r="687" spans="9:10" x14ac:dyDescent="0.25">
      <c r="I687" s="37"/>
      <c r="J687" s="35"/>
    </row>
    <row r="688" spans="9:10" x14ac:dyDescent="0.25">
      <c r="I688" s="37"/>
      <c r="J688" s="35"/>
    </row>
    <row r="689" spans="9:10" x14ac:dyDescent="0.25">
      <c r="I689" s="37"/>
      <c r="J689" s="35"/>
    </row>
    <row r="690" spans="9:10" x14ac:dyDescent="0.25">
      <c r="I690" s="37"/>
      <c r="J690" s="35"/>
    </row>
    <row r="691" spans="9:10" x14ac:dyDescent="0.25">
      <c r="I691" s="37"/>
      <c r="J691" s="35"/>
    </row>
    <row r="692" spans="9:10" x14ac:dyDescent="0.25">
      <c r="I692" s="37"/>
      <c r="J692" s="35"/>
    </row>
    <row r="693" spans="9:10" x14ac:dyDescent="0.25">
      <c r="I693" s="37"/>
      <c r="J693" s="35"/>
    </row>
    <row r="694" spans="9:10" x14ac:dyDescent="0.25">
      <c r="I694" s="37"/>
      <c r="J694" s="35"/>
    </row>
    <row r="695" spans="9:10" x14ac:dyDescent="0.25">
      <c r="I695" s="37"/>
      <c r="J695" s="35"/>
    </row>
    <row r="696" spans="9:10" x14ac:dyDescent="0.25">
      <c r="I696" s="37"/>
      <c r="J696" s="35"/>
    </row>
    <row r="697" spans="9:10" x14ac:dyDescent="0.25">
      <c r="I697" s="37"/>
      <c r="J697" s="35"/>
    </row>
    <row r="698" spans="9:10" x14ac:dyDescent="0.25">
      <c r="I698" s="37"/>
      <c r="J698" s="35"/>
    </row>
    <row r="699" spans="9:10" x14ac:dyDescent="0.25">
      <c r="I699" s="37"/>
      <c r="J699" s="35"/>
    </row>
    <row r="700" spans="9:10" x14ac:dyDescent="0.25">
      <c r="I700" s="37"/>
      <c r="J700" s="35"/>
    </row>
    <row r="701" spans="9:10" x14ac:dyDescent="0.25">
      <c r="I701" s="37"/>
      <c r="J701" s="35"/>
    </row>
    <row r="702" spans="9:10" x14ac:dyDescent="0.25">
      <c r="I702" s="37"/>
      <c r="J702" s="35"/>
    </row>
    <row r="703" spans="9:10" x14ac:dyDescent="0.25">
      <c r="I703" s="37"/>
      <c r="J703" s="35"/>
    </row>
    <row r="704" spans="9:10" x14ac:dyDescent="0.25">
      <c r="I704" s="37"/>
      <c r="J704" s="35"/>
    </row>
    <row r="705" spans="9:10" x14ac:dyDescent="0.25">
      <c r="I705" s="37"/>
      <c r="J705" s="35"/>
    </row>
    <row r="706" spans="9:10" x14ac:dyDescent="0.25">
      <c r="I706" s="37"/>
      <c r="J706" s="35"/>
    </row>
    <row r="707" spans="9:10" x14ac:dyDescent="0.25">
      <c r="I707" s="37"/>
      <c r="J707" s="35"/>
    </row>
    <row r="708" spans="9:10" x14ac:dyDescent="0.25">
      <c r="I708" s="37"/>
      <c r="J708" s="35"/>
    </row>
    <row r="709" spans="9:10" x14ac:dyDescent="0.25">
      <c r="I709" s="37"/>
      <c r="J709" s="35"/>
    </row>
    <row r="710" spans="9:10" x14ac:dyDescent="0.25">
      <c r="I710" s="37"/>
      <c r="J710" s="35"/>
    </row>
    <row r="711" spans="9:10" x14ac:dyDescent="0.25">
      <c r="I711" s="37"/>
      <c r="J711" s="35"/>
    </row>
    <row r="712" spans="9:10" x14ac:dyDescent="0.25">
      <c r="I712" s="37"/>
      <c r="J712" s="35"/>
    </row>
    <row r="713" spans="9:10" x14ac:dyDescent="0.25">
      <c r="I713" s="37"/>
      <c r="J713" s="35"/>
    </row>
    <row r="714" spans="9:10" x14ac:dyDescent="0.25">
      <c r="I714" s="37"/>
      <c r="J714" s="35"/>
    </row>
    <row r="715" spans="9:10" x14ac:dyDescent="0.25">
      <c r="I715" s="37"/>
      <c r="J715" s="35"/>
    </row>
    <row r="716" spans="9:10" x14ac:dyDescent="0.25">
      <c r="I716" s="37"/>
      <c r="J716" s="35"/>
    </row>
    <row r="717" spans="9:10" x14ac:dyDescent="0.25">
      <c r="I717" s="37"/>
      <c r="J717" s="35"/>
    </row>
    <row r="718" spans="9:10" x14ac:dyDescent="0.25">
      <c r="I718" s="37"/>
      <c r="J718" s="35"/>
    </row>
    <row r="719" spans="9:10" x14ac:dyDescent="0.25">
      <c r="I719" s="37"/>
      <c r="J719" s="35"/>
    </row>
    <row r="720" spans="9:10" x14ac:dyDescent="0.25">
      <c r="I720" s="37"/>
      <c r="J720" s="35"/>
    </row>
    <row r="721" spans="9:10" x14ac:dyDescent="0.25">
      <c r="I721" s="37"/>
      <c r="J721" s="35"/>
    </row>
    <row r="722" spans="9:10" x14ac:dyDescent="0.25">
      <c r="I722" s="37"/>
      <c r="J722" s="35"/>
    </row>
    <row r="723" spans="9:10" x14ac:dyDescent="0.25">
      <c r="I723" s="37"/>
      <c r="J723" s="35"/>
    </row>
    <row r="724" spans="9:10" x14ac:dyDescent="0.25">
      <c r="I724" s="37"/>
      <c r="J724" s="35"/>
    </row>
    <row r="725" spans="9:10" x14ac:dyDescent="0.25">
      <c r="I725" s="37"/>
      <c r="J725" s="35"/>
    </row>
    <row r="726" spans="9:10" x14ac:dyDescent="0.25">
      <c r="I726" s="37"/>
      <c r="J726" s="35"/>
    </row>
    <row r="727" spans="9:10" x14ac:dyDescent="0.25">
      <c r="I727" s="37"/>
      <c r="J727" s="35"/>
    </row>
    <row r="728" spans="9:10" x14ac:dyDescent="0.25">
      <c r="I728" s="37"/>
      <c r="J728" s="35"/>
    </row>
    <row r="729" spans="9:10" x14ac:dyDescent="0.25">
      <c r="I729" s="37"/>
      <c r="J729" s="35"/>
    </row>
    <row r="730" spans="9:10" x14ac:dyDescent="0.25">
      <c r="I730" s="37"/>
      <c r="J730" s="35"/>
    </row>
    <row r="731" spans="9:10" x14ac:dyDescent="0.25">
      <c r="I731" s="37"/>
      <c r="J731" s="35"/>
    </row>
    <row r="732" spans="9:10" x14ac:dyDescent="0.25">
      <c r="I732" s="37"/>
      <c r="J732" s="35"/>
    </row>
    <row r="733" spans="9:10" x14ac:dyDescent="0.25">
      <c r="I733" s="37"/>
      <c r="J733" s="35"/>
    </row>
    <row r="734" spans="9:10" x14ac:dyDescent="0.25">
      <c r="I734" s="37"/>
      <c r="J734" s="35"/>
    </row>
    <row r="735" spans="9:10" x14ac:dyDescent="0.25">
      <c r="I735" s="37"/>
      <c r="J735" s="35"/>
    </row>
    <row r="736" spans="9:10" x14ac:dyDescent="0.25">
      <c r="I736" s="37"/>
      <c r="J736" s="35"/>
    </row>
    <row r="737" spans="9:10" x14ac:dyDescent="0.25">
      <c r="I737" s="37"/>
      <c r="J737" s="35"/>
    </row>
    <row r="738" spans="9:10" x14ac:dyDescent="0.25">
      <c r="I738" s="37"/>
      <c r="J738" s="35"/>
    </row>
    <row r="739" spans="9:10" x14ac:dyDescent="0.25">
      <c r="I739" s="37"/>
      <c r="J739" s="35"/>
    </row>
    <row r="740" spans="9:10" x14ac:dyDescent="0.25">
      <c r="I740" s="37"/>
      <c r="J740" s="35"/>
    </row>
    <row r="741" spans="9:10" x14ac:dyDescent="0.25">
      <c r="I741" s="37"/>
      <c r="J741" s="35"/>
    </row>
    <row r="742" spans="9:10" x14ac:dyDescent="0.25">
      <c r="I742" s="37"/>
      <c r="J742" s="35"/>
    </row>
    <row r="743" spans="9:10" x14ac:dyDescent="0.25">
      <c r="I743" s="37"/>
      <c r="J743" s="35"/>
    </row>
    <row r="744" spans="9:10" x14ac:dyDescent="0.25">
      <c r="I744" s="37"/>
      <c r="J744" s="35"/>
    </row>
    <row r="745" spans="9:10" x14ac:dyDescent="0.25">
      <c r="I745" s="37"/>
      <c r="J745" s="35"/>
    </row>
    <row r="746" spans="9:10" x14ac:dyDescent="0.25">
      <c r="I746" s="37"/>
      <c r="J746" s="35"/>
    </row>
    <row r="747" spans="9:10" x14ac:dyDescent="0.25">
      <c r="I747" s="37"/>
      <c r="J747" s="35"/>
    </row>
    <row r="748" spans="9:10" x14ac:dyDescent="0.25">
      <c r="I748" s="37"/>
      <c r="J748" s="35"/>
    </row>
    <row r="749" spans="9:10" x14ac:dyDescent="0.25">
      <c r="I749" s="37"/>
      <c r="J749" s="35"/>
    </row>
    <row r="750" spans="9:10" x14ac:dyDescent="0.25">
      <c r="I750" s="37"/>
      <c r="J750" s="35"/>
    </row>
    <row r="751" spans="9:10" x14ac:dyDescent="0.25">
      <c r="I751" s="37"/>
      <c r="J751" s="35"/>
    </row>
    <row r="752" spans="9:10" x14ac:dyDescent="0.25">
      <c r="I752" s="37"/>
      <c r="J752" s="35"/>
    </row>
    <row r="753" spans="9:10" x14ac:dyDescent="0.25">
      <c r="I753" s="37"/>
      <c r="J753" s="35"/>
    </row>
    <row r="754" spans="9:10" x14ac:dyDescent="0.25">
      <c r="I754" s="37"/>
      <c r="J754" s="35"/>
    </row>
    <row r="755" spans="9:10" x14ac:dyDescent="0.25">
      <c r="I755" s="37"/>
      <c r="J755" s="35"/>
    </row>
    <row r="756" spans="9:10" x14ac:dyDescent="0.25">
      <c r="I756" s="37"/>
      <c r="J756" s="35"/>
    </row>
    <row r="757" spans="9:10" x14ac:dyDescent="0.25">
      <c r="I757" s="37"/>
      <c r="J757" s="35"/>
    </row>
    <row r="758" spans="9:10" x14ac:dyDescent="0.25">
      <c r="I758" s="37"/>
      <c r="J758" s="35"/>
    </row>
    <row r="759" spans="9:10" x14ac:dyDescent="0.25">
      <c r="I759" s="37"/>
      <c r="J759" s="35"/>
    </row>
    <row r="760" spans="9:10" x14ac:dyDescent="0.25">
      <c r="I760" s="37"/>
      <c r="J760" s="35"/>
    </row>
    <row r="761" spans="9:10" x14ac:dyDescent="0.25">
      <c r="I761" s="37"/>
      <c r="J761" s="35"/>
    </row>
    <row r="762" spans="9:10" x14ac:dyDescent="0.25">
      <c r="I762" s="37"/>
      <c r="J762" s="35"/>
    </row>
    <row r="763" spans="9:10" x14ac:dyDescent="0.25">
      <c r="I763" s="37"/>
      <c r="J763" s="35"/>
    </row>
    <row r="764" spans="9:10" x14ac:dyDescent="0.25">
      <c r="I764" s="37"/>
      <c r="J764" s="35"/>
    </row>
    <row r="765" spans="9:10" x14ac:dyDescent="0.25">
      <c r="I765" s="37"/>
      <c r="J765" s="35"/>
    </row>
    <row r="766" spans="9:10" x14ac:dyDescent="0.25">
      <c r="I766" s="37"/>
      <c r="J766" s="35"/>
    </row>
    <row r="767" spans="9:10" x14ac:dyDescent="0.25">
      <c r="I767" s="37"/>
      <c r="J767" s="35"/>
    </row>
    <row r="768" spans="9:10" x14ac:dyDescent="0.25">
      <c r="I768" s="37"/>
      <c r="J768" s="35"/>
    </row>
    <row r="769" spans="9:10" x14ac:dyDescent="0.25">
      <c r="I769" s="37"/>
      <c r="J769" s="35"/>
    </row>
    <row r="770" spans="9:10" x14ac:dyDescent="0.25">
      <c r="I770" s="37"/>
      <c r="J770" s="35"/>
    </row>
    <row r="771" spans="9:10" x14ac:dyDescent="0.25">
      <c r="I771" s="37"/>
      <c r="J771" s="35"/>
    </row>
    <row r="772" spans="9:10" x14ac:dyDescent="0.25">
      <c r="I772" s="37"/>
      <c r="J772" s="35"/>
    </row>
    <row r="773" spans="9:10" x14ac:dyDescent="0.25">
      <c r="I773" s="37"/>
      <c r="J773" s="35"/>
    </row>
    <row r="774" spans="9:10" x14ac:dyDescent="0.25">
      <c r="I774" s="37"/>
      <c r="J774" s="35"/>
    </row>
    <row r="775" spans="9:10" x14ac:dyDescent="0.25">
      <c r="I775" s="37"/>
      <c r="J775" s="35"/>
    </row>
    <row r="776" spans="9:10" x14ac:dyDescent="0.25">
      <c r="I776" s="37"/>
      <c r="J776" s="35"/>
    </row>
    <row r="777" spans="9:10" x14ac:dyDescent="0.25">
      <c r="I777" s="37"/>
      <c r="J777" s="35"/>
    </row>
    <row r="778" spans="9:10" x14ac:dyDescent="0.25">
      <c r="I778" s="37"/>
      <c r="J778" s="35"/>
    </row>
    <row r="779" spans="9:10" x14ac:dyDescent="0.25">
      <c r="I779" s="37"/>
      <c r="J779" s="35"/>
    </row>
    <row r="780" spans="9:10" x14ac:dyDescent="0.25">
      <c r="I780" s="37"/>
      <c r="J780" s="35"/>
    </row>
    <row r="781" spans="9:10" x14ac:dyDescent="0.25">
      <c r="I781" s="37"/>
      <c r="J781" s="35"/>
    </row>
    <row r="782" spans="9:10" x14ac:dyDescent="0.25">
      <c r="I782" s="37"/>
      <c r="J782" s="35"/>
    </row>
    <row r="783" spans="9:10" x14ac:dyDescent="0.25">
      <c r="I783" s="37"/>
      <c r="J783" s="35"/>
    </row>
    <row r="784" spans="9:10" x14ac:dyDescent="0.25">
      <c r="I784" s="37"/>
      <c r="J784" s="35"/>
    </row>
    <row r="785" spans="9:10" x14ac:dyDescent="0.25">
      <c r="I785" s="37"/>
      <c r="J785" s="35"/>
    </row>
    <row r="786" spans="9:10" x14ac:dyDescent="0.25">
      <c r="I786" s="37"/>
      <c r="J786" s="35"/>
    </row>
    <row r="787" spans="9:10" x14ac:dyDescent="0.25">
      <c r="I787" s="37"/>
      <c r="J787" s="35"/>
    </row>
    <row r="788" spans="9:10" x14ac:dyDescent="0.25">
      <c r="I788" s="37"/>
      <c r="J788" s="35"/>
    </row>
    <row r="789" spans="9:10" x14ac:dyDescent="0.25">
      <c r="I789" s="37"/>
      <c r="J789" s="35"/>
    </row>
    <row r="790" spans="9:10" x14ac:dyDescent="0.25">
      <c r="I790" s="37"/>
      <c r="J790" s="35"/>
    </row>
    <row r="791" spans="9:10" x14ac:dyDescent="0.25">
      <c r="I791" s="37"/>
      <c r="J791" s="35"/>
    </row>
    <row r="792" spans="9:10" x14ac:dyDescent="0.25">
      <c r="I792" s="37"/>
      <c r="J792" s="35"/>
    </row>
    <row r="793" spans="9:10" x14ac:dyDescent="0.25">
      <c r="I793" s="37"/>
      <c r="J793" s="35"/>
    </row>
    <row r="794" spans="9:10" x14ac:dyDescent="0.25">
      <c r="I794" s="37"/>
      <c r="J794" s="35"/>
    </row>
    <row r="795" spans="9:10" x14ac:dyDescent="0.25">
      <c r="I795" s="37"/>
      <c r="J795" s="35"/>
    </row>
    <row r="796" spans="9:10" x14ac:dyDescent="0.25">
      <c r="I796" s="37"/>
      <c r="J796" s="35"/>
    </row>
    <row r="797" spans="9:10" x14ac:dyDescent="0.25">
      <c r="I797" s="37"/>
      <c r="J797" s="35"/>
    </row>
    <row r="798" spans="9:10" x14ac:dyDescent="0.25">
      <c r="I798" s="37"/>
      <c r="J798" s="35"/>
    </row>
    <row r="799" spans="9:10" x14ac:dyDescent="0.25">
      <c r="I799" s="37"/>
      <c r="J799" s="35"/>
    </row>
    <row r="800" spans="9:10" x14ac:dyDescent="0.25">
      <c r="I800" s="37"/>
      <c r="J800" s="35"/>
    </row>
    <row r="801" spans="9:10" x14ac:dyDescent="0.25">
      <c r="I801" s="37"/>
      <c r="J801" s="35"/>
    </row>
    <row r="802" spans="9:10" x14ac:dyDescent="0.25">
      <c r="I802" s="37"/>
      <c r="J802" s="35"/>
    </row>
    <row r="803" spans="9:10" x14ac:dyDescent="0.25">
      <c r="I803" s="37"/>
      <c r="J803" s="35"/>
    </row>
    <row r="804" spans="9:10" x14ac:dyDescent="0.25">
      <c r="I804" s="37"/>
      <c r="J804" s="35"/>
    </row>
    <row r="805" spans="9:10" x14ac:dyDescent="0.25">
      <c r="I805" s="37"/>
      <c r="J805" s="35"/>
    </row>
    <row r="806" spans="9:10" x14ac:dyDescent="0.25">
      <c r="I806" s="37"/>
      <c r="J806" s="35"/>
    </row>
    <row r="807" spans="9:10" x14ac:dyDescent="0.25">
      <c r="I807" s="37"/>
      <c r="J807" s="35"/>
    </row>
    <row r="808" spans="9:10" x14ac:dyDescent="0.25">
      <c r="I808" s="37"/>
      <c r="J808" s="35"/>
    </row>
    <row r="809" spans="9:10" x14ac:dyDescent="0.25">
      <c r="I809" s="37"/>
      <c r="J809" s="35"/>
    </row>
    <row r="810" spans="9:10" x14ac:dyDescent="0.25">
      <c r="I810" s="37"/>
      <c r="J810" s="35"/>
    </row>
    <row r="811" spans="9:10" x14ac:dyDescent="0.25">
      <c r="I811" s="37"/>
      <c r="J811" s="35"/>
    </row>
    <row r="812" spans="9:10" x14ac:dyDescent="0.25">
      <c r="I812" s="37"/>
      <c r="J812" s="35"/>
    </row>
    <row r="813" spans="9:10" x14ac:dyDescent="0.25">
      <c r="I813" s="37"/>
      <c r="J813" s="35"/>
    </row>
    <row r="814" spans="9:10" x14ac:dyDescent="0.25">
      <c r="I814" s="37"/>
      <c r="J814" s="35"/>
    </row>
    <row r="815" spans="9:10" x14ac:dyDescent="0.25">
      <c r="I815" s="37"/>
      <c r="J815" s="35"/>
    </row>
    <row r="816" spans="9:10" x14ac:dyDescent="0.25">
      <c r="I816" s="37"/>
      <c r="J816" s="35"/>
    </row>
    <row r="817" spans="9:10" x14ac:dyDescent="0.25">
      <c r="I817" s="37"/>
      <c r="J817" s="35"/>
    </row>
    <row r="818" spans="9:10" x14ac:dyDescent="0.25">
      <c r="I818" s="37"/>
      <c r="J818" s="35"/>
    </row>
    <row r="819" spans="9:10" x14ac:dyDescent="0.25">
      <c r="I819" s="37"/>
      <c r="J819" s="35"/>
    </row>
    <row r="820" spans="9:10" x14ac:dyDescent="0.25">
      <c r="I820" s="37"/>
      <c r="J820" s="35"/>
    </row>
    <row r="821" spans="9:10" x14ac:dyDescent="0.25">
      <c r="I821" s="37"/>
      <c r="J821" s="35"/>
    </row>
    <row r="822" spans="9:10" x14ac:dyDescent="0.25">
      <c r="I822" s="37"/>
      <c r="J822" s="35"/>
    </row>
    <row r="823" spans="9:10" x14ac:dyDescent="0.25">
      <c r="I823" s="37"/>
      <c r="J823" s="35"/>
    </row>
    <row r="824" spans="9:10" x14ac:dyDescent="0.25">
      <c r="I824" s="37"/>
      <c r="J824" s="35"/>
    </row>
    <row r="825" spans="9:10" x14ac:dyDescent="0.25">
      <c r="I825" s="37"/>
      <c r="J825" s="35"/>
    </row>
    <row r="826" spans="9:10" x14ac:dyDescent="0.25">
      <c r="I826" s="37"/>
      <c r="J826" s="35"/>
    </row>
    <row r="827" spans="9:10" x14ac:dyDescent="0.25">
      <c r="I827" s="37"/>
      <c r="J827" s="35"/>
    </row>
    <row r="828" spans="9:10" x14ac:dyDescent="0.25">
      <c r="I828" s="37"/>
      <c r="J828" s="35"/>
    </row>
    <row r="829" spans="9:10" x14ac:dyDescent="0.25">
      <c r="I829" s="37"/>
      <c r="J829" s="35"/>
    </row>
    <row r="830" spans="9:10" x14ac:dyDescent="0.25">
      <c r="I830" s="37"/>
      <c r="J830" s="35"/>
    </row>
    <row r="831" spans="9:10" x14ac:dyDescent="0.25">
      <c r="I831" s="37"/>
      <c r="J831" s="35"/>
    </row>
    <row r="832" spans="9:10" x14ac:dyDescent="0.25">
      <c r="I832" s="37"/>
      <c r="J832" s="35"/>
    </row>
    <row r="833" spans="9:10" x14ac:dyDescent="0.25">
      <c r="I833" s="37"/>
      <c r="J833" s="35"/>
    </row>
    <row r="834" spans="9:10" x14ac:dyDescent="0.25">
      <c r="I834" s="37"/>
      <c r="J834" s="35"/>
    </row>
    <row r="835" spans="9:10" x14ac:dyDescent="0.25">
      <c r="I835" s="37"/>
      <c r="J835" s="35"/>
    </row>
    <row r="836" spans="9:10" x14ac:dyDescent="0.25">
      <c r="I836" s="37"/>
      <c r="J836" s="35"/>
    </row>
    <row r="837" spans="9:10" x14ac:dyDescent="0.25">
      <c r="I837" s="37"/>
      <c r="J837" s="35"/>
    </row>
    <row r="838" spans="9:10" x14ac:dyDescent="0.25">
      <c r="I838" s="37"/>
      <c r="J838" s="35"/>
    </row>
    <row r="839" spans="9:10" x14ac:dyDescent="0.25">
      <c r="I839" s="37"/>
      <c r="J839" s="35"/>
    </row>
    <row r="840" spans="9:10" x14ac:dyDescent="0.25">
      <c r="I840" s="37"/>
      <c r="J840" s="35"/>
    </row>
    <row r="841" spans="9:10" x14ac:dyDescent="0.25">
      <c r="I841" s="37"/>
      <c r="J841" s="35"/>
    </row>
    <row r="842" spans="9:10" x14ac:dyDescent="0.25">
      <c r="I842" s="37"/>
      <c r="J842" s="35"/>
    </row>
    <row r="843" spans="9:10" x14ac:dyDescent="0.25">
      <c r="I843" s="37"/>
      <c r="J843" s="35"/>
    </row>
    <row r="844" spans="9:10" x14ac:dyDescent="0.25">
      <c r="I844" s="37"/>
      <c r="J844" s="35"/>
    </row>
    <row r="845" spans="9:10" x14ac:dyDescent="0.25">
      <c r="I845" s="37"/>
      <c r="J845" s="35"/>
    </row>
    <row r="846" spans="9:10" x14ac:dyDescent="0.25">
      <c r="I846" s="37"/>
      <c r="J846" s="35"/>
    </row>
    <row r="847" spans="9:10" x14ac:dyDescent="0.25">
      <c r="I847" s="37"/>
      <c r="J847" s="35"/>
    </row>
    <row r="848" spans="9:10" x14ac:dyDescent="0.25">
      <c r="I848" s="37"/>
      <c r="J848" s="35"/>
    </row>
    <row r="849" spans="9:10" x14ac:dyDescent="0.25">
      <c r="I849" s="37"/>
      <c r="J849" s="35"/>
    </row>
    <row r="850" spans="9:10" x14ac:dyDescent="0.25">
      <c r="I850" s="37"/>
      <c r="J850" s="35"/>
    </row>
    <row r="851" spans="9:10" x14ac:dyDescent="0.25">
      <c r="I851" s="37"/>
      <c r="J851" s="35"/>
    </row>
    <row r="852" spans="9:10" x14ac:dyDescent="0.25">
      <c r="I852" s="37"/>
      <c r="J852" s="35"/>
    </row>
    <row r="853" spans="9:10" x14ac:dyDescent="0.25">
      <c r="I853" s="37"/>
      <c r="J853" s="35"/>
    </row>
    <row r="854" spans="9:10" x14ac:dyDescent="0.25">
      <c r="I854" s="37"/>
      <c r="J854" s="35"/>
    </row>
    <row r="855" spans="9:10" x14ac:dyDescent="0.25">
      <c r="I855" s="37"/>
      <c r="J855" s="35"/>
    </row>
    <row r="856" spans="9:10" x14ac:dyDescent="0.25">
      <c r="I856" s="37"/>
      <c r="J856" s="35"/>
    </row>
    <row r="857" spans="9:10" x14ac:dyDescent="0.25">
      <c r="I857" s="37"/>
      <c r="J857" s="35"/>
    </row>
    <row r="858" spans="9:10" x14ac:dyDescent="0.25">
      <c r="I858" s="37"/>
      <c r="J858" s="35"/>
    </row>
    <row r="859" spans="9:10" x14ac:dyDescent="0.25">
      <c r="I859" s="37"/>
      <c r="J859" s="35"/>
    </row>
    <row r="860" spans="9:10" x14ac:dyDescent="0.25">
      <c r="I860" s="37"/>
      <c r="J860" s="35"/>
    </row>
    <row r="861" spans="9:10" x14ac:dyDescent="0.25">
      <c r="I861" s="37"/>
      <c r="J861" s="35"/>
    </row>
    <row r="862" spans="9:10" x14ac:dyDescent="0.25">
      <c r="I862" s="37"/>
      <c r="J862" s="35"/>
    </row>
    <row r="863" spans="9:10" x14ac:dyDescent="0.25">
      <c r="I863" s="37"/>
      <c r="J863" s="35"/>
    </row>
    <row r="864" spans="9:10" x14ac:dyDescent="0.25">
      <c r="I864" s="37"/>
      <c r="J864" s="35"/>
    </row>
    <row r="865" spans="9:10" x14ac:dyDescent="0.25">
      <c r="I865" s="37"/>
      <c r="J865" s="35"/>
    </row>
    <row r="866" spans="9:10" x14ac:dyDescent="0.25">
      <c r="I866" s="37"/>
      <c r="J866" s="35"/>
    </row>
    <row r="867" spans="9:10" x14ac:dyDescent="0.25">
      <c r="I867" s="37"/>
      <c r="J867" s="35"/>
    </row>
    <row r="868" spans="9:10" x14ac:dyDescent="0.25">
      <c r="I868" s="37"/>
      <c r="J868" s="35"/>
    </row>
    <row r="869" spans="9:10" x14ac:dyDescent="0.25">
      <c r="I869" s="37"/>
      <c r="J869" s="35"/>
    </row>
    <row r="870" spans="9:10" x14ac:dyDescent="0.25">
      <c r="I870" s="37"/>
      <c r="J870" s="35"/>
    </row>
    <row r="871" spans="9:10" x14ac:dyDescent="0.25">
      <c r="I871" s="37"/>
      <c r="J871" s="35"/>
    </row>
    <row r="872" spans="9:10" x14ac:dyDescent="0.25">
      <c r="I872" s="37"/>
      <c r="J872" s="35"/>
    </row>
    <row r="873" spans="9:10" x14ac:dyDescent="0.25">
      <c r="I873" s="37"/>
      <c r="J873" s="35"/>
    </row>
    <row r="874" spans="9:10" x14ac:dyDescent="0.25">
      <c r="I874" s="37"/>
      <c r="J874" s="35"/>
    </row>
    <row r="875" spans="9:10" x14ac:dyDescent="0.25">
      <c r="I875" s="37"/>
      <c r="J875" s="35"/>
    </row>
    <row r="876" spans="9:10" x14ac:dyDescent="0.25">
      <c r="I876" s="37"/>
      <c r="J876" s="35"/>
    </row>
    <row r="877" spans="9:10" x14ac:dyDescent="0.25">
      <c r="I877" s="37"/>
      <c r="J877" s="35"/>
    </row>
    <row r="878" spans="9:10" x14ac:dyDescent="0.25">
      <c r="I878" s="37"/>
      <c r="J878" s="35"/>
    </row>
    <row r="879" spans="9:10" x14ac:dyDescent="0.25">
      <c r="I879" s="37"/>
      <c r="J879" s="35"/>
    </row>
    <row r="880" spans="9:10" x14ac:dyDescent="0.25">
      <c r="I880" s="37"/>
      <c r="J880" s="35"/>
    </row>
    <row r="881" spans="9:10" x14ac:dyDescent="0.25">
      <c r="I881" s="37"/>
      <c r="J881" s="35"/>
    </row>
    <row r="882" spans="9:10" x14ac:dyDescent="0.25">
      <c r="I882" s="37"/>
      <c r="J882" s="35"/>
    </row>
    <row r="883" spans="9:10" x14ac:dyDescent="0.25">
      <c r="I883" s="37"/>
      <c r="J883" s="35"/>
    </row>
    <row r="884" spans="9:10" x14ac:dyDescent="0.25">
      <c r="I884" s="37"/>
      <c r="J884" s="35"/>
    </row>
    <row r="885" spans="9:10" x14ac:dyDescent="0.25">
      <c r="I885" s="37"/>
      <c r="J885" s="35"/>
    </row>
    <row r="886" spans="9:10" x14ac:dyDescent="0.25">
      <c r="I886" s="37"/>
      <c r="J886" s="35"/>
    </row>
    <row r="887" spans="9:10" x14ac:dyDescent="0.25">
      <c r="I887" s="37"/>
      <c r="J887" s="35"/>
    </row>
    <row r="888" spans="9:10" x14ac:dyDescent="0.25">
      <c r="I888" s="37"/>
      <c r="J888" s="35"/>
    </row>
    <row r="889" spans="9:10" x14ac:dyDescent="0.25">
      <c r="I889" s="37"/>
      <c r="J889" s="35"/>
    </row>
    <row r="890" spans="9:10" x14ac:dyDescent="0.25">
      <c r="I890" s="37"/>
      <c r="J890" s="35"/>
    </row>
    <row r="891" spans="9:10" x14ac:dyDescent="0.25">
      <c r="I891" s="37"/>
      <c r="J891" s="35"/>
    </row>
    <row r="892" spans="9:10" x14ac:dyDescent="0.25">
      <c r="I892" s="37"/>
      <c r="J892" s="35"/>
    </row>
    <row r="893" spans="9:10" x14ac:dyDescent="0.25">
      <c r="I893" s="37"/>
      <c r="J893" s="35"/>
    </row>
    <row r="894" spans="9:10" x14ac:dyDescent="0.25">
      <c r="I894" s="37"/>
      <c r="J894" s="35"/>
    </row>
    <row r="895" spans="9:10" x14ac:dyDescent="0.25">
      <c r="I895" s="37"/>
      <c r="J895" s="35"/>
    </row>
    <row r="896" spans="9:10" x14ac:dyDescent="0.25">
      <c r="I896" s="37"/>
      <c r="J896" s="35"/>
    </row>
    <row r="897" spans="9:10" x14ac:dyDescent="0.25">
      <c r="I897" s="37"/>
      <c r="J897" s="35"/>
    </row>
    <row r="898" spans="9:10" x14ac:dyDescent="0.25">
      <c r="I898" s="37"/>
      <c r="J898" s="35"/>
    </row>
    <row r="899" spans="9:10" x14ac:dyDescent="0.25">
      <c r="I899" s="37"/>
      <c r="J899" s="35"/>
    </row>
    <row r="900" spans="9:10" x14ac:dyDescent="0.25">
      <c r="I900" s="37"/>
      <c r="J900" s="35"/>
    </row>
    <row r="901" spans="9:10" x14ac:dyDescent="0.25">
      <c r="I901" s="37"/>
      <c r="J901" s="35"/>
    </row>
    <row r="902" spans="9:10" x14ac:dyDescent="0.25">
      <c r="I902" s="37"/>
      <c r="J902" s="35"/>
    </row>
    <row r="903" spans="9:10" x14ac:dyDescent="0.25">
      <c r="I903" s="37"/>
      <c r="J903" s="35"/>
    </row>
    <row r="904" spans="9:10" x14ac:dyDescent="0.25">
      <c r="I904" s="37"/>
      <c r="J904" s="35"/>
    </row>
    <row r="905" spans="9:10" x14ac:dyDescent="0.25">
      <c r="I905" s="37"/>
      <c r="J905" s="35"/>
    </row>
    <row r="906" spans="9:10" x14ac:dyDescent="0.25">
      <c r="I906" s="37"/>
      <c r="J906" s="35"/>
    </row>
    <row r="907" spans="9:10" x14ac:dyDescent="0.25">
      <c r="I907" s="37"/>
      <c r="J907" s="35"/>
    </row>
    <row r="908" spans="9:10" x14ac:dyDescent="0.25">
      <c r="I908" s="37"/>
      <c r="J908" s="35"/>
    </row>
    <row r="909" spans="9:10" x14ac:dyDescent="0.25">
      <c r="I909" s="37"/>
      <c r="J909" s="35"/>
    </row>
    <row r="910" spans="9:10" x14ac:dyDescent="0.25">
      <c r="I910" s="37"/>
      <c r="J910" s="35"/>
    </row>
    <row r="911" spans="9:10" x14ac:dyDescent="0.25">
      <c r="I911" s="37"/>
      <c r="J911" s="35"/>
    </row>
    <row r="912" spans="9:10" x14ac:dyDescent="0.25">
      <c r="I912" s="37"/>
      <c r="J912" s="35"/>
    </row>
    <row r="913" spans="9:10" x14ac:dyDescent="0.25">
      <c r="I913" s="37"/>
      <c r="J913" s="35"/>
    </row>
    <row r="914" spans="9:10" x14ac:dyDescent="0.25">
      <c r="I914" s="37"/>
      <c r="J914" s="35"/>
    </row>
    <row r="915" spans="9:10" x14ac:dyDescent="0.25">
      <c r="I915" s="37"/>
      <c r="J915" s="35"/>
    </row>
    <row r="916" spans="9:10" x14ac:dyDescent="0.25">
      <c r="I916" s="37"/>
      <c r="J916" s="35"/>
    </row>
    <row r="917" spans="9:10" x14ac:dyDescent="0.25">
      <c r="I917" s="37"/>
      <c r="J917" s="35"/>
    </row>
    <row r="918" spans="9:10" x14ac:dyDescent="0.25">
      <c r="I918" s="37"/>
      <c r="J918" s="35"/>
    </row>
    <row r="919" spans="9:10" x14ac:dyDescent="0.25">
      <c r="I919" s="37"/>
      <c r="J919" s="35"/>
    </row>
    <row r="920" spans="9:10" x14ac:dyDescent="0.25">
      <c r="I920" s="37"/>
      <c r="J920" s="35"/>
    </row>
    <row r="921" spans="9:10" x14ac:dyDescent="0.25">
      <c r="I921" s="37"/>
      <c r="J921" s="35"/>
    </row>
    <row r="922" spans="9:10" x14ac:dyDescent="0.25">
      <c r="I922" s="37"/>
      <c r="J922" s="35"/>
    </row>
    <row r="923" spans="9:10" x14ac:dyDescent="0.25">
      <c r="I923" s="37"/>
      <c r="J923" s="35"/>
    </row>
    <row r="924" spans="9:10" x14ac:dyDescent="0.25">
      <c r="I924" s="37"/>
      <c r="J924" s="35"/>
    </row>
    <row r="925" spans="9:10" x14ac:dyDescent="0.25">
      <c r="I925" s="37"/>
      <c r="J925" s="35"/>
    </row>
    <row r="926" spans="9:10" x14ac:dyDescent="0.25">
      <c r="I926" s="37"/>
      <c r="J926" s="35"/>
    </row>
    <row r="927" spans="9:10" x14ac:dyDescent="0.25">
      <c r="I927" s="37"/>
      <c r="J927" s="35"/>
    </row>
    <row r="928" spans="9:10" x14ac:dyDescent="0.25">
      <c r="I928" s="37"/>
      <c r="J928" s="35"/>
    </row>
    <row r="929" spans="9:10" x14ac:dyDescent="0.25">
      <c r="I929" s="37"/>
      <c r="J929" s="35"/>
    </row>
    <row r="930" spans="9:10" x14ac:dyDescent="0.25">
      <c r="I930" s="37"/>
      <c r="J930" s="35"/>
    </row>
    <row r="931" spans="9:10" x14ac:dyDescent="0.25">
      <c r="I931" s="37"/>
      <c r="J931" s="35"/>
    </row>
    <row r="932" spans="9:10" x14ac:dyDescent="0.25">
      <c r="I932" s="37"/>
      <c r="J932" s="35"/>
    </row>
    <row r="933" spans="9:10" x14ac:dyDescent="0.25">
      <c r="I933" s="37"/>
      <c r="J933" s="35"/>
    </row>
    <row r="934" spans="9:10" x14ac:dyDescent="0.25">
      <c r="I934" s="37"/>
      <c r="J934" s="35"/>
    </row>
    <row r="935" spans="9:10" x14ac:dyDescent="0.25">
      <c r="I935" s="37"/>
      <c r="J935" s="35"/>
    </row>
    <row r="936" spans="9:10" x14ac:dyDescent="0.25">
      <c r="I936" s="37"/>
      <c r="J936" s="35"/>
    </row>
    <row r="937" spans="9:10" x14ac:dyDescent="0.25">
      <c r="I937" s="37"/>
      <c r="J937" s="35"/>
    </row>
    <row r="938" spans="9:10" x14ac:dyDescent="0.25">
      <c r="I938" s="37"/>
      <c r="J938" s="35"/>
    </row>
    <row r="939" spans="9:10" x14ac:dyDescent="0.25">
      <c r="I939" s="37"/>
      <c r="J939" s="35"/>
    </row>
    <row r="940" spans="9:10" x14ac:dyDescent="0.25">
      <c r="I940" s="37"/>
      <c r="J940" s="35"/>
    </row>
    <row r="941" spans="9:10" x14ac:dyDescent="0.25">
      <c r="I941" s="37"/>
      <c r="J941" s="35"/>
    </row>
    <row r="942" spans="9:10" x14ac:dyDescent="0.25">
      <c r="I942" s="37"/>
      <c r="J942" s="35"/>
    </row>
    <row r="943" spans="9:10" x14ac:dyDescent="0.25">
      <c r="I943" s="37"/>
      <c r="J943" s="35"/>
    </row>
    <row r="944" spans="9:10" x14ac:dyDescent="0.25">
      <c r="I944" s="37"/>
      <c r="J944" s="35"/>
    </row>
    <row r="945" spans="9:10" x14ac:dyDescent="0.25">
      <c r="I945" s="37"/>
      <c r="J945" s="35"/>
    </row>
    <row r="946" spans="9:10" x14ac:dyDescent="0.25">
      <c r="I946" s="37"/>
      <c r="J946" s="35"/>
    </row>
    <row r="947" spans="9:10" x14ac:dyDescent="0.25">
      <c r="I947" s="37"/>
      <c r="J947" s="35"/>
    </row>
    <row r="948" spans="9:10" x14ac:dyDescent="0.25">
      <c r="I948" s="37"/>
      <c r="J948" s="35"/>
    </row>
    <row r="949" spans="9:10" x14ac:dyDescent="0.25">
      <c r="I949" s="37"/>
      <c r="J949" s="35"/>
    </row>
    <row r="950" spans="9:10" x14ac:dyDescent="0.25">
      <c r="I950" s="37"/>
      <c r="J950" s="35"/>
    </row>
    <row r="951" spans="9:10" x14ac:dyDescent="0.25">
      <c r="I951" s="37"/>
      <c r="J951" s="35"/>
    </row>
    <row r="952" spans="9:10" x14ac:dyDescent="0.25">
      <c r="I952" s="37"/>
      <c r="J952" s="35"/>
    </row>
    <row r="953" spans="9:10" x14ac:dyDescent="0.25">
      <c r="I953" s="37"/>
      <c r="J953" s="35"/>
    </row>
    <row r="954" spans="9:10" x14ac:dyDescent="0.25">
      <c r="I954" s="37"/>
      <c r="J954" s="35"/>
    </row>
    <row r="955" spans="9:10" x14ac:dyDescent="0.25">
      <c r="I955" s="37"/>
      <c r="J955" s="35"/>
    </row>
    <row r="956" spans="9:10" x14ac:dyDescent="0.25">
      <c r="I956" s="37"/>
      <c r="J956" s="35"/>
    </row>
    <row r="957" spans="9:10" x14ac:dyDescent="0.25">
      <c r="I957" s="37"/>
      <c r="J957" s="35"/>
    </row>
    <row r="958" spans="9:10" x14ac:dyDescent="0.25">
      <c r="I958" s="37"/>
      <c r="J958" s="35"/>
    </row>
    <row r="959" spans="9:10" x14ac:dyDescent="0.25">
      <c r="I959" s="37"/>
      <c r="J959" s="35"/>
    </row>
    <row r="960" spans="9:10" x14ac:dyDescent="0.25">
      <c r="I960" s="37"/>
      <c r="J960" s="35"/>
    </row>
    <row r="961" spans="9:10" x14ac:dyDescent="0.25">
      <c r="I961" s="37"/>
      <c r="J961" s="35"/>
    </row>
    <row r="962" spans="9:10" x14ac:dyDescent="0.25">
      <c r="I962" s="37"/>
      <c r="J962" s="35"/>
    </row>
    <row r="963" spans="9:10" x14ac:dyDescent="0.25">
      <c r="I963" s="37"/>
      <c r="J963" s="35"/>
    </row>
    <row r="964" spans="9:10" x14ac:dyDescent="0.25">
      <c r="I964" s="37"/>
      <c r="J964" s="35"/>
    </row>
    <row r="965" spans="9:10" x14ac:dyDescent="0.25">
      <c r="I965" s="37"/>
      <c r="J965" s="35"/>
    </row>
    <row r="966" spans="9:10" x14ac:dyDescent="0.25">
      <c r="I966" s="37"/>
      <c r="J966" s="35"/>
    </row>
    <row r="967" spans="9:10" x14ac:dyDescent="0.25">
      <c r="I967" s="37"/>
      <c r="J967" s="35"/>
    </row>
    <row r="968" spans="9:10" x14ac:dyDescent="0.25">
      <c r="I968" s="37"/>
      <c r="J968" s="35"/>
    </row>
    <row r="969" spans="9:10" x14ac:dyDescent="0.25">
      <c r="I969" s="37"/>
      <c r="J969" s="35"/>
    </row>
    <row r="970" spans="9:10" x14ac:dyDescent="0.25">
      <c r="I970" s="37"/>
      <c r="J970" s="35"/>
    </row>
    <row r="971" spans="9:10" x14ac:dyDescent="0.25">
      <c r="I971" s="37"/>
      <c r="J971" s="35"/>
    </row>
    <row r="972" spans="9:10" x14ac:dyDescent="0.25">
      <c r="I972" s="37"/>
      <c r="J972" s="35"/>
    </row>
    <row r="973" spans="9:10" x14ac:dyDescent="0.25">
      <c r="I973" s="37"/>
      <c r="J973" s="35"/>
    </row>
    <row r="974" spans="9:10" x14ac:dyDescent="0.25">
      <c r="I974" s="37"/>
      <c r="J974" s="35"/>
    </row>
    <row r="975" spans="9:10" x14ac:dyDescent="0.25">
      <c r="I975" s="37"/>
      <c r="J975" s="35"/>
    </row>
    <row r="976" spans="9:10" x14ac:dyDescent="0.25">
      <c r="I976" s="37"/>
      <c r="J976" s="35"/>
    </row>
    <row r="977" spans="9:10" x14ac:dyDescent="0.25">
      <c r="I977" s="37"/>
      <c r="J977" s="35"/>
    </row>
    <row r="978" spans="9:10" x14ac:dyDescent="0.25">
      <c r="I978" s="37"/>
      <c r="J978" s="35"/>
    </row>
    <row r="979" spans="9:10" x14ac:dyDescent="0.25">
      <c r="I979" s="37"/>
      <c r="J979" s="35"/>
    </row>
    <row r="980" spans="9:10" x14ac:dyDescent="0.25">
      <c r="I980" s="37"/>
      <c r="J980" s="35"/>
    </row>
    <row r="981" spans="9:10" x14ac:dyDescent="0.25">
      <c r="I981" s="37"/>
      <c r="J981" s="35"/>
    </row>
    <row r="982" spans="9:10" x14ac:dyDescent="0.25">
      <c r="I982" s="37"/>
      <c r="J982" s="35"/>
    </row>
    <row r="983" spans="9:10" x14ac:dyDescent="0.25">
      <c r="I983" s="37"/>
      <c r="J983" s="35"/>
    </row>
    <row r="984" spans="9:10" x14ac:dyDescent="0.25">
      <c r="I984" s="37"/>
      <c r="J984" s="35"/>
    </row>
    <row r="985" spans="9:10" x14ac:dyDescent="0.25">
      <c r="I985" s="37"/>
      <c r="J985" s="35"/>
    </row>
    <row r="986" spans="9:10" x14ac:dyDescent="0.25">
      <c r="I986" s="37"/>
      <c r="J986" s="35"/>
    </row>
    <row r="987" spans="9:10" x14ac:dyDescent="0.25">
      <c r="I987" s="37"/>
      <c r="J987" s="35"/>
    </row>
    <row r="988" spans="9:10" x14ac:dyDescent="0.25">
      <c r="I988" s="37"/>
      <c r="J988" s="35"/>
    </row>
    <row r="989" spans="9:10" x14ac:dyDescent="0.25">
      <c r="I989" s="37"/>
      <c r="J989" s="35"/>
    </row>
    <row r="990" spans="9:10" x14ac:dyDescent="0.25">
      <c r="I990" s="37"/>
      <c r="J990" s="35"/>
    </row>
    <row r="991" spans="9:10" x14ac:dyDescent="0.25">
      <c r="I991" s="37"/>
      <c r="J991" s="35"/>
    </row>
    <row r="992" spans="9:10" x14ac:dyDescent="0.25">
      <c r="I992" s="37"/>
      <c r="J992" s="35"/>
    </row>
    <row r="993" spans="9:10" x14ac:dyDescent="0.25">
      <c r="I993" s="37"/>
      <c r="J993" s="35"/>
    </row>
    <row r="994" spans="9:10" x14ac:dyDescent="0.25">
      <c r="I994" s="37"/>
      <c r="J994" s="35"/>
    </row>
    <row r="995" spans="9:10" x14ac:dyDescent="0.25">
      <c r="I995" s="37"/>
      <c r="J995" s="35"/>
    </row>
    <row r="996" spans="9:10" x14ac:dyDescent="0.25">
      <c r="I996" s="37"/>
      <c r="J996" s="35"/>
    </row>
    <row r="997" spans="9:10" x14ac:dyDescent="0.25">
      <c r="I997" s="37"/>
      <c r="J997" s="35"/>
    </row>
    <row r="998" spans="9:10" x14ac:dyDescent="0.25">
      <c r="I998" s="37"/>
      <c r="J998" s="35"/>
    </row>
    <row r="999" spans="9:10" x14ac:dyDescent="0.25">
      <c r="I999" s="37"/>
      <c r="J999" s="35"/>
    </row>
    <row r="1000" spans="9:10" x14ac:dyDescent="0.25">
      <c r="I1000" s="37"/>
      <c r="J1000" s="35"/>
    </row>
    <row r="1001" spans="9:10" x14ac:dyDescent="0.25">
      <c r="I1001" s="37"/>
      <c r="J1001" s="35"/>
    </row>
    <row r="1002" spans="9:10" x14ac:dyDescent="0.25">
      <c r="I1002" s="37"/>
      <c r="J1002" s="35"/>
    </row>
    <row r="1003" spans="9:10" x14ac:dyDescent="0.25">
      <c r="I1003" s="37"/>
      <c r="J1003" s="35"/>
    </row>
    <row r="1004" spans="9:10" x14ac:dyDescent="0.25">
      <c r="I1004" s="37"/>
      <c r="J1004" s="35"/>
    </row>
    <row r="1005" spans="9:10" x14ac:dyDescent="0.25">
      <c r="I1005" s="37"/>
      <c r="J1005" s="35"/>
    </row>
    <row r="1006" spans="9:10" x14ac:dyDescent="0.25">
      <c r="I1006" s="37"/>
      <c r="J1006" s="35"/>
    </row>
    <row r="1007" spans="9:10" x14ac:dyDescent="0.25">
      <c r="I1007" s="37"/>
      <c r="J1007" s="35"/>
    </row>
    <row r="1008" spans="9:10" x14ac:dyDescent="0.25">
      <c r="I1008" s="37"/>
      <c r="J1008" s="35"/>
    </row>
    <row r="1009" spans="9:10" x14ac:dyDescent="0.25">
      <c r="I1009" s="37"/>
      <c r="J1009" s="35"/>
    </row>
    <row r="1010" spans="9:10" x14ac:dyDescent="0.25">
      <c r="I1010" s="37"/>
      <c r="J1010" s="35"/>
    </row>
    <row r="1011" spans="9:10" x14ac:dyDescent="0.25">
      <c r="I1011" s="37"/>
      <c r="J1011" s="35"/>
    </row>
    <row r="1012" spans="9:10" x14ac:dyDescent="0.25">
      <c r="I1012" s="37"/>
      <c r="J1012" s="35"/>
    </row>
    <row r="1013" spans="9:10" x14ac:dyDescent="0.25">
      <c r="I1013" s="37"/>
      <c r="J1013" s="35"/>
    </row>
    <row r="1014" spans="9:10" x14ac:dyDescent="0.25">
      <c r="I1014" s="37"/>
      <c r="J1014" s="35"/>
    </row>
    <row r="1015" spans="9:10" x14ac:dyDescent="0.25">
      <c r="I1015" s="37"/>
      <c r="J1015" s="35"/>
    </row>
    <row r="1016" spans="9:10" x14ac:dyDescent="0.25">
      <c r="I1016" s="37"/>
      <c r="J1016" s="35"/>
    </row>
    <row r="1017" spans="9:10" x14ac:dyDescent="0.25">
      <c r="I1017" s="37"/>
      <c r="J1017" s="35"/>
    </row>
    <row r="1018" spans="9:10" x14ac:dyDescent="0.25">
      <c r="I1018" s="37"/>
      <c r="J1018" s="35"/>
    </row>
    <row r="1019" spans="9:10" x14ac:dyDescent="0.25">
      <c r="I1019" s="37"/>
      <c r="J1019" s="35"/>
    </row>
    <row r="1020" spans="9:10" x14ac:dyDescent="0.25">
      <c r="I1020" s="37"/>
      <c r="J1020" s="35"/>
    </row>
    <row r="1021" spans="9:10" x14ac:dyDescent="0.25">
      <c r="I1021" s="37"/>
      <c r="J1021" s="35"/>
    </row>
    <row r="1022" spans="9:10" x14ac:dyDescent="0.25">
      <c r="I1022" s="37"/>
      <c r="J1022" s="35"/>
    </row>
    <row r="1023" spans="9:10" x14ac:dyDescent="0.25">
      <c r="I1023" s="37"/>
      <c r="J1023" s="35"/>
    </row>
    <row r="1024" spans="9:10" x14ac:dyDescent="0.25">
      <c r="I1024" s="37"/>
      <c r="J1024" s="35"/>
    </row>
    <row r="1025" spans="9:10" x14ac:dyDescent="0.25">
      <c r="I1025" s="37"/>
      <c r="J1025" s="35"/>
    </row>
    <row r="1026" spans="9:10" x14ac:dyDescent="0.25">
      <c r="I1026" s="37"/>
      <c r="J1026" s="35"/>
    </row>
    <row r="1027" spans="9:10" x14ac:dyDescent="0.25">
      <c r="I1027" s="37"/>
      <c r="J1027" s="35"/>
    </row>
    <row r="1028" spans="9:10" x14ac:dyDescent="0.25">
      <c r="I1028" s="37"/>
      <c r="J1028" s="35"/>
    </row>
    <row r="1029" spans="9:10" x14ac:dyDescent="0.25">
      <c r="I1029" s="37"/>
      <c r="J1029" s="35"/>
    </row>
    <row r="1030" spans="9:10" x14ac:dyDescent="0.25">
      <c r="I1030" s="37"/>
      <c r="J1030" s="35"/>
    </row>
    <row r="1031" spans="9:10" x14ac:dyDescent="0.25">
      <c r="I1031" s="37"/>
      <c r="J1031" s="35"/>
    </row>
    <row r="1032" spans="9:10" x14ac:dyDescent="0.25">
      <c r="I1032" s="37"/>
      <c r="J1032" s="35"/>
    </row>
    <row r="1033" spans="9:10" x14ac:dyDescent="0.25">
      <c r="I1033" s="37"/>
      <c r="J1033" s="35"/>
    </row>
    <row r="1034" spans="9:10" x14ac:dyDescent="0.25">
      <c r="I1034" s="37"/>
      <c r="J1034" s="35"/>
    </row>
    <row r="1035" spans="9:10" x14ac:dyDescent="0.25">
      <c r="I1035" s="37"/>
      <c r="J1035" s="35"/>
    </row>
    <row r="1036" spans="9:10" x14ac:dyDescent="0.25">
      <c r="I1036" s="37"/>
      <c r="J1036" s="35"/>
    </row>
    <row r="1037" spans="9:10" x14ac:dyDescent="0.25">
      <c r="I1037" s="37"/>
      <c r="J1037" s="35"/>
    </row>
    <row r="1038" spans="9:10" x14ac:dyDescent="0.25">
      <c r="I1038" s="37"/>
      <c r="J1038" s="35"/>
    </row>
    <row r="1039" spans="9:10" x14ac:dyDescent="0.25">
      <c r="I1039" s="37"/>
      <c r="J1039" s="35"/>
    </row>
    <row r="1040" spans="9:10" x14ac:dyDescent="0.25">
      <c r="I1040" s="37"/>
      <c r="J1040" s="35"/>
    </row>
    <row r="1041" spans="9:10" x14ac:dyDescent="0.25">
      <c r="I1041" s="37"/>
      <c r="J1041" s="35"/>
    </row>
    <row r="1042" spans="9:10" x14ac:dyDescent="0.25">
      <c r="I1042" s="37"/>
      <c r="J1042" s="35"/>
    </row>
    <row r="1043" spans="9:10" x14ac:dyDescent="0.25">
      <c r="I1043" s="37"/>
      <c r="J1043" s="35"/>
    </row>
    <row r="1044" spans="9:10" x14ac:dyDescent="0.25">
      <c r="I1044" s="37"/>
      <c r="J1044" s="35"/>
    </row>
    <row r="1045" spans="9:10" x14ac:dyDescent="0.25">
      <c r="I1045" s="37"/>
      <c r="J1045" s="35"/>
    </row>
    <row r="1046" spans="9:10" x14ac:dyDescent="0.25">
      <c r="I1046" s="37"/>
      <c r="J1046" s="35"/>
    </row>
    <row r="1047" spans="9:10" x14ac:dyDescent="0.25">
      <c r="I1047" s="37"/>
      <c r="J1047" s="35"/>
    </row>
    <row r="1048" spans="9:10" x14ac:dyDescent="0.25">
      <c r="I1048" s="37"/>
      <c r="J1048" s="35"/>
    </row>
    <row r="1049" spans="9:10" x14ac:dyDescent="0.25">
      <c r="I1049" s="37"/>
      <c r="J1049" s="35"/>
    </row>
    <row r="1050" spans="9:10" x14ac:dyDescent="0.25">
      <c r="I1050" s="37"/>
      <c r="J1050" s="35"/>
    </row>
    <row r="1051" spans="9:10" x14ac:dyDescent="0.25">
      <c r="I1051" s="37"/>
      <c r="J1051" s="35"/>
    </row>
    <row r="1052" spans="9:10" x14ac:dyDescent="0.25">
      <c r="I1052" s="37"/>
      <c r="J1052" s="35"/>
    </row>
    <row r="1053" spans="9:10" x14ac:dyDescent="0.25">
      <c r="I1053" s="37"/>
      <c r="J1053" s="35"/>
    </row>
    <row r="1054" spans="9:10" x14ac:dyDescent="0.25">
      <c r="I1054" s="37"/>
      <c r="J1054" s="35"/>
    </row>
    <row r="1055" spans="9:10" x14ac:dyDescent="0.25">
      <c r="I1055" s="37"/>
      <c r="J1055" s="35"/>
    </row>
    <row r="1056" spans="9:10" x14ac:dyDescent="0.25">
      <c r="I1056" s="37"/>
      <c r="J1056" s="35"/>
    </row>
    <row r="1057" spans="9:10" x14ac:dyDescent="0.25">
      <c r="I1057" s="37"/>
      <c r="J1057" s="35"/>
    </row>
    <row r="1058" spans="9:10" x14ac:dyDescent="0.25">
      <c r="I1058" s="37"/>
      <c r="J1058" s="35"/>
    </row>
    <row r="1059" spans="9:10" x14ac:dyDescent="0.25">
      <c r="I1059" s="37"/>
      <c r="J1059" s="35"/>
    </row>
    <row r="1060" spans="9:10" x14ac:dyDescent="0.25">
      <c r="I1060" s="37"/>
      <c r="J1060" s="35"/>
    </row>
    <row r="1061" spans="9:10" x14ac:dyDescent="0.25">
      <c r="I1061" s="37"/>
      <c r="J1061" s="35"/>
    </row>
    <row r="1062" spans="9:10" x14ac:dyDescent="0.25">
      <c r="I1062" s="37"/>
      <c r="J1062" s="35"/>
    </row>
    <row r="1063" spans="9:10" x14ac:dyDescent="0.25">
      <c r="I1063" s="37"/>
      <c r="J1063" s="35"/>
    </row>
    <row r="1064" spans="9:10" x14ac:dyDescent="0.25">
      <c r="I1064" s="37"/>
      <c r="J1064" s="35"/>
    </row>
    <row r="1065" spans="9:10" x14ac:dyDescent="0.25">
      <c r="I1065" s="37"/>
      <c r="J1065" s="35"/>
    </row>
    <row r="1066" spans="9:10" x14ac:dyDescent="0.25">
      <c r="I1066" s="37"/>
      <c r="J1066" s="35"/>
    </row>
    <row r="1067" spans="9:10" x14ac:dyDescent="0.25">
      <c r="I1067" s="37"/>
      <c r="J1067" s="35"/>
    </row>
    <row r="1068" spans="9:10" x14ac:dyDescent="0.25">
      <c r="I1068" s="37"/>
      <c r="J1068" s="35"/>
    </row>
    <row r="1069" spans="9:10" x14ac:dyDescent="0.25">
      <c r="I1069" s="37"/>
      <c r="J1069" s="35"/>
    </row>
    <row r="1070" spans="9:10" x14ac:dyDescent="0.25">
      <c r="I1070" s="37"/>
      <c r="J1070" s="35"/>
    </row>
    <row r="1071" spans="9:10" x14ac:dyDescent="0.25">
      <c r="I1071" s="37"/>
      <c r="J1071" s="35"/>
    </row>
    <row r="1072" spans="9:10" x14ac:dyDescent="0.25">
      <c r="I1072" s="37"/>
      <c r="J1072" s="35"/>
    </row>
    <row r="1073" spans="9:10" x14ac:dyDescent="0.25">
      <c r="I1073" s="37"/>
      <c r="J1073" s="35"/>
    </row>
    <row r="1074" spans="9:10" x14ac:dyDescent="0.25">
      <c r="I1074" s="37"/>
      <c r="J1074" s="35"/>
    </row>
    <row r="1075" spans="9:10" x14ac:dyDescent="0.25">
      <c r="I1075" s="37"/>
      <c r="J1075" s="35"/>
    </row>
    <row r="1076" spans="9:10" x14ac:dyDescent="0.25">
      <c r="I1076" s="37"/>
      <c r="J1076" s="35"/>
    </row>
    <row r="1077" spans="9:10" x14ac:dyDescent="0.25">
      <c r="I1077" s="37"/>
      <c r="J1077" s="35"/>
    </row>
    <row r="1078" spans="9:10" x14ac:dyDescent="0.25">
      <c r="I1078" s="37"/>
      <c r="J1078" s="35"/>
    </row>
    <row r="1079" spans="9:10" x14ac:dyDescent="0.25">
      <c r="I1079" s="37"/>
      <c r="J1079" s="35"/>
    </row>
    <row r="1080" spans="9:10" x14ac:dyDescent="0.25">
      <c r="I1080" s="37"/>
      <c r="J1080" s="35"/>
    </row>
    <row r="1081" spans="9:10" x14ac:dyDescent="0.25">
      <c r="I1081" s="37"/>
      <c r="J1081" s="35"/>
    </row>
    <row r="1082" spans="9:10" x14ac:dyDescent="0.25">
      <c r="I1082" s="37"/>
      <c r="J1082" s="35"/>
    </row>
    <row r="1083" spans="9:10" x14ac:dyDescent="0.25">
      <c r="I1083" s="37"/>
      <c r="J1083" s="35"/>
    </row>
    <row r="1084" spans="9:10" x14ac:dyDescent="0.25">
      <c r="I1084" s="37"/>
      <c r="J1084" s="35"/>
    </row>
    <row r="1085" spans="9:10" x14ac:dyDescent="0.25">
      <c r="I1085" s="37"/>
      <c r="J1085" s="35"/>
    </row>
    <row r="1086" spans="9:10" x14ac:dyDescent="0.25">
      <c r="I1086" s="37"/>
      <c r="J1086" s="35"/>
    </row>
    <row r="1087" spans="9:10" x14ac:dyDescent="0.25">
      <c r="I1087" s="37"/>
      <c r="J1087" s="35"/>
    </row>
    <row r="1088" spans="9:10" x14ac:dyDescent="0.25">
      <c r="I1088" s="37"/>
      <c r="J1088" s="35"/>
    </row>
    <row r="1089" spans="9:10" x14ac:dyDescent="0.25">
      <c r="I1089" s="37"/>
      <c r="J1089" s="35"/>
    </row>
    <row r="1090" spans="9:10" x14ac:dyDescent="0.25">
      <c r="I1090" s="37"/>
      <c r="J1090" s="35"/>
    </row>
    <row r="1091" spans="9:10" x14ac:dyDescent="0.25">
      <c r="I1091" s="37"/>
      <c r="J1091" s="35"/>
    </row>
    <row r="1092" spans="9:10" x14ac:dyDescent="0.25">
      <c r="I1092" s="37"/>
      <c r="J1092" s="35"/>
    </row>
    <row r="1093" spans="9:10" x14ac:dyDescent="0.25">
      <c r="I1093" s="37"/>
      <c r="J1093" s="35"/>
    </row>
    <row r="1094" spans="9:10" x14ac:dyDescent="0.25">
      <c r="I1094" s="37"/>
      <c r="J1094" s="35"/>
    </row>
    <row r="1095" spans="9:10" x14ac:dyDescent="0.25">
      <c r="I1095" s="37"/>
      <c r="J1095" s="35"/>
    </row>
    <row r="1096" spans="9:10" x14ac:dyDescent="0.25">
      <c r="I1096" s="37"/>
      <c r="J1096" s="35"/>
    </row>
    <row r="1097" spans="9:10" x14ac:dyDescent="0.25">
      <c r="I1097" s="37"/>
      <c r="J1097" s="35"/>
    </row>
    <row r="1098" spans="9:10" x14ac:dyDescent="0.25">
      <c r="I1098" s="37"/>
      <c r="J1098" s="35"/>
    </row>
    <row r="1099" spans="9:10" x14ac:dyDescent="0.25">
      <c r="I1099" s="37"/>
      <c r="J1099" s="35"/>
    </row>
    <row r="1100" spans="9:10" x14ac:dyDescent="0.25">
      <c r="I1100" s="37"/>
      <c r="J1100" s="35"/>
    </row>
    <row r="1101" spans="9:10" x14ac:dyDescent="0.25">
      <c r="I1101" s="37"/>
      <c r="J1101" s="35"/>
    </row>
    <row r="1102" spans="9:10" x14ac:dyDescent="0.25">
      <c r="I1102" s="37"/>
      <c r="J1102" s="35"/>
    </row>
    <row r="1103" spans="9:10" x14ac:dyDescent="0.25">
      <c r="I1103" s="37"/>
      <c r="J1103" s="35"/>
    </row>
    <row r="1104" spans="9:10" x14ac:dyDescent="0.25">
      <c r="I1104" s="37"/>
      <c r="J1104" s="35"/>
    </row>
    <row r="1105" spans="9:10" x14ac:dyDescent="0.25">
      <c r="I1105" s="37"/>
      <c r="J1105" s="35"/>
    </row>
    <row r="1106" spans="9:10" x14ac:dyDescent="0.25">
      <c r="I1106" s="37"/>
      <c r="J1106" s="35"/>
    </row>
    <row r="1107" spans="9:10" x14ac:dyDescent="0.25">
      <c r="I1107" s="37"/>
      <c r="J1107" s="35"/>
    </row>
    <row r="1108" spans="9:10" x14ac:dyDescent="0.25">
      <c r="I1108" s="37"/>
      <c r="J1108" s="35"/>
    </row>
    <row r="1109" spans="9:10" x14ac:dyDescent="0.25">
      <c r="I1109" s="37"/>
      <c r="J1109" s="35"/>
    </row>
    <row r="1110" spans="9:10" x14ac:dyDescent="0.25">
      <c r="I1110" s="37"/>
      <c r="J1110" s="35"/>
    </row>
    <row r="1111" spans="9:10" x14ac:dyDescent="0.25">
      <c r="I1111" s="37"/>
      <c r="J1111" s="35"/>
    </row>
    <row r="1112" spans="9:10" x14ac:dyDescent="0.25">
      <c r="I1112" s="37"/>
      <c r="J1112" s="35"/>
    </row>
    <row r="1113" spans="9:10" x14ac:dyDescent="0.25">
      <c r="I1113" s="37"/>
      <c r="J1113" s="35"/>
    </row>
    <row r="1114" spans="9:10" x14ac:dyDescent="0.25">
      <c r="I1114" s="37"/>
      <c r="J1114" s="35"/>
    </row>
    <row r="1115" spans="9:10" x14ac:dyDescent="0.25">
      <c r="I1115" s="37"/>
      <c r="J1115" s="35"/>
    </row>
    <row r="1116" spans="9:10" x14ac:dyDescent="0.25">
      <c r="I1116" s="37"/>
      <c r="J1116" s="35"/>
    </row>
    <row r="1117" spans="9:10" x14ac:dyDescent="0.25">
      <c r="I1117" s="37"/>
      <c r="J1117" s="35"/>
    </row>
    <row r="1118" spans="9:10" x14ac:dyDescent="0.25">
      <c r="I1118" s="37"/>
      <c r="J1118" s="35"/>
    </row>
    <row r="1119" spans="9:10" x14ac:dyDescent="0.25">
      <c r="I1119" s="37"/>
      <c r="J1119" s="35"/>
    </row>
    <row r="1120" spans="9:10" x14ac:dyDescent="0.25">
      <c r="I1120" s="37"/>
      <c r="J1120" s="35"/>
    </row>
    <row r="1121" spans="9:10" x14ac:dyDescent="0.25">
      <c r="I1121" s="37"/>
      <c r="J1121" s="35"/>
    </row>
    <row r="1122" spans="9:10" x14ac:dyDescent="0.25">
      <c r="I1122" s="37"/>
      <c r="J1122" s="35"/>
    </row>
    <row r="1123" spans="9:10" x14ac:dyDescent="0.25">
      <c r="I1123" s="37"/>
      <c r="J1123" s="35"/>
    </row>
    <row r="1124" spans="9:10" x14ac:dyDescent="0.25">
      <c r="I1124" s="37"/>
      <c r="J1124" s="35"/>
    </row>
    <row r="1125" spans="9:10" x14ac:dyDescent="0.25">
      <c r="I1125" s="37"/>
      <c r="J1125" s="35"/>
    </row>
    <row r="1126" spans="9:10" x14ac:dyDescent="0.25">
      <c r="I1126" s="37"/>
      <c r="J1126" s="35"/>
    </row>
    <row r="1127" spans="9:10" x14ac:dyDescent="0.25">
      <c r="I1127" s="37"/>
      <c r="J1127" s="35"/>
    </row>
    <row r="1128" spans="9:10" x14ac:dyDescent="0.25">
      <c r="I1128" s="37"/>
      <c r="J1128" s="35"/>
    </row>
    <row r="1129" spans="9:10" x14ac:dyDescent="0.25">
      <c r="I1129" s="37"/>
      <c r="J1129" s="35"/>
    </row>
    <row r="1130" spans="9:10" x14ac:dyDescent="0.25">
      <c r="I1130" s="37"/>
      <c r="J1130" s="35"/>
    </row>
    <row r="1131" spans="9:10" x14ac:dyDescent="0.25">
      <c r="I1131" s="37"/>
      <c r="J1131" s="35"/>
    </row>
    <row r="1132" spans="9:10" x14ac:dyDescent="0.25">
      <c r="I1132" s="37"/>
      <c r="J1132" s="35"/>
    </row>
    <row r="1133" spans="9:10" x14ac:dyDescent="0.25">
      <c r="I1133" s="37"/>
      <c r="J1133" s="35"/>
    </row>
    <row r="1134" spans="9:10" x14ac:dyDescent="0.25">
      <c r="I1134" s="37"/>
      <c r="J1134" s="35"/>
    </row>
    <row r="1135" spans="9:10" x14ac:dyDescent="0.25">
      <c r="I1135" s="37"/>
      <c r="J1135" s="35"/>
    </row>
    <row r="1136" spans="9:10" x14ac:dyDescent="0.25">
      <c r="I1136" s="37"/>
      <c r="J1136" s="35"/>
    </row>
    <row r="1137" spans="9:10" x14ac:dyDescent="0.25">
      <c r="I1137" s="37"/>
      <c r="J1137" s="35"/>
    </row>
    <row r="1138" spans="9:10" x14ac:dyDescent="0.25">
      <c r="I1138" s="37"/>
      <c r="J1138" s="35"/>
    </row>
    <row r="1139" spans="9:10" x14ac:dyDescent="0.25">
      <c r="I1139" s="37"/>
      <c r="J1139" s="35"/>
    </row>
    <row r="1140" spans="9:10" x14ac:dyDescent="0.25">
      <c r="I1140" s="37"/>
      <c r="J1140" s="35"/>
    </row>
    <row r="1141" spans="9:10" x14ac:dyDescent="0.25">
      <c r="I1141" s="37"/>
      <c r="J1141" s="35"/>
    </row>
    <row r="1142" spans="9:10" x14ac:dyDescent="0.25">
      <c r="I1142" s="37"/>
      <c r="J1142" s="35"/>
    </row>
    <row r="1143" spans="9:10" x14ac:dyDescent="0.25">
      <c r="I1143" s="37"/>
      <c r="J1143" s="35"/>
    </row>
    <row r="1144" spans="9:10" x14ac:dyDescent="0.25">
      <c r="I1144" s="37"/>
      <c r="J1144" s="35"/>
    </row>
    <row r="1145" spans="9:10" x14ac:dyDescent="0.25">
      <c r="I1145" s="37"/>
      <c r="J1145" s="35"/>
    </row>
    <row r="1146" spans="9:10" x14ac:dyDescent="0.25">
      <c r="I1146" s="37"/>
      <c r="J1146" s="35"/>
    </row>
    <row r="1147" spans="9:10" x14ac:dyDescent="0.25">
      <c r="I1147" s="37"/>
      <c r="J1147" s="35"/>
    </row>
    <row r="1148" spans="9:10" x14ac:dyDescent="0.25">
      <c r="I1148" s="37"/>
      <c r="J1148" s="35"/>
    </row>
    <row r="1149" spans="9:10" x14ac:dyDescent="0.25">
      <c r="I1149" s="37"/>
      <c r="J1149" s="35"/>
    </row>
    <row r="1150" spans="9:10" x14ac:dyDescent="0.25">
      <c r="I1150" s="37"/>
      <c r="J1150" s="35"/>
    </row>
    <row r="1151" spans="9:10" x14ac:dyDescent="0.25">
      <c r="I1151" s="37"/>
      <c r="J1151" s="35"/>
    </row>
    <row r="1152" spans="9:10" x14ac:dyDescent="0.25">
      <c r="I1152" s="37"/>
      <c r="J1152" s="35"/>
    </row>
    <row r="1153" spans="9:10" x14ac:dyDescent="0.25">
      <c r="I1153" s="37"/>
      <c r="J1153" s="35"/>
    </row>
    <row r="1154" spans="9:10" x14ac:dyDescent="0.25">
      <c r="I1154" s="37"/>
      <c r="J1154" s="35"/>
    </row>
    <row r="1155" spans="9:10" x14ac:dyDescent="0.25">
      <c r="I1155" s="37"/>
      <c r="J1155" s="35"/>
    </row>
    <row r="1156" spans="9:10" x14ac:dyDescent="0.25">
      <c r="I1156" s="37"/>
      <c r="J1156" s="35"/>
    </row>
    <row r="1157" spans="9:10" x14ac:dyDescent="0.25">
      <c r="I1157" s="37"/>
      <c r="J1157" s="35"/>
    </row>
    <row r="1158" spans="9:10" x14ac:dyDescent="0.25">
      <c r="I1158" s="37"/>
      <c r="J1158" s="35"/>
    </row>
    <row r="1159" spans="9:10" x14ac:dyDescent="0.25">
      <c r="I1159" s="37"/>
      <c r="J1159" s="35"/>
    </row>
    <row r="1160" spans="9:10" x14ac:dyDescent="0.25">
      <c r="I1160" s="37"/>
      <c r="J1160" s="35"/>
    </row>
    <row r="1161" spans="9:10" x14ac:dyDescent="0.25">
      <c r="I1161" s="37"/>
      <c r="J1161" s="35"/>
    </row>
    <row r="1162" spans="9:10" x14ac:dyDescent="0.25">
      <c r="I1162" s="37"/>
      <c r="J1162" s="35"/>
    </row>
    <row r="1163" spans="9:10" x14ac:dyDescent="0.25">
      <c r="I1163" s="37"/>
      <c r="J1163" s="35"/>
    </row>
    <row r="1164" spans="9:10" x14ac:dyDescent="0.25">
      <c r="I1164" s="37"/>
      <c r="J1164" s="35"/>
    </row>
    <row r="1165" spans="9:10" x14ac:dyDescent="0.25">
      <c r="I1165" s="37"/>
      <c r="J1165" s="35"/>
    </row>
    <row r="1166" spans="9:10" x14ac:dyDescent="0.25">
      <c r="I1166" s="37"/>
      <c r="J1166" s="35"/>
    </row>
    <row r="1167" spans="9:10" x14ac:dyDescent="0.25">
      <c r="I1167" s="37"/>
      <c r="J1167" s="35"/>
    </row>
    <row r="1168" spans="9:10" x14ac:dyDescent="0.25">
      <c r="I1168" s="37"/>
      <c r="J1168" s="35"/>
    </row>
    <row r="1169" spans="9:10" x14ac:dyDescent="0.25">
      <c r="I1169" s="37"/>
      <c r="J1169" s="35"/>
    </row>
    <row r="1170" spans="9:10" x14ac:dyDescent="0.25">
      <c r="I1170" s="37"/>
      <c r="J1170" s="35"/>
    </row>
    <row r="1171" spans="9:10" x14ac:dyDescent="0.25">
      <c r="I1171" s="37"/>
      <c r="J1171" s="35"/>
    </row>
    <row r="1172" spans="9:10" x14ac:dyDescent="0.25">
      <c r="I1172" s="37"/>
      <c r="J1172" s="35"/>
    </row>
    <row r="1173" spans="9:10" x14ac:dyDescent="0.25">
      <c r="I1173" s="37"/>
      <c r="J1173" s="35"/>
    </row>
    <row r="1174" spans="9:10" x14ac:dyDescent="0.25">
      <c r="I1174" s="37"/>
      <c r="J1174" s="35"/>
    </row>
    <row r="1175" spans="9:10" x14ac:dyDescent="0.25">
      <c r="I1175" s="37"/>
      <c r="J1175" s="35"/>
    </row>
    <row r="1176" spans="9:10" x14ac:dyDescent="0.25">
      <c r="I1176" s="37"/>
      <c r="J1176" s="35"/>
    </row>
    <row r="1177" spans="9:10" x14ac:dyDescent="0.25">
      <c r="I1177" s="37"/>
      <c r="J1177" s="35"/>
    </row>
    <row r="1178" spans="9:10" x14ac:dyDescent="0.25">
      <c r="I1178" s="37"/>
      <c r="J1178" s="35"/>
    </row>
    <row r="1179" spans="9:10" x14ac:dyDescent="0.25">
      <c r="I1179" s="37"/>
      <c r="J1179" s="35"/>
    </row>
    <row r="1180" spans="9:10" x14ac:dyDescent="0.25">
      <c r="I1180" s="37"/>
      <c r="J1180" s="35"/>
    </row>
    <row r="1181" spans="9:10" x14ac:dyDescent="0.25">
      <c r="I1181" s="37"/>
      <c r="J1181" s="35"/>
    </row>
    <row r="1182" spans="9:10" x14ac:dyDescent="0.25">
      <c r="I1182" s="37"/>
      <c r="J1182" s="35"/>
    </row>
    <row r="1183" spans="9:10" x14ac:dyDescent="0.25">
      <c r="I1183" s="37"/>
      <c r="J1183" s="35"/>
    </row>
    <row r="1184" spans="9:10" x14ac:dyDescent="0.25">
      <c r="I1184" s="37"/>
      <c r="J1184" s="35"/>
    </row>
    <row r="1185" spans="9:10" x14ac:dyDescent="0.25">
      <c r="I1185" s="37"/>
      <c r="J1185" s="35"/>
    </row>
    <row r="1186" spans="9:10" x14ac:dyDescent="0.25">
      <c r="I1186" s="37"/>
      <c r="J1186" s="35"/>
    </row>
    <row r="1187" spans="9:10" x14ac:dyDescent="0.25">
      <c r="I1187" s="37"/>
      <c r="J1187" s="35"/>
    </row>
    <row r="1188" spans="9:10" x14ac:dyDescent="0.25">
      <c r="I1188" s="37"/>
      <c r="J1188" s="35"/>
    </row>
    <row r="1189" spans="9:10" x14ac:dyDescent="0.25">
      <c r="I1189" s="37"/>
      <c r="J1189" s="35"/>
    </row>
    <row r="1190" spans="9:10" x14ac:dyDescent="0.25">
      <c r="I1190" s="37"/>
      <c r="J1190" s="35"/>
    </row>
    <row r="1191" spans="9:10" x14ac:dyDescent="0.25">
      <c r="I1191" s="37"/>
      <c r="J1191" s="35"/>
    </row>
    <row r="1192" spans="9:10" x14ac:dyDescent="0.25">
      <c r="I1192" s="37"/>
      <c r="J1192" s="35"/>
    </row>
    <row r="1193" spans="9:10" x14ac:dyDescent="0.25">
      <c r="I1193" s="37"/>
      <c r="J1193" s="35"/>
    </row>
    <row r="1194" spans="9:10" x14ac:dyDescent="0.25">
      <c r="I1194" s="37"/>
      <c r="J1194" s="35"/>
    </row>
    <row r="1195" spans="9:10" x14ac:dyDescent="0.25">
      <c r="I1195" s="37"/>
      <c r="J1195" s="35"/>
    </row>
    <row r="1196" spans="9:10" x14ac:dyDescent="0.25">
      <c r="I1196" s="37"/>
      <c r="J1196" s="35"/>
    </row>
    <row r="1197" spans="9:10" x14ac:dyDescent="0.25">
      <c r="I1197" s="37"/>
      <c r="J1197" s="35"/>
    </row>
    <row r="1198" spans="9:10" x14ac:dyDescent="0.25">
      <c r="I1198" s="37"/>
      <c r="J1198" s="35"/>
    </row>
    <row r="1199" spans="9:10" x14ac:dyDescent="0.25">
      <c r="I1199" s="37"/>
      <c r="J1199" s="35"/>
    </row>
    <row r="1200" spans="9:10" x14ac:dyDescent="0.25">
      <c r="I1200" s="37"/>
      <c r="J1200" s="35"/>
    </row>
    <row r="1201" spans="9:10" x14ac:dyDescent="0.25">
      <c r="I1201" s="37"/>
      <c r="J1201" s="35"/>
    </row>
    <row r="1202" spans="9:10" x14ac:dyDescent="0.25">
      <c r="I1202" s="37"/>
      <c r="J1202" s="35"/>
    </row>
    <row r="1203" spans="9:10" x14ac:dyDescent="0.25">
      <c r="I1203" s="37"/>
      <c r="J1203" s="35"/>
    </row>
    <row r="1204" spans="9:10" x14ac:dyDescent="0.25">
      <c r="I1204" s="37"/>
      <c r="J1204" s="35"/>
    </row>
    <row r="1205" spans="9:10" x14ac:dyDescent="0.25">
      <c r="I1205" s="37"/>
      <c r="J1205" s="35"/>
    </row>
    <row r="1206" spans="9:10" x14ac:dyDescent="0.25">
      <c r="I1206" s="37"/>
      <c r="J1206" s="35"/>
    </row>
    <row r="1207" spans="9:10" x14ac:dyDescent="0.25">
      <c r="I1207" s="37"/>
      <c r="J1207" s="35"/>
    </row>
    <row r="1208" spans="9:10" x14ac:dyDescent="0.25">
      <c r="I1208" s="37"/>
      <c r="J1208" s="35"/>
    </row>
    <row r="1209" spans="9:10" x14ac:dyDescent="0.25">
      <c r="I1209" s="37"/>
      <c r="J1209" s="35"/>
    </row>
    <row r="1210" spans="9:10" x14ac:dyDescent="0.25">
      <c r="I1210" s="37"/>
      <c r="J1210" s="35"/>
    </row>
    <row r="1211" spans="9:10" x14ac:dyDescent="0.25">
      <c r="I1211" s="37"/>
      <c r="J1211" s="35"/>
    </row>
    <row r="1212" spans="9:10" x14ac:dyDescent="0.25">
      <c r="I1212" s="37"/>
      <c r="J1212" s="35"/>
    </row>
    <row r="1213" spans="9:10" x14ac:dyDescent="0.25">
      <c r="I1213" s="37"/>
      <c r="J1213" s="35"/>
    </row>
    <row r="1214" spans="9:10" x14ac:dyDescent="0.25">
      <c r="I1214" s="37"/>
      <c r="J1214" s="35"/>
    </row>
    <row r="1215" spans="9:10" x14ac:dyDescent="0.25">
      <c r="I1215" s="37"/>
      <c r="J1215" s="35"/>
    </row>
    <row r="1216" spans="9:10" x14ac:dyDescent="0.25">
      <c r="I1216" s="37"/>
      <c r="J1216" s="35"/>
    </row>
    <row r="1217" spans="9:10" x14ac:dyDescent="0.25">
      <c r="I1217" s="37"/>
      <c r="J1217" s="35"/>
    </row>
    <row r="1218" spans="9:10" x14ac:dyDescent="0.25">
      <c r="I1218" s="37"/>
      <c r="J1218" s="35"/>
    </row>
    <row r="1219" spans="9:10" x14ac:dyDescent="0.25">
      <c r="I1219" s="37"/>
      <c r="J1219" s="35"/>
    </row>
    <row r="1220" spans="9:10" x14ac:dyDescent="0.25">
      <c r="I1220" s="37"/>
      <c r="J1220" s="35"/>
    </row>
    <row r="1221" spans="9:10" x14ac:dyDescent="0.25">
      <c r="I1221" s="37"/>
      <c r="J1221" s="35"/>
    </row>
    <row r="1222" spans="9:10" x14ac:dyDescent="0.25">
      <c r="I1222" s="37"/>
      <c r="J1222" s="35"/>
    </row>
    <row r="1223" spans="9:10" x14ac:dyDescent="0.25">
      <c r="I1223" s="37"/>
      <c r="J1223" s="35"/>
    </row>
    <row r="1224" spans="9:10" x14ac:dyDescent="0.25">
      <c r="I1224" s="37"/>
      <c r="J1224" s="35"/>
    </row>
    <row r="1225" spans="9:10" x14ac:dyDescent="0.25">
      <c r="I1225" s="37"/>
      <c r="J1225" s="35"/>
    </row>
    <row r="1226" spans="9:10" x14ac:dyDescent="0.25">
      <c r="I1226" s="37"/>
      <c r="J1226" s="35"/>
    </row>
    <row r="1227" spans="9:10" x14ac:dyDescent="0.25">
      <c r="I1227" s="37"/>
      <c r="J1227" s="35"/>
    </row>
    <row r="1228" spans="9:10" x14ac:dyDescent="0.25">
      <c r="I1228" s="37"/>
      <c r="J1228" s="35"/>
    </row>
    <row r="1229" spans="9:10" x14ac:dyDescent="0.25">
      <c r="I1229" s="37"/>
      <c r="J1229" s="35"/>
    </row>
    <row r="1230" spans="9:10" x14ac:dyDescent="0.25">
      <c r="I1230" s="37"/>
      <c r="J1230" s="35"/>
    </row>
    <row r="1231" spans="9:10" x14ac:dyDescent="0.25">
      <c r="I1231" s="37"/>
      <c r="J1231" s="35"/>
    </row>
    <row r="1232" spans="9:10" x14ac:dyDescent="0.25">
      <c r="I1232" s="37"/>
      <c r="J1232" s="35"/>
    </row>
    <row r="1233" spans="9:10" x14ac:dyDescent="0.25">
      <c r="I1233" s="37"/>
      <c r="J1233" s="35"/>
    </row>
    <row r="1234" spans="9:10" x14ac:dyDescent="0.25">
      <c r="I1234" s="37"/>
      <c r="J1234" s="35"/>
    </row>
    <row r="1235" spans="9:10" x14ac:dyDescent="0.25">
      <c r="I1235" s="37"/>
      <c r="J1235" s="35"/>
    </row>
    <row r="1236" spans="9:10" x14ac:dyDescent="0.25">
      <c r="I1236" s="37"/>
      <c r="J1236" s="35"/>
    </row>
    <row r="1237" spans="9:10" x14ac:dyDescent="0.25">
      <c r="I1237" s="37"/>
      <c r="J1237" s="35"/>
    </row>
    <row r="1238" spans="9:10" x14ac:dyDescent="0.25">
      <c r="I1238" s="37"/>
      <c r="J1238" s="35"/>
    </row>
    <row r="1239" spans="9:10" x14ac:dyDescent="0.25">
      <c r="I1239" s="37"/>
      <c r="J1239" s="35"/>
    </row>
    <row r="1240" spans="9:10" x14ac:dyDescent="0.25">
      <c r="I1240" s="37"/>
      <c r="J1240" s="35"/>
    </row>
    <row r="1241" spans="9:10" x14ac:dyDescent="0.25">
      <c r="I1241" s="37"/>
      <c r="J1241" s="35"/>
    </row>
    <row r="1242" spans="9:10" x14ac:dyDescent="0.25">
      <c r="I1242" s="37"/>
      <c r="J1242" s="35"/>
    </row>
    <row r="1243" spans="9:10" x14ac:dyDescent="0.25">
      <c r="I1243" s="37"/>
      <c r="J1243" s="35"/>
    </row>
    <row r="1244" spans="9:10" x14ac:dyDescent="0.25">
      <c r="I1244" s="37"/>
      <c r="J1244" s="35"/>
    </row>
    <row r="1245" spans="9:10" x14ac:dyDescent="0.25">
      <c r="I1245" s="37"/>
      <c r="J1245" s="35"/>
    </row>
    <row r="1246" spans="9:10" x14ac:dyDescent="0.25">
      <c r="I1246" s="37"/>
      <c r="J1246" s="35"/>
    </row>
    <row r="1247" spans="9:10" x14ac:dyDescent="0.25">
      <c r="I1247" s="37"/>
      <c r="J1247" s="35"/>
    </row>
    <row r="1248" spans="9:10" x14ac:dyDescent="0.25">
      <c r="I1248" s="37"/>
      <c r="J1248" s="35"/>
    </row>
    <row r="1249" spans="9:10" x14ac:dyDescent="0.25">
      <c r="I1249" s="37"/>
      <c r="J1249" s="35"/>
    </row>
    <row r="1250" spans="9:10" x14ac:dyDescent="0.25">
      <c r="I1250" s="37"/>
      <c r="J1250" s="35"/>
    </row>
    <row r="1251" spans="9:10" x14ac:dyDescent="0.25">
      <c r="I1251" s="37"/>
      <c r="J1251" s="35"/>
    </row>
    <row r="1252" spans="9:10" x14ac:dyDescent="0.25">
      <c r="I1252" s="37"/>
      <c r="J1252" s="35"/>
    </row>
    <row r="1253" spans="9:10" x14ac:dyDescent="0.25">
      <c r="I1253" s="37"/>
      <c r="J1253" s="35"/>
    </row>
    <row r="1254" spans="9:10" x14ac:dyDescent="0.25">
      <c r="I1254" s="37"/>
      <c r="J1254" s="35"/>
    </row>
    <row r="1255" spans="9:10" x14ac:dyDescent="0.25">
      <c r="I1255" s="37"/>
      <c r="J1255" s="35"/>
    </row>
    <row r="1256" spans="9:10" x14ac:dyDescent="0.25">
      <c r="I1256" s="37"/>
      <c r="J1256" s="35"/>
    </row>
    <row r="1257" spans="9:10" x14ac:dyDescent="0.25">
      <c r="I1257" s="37"/>
      <c r="J1257" s="35"/>
    </row>
    <row r="1258" spans="9:10" x14ac:dyDescent="0.25">
      <c r="I1258" s="37"/>
      <c r="J1258" s="35"/>
    </row>
    <row r="1259" spans="9:10" x14ac:dyDescent="0.25">
      <c r="I1259" s="37"/>
      <c r="J1259" s="35"/>
    </row>
    <row r="1260" spans="9:10" x14ac:dyDescent="0.25">
      <c r="I1260" s="37"/>
      <c r="J1260" s="35"/>
    </row>
    <row r="1261" spans="9:10" x14ac:dyDescent="0.25">
      <c r="I1261" s="37"/>
      <c r="J1261" s="35"/>
    </row>
    <row r="1262" spans="9:10" x14ac:dyDescent="0.25">
      <c r="I1262" s="37"/>
      <c r="J1262" s="35"/>
    </row>
    <row r="1263" spans="9:10" x14ac:dyDescent="0.25">
      <c r="I1263" s="37"/>
      <c r="J1263" s="35"/>
    </row>
    <row r="1264" spans="9:10" x14ac:dyDescent="0.25">
      <c r="I1264" s="37"/>
      <c r="J1264" s="35"/>
    </row>
    <row r="1265" spans="9:10" x14ac:dyDescent="0.25">
      <c r="I1265" s="37"/>
      <c r="J1265" s="35"/>
    </row>
    <row r="1266" spans="9:10" x14ac:dyDescent="0.25">
      <c r="I1266" s="37"/>
      <c r="J1266" s="35"/>
    </row>
    <row r="1267" spans="9:10" x14ac:dyDescent="0.25">
      <c r="I1267" s="37"/>
      <c r="J1267" s="35"/>
    </row>
    <row r="1268" spans="9:10" x14ac:dyDescent="0.25">
      <c r="I1268" s="37"/>
      <c r="J1268" s="35"/>
    </row>
    <row r="1269" spans="9:10" x14ac:dyDescent="0.25">
      <c r="I1269" s="37"/>
      <c r="J1269" s="35"/>
    </row>
    <row r="1270" spans="9:10" x14ac:dyDescent="0.25">
      <c r="I1270" s="37"/>
      <c r="J1270" s="35"/>
    </row>
    <row r="1271" spans="9:10" x14ac:dyDescent="0.25">
      <c r="I1271" s="37"/>
      <c r="J1271" s="35"/>
    </row>
    <row r="1272" spans="9:10" x14ac:dyDescent="0.25">
      <c r="I1272" s="37"/>
      <c r="J1272" s="35"/>
    </row>
    <row r="1273" spans="9:10" x14ac:dyDescent="0.25">
      <c r="I1273" s="37"/>
      <c r="J1273" s="35"/>
    </row>
    <row r="1274" spans="9:10" x14ac:dyDescent="0.25">
      <c r="I1274" s="37"/>
      <c r="J1274" s="35"/>
    </row>
    <row r="1275" spans="9:10" x14ac:dyDescent="0.25">
      <c r="I1275" s="37"/>
      <c r="J1275" s="35"/>
    </row>
    <row r="1276" spans="9:10" x14ac:dyDescent="0.25">
      <c r="I1276" s="37"/>
      <c r="J1276" s="35"/>
    </row>
    <row r="1277" spans="9:10" x14ac:dyDescent="0.25">
      <c r="I1277" s="37"/>
      <c r="J1277" s="35"/>
    </row>
    <row r="1278" spans="9:10" x14ac:dyDescent="0.25">
      <c r="I1278" s="37"/>
      <c r="J1278" s="35"/>
    </row>
    <row r="1279" spans="9:10" x14ac:dyDescent="0.25">
      <c r="I1279" s="37"/>
      <c r="J1279" s="35"/>
    </row>
    <row r="1280" spans="9:10" x14ac:dyDescent="0.25">
      <c r="I1280" s="37"/>
      <c r="J1280" s="35"/>
    </row>
    <row r="1281" spans="9:10" x14ac:dyDescent="0.25">
      <c r="I1281" s="37"/>
      <c r="J1281" s="35"/>
    </row>
    <row r="1282" spans="9:10" x14ac:dyDescent="0.25">
      <c r="I1282" s="37"/>
      <c r="J1282" s="35"/>
    </row>
    <row r="1283" spans="9:10" x14ac:dyDescent="0.25">
      <c r="I1283" s="37"/>
      <c r="J1283" s="35"/>
    </row>
    <row r="1284" spans="9:10" x14ac:dyDescent="0.25">
      <c r="I1284" s="37"/>
      <c r="J1284" s="35"/>
    </row>
    <row r="1285" spans="9:10" x14ac:dyDescent="0.25">
      <c r="I1285" s="37"/>
      <c r="J1285" s="35"/>
    </row>
    <row r="1286" spans="9:10" x14ac:dyDescent="0.25">
      <c r="I1286" s="37"/>
      <c r="J1286" s="35"/>
    </row>
    <row r="1287" spans="9:10" x14ac:dyDescent="0.25">
      <c r="I1287" s="37"/>
      <c r="J1287" s="35"/>
    </row>
    <row r="1288" spans="9:10" x14ac:dyDescent="0.25">
      <c r="I1288" s="37"/>
      <c r="J1288" s="35"/>
    </row>
    <row r="1289" spans="9:10" x14ac:dyDescent="0.25">
      <c r="I1289" s="37"/>
      <c r="J1289" s="35"/>
    </row>
    <row r="1290" spans="9:10" x14ac:dyDescent="0.25">
      <c r="I1290" s="37"/>
      <c r="J1290" s="35"/>
    </row>
    <row r="1291" spans="9:10" x14ac:dyDescent="0.25">
      <c r="I1291" s="37"/>
      <c r="J1291" s="35"/>
    </row>
    <row r="1292" spans="9:10" x14ac:dyDescent="0.25">
      <c r="I1292" s="37"/>
      <c r="J1292" s="35"/>
    </row>
    <row r="1293" spans="9:10" x14ac:dyDescent="0.25">
      <c r="I1293" s="37"/>
      <c r="J1293" s="35"/>
    </row>
    <row r="1294" spans="9:10" x14ac:dyDescent="0.25">
      <c r="I1294" s="37"/>
      <c r="J1294" s="35"/>
    </row>
    <row r="1295" spans="9:10" x14ac:dyDescent="0.25">
      <c r="I1295" s="37"/>
      <c r="J1295" s="35"/>
    </row>
    <row r="1296" spans="9:10" x14ac:dyDescent="0.25">
      <c r="I1296" s="37"/>
      <c r="J1296" s="35"/>
    </row>
    <row r="1297" spans="9:10" x14ac:dyDescent="0.25">
      <c r="I1297" s="37"/>
      <c r="J1297" s="35"/>
    </row>
    <row r="1298" spans="9:10" x14ac:dyDescent="0.25">
      <c r="I1298" s="37"/>
      <c r="J1298" s="35"/>
    </row>
    <row r="1299" spans="9:10" x14ac:dyDescent="0.25">
      <c r="I1299" s="37"/>
      <c r="J1299" s="35"/>
    </row>
    <row r="1300" spans="9:10" x14ac:dyDescent="0.25">
      <c r="I1300" s="37"/>
      <c r="J1300" s="35"/>
    </row>
    <row r="1301" spans="9:10" x14ac:dyDescent="0.25">
      <c r="I1301" s="37"/>
      <c r="J1301" s="35"/>
    </row>
    <row r="1302" spans="9:10" x14ac:dyDescent="0.25">
      <c r="I1302" s="37"/>
      <c r="J1302" s="35"/>
    </row>
    <row r="1303" spans="9:10" x14ac:dyDescent="0.25">
      <c r="I1303" s="37"/>
      <c r="J1303" s="35"/>
    </row>
    <row r="1304" spans="9:10" x14ac:dyDescent="0.25">
      <c r="I1304" s="37"/>
      <c r="J1304" s="35"/>
    </row>
    <row r="1305" spans="9:10" x14ac:dyDescent="0.25">
      <c r="I1305" s="37"/>
      <c r="J1305" s="35"/>
    </row>
    <row r="1306" spans="9:10" x14ac:dyDescent="0.25">
      <c r="I1306" s="37"/>
      <c r="J1306" s="35"/>
    </row>
    <row r="1307" spans="9:10" x14ac:dyDescent="0.25">
      <c r="I1307" s="37"/>
      <c r="J1307" s="35"/>
    </row>
    <row r="1308" spans="9:10" x14ac:dyDescent="0.25">
      <c r="I1308" s="37"/>
      <c r="J1308" s="35"/>
    </row>
    <row r="1309" spans="9:10" x14ac:dyDescent="0.25">
      <c r="I1309" s="37"/>
      <c r="J1309" s="35"/>
    </row>
    <row r="1310" spans="9:10" x14ac:dyDescent="0.25">
      <c r="I1310" s="37"/>
      <c r="J1310" s="35"/>
    </row>
    <row r="1311" spans="9:10" x14ac:dyDescent="0.25">
      <c r="I1311" s="37"/>
      <c r="J1311" s="35"/>
    </row>
    <row r="1312" spans="9:10" x14ac:dyDescent="0.25">
      <c r="I1312" s="37"/>
      <c r="J1312" s="35"/>
    </row>
    <row r="1313" spans="9:10" x14ac:dyDescent="0.25">
      <c r="I1313" s="37"/>
      <c r="J1313" s="35"/>
    </row>
    <row r="1314" spans="9:10" x14ac:dyDescent="0.25">
      <c r="I1314" s="37"/>
      <c r="J1314" s="35"/>
    </row>
    <row r="1315" spans="9:10" x14ac:dyDescent="0.25">
      <c r="I1315" s="37"/>
      <c r="J1315" s="35"/>
    </row>
    <row r="1316" spans="9:10" x14ac:dyDescent="0.25">
      <c r="I1316" s="37"/>
      <c r="J1316" s="35"/>
    </row>
    <row r="1317" spans="9:10" x14ac:dyDescent="0.25">
      <c r="I1317" s="37"/>
      <c r="J1317" s="35"/>
    </row>
    <row r="1318" spans="9:10" x14ac:dyDescent="0.25">
      <c r="I1318" s="37"/>
      <c r="J1318" s="35"/>
    </row>
    <row r="1319" spans="9:10" x14ac:dyDescent="0.25">
      <c r="I1319" s="37"/>
      <c r="J1319" s="35"/>
    </row>
    <row r="1320" spans="9:10" x14ac:dyDescent="0.25">
      <c r="I1320" s="37"/>
      <c r="J1320" s="35"/>
    </row>
    <row r="1321" spans="9:10" x14ac:dyDescent="0.25">
      <c r="I1321" s="37"/>
      <c r="J1321" s="35"/>
    </row>
    <row r="1322" spans="9:10" x14ac:dyDescent="0.25">
      <c r="I1322" s="37"/>
      <c r="J1322" s="35"/>
    </row>
    <row r="1323" spans="9:10" x14ac:dyDescent="0.25">
      <c r="I1323" s="37"/>
      <c r="J1323" s="35"/>
    </row>
    <row r="1324" spans="9:10" x14ac:dyDescent="0.25">
      <c r="I1324" s="37"/>
      <c r="J1324" s="35"/>
    </row>
    <row r="1325" spans="9:10" x14ac:dyDescent="0.25">
      <c r="I1325" s="37"/>
      <c r="J1325" s="35"/>
    </row>
    <row r="1326" spans="9:10" x14ac:dyDescent="0.25">
      <c r="I1326" s="37"/>
      <c r="J1326" s="35"/>
    </row>
    <row r="1327" spans="9:10" x14ac:dyDescent="0.25">
      <c r="I1327" s="37"/>
      <c r="J1327" s="35"/>
    </row>
    <row r="1328" spans="9:10" x14ac:dyDescent="0.25">
      <c r="I1328" s="37"/>
      <c r="J1328" s="35"/>
    </row>
    <row r="1329" spans="9:10" x14ac:dyDescent="0.25">
      <c r="I1329" s="37"/>
      <c r="J1329" s="35"/>
    </row>
    <row r="1330" spans="9:10" x14ac:dyDescent="0.25">
      <c r="I1330" s="37"/>
      <c r="J1330" s="35"/>
    </row>
    <row r="1331" spans="9:10" x14ac:dyDescent="0.25">
      <c r="I1331" s="37"/>
      <c r="J1331" s="35"/>
    </row>
    <row r="1332" spans="9:10" x14ac:dyDescent="0.25">
      <c r="I1332" s="37"/>
      <c r="J1332" s="35"/>
    </row>
    <row r="1333" spans="9:10" x14ac:dyDescent="0.25">
      <c r="I1333" s="37"/>
      <c r="J1333" s="35"/>
    </row>
  </sheetData>
  <mergeCells count="18">
    <mergeCell ref="T2:U2"/>
    <mergeCell ref="J2:K2"/>
    <mergeCell ref="L2:M2"/>
    <mergeCell ref="N2:O2"/>
    <mergeCell ref="P2:Q2"/>
    <mergeCell ref="R2:S2"/>
    <mergeCell ref="T29:U29"/>
    <mergeCell ref="J17:K17"/>
    <mergeCell ref="L17:M17"/>
    <mergeCell ref="N17:O17"/>
    <mergeCell ref="P17:Q17"/>
    <mergeCell ref="R17:S17"/>
    <mergeCell ref="T17:U17"/>
    <mergeCell ref="J29:K29"/>
    <mergeCell ref="L29:M29"/>
    <mergeCell ref="N29:O29"/>
    <mergeCell ref="P29:Q29"/>
    <mergeCell ref="R29:S29"/>
  </mergeCells>
  <conditionalFormatting sqref="AE3:AI1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8:AI2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0:AI3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A61AD-8BBB-4FFD-BB73-9F24084086CD}">
  <dimension ref="B1:AP1333"/>
  <sheetViews>
    <sheetView workbookViewId="0">
      <selection activeCell="Y11" sqref="Y11"/>
    </sheetView>
  </sheetViews>
  <sheetFormatPr defaultRowHeight="15" outlineLevelRow="1" outlineLevelCol="1" x14ac:dyDescent="0.25"/>
  <cols>
    <col min="1" max="1" width="2.5703125" customWidth="1"/>
    <col min="3" max="3" width="16.28515625" bestFit="1" customWidth="1"/>
    <col min="4" max="4" width="15.28515625" bestFit="1" customWidth="1"/>
    <col min="5" max="5" width="2.5703125" customWidth="1"/>
    <col min="6" max="6" width="8.42578125" bestFit="1" customWidth="1"/>
    <col min="7" max="7" width="2.5703125" customWidth="1"/>
    <col min="8" max="8" width="25.140625" bestFit="1" customWidth="1"/>
    <col min="9" max="9" width="24.28515625" style="11" customWidth="1" outlineLevel="1"/>
    <col min="10" max="10" width="9.42578125" style="6" customWidth="1"/>
    <col min="11" max="11" width="19" style="11" hidden="1" customWidth="1" outlineLevel="1"/>
    <col min="12" max="12" width="9.28515625" style="6" customWidth="1" collapsed="1"/>
    <col min="13" max="13" width="19.5703125" style="11" hidden="1" customWidth="1" outlineLevel="1"/>
    <col min="14" max="14" width="9.140625" style="6" collapsed="1"/>
    <col min="15" max="15" width="19.5703125" style="11" hidden="1" customWidth="1" outlineLevel="1"/>
    <col min="16" max="16" width="8.140625" style="6" bestFit="1" customWidth="1" collapsed="1"/>
    <col min="17" max="17" width="18" style="11" hidden="1" customWidth="1" outlineLevel="1"/>
    <col min="18" max="18" width="7.140625" style="5" bestFit="1" customWidth="1" collapsed="1"/>
    <col min="19" max="19" width="19.5703125" style="10" hidden="1" customWidth="1" outlineLevel="1"/>
    <col min="20" max="20" width="8.140625" style="10" bestFit="1" customWidth="1" collapsed="1"/>
    <col min="21" max="21" width="19.5703125" style="10" hidden="1" customWidth="1" outlineLevel="1"/>
    <col min="22" max="22" width="2.5703125" customWidth="1" collapsed="1"/>
    <col min="23" max="24" width="7.140625" hidden="1" customWidth="1" outlineLevel="1"/>
    <col min="25" max="25" width="17.85546875" bestFit="1" customWidth="1" collapsed="1"/>
    <col min="26" max="26" width="17.85546875" bestFit="1" customWidth="1"/>
    <col min="27" max="27" width="19" bestFit="1" customWidth="1"/>
    <col min="28" max="29" width="17.85546875" bestFit="1" customWidth="1"/>
    <col min="30" max="30" width="2.5703125" customWidth="1"/>
    <col min="31" max="31" width="7.85546875" bestFit="1" customWidth="1"/>
    <col min="32" max="32" width="17.28515625" bestFit="1" customWidth="1"/>
    <col min="33" max="33" width="13.28515625" bestFit="1" customWidth="1"/>
    <col min="34" max="34" width="7.85546875" bestFit="1" customWidth="1"/>
    <col min="35" max="35" width="8.140625" bestFit="1" customWidth="1"/>
    <col min="36" max="36" width="2.5703125" customWidth="1"/>
    <col min="37" max="37" width="17.85546875" bestFit="1" customWidth="1"/>
    <col min="38" max="38" width="7.7109375" bestFit="1" customWidth="1"/>
    <col min="39" max="39" width="2.5703125" customWidth="1"/>
    <col min="41" max="41" width="16.28515625" bestFit="1" customWidth="1"/>
  </cols>
  <sheetData>
    <row r="1" spans="2:42" ht="9" customHeight="1" x14ac:dyDescent="0.25"/>
    <row r="2" spans="2:42" x14ac:dyDescent="0.25">
      <c r="B2" s="1"/>
      <c r="C2" s="1" t="s">
        <v>20</v>
      </c>
      <c r="D2" s="1"/>
      <c r="H2" s="4" t="s">
        <v>1</v>
      </c>
      <c r="I2" s="9" t="s">
        <v>4</v>
      </c>
      <c r="J2" s="112" t="s">
        <v>7</v>
      </c>
      <c r="K2" s="112"/>
      <c r="L2" s="112" t="s">
        <v>8</v>
      </c>
      <c r="M2" s="112"/>
      <c r="N2" s="112" t="s">
        <v>10</v>
      </c>
      <c r="O2" s="112"/>
      <c r="P2" s="112" t="s">
        <v>9</v>
      </c>
      <c r="Q2" s="112"/>
      <c r="R2" s="112" t="s">
        <v>21</v>
      </c>
      <c r="S2" s="112"/>
      <c r="T2" s="112" t="s">
        <v>55</v>
      </c>
      <c r="U2" s="112"/>
      <c r="W2" s="1" t="s">
        <v>46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27" t="s">
        <v>49</v>
      </c>
      <c r="AF2" s="27" t="s">
        <v>50</v>
      </c>
      <c r="AG2" s="27" t="s">
        <v>51</v>
      </c>
      <c r="AH2" s="27" t="s">
        <v>52</v>
      </c>
      <c r="AI2" s="27" t="s">
        <v>53</v>
      </c>
      <c r="AK2" s="75" t="s">
        <v>60</v>
      </c>
      <c r="AL2" s="75" t="s">
        <v>61</v>
      </c>
      <c r="AN2" s="1"/>
      <c r="AO2" s="1" t="s">
        <v>20</v>
      </c>
      <c r="AP2" s="1"/>
    </row>
    <row r="3" spans="2:42" x14ac:dyDescent="0.25">
      <c r="B3" t="s">
        <v>11</v>
      </c>
      <c r="C3" s="2" t="s">
        <v>10</v>
      </c>
      <c r="D3" t="s">
        <v>7</v>
      </c>
      <c r="F3" s="7">
        <f>J3+L3+N3+P3+R3+T3</f>
        <v>1</v>
      </c>
      <c r="H3" s="21" t="s">
        <v>5</v>
      </c>
      <c r="I3" s="80">
        <v>400651548.94</v>
      </c>
      <c r="J3" s="81">
        <f>40.9%+0.012</f>
        <v>0.42099999999999999</v>
      </c>
      <c r="K3" s="80">
        <f>$I3*J3</f>
        <v>168674302.10374001</v>
      </c>
      <c r="L3" s="81">
        <f>10.1%+9.4%+3.9%+2%</f>
        <v>0.254</v>
      </c>
      <c r="M3" s="80">
        <f>$I3*L3</f>
        <v>101765493.43076</v>
      </c>
      <c r="N3" s="81">
        <f>27.9%+0.007</f>
        <v>0.28599999999999998</v>
      </c>
      <c r="O3" s="80">
        <f>$I3*N3</f>
        <v>114586342.99683999</v>
      </c>
      <c r="P3" s="81">
        <v>3.9E-2</v>
      </c>
      <c r="Q3" s="80">
        <f>$I3*P3</f>
        <v>15625410.40866</v>
      </c>
      <c r="R3" s="82"/>
      <c r="S3" s="80">
        <f>$I3*R3</f>
        <v>0</v>
      </c>
      <c r="T3" s="81"/>
      <c r="U3" s="65">
        <f>$I3*T3</f>
        <v>0</v>
      </c>
      <c r="Y3" s="12">
        <f>K3-'Jun24'!E3</f>
        <v>168674302.10374001</v>
      </c>
      <c r="Z3" s="12">
        <f>M3-'Jun24'!G3</f>
        <v>101765493.43076</v>
      </c>
      <c r="AA3" s="12">
        <f>O3-'Jun24'!I3</f>
        <v>-285014339.19316</v>
      </c>
      <c r="AB3" s="12">
        <f>Q3-'Jun24'!K3</f>
        <v>-154204879.52208999</v>
      </c>
      <c r="AC3" s="12">
        <f>+S3-'Jun24'!M3</f>
        <v>-96303764.407790005</v>
      </c>
      <c r="AE3" s="28">
        <f>J3-'Jun24'!J3</f>
        <v>-4.0000000000000036E-3</v>
      </c>
      <c r="AF3" s="28">
        <f>L3-'Jun24'!L3</f>
        <v>1.2999999999999984E-2</v>
      </c>
      <c r="AG3" s="28">
        <f>N3-'Jun24'!N3</f>
        <v>-1.4000000000000012E-2</v>
      </c>
      <c r="AH3" s="28">
        <f>P3-'Jun24'!P3</f>
        <v>2.0000000000000018E-3</v>
      </c>
      <c r="AI3" s="28">
        <f>R3-'Jun24'!R3</f>
        <v>0</v>
      </c>
      <c r="AK3" s="10">
        <f>I3-'Jun24'!I3</f>
        <v>1050866.75</v>
      </c>
      <c r="AL3" s="76">
        <f>I3/'Jun24'!I3-1</f>
        <v>2.6297921821372139E-3</v>
      </c>
      <c r="AN3" t="s">
        <v>11</v>
      </c>
      <c r="AO3" s="2" t="s">
        <v>10</v>
      </c>
      <c r="AP3" t="s">
        <v>7</v>
      </c>
    </row>
    <row r="4" spans="2:42" x14ac:dyDescent="0.25">
      <c r="B4" t="s">
        <v>12</v>
      </c>
      <c r="C4" s="2" t="s">
        <v>16</v>
      </c>
      <c r="D4" t="s">
        <v>58</v>
      </c>
      <c r="F4" s="7">
        <f t="shared" ref="F4:F35" si="0">J4+L4+N4+P4+R4+T4</f>
        <v>1</v>
      </c>
      <c r="H4" s="3" t="s">
        <v>0</v>
      </c>
      <c r="I4" s="78">
        <v>1434006686</v>
      </c>
      <c r="J4" s="77">
        <v>0.36</v>
      </c>
      <c r="K4" s="78">
        <f>$I4*J4</f>
        <v>516242406.95999998</v>
      </c>
      <c r="L4" s="77">
        <f>8%+5%+1%+3%</f>
        <v>0.17</v>
      </c>
      <c r="M4" s="78">
        <f>$I4*L4</f>
        <v>243781136.62</v>
      </c>
      <c r="N4" s="77">
        <v>0.4</v>
      </c>
      <c r="O4" s="78">
        <f>$I4*N4</f>
        <v>573602674.39999998</v>
      </c>
      <c r="P4" s="77">
        <v>7.0000000000000007E-2</v>
      </c>
      <c r="Q4" s="78">
        <f>$I4*P4</f>
        <v>100380468.02000001</v>
      </c>
      <c r="R4" s="77"/>
      <c r="S4" s="78">
        <f>$I4*R4</f>
        <v>0</v>
      </c>
      <c r="T4" s="77"/>
      <c r="U4" s="57">
        <f>$I4*T4</f>
        <v>0</v>
      </c>
      <c r="Y4" s="12">
        <f>K4-'Jun24'!E4</f>
        <v>516242406.95999998</v>
      </c>
      <c r="Z4" s="12">
        <f>M4-'Jun24'!G4</f>
        <v>243781136.62</v>
      </c>
      <c r="AA4" s="12">
        <f>O4-'Jun24'!I4</f>
        <v>-830444520.60000002</v>
      </c>
      <c r="AB4" s="12">
        <f>Q4-'Jun24'!K4</f>
        <v>-419116994.13</v>
      </c>
      <c r="AC4" s="12">
        <f>+S4-'Jun24'!M4</f>
        <v>-224647551.20000002</v>
      </c>
      <c r="AE4" s="28">
        <f>J4-'Jun24'!J4</f>
        <v>-1.0000000000000009E-2</v>
      </c>
      <c r="AF4" s="28">
        <f>L4-'Jun24'!L4</f>
        <v>1.0000000000000009E-2</v>
      </c>
      <c r="AG4" s="28">
        <f>N4-'Jun24'!N4</f>
        <v>0</v>
      </c>
      <c r="AH4" s="28">
        <f>P4-'Jun24'!P4</f>
        <v>0</v>
      </c>
      <c r="AI4" s="28">
        <f>R4-'Jun24'!R4</f>
        <v>0</v>
      </c>
      <c r="AK4" s="10">
        <f>I4-'Jun24'!I4</f>
        <v>29959491</v>
      </c>
      <c r="AL4" s="76">
        <f>I4/'Jun24'!I4-1</f>
        <v>2.1337951535169042E-2</v>
      </c>
      <c r="AN4" t="s">
        <v>12</v>
      </c>
      <c r="AO4" s="2" t="s">
        <v>16</v>
      </c>
      <c r="AP4" t="s">
        <v>58</v>
      </c>
    </row>
    <row r="5" spans="2:42" x14ac:dyDescent="0.25">
      <c r="B5" t="s">
        <v>13</v>
      </c>
      <c r="C5" s="2" t="s">
        <v>17</v>
      </c>
      <c r="D5" t="s">
        <v>59</v>
      </c>
      <c r="F5" s="7">
        <f t="shared" si="0"/>
        <v>1</v>
      </c>
      <c r="H5" s="3" t="s">
        <v>3</v>
      </c>
      <c r="I5" s="78">
        <v>694115023.02999997</v>
      </c>
      <c r="J5" s="77">
        <v>0.53</v>
      </c>
      <c r="K5" s="78">
        <f t="shared" ref="K5:K13" si="1">$I5*J5</f>
        <v>367880962.20590001</v>
      </c>
      <c r="L5" s="77"/>
      <c r="M5" s="78">
        <f t="shared" ref="M5:M13" si="2">$I5*L5</f>
        <v>0</v>
      </c>
      <c r="N5" s="77">
        <v>0.28000000000000003</v>
      </c>
      <c r="O5" s="78">
        <f t="shared" ref="O5:O14" si="3">$I5*N5</f>
        <v>194352206.44840002</v>
      </c>
      <c r="P5" s="77">
        <v>0.04</v>
      </c>
      <c r="Q5" s="78">
        <f t="shared" ref="Q5:Q13" si="4">$I5*P5</f>
        <v>27764600.9212</v>
      </c>
      <c r="R5" s="77">
        <v>0.14000000000000001</v>
      </c>
      <c r="S5" s="78">
        <f t="shared" ref="S5:S13" si="5">$I5*R5</f>
        <v>97176103.22420001</v>
      </c>
      <c r="T5" s="77">
        <v>0.01</v>
      </c>
      <c r="U5" s="57">
        <f t="shared" ref="U5:U13" si="6">$I5*T5</f>
        <v>6941150.2302999999</v>
      </c>
      <c r="Y5" s="12">
        <f>K5-'Jun24'!E5</f>
        <v>367880962.20590001</v>
      </c>
      <c r="Z5" s="12">
        <f>M5-'Jun24'!G5</f>
        <v>0</v>
      </c>
      <c r="AA5" s="12">
        <f>O5-'Jun24'!I5</f>
        <v>-527033408.23159993</v>
      </c>
      <c r="AB5" s="12">
        <f>Q5-'Jun24'!K5</f>
        <v>-347355918.71240002</v>
      </c>
      <c r="AC5" s="12">
        <f>+S5-'Jun24'!M5</f>
        <v>97176103.22420001</v>
      </c>
      <c r="AE5" s="28">
        <f>J5-'Jun24'!J5</f>
        <v>1.0000000000000009E-2</v>
      </c>
      <c r="AF5" s="28">
        <f>L5-'Jun24'!L5</f>
        <v>0</v>
      </c>
      <c r="AG5" s="28">
        <f>N5-'Jun24'!N5</f>
        <v>-2.0000000000000018E-2</v>
      </c>
      <c r="AH5" s="28">
        <f>P5-'Jun24'!P5</f>
        <v>0</v>
      </c>
      <c r="AI5" s="28">
        <f>R5-'Jun24'!R5</f>
        <v>0</v>
      </c>
      <c r="AK5" s="10">
        <f>I5-'Jun24'!I5</f>
        <v>-27270591.649999976</v>
      </c>
      <c r="AL5" s="76">
        <f>I5/'Jun24'!I5-1</f>
        <v>-3.7803071055273252E-2</v>
      </c>
      <c r="AN5" t="s">
        <v>13</v>
      </c>
      <c r="AO5" s="2" t="s">
        <v>17</v>
      </c>
      <c r="AP5" t="s">
        <v>59</v>
      </c>
    </row>
    <row r="6" spans="2:42" x14ac:dyDescent="0.25">
      <c r="B6" t="s">
        <v>14</v>
      </c>
      <c r="C6" s="2" t="s">
        <v>18</v>
      </c>
      <c r="F6" s="7">
        <f t="shared" si="0"/>
        <v>1</v>
      </c>
      <c r="H6" s="3" t="s">
        <v>62</v>
      </c>
      <c r="I6" s="78">
        <v>3508568771</v>
      </c>
      <c r="J6" s="77">
        <v>0.248</v>
      </c>
      <c r="K6" s="78">
        <f t="shared" si="1"/>
        <v>870125055.20799994</v>
      </c>
      <c r="L6" s="77">
        <v>0.188</v>
      </c>
      <c r="M6" s="78">
        <f t="shared" si="2"/>
        <v>659610928.94799995</v>
      </c>
      <c r="N6" s="77">
        <f>51%+1.6%+1.5%+1%</f>
        <v>0.55100000000000005</v>
      </c>
      <c r="O6" s="78">
        <f t="shared" si="3"/>
        <v>1933221392.8210001</v>
      </c>
      <c r="P6" s="77"/>
      <c r="Q6" s="78">
        <f t="shared" si="4"/>
        <v>0</v>
      </c>
      <c r="R6" s="77"/>
      <c r="S6" s="78">
        <f t="shared" si="5"/>
        <v>0</v>
      </c>
      <c r="T6" s="77">
        <v>1.2999999999999999E-2</v>
      </c>
      <c r="U6" s="57">
        <f t="shared" si="6"/>
        <v>45611394.022999994</v>
      </c>
      <c r="Y6" s="12">
        <f>K6-'Jun24'!E6</f>
        <v>870125055.20799994</v>
      </c>
      <c r="Z6" s="12">
        <f>M6-'Jun24'!G6</f>
        <v>659610928.94799995</v>
      </c>
      <c r="AA6" s="12">
        <f>O6-'Jun24'!I6</f>
        <v>-1408480271.1789999</v>
      </c>
      <c r="AB6" s="12">
        <f>Q6-'Jun24'!K6</f>
        <v>-1012535604.1919999</v>
      </c>
      <c r="AC6" s="12">
        <f>+S6-'Jun24'!M6</f>
        <v>-588139492.86399996</v>
      </c>
      <c r="AE6" s="28">
        <f>J6-'Jun24'!J6</f>
        <v>-5.4999999999999993E-2</v>
      </c>
      <c r="AF6" s="28">
        <f>L6-'Jun24'!L6</f>
        <v>1.2000000000000011E-2</v>
      </c>
      <c r="AG6" s="28">
        <f>N6-'Jun24'!N6</f>
        <v>4.2000000000000037E-2</v>
      </c>
      <c r="AH6" s="28">
        <f>P6-'Jun24'!P6</f>
        <v>0</v>
      </c>
      <c r="AI6" s="28">
        <f>R6-'Jun24'!R6</f>
        <v>0</v>
      </c>
      <c r="AK6" s="10">
        <f>I6-'Jun24'!I6</f>
        <v>166867107</v>
      </c>
      <c r="AL6" s="76">
        <f>I6/'Jun24'!I6-1</f>
        <v>4.9934770897609448E-2</v>
      </c>
      <c r="AN6" t="s">
        <v>14</v>
      </c>
      <c r="AO6" s="2" t="s">
        <v>18</v>
      </c>
    </row>
    <row r="7" spans="2:42" x14ac:dyDescent="0.25">
      <c r="B7" t="s">
        <v>15</v>
      </c>
      <c r="C7" s="2" t="s">
        <v>19</v>
      </c>
      <c r="F7" s="7">
        <f t="shared" si="0"/>
        <v>1</v>
      </c>
      <c r="H7" s="3" t="s">
        <v>22</v>
      </c>
      <c r="I7" s="78">
        <v>1353560000</v>
      </c>
      <c r="J7" s="77">
        <v>0.34899999999999998</v>
      </c>
      <c r="K7" s="78">
        <f t="shared" si="1"/>
        <v>472392439.99999994</v>
      </c>
      <c r="L7" s="77">
        <v>0.14000000000000001</v>
      </c>
      <c r="M7" s="78">
        <f t="shared" si="2"/>
        <v>189498400.00000003</v>
      </c>
      <c r="N7" s="77">
        <f>5.4%+41.2%</f>
        <v>0.46600000000000003</v>
      </c>
      <c r="O7" s="78">
        <f t="shared" si="3"/>
        <v>630758960</v>
      </c>
      <c r="P7" s="77">
        <v>4.4999999999999998E-2</v>
      </c>
      <c r="Q7" s="78">
        <f t="shared" si="4"/>
        <v>60910200</v>
      </c>
      <c r="R7" s="77"/>
      <c r="S7" s="78">
        <f t="shared" si="5"/>
        <v>0</v>
      </c>
      <c r="T7" s="77"/>
      <c r="U7" s="57">
        <f t="shared" si="6"/>
        <v>0</v>
      </c>
      <c r="Y7" s="12">
        <f>K7-'Jun24'!E7</f>
        <v>472392439.99999994</v>
      </c>
      <c r="Z7" s="12">
        <f>M7-'Jun24'!G7</f>
        <v>189498400.00000003</v>
      </c>
      <c r="AA7" s="12">
        <f>O7-'Jun24'!I7</f>
        <v>-474411040</v>
      </c>
      <c r="AB7" s="12">
        <f>Q7-'Jun24'!K7</f>
        <v>-219802980</v>
      </c>
      <c r="AC7" s="12">
        <f>+S7-'Jun24'!M7</f>
        <v>-174616860</v>
      </c>
      <c r="AE7" s="28">
        <f>J7-'Jun24'!J7</f>
        <v>9.4999999999999973E-2</v>
      </c>
      <c r="AF7" s="28">
        <f>L7-'Jun24'!L7</f>
        <v>-1.7999999999999988E-2</v>
      </c>
      <c r="AG7" s="28">
        <f>N7-'Jun24'!N7</f>
        <v>-6.6000000000000003E-2</v>
      </c>
      <c r="AH7" s="28">
        <f>P7-'Jun24'!P7</f>
        <v>-1.1000000000000003E-2</v>
      </c>
      <c r="AI7" s="28">
        <f>R7-'Jun24'!R7</f>
        <v>0</v>
      </c>
      <c r="AK7" s="10">
        <f>I7-'Jun24'!I7</f>
        <v>248390000</v>
      </c>
      <c r="AL7" s="76">
        <f>I7/'Jun24'!I7-1</f>
        <v>0.2247527529701312</v>
      </c>
      <c r="AN7" t="s">
        <v>15</v>
      </c>
      <c r="AO7" s="2" t="s">
        <v>19</v>
      </c>
    </row>
    <row r="8" spans="2:42" x14ac:dyDescent="0.25">
      <c r="B8" t="s">
        <v>57</v>
      </c>
      <c r="F8" s="7">
        <f t="shared" si="0"/>
        <v>1</v>
      </c>
      <c r="H8" s="3" t="s">
        <v>23</v>
      </c>
      <c r="I8" s="78">
        <v>2178100626.3000002</v>
      </c>
      <c r="J8" s="77">
        <v>0.34</v>
      </c>
      <c r="K8" s="78">
        <f t="shared" si="1"/>
        <v>740554212.94200015</v>
      </c>
      <c r="L8" s="77">
        <f>6%+1.5%+25.5%</f>
        <v>0.33</v>
      </c>
      <c r="M8" s="78">
        <f t="shared" si="2"/>
        <v>718773206.67900014</v>
      </c>
      <c r="N8" s="77">
        <v>0.25</v>
      </c>
      <c r="O8" s="78">
        <f t="shared" si="3"/>
        <v>544525156.57500005</v>
      </c>
      <c r="P8" s="77">
        <v>0.06</v>
      </c>
      <c r="Q8" s="78">
        <f t="shared" si="4"/>
        <v>130686037.57800001</v>
      </c>
      <c r="R8" s="77"/>
      <c r="S8" s="78">
        <f t="shared" si="5"/>
        <v>0</v>
      </c>
      <c r="T8" s="77">
        <v>0.02</v>
      </c>
      <c r="U8" s="57">
        <f t="shared" si="6"/>
        <v>43562012.526000008</v>
      </c>
      <c r="Y8" s="12">
        <f>K8-'Jun24'!E8</f>
        <v>740554212.94200015</v>
      </c>
      <c r="Z8" s="12">
        <f>M8-'Jun24'!G8</f>
        <v>718773206.67900014</v>
      </c>
      <c r="AA8" s="12">
        <f>O8-'Jun24'!I8</f>
        <v>-1537381460.0249999</v>
      </c>
      <c r="AB8" s="12">
        <f>Q8-'Jun24'!K8</f>
        <v>-681257542.89599991</v>
      </c>
      <c r="AC8" s="12">
        <f>+S8-'Jun24'!M8</f>
        <v>-645391051.14599991</v>
      </c>
      <c r="AE8" s="28">
        <f>J8-'Jun24'!J8</f>
        <v>-4.9999999999999989E-2</v>
      </c>
      <c r="AF8" s="28">
        <f>L8-'Jun24'!L8</f>
        <v>2.0000000000000018E-2</v>
      </c>
      <c r="AG8" s="28">
        <f>N8-'Jun24'!N8</f>
        <v>1.0000000000000009E-2</v>
      </c>
      <c r="AH8" s="28">
        <f>P8-'Jun24'!P8</f>
        <v>1.9999999999999997E-2</v>
      </c>
      <c r="AI8" s="28">
        <f>R8-'Jun24'!R8</f>
        <v>-0.02</v>
      </c>
      <c r="AK8" s="10">
        <f>I8-'Jun24'!I8</f>
        <v>96194009.700000286</v>
      </c>
      <c r="AL8" s="76">
        <f>I8/'Jun24'!I8-1</f>
        <v>4.6204766790691298E-2</v>
      </c>
      <c r="AN8" t="s">
        <v>57</v>
      </c>
    </row>
    <row r="9" spans="2:42" x14ac:dyDescent="0.25">
      <c r="F9" s="7">
        <f t="shared" si="0"/>
        <v>1</v>
      </c>
      <c r="H9" s="3" t="s">
        <v>24</v>
      </c>
      <c r="I9" s="78">
        <v>1789905781</v>
      </c>
      <c r="J9" s="77">
        <v>0.40510000000000002</v>
      </c>
      <c r="K9" s="90"/>
      <c r="L9" s="77">
        <v>0.1784</v>
      </c>
      <c r="M9" s="90"/>
      <c r="N9" s="77">
        <v>0.36980000000000002</v>
      </c>
      <c r="O9" s="90"/>
      <c r="P9" s="77">
        <v>4.5999999999999999E-2</v>
      </c>
      <c r="Q9" s="78">
        <f t="shared" si="4"/>
        <v>82335665.925999999</v>
      </c>
      <c r="R9" s="77"/>
      <c r="S9" s="78">
        <f t="shared" si="5"/>
        <v>0</v>
      </c>
      <c r="T9" s="77">
        <v>6.9999999999999999E-4</v>
      </c>
      <c r="U9" s="57">
        <f t="shared" si="6"/>
        <v>1252934.0467000001</v>
      </c>
      <c r="Y9" s="12">
        <f>K9-'Jun24'!E9</f>
        <v>0</v>
      </c>
      <c r="Z9" s="12">
        <f>M9-'Jun24'!G9</f>
        <v>0</v>
      </c>
      <c r="AA9" s="12">
        <f>O9-'Jun24'!I9</f>
        <v>-1763840710</v>
      </c>
      <c r="AB9" s="12">
        <f>Q9-'Jun24'!K9</f>
        <v>-590216796.79699993</v>
      </c>
      <c r="AC9" s="12">
        <f>+S9-'Jun24'!M9</f>
        <v>-352415373.85799998</v>
      </c>
      <c r="AE9" s="28">
        <f>J9-'Jun24'!J9</f>
        <v>2.3800000000000043E-2</v>
      </c>
      <c r="AF9" s="28">
        <f>L9-'Jun24'!L9</f>
        <v>-2.1400000000000002E-2</v>
      </c>
      <c r="AG9" s="28">
        <f>N9-'Jun24'!N9</f>
        <v>-1.2999999999999678E-3</v>
      </c>
      <c r="AH9" s="28">
        <f>P9-'Jun24'!P9</f>
        <v>-1.800000000000003E-3</v>
      </c>
      <c r="AI9" s="28">
        <f>R9-'Jun24'!R9</f>
        <v>0</v>
      </c>
      <c r="AK9" s="10">
        <f>I9-'Jun24'!I9</f>
        <v>26065071</v>
      </c>
      <c r="AL9" s="76">
        <f>I9/'Jun24'!I9-1</f>
        <v>1.477745175753431E-2</v>
      </c>
    </row>
    <row r="10" spans="2:42" x14ac:dyDescent="0.25">
      <c r="F10" s="7">
        <f t="shared" si="0"/>
        <v>1</v>
      </c>
      <c r="H10" s="3" t="s">
        <v>25</v>
      </c>
      <c r="I10" s="78">
        <v>97245572</v>
      </c>
      <c r="J10" s="77">
        <v>0.79</v>
      </c>
      <c r="K10" s="90"/>
      <c r="L10" s="77">
        <v>0.02</v>
      </c>
      <c r="M10" s="90"/>
      <c r="N10" s="77">
        <v>0.16</v>
      </c>
      <c r="O10" s="90"/>
      <c r="P10" s="77">
        <v>0.03</v>
      </c>
      <c r="Q10" s="78">
        <f t="shared" si="4"/>
        <v>2917367.1599999997</v>
      </c>
      <c r="R10" s="77"/>
      <c r="S10" s="78">
        <f t="shared" si="5"/>
        <v>0</v>
      </c>
      <c r="T10" s="77"/>
      <c r="U10" s="57">
        <f t="shared" si="6"/>
        <v>0</v>
      </c>
      <c r="Y10" s="12">
        <f>K10-'Jun24'!E10</f>
        <v>0</v>
      </c>
      <c r="Z10" s="12">
        <f>M10-'Jun24'!G10</f>
        <v>0</v>
      </c>
      <c r="AA10" s="12">
        <f>O10-'Jun24'!I10</f>
        <v>-102912287</v>
      </c>
      <c r="AB10" s="12">
        <f>Q10-'Jun24'!K10</f>
        <v>-77354216.700000003</v>
      </c>
      <c r="AC10" s="12">
        <f>+S10-'Jun24'!M10</f>
        <v>-4116491.48</v>
      </c>
      <c r="AE10" s="28">
        <f>J10-'Jun24'!J10</f>
        <v>1.0000000000000009E-2</v>
      </c>
      <c r="AF10" s="28">
        <f>L10-'Jun24'!L10</f>
        <v>-0.02</v>
      </c>
      <c r="AG10" s="28">
        <f>N10-'Jun24'!N10</f>
        <v>1.0000000000000009E-2</v>
      </c>
      <c r="AH10" s="28">
        <f>P10-'Jun24'!P10</f>
        <v>0</v>
      </c>
      <c r="AI10" s="28">
        <f>R10-'Jun24'!R10</f>
        <v>0</v>
      </c>
      <c r="AK10" s="10">
        <f>I10-'Jun24'!I10</f>
        <v>-5666715</v>
      </c>
      <c r="AL10" s="76">
        <f>I10/'Jun24'!I10-1</f>
        <v>-5.5063541635217983E-2</v>
      </c>
    </row>
    <row r="11" spans="2:42" x14ac:dyDescent="0.25">
      <c r="F11" s="7">
        <f t="shared" si="0"/>
        <v>1</v>
      </c>
      <c r="H11" s="3" t="s">
        <v>29</v>
      </c>
      <c r="I11" s="78">
        <v>7484560230</v>
      </c>
      <c r="J11" s="77">
        <v>0.42499999999999999</v>
      </c>
      <c r="K11" s="78">
        <f t="shared" si="1"/>
        <v>3180938097.75</v>
      </c>
      <c r="L11" s="77">
        <v>0.30599999999999999</v>
      </c>
      <c r="M11" s="78">
        <f t="shared" si="2"/>
        <v>2290275430.3800001</v>
      </c>
      <c r="N11" s="77">
        <f>19.4%+1.9%</f>
        <v>0.21299999999999997</v>
      </c>
      <c r="O11" s="78">
        <f t="shared" si="3"/>
        <v>1594211328.9899998</v>
      </c>
      <c r="P11" s="77">
        <v>5.6000000000000001E-2</v>
      </c>
      <c r="Q11" s="78">
        <f t="shared" si="4"/>
        <v>419135372.88</v>
      </c>
      <c r="R11" s="77"/>
      <c r="S11" s="78">
        <f t="shared" si="5"/>
        <v>0</v>
      </c>
      <c r="T11" s="77"/>
      <c r="U11" s="57">
        <f t="shared" si="6"/>
        <v>0</v>
      </c>
      <c r="Y11" s="12">
        <f>K11-'Jun24'!E11</f>
        <v>3180938097.75</v>
      </c>
      <c r="Z11" s="12">
        <f>M11-'Jun24'!G11</f>
        <v>2290275430.3800001</v>
      </c>
      <c r="AA11" s="12">
        <f>O11-'Jun24'!I11</f>
        <v>-5425413330.0100002</v>
      </c>
      <c r="AB11" s="12">
        <f>Q11-'Jun24'!K11</f>
        <v>-2423812614.0149999</v>
      </c>
      <c r="AC11" s="12">
        <f>+S11-'Jun24'!M11</f>
        <v>-2562163000.5349998</v>
      </c>
      <c r="AE11" s="28">
        <f>J11-'Jun24'!J11</f>
        <v>1.9999999999999962E-2</v>
      </c>
      <c r="AF11" s="28">
        <f>L11-'Jun24'!L11</f>
        <v>-5.8999999999999997E-2</v>
      </c>
      <c r="AG11" s="28">
        <f>N11-'Jun24'!N11</f>
        <v>-3.0000000000000304E-3</v>
      </c>
      <c r="AH11" s="28">
        <f>P11-'Jun24'!P11</f>
        <v>4.2000000000000003E-2</v>
      </c>
      <c r="AI11" s="28">
        <f>R11-'Jun24'!R11</f>
        <v>0</v>
      </c>
      <c r="AK11" s="10">
        <f>I11-'Jun24'!I11</f>
        <v>464935571</v>
      </c>
      <c r="AL11" s="76">
        <f>I11/'Jun24'!I11-1</f>
        <v>6.6233679660335776E-2</v>
      </c>
    </row>
    <row r="12" spans="2:42" x14ac:dyDescent="0.25">
      <c r="F12" s="7">
        <f t="shared" si="0"/>
        <v>1</v>
      </c>
      <c r="H12" s="3" t="s">
        <v>47</v>
      </c>
      <c r="I12" s="78">
        <v>2516050874.0700002</v>
      </c>
      <c r="J12" s="77">
        <f>48.44%+19.9%+1.95%</f>
        <v>0.70289999999999997</v>
      </c>
      <c r="K12" s="78">
        <f t="shared" si="1"/>
        <v>1768532159.3838031</v>
      </c>
      <c r="L12" s="77">
        <v>9.0300000000000005E-2</v>
      </c>
      <c r="M12" s="78">
        <f t="shared" si="2"/>
        <v>227199393.92852104</v>
      </c>
      <c r="N12" s="77">
        <v>0.18329999999999999</v>
      </c>
      <c r="O12" s="78">
        <f t="shared" si="3"/>
        <v>461192125.217031</v>
      </c>
      <c r="P12" s="77"/>
      <c r="Q12" s="78">
        <f t="shared" si="4"/>
        <v>0</v>
      </c>
      <c r="R12" s="77"/>
      <c r="S12" s="78">
        <f t="shared" si="5"/>
        <v>0</v>
      </c>
      <c r="T12" s="77">
        <v>2.35E-2</v>
      </c>
      <c r="U12" s="57">
        <f t="shared" si="6"/>
        <v>59127195.540645003</v>
      </c>
      <c r="Y12" s="12">
        <f>K12-'Jun24'!E12</f>
        <v>1768532159.3838031</v>
      </c>
      <c r="Z12" s="12">
        <f>M12-'Jun24'!G12</f>
        <v>227199393.92852104</v>
      </c>
      <c r="AA12" s="12">
        <f>O12-'Jun24'!I12</f>
        <v>-1926710846.762969</v>
      </c>
      <c r="AB12" s="12">
        <f>Q12-'Jun24'!K12</f>
        <v>-1652190066.3129618</v>
      </c>
      <c r="AC12" s="12">
        <f>+S12-'Jun24'!M12</f>
        <v>-234014491.25404</v>
      </c>
      <c r="AE12" s="28">
        <f>J12-'Jun24'!J12</f>
        <v>1.100000000000001E-2</v>
      </c>
      <c r="AF12" s="28">
        <f>L12-'Jun24'!L12</f>
        <v>-7.6999999999999985E-3</v>
      </c>
      <c r="AG12" s="28">
        <f>N12-'Jun24'!N12</f>
        <v>5.0000000000000044E-3</v>
      </c>
      <c r="AH12" s="28">
        <f>P12-'Jun24'!P12</f>
        <v>0</v>
      </c>
      <c r="AI12" s="28">
        <f>R12-'Jun24'!R12</f>
        <v>0</v>
      </c>
      <c r="AK12" s="10">
        <f>I12-'Jun24'!I12</f>
        <v>128147902.09000015</v>
      </c>
      <c r="AL12" s="76">
        <f>I12/'Jun24'!I12-1</f>
        <v>5.3665456090011388E-2</v>
      </c>
    </row>
    <row r="13" spans="2:42" x14ac:dyDescent="0.25">
      <c r="F13" s="7">
        <f t="shared" si="0"/>
        <v>1</v>
      </c>
      <c r="H13" s="3" t="s">
        <v>30</v>
      </c>
      <c r="I13" s="78">
        <v>1132710000</v>
      </c>
      <c r="J13" s="77">
        <v>0.44</v>
      </c>
      <c r="K13" s="78">
        <f t="shared" si="1"/>
        <v>498392400</v>
      </c>
      <c r="L13" s="77">
        <f>8.2%+14%</f>
        <v>0.222</v>
      </c>
      <c r="M13" s="78">
        <f t="shared" si="2"/>
        <v>251461620</v>
      </c>
      <c r="N13" s="77">
        <v>0.32900000000000001</v>
      </c>
      <c r="O13" s="78">
        <f t="shared" si="3"/>
        <v>372661590</v>
      </c>
      <c r="P13" s="77">
        <v>8.9999999999999993E-3</v>
      </c>
      <c r="Q13" s="78">
        <f t="shared" si="4"/>
        <v>10194390</v>
      </c>
      <c r="R13" s="77"/>
      <c r="S13" s="78">
        <f t="shared" si="5"/>
        <v>0</v>
      </c>
      <c r="T13" s="77"/>
      <c r="U13" s="57">
        <f t="shared" si="6"/>
        <v>0</v>
      </c>
      <c r="Y13" s="12">
        <f>K13-'Jun24'!E13</f>
        <v>498392400</v>
      </c>
      <c r="Z13" s="12">
        <f>M13-'Jun24'!G13</f>
        <v>251461620</v>
      </c>
      <c r="AA13" s="12">
        <f>O13-'Jun24'!I13</f>
        <v>-608168410</v>
      </c>
      <c r="AB13" s="12">
        <f>Q13-'Jun24'!K13</f>
        <v>-389984250</v>
      </c>
      <c r="AC13" s="12">
        <f>+S13-'Jun24'!M13</f>
        <v>-194204340</v>
      </c>
      <c r="AE13" s="28">
        <f>J13-'Jun24'!J13</f>
        <v>3.2000000000000028E-2</v>
      </c>
      <c r="AF13" s="28">
        <f>L13-'Jun24'!L13</f>
        <v>2.3999999999999994E-2</v>
      </c>
      <c r="AG13" s="28">
        <f>N13-'Jun24'!N13</f>
        <v>-5.3999999999999992E-2</v>
      </c>
      <c r="AH13" s="28">
        <f>P13-'Jun24'!P13</f>
        <v>-2E-3</v>
      </c>
      <c r="AI13" s="28">
        <f>R13-'Jun24'!R13</f>
        <v>0</v>
      </c>
      <c r="AK13" s="10">
        <f>I13-'Jun24'!I13</f>
        <v>151880000</v>
      </c>
      <c r="AL13" s="76">
        <f>I13/'Jun24'!I13-1</f>
        <v>0.1548484446846039</v>
      </c>
    </row>
    <row r="14" spans="2:42" x14ac:dyDescent="0.25">
      <c r="F14" s="7">
        <f t="shared" si="0"/>
        <v>1</v>
      </c>
      <c r="H14" s="3" t="s">
        <v>63</v>
      </c>
      <c r="I14" s="78">
        <v>50206699.439999998</v>
      </c>
      <c r="J14" s="77">
        <v>0.52800000000000002</v>
      </c>
      <c r="K14" s="90"/>
      <c r="L14" s="77">
        <v>9.5000000000000001E-2</v>
      </c>
      <c r="M14" s="90"/>
      <c r="N14" s="77">
        <v>0.377</v>
      </c>
      <c r="O14" s="78">
        <f t="shared" si="3"/>
        <v>18927925.68888</v>
      </c>
      <c r="P14" s="77"/>
      <c r="Q14" s="78"/>
      <c r="R14" s="77"/>
      <c r="S14" s="78"/>
      <c r="T14" s="77"/>
      <c r="U14" s="57"/>
      <c r="Y14" s="12">
        <f>K14-'Jun24'!E14</f>
        <v>0</v>
      </c>
      <c r="Z14" s="12">
        <f>M14-'Jun24'!G14</f>
        <v>0</v>
      </c>
      <c r="AA14" s="12">
        <f>O14-'Jun24'!I14</f>
        <v>-31279874.921119999</v>
      </c>
      <c r="AB14" s="12">
        <f>Q14-'Jun24'!K14</f>
        <v>-26208471.918420002</v>
      </c>
      <c r="AC14" s="12">
        <f>+S14-'Jun24'!M14</f>
        <v>0</v>
      </c>
      <c r="AE14" s="28">
        <f>J14-'Jun24'!J14</f>
        <v>6.0000000000000053E-3</v>
      </c>
      <c r="AF14" s="28">
        <f>L14-'Jun24'!L14</f>
        <v>2.0000000000000018E-3</v>
      </c>
      <c r="AG14" s="28">
        <f>N14-'Jun24'!N14</f>
        <v>-8.0000000000000071E-3</v>
      </c>
      <c r="AH14" s="28">
        <f>P14-'Jun24'!P14</f>
        <v>0</v>
      </c>
      <c r="AI14" s="28">
        <f>R14-'Jun24'!R14</f>
        <v>0</v>
      </c>
      <c r="AK14" s="10">
        <f>I14-'Jun24'!I14</f>
        <v>-1101.1700000017881</v>
      </c>
      <c r="AL14" s="76">
        <f>I14/'Jun24'!I14-1</f>
        <v>-2.1932249304357221E-5</v>
      </c>
    </row>
    <row r="15" spans="2:42" s="8" customFormat="1" x14ac:dyDescent="0.25">
      <c r="F15" s="7">
        <f>J15+L15+N15+P15+R15+T15</f>
        <v>0.91908348470404633</v>
      </c>
      <c r="H15" s="21" t="s">
        <v>45</v>
      </c>
      <c r="I15" s="20">
        <f>SUM(I3:I14)</f>
        <v>22639681811.779999</v>
      </c>
      <c r="J15" s="15">
        <f>K15/$I$15</f>
        <v>0.3791454362263656</v>
      </c>
      <c r="K15" s="17">
        <f>SUM(K3:K14)</f>
        <v>8583732036.553443</v>
      </c>
      <c r="L15" s="15">
        <f>M15/$I$15</f>
        <v>0.20682117570883563</v>
      </c>
      <c r="M15" s="20">
        <f>SUM(M3:M14)</f>
        <v>4682365609.9862814</v>
      </c>
      <c r="N15" s="15">
        <f>O15/$I$15</f>
        <v>0.28436970787227567</v>
      </c>
      <c r="O15" s="17">
        <f>SUM(O3:O14)</f>
        <v>6438039703.1371508</v>
      </c>
      <c r="P15" s="15">
        <f>Q15/$I$15</f>
        <v>3.754246724667349E-2</v>
      </c>
      <c r="Q15" s="17">
        <f>SUM(Q3:Q14)</f>
        <v>849949512.8938601</v>
      </c>
      <c r="R15" s="15">
        <f>S15/$I$15</f>
        <v>4.2922910327139324E-3</v>
      </c>
      <c r="S15" s="17">
        <f>SUM(S3:S14)</f>
        <v>97176103.22420001</v>
      </c>
      <c r="T15" s="15">
        <f>U15/$I$15</f>
        <v>6.912406617182087E-3</v>
      </c>
      <c r="U15" s="63">
        <f>SUM(U3:U14)</f>
        <v>156494686.36664501</v>
      </c>
      <c r="Y15" s="12">
        <f>K15-'Jun24'!E15</f>
        <v>8583732036.553443</v>
      </c>
      <c r="Z15" s="12">
        <f>M15-'Jun24'!G15</f>
        <v>4682365609.9862814</v>
      </c>
      <c r="AA15" s="12">
        <f>O15-'Jun24'!I15</f>
        <v>-14921090497.922852</v>
      </c>
      <c r="AB15" s="12">
        <f>Q15-'Jun24'!K15</f>
        <v>-7994040335.1958733</v>
      </c>
      <c r="AC15" s="12">
        <f>+S15-'Jun24'!M15</f>
        <v>-4978836313.5206289</v>
      </c>
      <c r="AE15" s="28">
        <f>J15-'Jun24'!J15</f>
        <v>-3.4915893277156385E-2</v>
      </c>
      <c r="AF15" s="28">
        <f>L15-'Jun24'!L15</f>
        <v>-3.0829532394105713E-2</v>
      </c>
      <c r="AG15" s="28">
        <f>N15-'Jun24'!N15</f>
        <v>-2.9006208142445977E-2</v>
      </c>
      <c r="AH15" s="28">
        <f>P15-'Jun24'!P15</f>
        <v>1.490331652450445E-2</v>
      </c>
      <c r="AI15" s="28">
        <f>R15-'Jun24'!R15</f>
        <v>-2.3855145260593133E-3</v>
      </c>
      <c r="AK15" s="92">
        <f>I15-'Jun24'!I15</f>
        <v>1280551610.7199974</v>
      </c>
      <c r="AL15" s="76">
        <f>I15/'Jun24'!I15-1</f>
        <v>5.9953359461072386E-2</v>
      </c>
    </row>
    <row r="16" spans="2:42" x14ac:dyDescent="0.25">
      <c r="F16" s="7"/>
      <c r="I16" s="10"/>
      <c r="J16" s="10"/>
      <c r="K16" s="10"/>
      <c r="L16" s="5"/>
      <c r="M16" s="10"/>
      <c r="N16" s="10"/>
      <c r="O16" s="10"/>
      <c r="P16" s="5"/>
      <c r="Q16" s="10"/>
    </row>
    <row r="17" spans="6:38" x14ac:dyDescent="0.25">
      <c r="F17" s="7"/>
      <c r="H17" s="4" t="s">
        <v>2</v>
      </c>
      <c r="I17" s="9" t="s">
        <v>4</v>
      </c>
      <c r="J17" s="112" t="s">
        <v>7</v>
      </c>
      <c r="K17" s="112"/>
      <c r="L17" s="112" t="s">
        <v>8</v>
      </c>
      <c r="M17" s="112"/>
      <c r="N17" s="112" t="s">
        <v>10</v>
      </c>
      <c r="O17" s="112"/>
      <c r="P17" s="112" t="s">
        <v>9</v>
      </c>
      <c r="Q17" s="112"/>
      <c r="R17" s="112" t="s">
        <v>21</v>
      </c>
      <c r="S17" s="112"/>
      <c r="T17" s="112" t="s">
        <v>55</v>
      </c>
      <c r="U17" s="112"/>
      <c r="Y17" s="27" t="s">
        <v>49</v>
      </c>
      <c r="Z17" s="27" t="s">
        <v>50</v>
      </c>
      <c r="AA17" s="27" t="s">
        <v>51</v>
      </c>
      <c r="AB17" s="27" t="s">
        <v>52</v>
      </c>
      <c r="AC17" s="27" t="s">
        <v>53</v>
      </c>
      <c r="AE17" s="27" t="s">
        <v>49</v>
      </c>
      <c r="AF17" s="27" t="s">
        <v>50</v>
      </c>
      <c r="AG17" s="27" t="s">
        <v>51</v>
      </c>
      <c r="AH17" s="27" t="s">
        <v>52</v>
      </c>
      <c r="AI17" s="27" t="s">
        <v>53</v>
      </c>
    </row>
    <row r="18" spans="6:38" x14ac:dyDescent="0.25">
      <c r="F18" s="7">
        <f t="shared" si="0"/>
        <v>1</v>
      </c>
      <c r="H18" s="21" t="s">
        <v>6</v>
      </c>
      <c r="I18" s="95">
        <v>250463198.11000001</v>
      </c>
      <c r="J18" s="81">
        <f>17.99%+0.72%</f>
        <v>0.18709999999999999</v>
      </c>
      <c r="K18" s="80">
        <f>$I18*J18</f>
        <v>46861664.366380997</v>
      </c>
      <c r="L18" s="81">
        <f>11.95%+9.27%+6.57%+6.18%+2.27%</f>
        <v>0.3624</v>
      </c>
      <c r="M18" s="80">
        <f>$I18*L18</f>
        <v>90767862.995064005</v>
      </c>
      <c r="N18" s="81">
        <f>39.24%+1.09%</f>
        <v>0.40330000000000005</v>
      </c>
      <c r="O18" s="80">
        <f>$I18*N18</f>
        <v>101011807.79776302</v>
      </c>
      <c r="P18" s="81">
        <v>6.8500000000000005E-2</v>
      </c>
      <c r="Q18" s="80">
        <f>$I18*P18</f>
        <v>17156729.070535004</v>
      </c>
      <c r="R18" s="81"/>
      <c r="S18" s="80">
        <f>$I18*R18</f>
        <v>0</v>
      </c>
      <c r="T18" s="81">
        <v>-2.1299999999999999E-2</v>
      </c>
      <c r="U18" s="79">
        <f>T18*$I18</f>
        <v>-5334866.1197429998</v>
      </c>
      <c r="Y18" s="12">
        <f>K18-'Jun24'!E18</f>
        <v>46861664.366380997</v>
      </c>
      <c r="Z18" s="12">
        <f>M18-'Jun24'!G18</f>
        <v>90767862.995064005</v>
      </c>
      <c r="AA18" s="12">
        <f>O18-'Jun24'!I18</f>
        <v>-148252147.30223697</v>
      </c>
      <c r="AB18" s="12">
        <f>Q18-'Jun24'!K18</f>
        <v>-36958475.581674993</v>
      </c>
      <c r="AC18" s="12">
        <f>+S18-'Jun24'!M18</f>
        <v>-77720501.200179994</v>
      </c>
      <c r="AE18" s="28">
        <f>J18-'Jun24'!J18</f>
        <v>-0.03</v>
      </c>
      <c r="AF18" s="28">
        <f>L18-'Jun24'!L18</f>
        <v>5.0600000000000034E-2</v>
      </c>
      <c r="AG18" s="28">
        <f>N18-'Jun24'!N18</f>
        <v>-2.2799999999999987E-2</v>
      </c>
      <c r="AH18" s="28">
        <f>P18-'Jun24'!P18</f>
        <v>1.0000000000000009E-3</v>
      </c>
      <c r="AI18" s="28">
        <f>R18-'Jun24'!R18</f>
        <v>0</v>
      </c>
      <c r="AK18" s="10">
        <f>I18-'Jun24'!I18</f>
        <v>1199243.0100000203</v>
      </c>
      <c r="AL18" s="76">
        <f>I18/'Jun24'!I18-1</f>
        <v>4.8111368910876973E-3</v>
      </c>
    </row>
    <row r="19" spans="6:38" x14ac:dyDescent="0.25">
      <c r="F19" s="7">
        <f t="shared" si="0"/>
        <v>1</v>
      </c>
      <c r="H19" s="3" t="s">
        <v>26</v>
      </c>
      <c r="I19" s="78">
        <v>687240964.86000001</v>
      </c>
      <c r="J19" s="77">
        <v>0.31</v>
      </c>
      <c r="K19" s="78">
        <f t="shared" ref="K19:K26" si="7">$I19*J19</f>
        <v>213044699.10660002</v>
      </c>
      <c r="L19" s="77">
        <f>4%+13%</f>
        <v>0.17</v>
      </c>
      <c r="M19" s="78">
        <f t="shared" ref="M19:M26" si="8">$I19*L19</f>
        <v>116830964.02620001</v>
      </c>
      <c r="N19" s="77">
        <v>0.33</v>
      </c>
      <c r="O19" s="78">
        <f t="shared" ref="O19:O26" si="9">$I19*N19</f>
        <v>226789518.40380001</v>
      </c>
      <c r="P19" s="77">
        <v>0.11</v>
      </c>
      <c r="Q19" s="78">
        <f t="shared" ref="Q19:Q26" si="10">$I19*P19</f>
        <v>75596506.134599999</v>
      </c>
      <c r="R19" s="77">
        <v>0.08</v>
      </c>
      <c r="S19" s="78">
        <f t="shared" ref="S19:S26" si="11">$I19*R19</f>
        <v>54979277.1888</v>
      </c>
      <c r="T19" s="77"/>
      <c r="U19" s="57">
        <f>T19*$I19</f>
        <v>0</v>
      </c>
      <c r="Y19" s="12">
        <f>K19-'Jun24'!E19</f>
        <v>213044699.10660002</v>
      </c>
      <c r="Z19" s="12">
        <f>M19-'Jun24'!G19</f>
        <v>116830964.02620001</v>
      </c>
      <c r="AA19" s="12">
        <f>O19-'Jun24'!I19</f>
        <v>-403309136.43620002</v>
      </c>
      <c r="AB19" s="12">
        <f>Q19-'Jun24'!K19</f>
        <v>-163840982.70460004</v>
      </c>
      <c r="AC19" s="12">
        <f>+S19-'Jun24'!M19</f>
        <v>-26933547.940400012</v>
      </c>
      <c r="AE19" s="28">
        <f>J19-'Jun24'!J19</f>
        <v>-7.0000000000000007E-2</v>
      </c>
      <c r="AF19" s="28">
        <f>L19-'Jun24'!L19</f>
        <v>4.0000000000000008E-2</v>
      </c>
      <c r="AG19" s="28">
        <f>N19-'Jun24'!N19</f>
        <v>3.999999999999998E-2</v>
      </c>
      <c r="AH19" s="28">
        <f>P19-'Jun24'!P19</f>
        <v>0</v>
      </c>
      <c r="AI19" s="28">
        <f>R19-'Jun24'!R19</f>
        <v>-9.999999999999995E-3</v>
      </c>
      <c r="AK19" s="10">
        <f>I19-'Jun24'!I19</f>
        <v>57142310.019999981</v>
      </c>
      <c r="AL19" s="76">
        <f>I19/'Jun24'!I19-1</f>
        <v>9.068787812998913E-2</v>
      </c>
    </row>
    <row r="20" spans="6:38" x14ac:dyDescent="0.25">
      <c r="F20" s="7">
        <f t="shared" si="0"/>
        <v>1</v>
      </c>
      <c r="H20" s="3" t="s">
        <v>27</v>
      </c>
      <c r="I20" s="78">
        <v>356259855</v>
      </c>
      <c r="J20" s="77">
        <v>5.7000000000000002E-2</v>
      </c>
      <c r="K20" s="78">
        <f t="shared" si="7"/>
        <v>20306811.734999999</v>
      </c>
      <c r="L20" s="77">
        <v>0.253</v>
      </c>
      <c r="M20" s="78">
        <f t="shared" si="8"/>
        <v>90133743.314999998</v>
      </c>
      <c r="N20" s="77">
        <f>60.1%+2.3%+2.2%</f>
        <v>0.64600000000000002</v>
      </c>
      <c r="O20" s="78">
        <f t="shared" si="9"/>
        <v>230143866.33000001</v>
      </c>
      <c r="P20" s="77">
        <v>3.6999999999999998E-2</v>
      </c>
      <c r="Q20" s="78">
        <f t="shared" si="10"/>
        <v>13181614.635</v>
      </c>
      <c r="R20" s="77"/>
      <c r="S20" s="78">
        <f t="shared" si="11"/>
        <v>0</v>
      </c>
      <c r="T20" s="77">
        <v>7.0000000000000001E-3</v>
      </c>
      <c r="U20" s="57">
        <f t="shared" ref="U20:U26" si="12">T20*$I20</f>
        <v>2493818.9849999999</v>
      </c>
      <c r="Y20" s="12">
        <f>K20-'Jun24'!E20</f>
        <v>20306811.734999999</v>
      </c>
      <c r="Z20" s="12">
        <f>M20-'Jun24'!G20</f>
        <v>90133743.314999998</v>
      </c>
      <c r="AA20" s="12">
        <f>O20-'Jun24'!I20</f>
        <v>-488256133.66999996</v>
      </c>
      <c r="AB20" s="12">
        <f>Q20-'Jun24'!K20</f>
        <v>-26330385.365000002</v>
      </c>
      <c r="AC20" s="12">
        <f>+S20-'Jun24'!M20</f>
        <v>-188939200</v>
      </c>
      <c r="AE20" s="28">
        <f>J20-'Jun24'!J20</f>
        <v>2.0000000000000018E-3</v>
      </c>
      <c r="AF20" s="28">
        <f>L20-'Jun24'!L20</f>
        <v>-1.0000000000000009E-2</v>
      </c>
      <c r="AG20" s="28">
        <f>N20-'Jun24'!N20</f>
        <v>7.0000000000000062E-3</v>
      </c>
      <c r="AH20" s="28">
        <f>P20-'Jun24'!P20</f>
        <v>0</v>
      </c>
      <c r="AI20" s="28">
        <f>R20-'Jun24'!R20</f>
        <v>0</v>
      </c>
      <c r="AK20" s="10">
        <f>I20-'Jun24'!I20</f>
        <v>-362140145</v>
      </c>
      <c r="AL20" s="76">
        <f>I20/'Jun24'!I20-1</f>
        <v>-0.50409262945434297</v>
      </c>
    </row>
    <row r="21" spans="6:38" x14ac:dyDescent="0.25">
      <c r="F21" s="7">
        <f t="shared" si="0"/>
        <v>1</v>
      </c>
      <c r="H21" s="3" t="s">
        <v>28</v>
      </c>
      <c r="I21" s="78">
        <v>1069429569</v>
      </c>
      <c r="J21" s="77">
        <v>0.15</v>
      </c>
      <c r="K21" s="78">
        <f t="shared" si="7"/>
        <v>160414435.34999999</v>
      </c>
      <c r="L21" s="77">
        <f>7%+7%+2%+2%</f>
        <v>0.18</v>
      </c>
      <c r="M21" s="78">
        <f t="shared" si="8"/>
        <v>192497322.41999999</v>
      </c>
      <c r="N21" s="77">
        <v>0.54</v>
      </c>
      <c r="O21" s="78">
        <f t="shared" si="9"/>
        <v>577491967.25999999</v>
      </c>
      <c r="P21" s="77">
        <v>0.13</v>
      </c>
      <c r="Q21" s="78">
        <f t="shared" si="10"/>
        <v>139025843.97</v>
      </c>
      <c r="R21" s="77"/>
      <c r="S21" s="78">
        <f t="shared" si="11"/>
        <v>0</v>
      </c>
      <c r="T21" s="77"/>
      <c r="U21" s="57">
        <f t="shared" si="12"/>
        <v>0</v>
      </c>
      <c r="Y21" s="12">
        <f>K21-'Jun24'!E21</f>
        <v>160414435.34999999</v>
      </c>
      <c r="Z21" s="12">
        <f>M21-'Jun24'!G21</f>
        <v>192497322.41999999</v>
      </c>
      <c r="AA21" s="12">
        <f>O21-'Jun24'!I21</f>
        <v>-490681748.74000001</v>
      </c>
      <c r="AB21" s="12">
        <f>Q21-'Jun24'!K21</f>
        <v>163260.88999998569</v>
      </c>
      <c r="AC21" s="12">
        <f>+S21-'Jun24'!M21</f>
        <v>-192271268.88000003</v>
      </c>
      <c r="AE21" s="28">
        <f>J21-'Jun24'!J21</f>
        <v>1.999999999999999E-2</v>
      </c>
      <c r="AF21" s="28">
        <f>L21-'Jun24'!L21</f>
        <v>0</v>
      </c>
      <c r="AG21" s="28">
        <f>N21-'Jun24'!N21</f>
        <v>-2.0000000000000018E-2</v>
      </c>
      <c r="AH21" s="28">
        <f>P21-'Jun24'!P21</f>
        <v>0</v>
      </c>
      <c r="AI21" s="28">
        <f>R21-'Jun24'!R21</f>
        <v>0</v>
      </c>
      <c r="AK21" s="10">
        <f>I21-'Jun24'!I21</f>
        <v>1255853</v>
      </c>
      <c r="AL21" s="76">
        <f>I21/'Jun24'!I21-1</f>
        <v>1.1757010879305252E-3</v>
      </c>
    </row>
    <row r="22" spans="6:38" x14ac:dyDescent="0.25">
      <c r="F22" s="7">
        <f t="shared" si="0"/>
        <v>0.99999999999999989</v>
      </c>
      <c r="H22" s="3" t="s">
        <v>32</v>
      </c>
      <c r="I22" s="78">
        <v>240600000</v>
      </c>
      <c r="J22" s="77">
        <v>0.08</v>
      </c>
      <c r="K22" s="78">
        <f t="shared" si="7"/>
        <v>19248000</v>
      </c>
      <c r="L22" s="77">
        <v>0.14000000000000001</v>
      </c>
      <c r="M22" s="78">
        <f t="shared" si="8"/>
        <v>33684000</v>
      </c>
      <c r="N22" s="77">
        <f>59%+7%</f>
        <v>0.65999999999999992</v>
      </c>
      <c r="O22" s="78">
        <f t="shared" si="9"/>
        <v>158795999.99999997</v>
      </c>
      <c r="P22" s="77">
        <v>0.12</v>
      </c>
      <c r="Q22" s="78">
        <f t="shared" si="10"/>
        <v>28872000</v>
      </c>
      <c r="R22" s="77"/>
      <c r="S22" s="78">
        <f t="shared" si="11"/>
        <v>0</v>
      </c>
      <c r="T22" s="77"/>
      <c r="U22" s="57">
        <f t="shared" si="12"/>
        <v>0</v>
      </c>
      <c r="Y22" s="12">
        <f>K22-'Jun24'!E22</f>
        <v>19248000</v>
      </c>
      <c r="Z22" s="12">
        <f>M22-'Jun24'!G22</f>
        <v>33684000</v>
      </c>
      <c r="AA22" s="12">
        <f>O22-'Jun24'!I22</f>
        <v>-86704000.00000003</v>
      </c>
      <c r="AB22" s="12">
        <f>Q22-'Jun24'!K22</f>
        <v>-20228000</v>
      </c>
      <c r="AC22" s="12">
        <f>+S22-'Jun24'!M22</f>
        <v>-29460000</v>
      </c>
      <c r="AE22" s="28">
        <f>J22-'Jun24'!J22</f>
        <v>-0.12000000000000001</v>
      </c>
      <c r="AF22" s="28">
        <f>L22-'Jun24'!L22</f>
        <v>2.0000000000000018E-2</v>
      </c>
      <c r="AG22" s="28">
        <f>N22-'Jun24'!N22</f>
        <v>9.9999999999999867E-2</v>
      </c>
      <c r="AH22" s="28">
        <f>P22-'Jun24'!P22</f>
        <v>0</v>
      </c>
      <c r="AI22" s="28">
        <f>R22-'Jun24'!R22</f>
        <v>0</v>
      </c>
      <c r="AK22" s="10">
        <f>I22-'Jun24'!I22</f>
        <v>-4900000</v>
      </c>
      <c r="AL22" s="76">
        <f>I22/'Jun24'!I22-1</f>
        <v>-1.9959266802443976E-2</v>
      </c>
    </row>
    <row r="23" spans="6:38" x14ac:dyDescent="0.25">
      <c r="F23" s="7">
        <f t="shared" si="0"/>
        <v>1</v>
      </c>
      <c r="H23" s="3" t="s">
        <v>33</v>
      </c>
      <c r="I23" s="84">
        <v>848100000</v>
      </c>
      <c r="J23" s="77">
        <v>0.28999999999999998</v>
      </c>
      <c r="K23" s="78">
        <f t="shared" si="7"/>
        <v>245948999.99999997</v>
      </c>
      <c r="L23" s="77">
        <v>0.14000000000000001</v>
      </c>
      <c r="M23" s="78">
        <f t="shared" si="8"/>
        <v>118734000.00000001</v>
      </c>
      <c r="N23" s="77">
        <v>0.55000000000000004</v>
      </c>
      <c r="O23" s="78">
        <f t="shared" si="9"/>
        <v>466455000.00000006</v>
      </c>
      <c r="P23" s="77">
        <v>0.02</v>
      </c>
      <c r="Q23" s="78">
        <f t="shared" si="10"/>
        <v>16962000</v>
      </c>
      <c r="R23" s="77"/>
      <c r="S23" s="78">
        <f t="shared" si="11"/>
        <v>0</v>
      </c>
      <c r="T23" s="77"/>
      <c r="U23" s="57">
        <f t="shared" si="12"/>
        <v>0</v>
      </c>
      <c r="Y23" s="12">
        <f>K23-'Jun24'!E23</f>
        <v>245948999.99999997</v>
      </c>
      <c r="Z23" s="12">
        <f>M23-'Jun24'!G23</f>
        <v>118734000.00000001</v>
      </c>
      <c r="AA23" s="12">
        <f>O23-'Jun24'!I23</f>
        <v>-381044999.99999994</v>
      </c>
      <c r="AB23" s="12">
        <f>Q23-'Jun24'!K23</f>
        <v>-330513000</v>
      </c>
      <c r="AC23" s="12">
        <f>+S23-'Jun24'!M23</f>
        <v>-144075000</v>
      </c>
      <c r="AE23" s="28">
        <f>J23-'Jun24'!J23</f>
        <v>-0.12</v>
      </c>
      <c r="AF23" s="28">
        <f>L23-'Jun24'!L23</f>
        <v>-0.03</v>
      </c>
      <c r="AG23" s="28">
        <f>N23-'Jun24'!N23</f>
        <v>0.13000000000000006</v>
      </c>
      <c r="AH23" s="28">
        <f>P23-'Jun24'!P23</f>
        <v>0.02</v>
      </c>
      <c r="AI23" s="28">
        <f>R23-'Jun24'!R23</f>
        <v>0</v>
      </c>
      <c r="AK23" s="10">
        <f>I23-'Jun24'!I23</f>
        <v>600000</v>
      </c>
      <c r="AL23" s="76">
        <f>I23/'Jun24'!I23-1</f>
        <v>7.0796460176980602E-4</v>
      </c>
    </row>
    <row r="24" spans="6:38" x14ac:dyDescent="0.25">
      <c r="F24" s="7">
        <f t="shared" si="0"/>
        <v>1</v>
      </c>
      <c r="H24" s="3" t="s">
        <v>34</v>
      </c>
      <c r="I24" s="84">
        <v>218785850</v>
      </c>
      <c r="J24" s="77">
        <v>0.27739999999999998</v>
      </c>
      <c r="K24" s="78">
        <f t="shared" si="7"/>
        <v>60691194.789999999</v>
      </c>
      <c r="L24" s="77">
        <v>0.13389999999999999</v>
      </c>
      <c r="M24" s="78">
        <f t="shared" si="8"/>
        <v>29295425.314999998</v>
      </c>
      <c r="N24" s="77">
        <v>0.4904</v>
      </c>
      <c r="O24" s="78">
        <f t="shared" si="9"/>
        <v>107292580.84</v>
      </c>
      <c r="P24" s="77">
        <v>9.74E-2</v>
      </c>
      <c r="Q24" s="78">
        <f t="shared" si="10"/>
        <v>21309741.789999999</v>
      </c>
      <c r="R24" s="77"/>
      <c r="S24" s="78">
        <f t="shared" si="11"/>
        <v>0</v>
      </c>
      <c r="T24" s="77">
        <v>8.9999999999999998E-4</v>
      </c>
      <c r="U24" s="57">
        <f t="shared" si="12"/>
        <v>196907.26499999998</v>
      </c>
      <c r="Y24" s="12">
        <f>K24-'Jun24'!E24</f>
        <v>60691194.789999999</v>
      </c>
      <c r="Z24" s="12">
        <f>M24-'Jun24'!G24</f>
        <v>29295425.314999998</v>
      </c>
      <c r="AA24" s="12">
        <f>O24-'Jun24'!I24</f>
        <v>-111237726.16</v>
      </c>
      <c r="AB24" s="12">
        <f>Q24-'Jun24'!K24</f>
        <v>-37846412.314900003</v>
      </c>
      <c r="AC24" s="12">
        <f>+S24-'Jun24'!M24</f>
        <v>-32364338.466700003</v>
      </c>
      <c r="AE24" s="28">
        <f>J24-'Jun24'!J24</f>
        <v>6.6999999999999837E-3</v>
      </c>
      <c r="AF24" s="28">
        <f>L24-'Jun24'!L24</f>
        <v>-1.4200000000000018E-2</v>
      </c>
      <c r="AG24" s="28">
        <f>N24-'Jun24'!N24</f>
        <v>9.9000000000000199E-3</v>
      </c>
      <c r="AH24" s="28">
        <f>P24-'Jun24'!P24</f>
        <v>-3.1000000000000055E-3</v>
      </c>
      <c r="AI24" s="28">
        <f>R24-'Jun24'!R24</f>
        <v>0</v>
      </c>
      <c r="AK24" s="10">
        <f>I24-'Jun24'!I24</f>
        <v>255543</v>
      </c>
      <c r="AL24" s="76">
        <f>I24/'Jun24'!I24-1</f>
        <v>1.1693709834033061E-3</v>
      </c>
    </row>
    <row r="25" spans="6:38" x14ac:dyDescent="0.25">
      <c r="F25" s="7">
        <f t="shared" si="0"/>
        <v>1</v>
      </c>
      <c r="H25" s="3" t="s">
        <v>35</v>
      </c>
      <c r="I25" s="84">
        <v>356444441</v>
      </c>
      <c r="J25" s="77">
        <v>0.13500000000000001</v>
      </c>
      <c r="K25" s="78">
        <f t="shared" si="7"/>
        <v>48119999.535000004</v>
      </c>
      <c r="L25" s="77">
        <f>38%+8.7%</f>
        <v>0.46699999999999997</v>
      </c>
      <c r="M25" s="78">
        <f t="shared" si="8"/>
        <v>166459553.947</v>
      </c>
      <c r="N25" s="77">
        <f>35.4%+0.6%</f>
        <v>0.36</v>
      </c>
      <c r="O25" s="78">
        <f t="shared" si="9"/>
        <v>128319998.75999999</v>
      </c>
      <c r="P25" s="77">
        <v>3.7999999999999999E-2</v>
      </c>
      <c r="Q25" s="78">
        <f t="shared" si="10"/>
        <v>13544888.757999999</v>
      </c>
      <c r="R25" s="77"/>
      <c r="S25" s="78">
        <f t="shared" si="11"/>
        <v>0</v>
      </c>
      <c r="T25" s="77"/>
      <c r="U25" s="57">
        <f t="shared" si="12"/>
        <v>0</v>
      </c>
      <c r="Y25" s="12">
        <f>K25-'Jun24'!E25</f>
        <v>48119999.535000004</v>
      </c>
      <c r="Z25" s="12">
        <f>M25-'Jun24'!G25</f>
        <v>166459553.947</v>
      </c>
      <c r="AA25" s="12">
        <f>O25-'Jun24'!I25</f>
        <v>-235471032.24000001</v>
      </c>
      <c r="AB25" s="12">
        <f>Q25-'Jun24'!K25</f>
        <v>-50846123.728999995</v>
      </c>
      <c r="AC25" s="12">
        <f>+S25-'Jun24'!M25</f>
        <v>-161887008.79500002</v>
      </c>
      <c r="AE25" s="28">
        <f>J25-'Jun24'!J25</f>
        <v>-4.1999999999999982E-2</v>
      </c>
      <c r="AF25" s="28">
        <f>L25-'Jun24'!L25</f>
        <v>2.1999999999999964E-2</v>
      </c>
      <c r="AG25" s="28">
        <f>N25-'Jun24'!N25</f>
        <v>1.6000000000000014E-2</v>
      </c>
      <c r="AH25" s="28">
        <f>P25-'Jun24'!P25</f>
        <v>3.9999999999999966E-3</v>
      </c>
      <c r="AI25" s="28">
        <f>R25-'Jun24'!R25</f>
        <v>0</v>
      </c>
      <c r="AK25" s="10">
        <f>I25-'Jun24'!I25</f>
        <v>-7346590</v>
      </c>
      <c r="AL25" s="76">
        <f>I25/'Jun24'!I25-1</f>
        <v>-2.0194533053235153E-2</v>
      </c>
    </row>
    <row r="26" spans="6:38" x14ac:dyDescent="0.25">
      <c r="F26" s="7">
        <f t="shared" si="0"/>
        <v>1</v>
      </c>
      <c r="H26" s="3" t="s">
        <v>36</v>
      </c>
      <c r="I26" s="84">
        <v>618250000</v>
      </c>
      <c r="J26" s="77">
        <v>0.15</v>
      </c>
      <c r="K26" s="78">
        <f t="shared" si="7"/>
        <v>92737500</v>
      </c>
      <c r="L26" s="77">
        <v>0.19</v>
      </c>
      <c r="M26" s="78">
        <f t="shared" si="8"/>
        <v>117467500</v>
      </c>
      <c r="N26" s="77">
        <f>55%+5%</f>
        <v>0.60000000000000009</v>
      </c>
      <c r="O26" s="78">
        <f t="shared" si="9"/>
        <v>370950000.00000006</v>
      </c>
      <c r="P26" s="77">
        <v>0.06</v>
      </c>
      <c r="Q26" s="78">
        <f t="shared" si="10"/>
        <v>37095000</v>
      </c>
      <c r="R26" s="77"/>
      <c r="S26" s="78">
        <f t="shared" si="11"/>
        <v>0</v>
      </c>
      <c r="T26" s="77"/>
      <c r="U26" s="57">
        <f t="shared" si="12"/>
        <v>0</v>
      </c>
      <c r="Y26" s="12">
        <f>K26-'Jun24'!E26</f>
        <v>92737500</v>
      </c>
      <c r="Z26" s="12">
        <f>M26-'Jun24'!G26</f>
        <v>117467500</v>
      </c>
      <c r="AA26" s="12">
        <f>O26-'Jun24'!I26</f>
        <v>-186999999.99999994</v>
      </c>
      <c r="AB26" s="12">
        <f>Q26-'Jun24'!K26</f>
        <v>-52177000</v>
      </c>
      <c r="AC26" s="12">
        <f>+S26-'Jun24'!M26</f>
        <v>-106010500</v>
      </c>
      <c r="AE26" s="28">
        <f>J26-'Jun24'!J26</f>
        <v>-1.0000000000000009E-2</v>
      </c>
      <c r="AF26" s="28">
        <f>L26-'Jun24'!L26</f>
        <v>0</v>
      </c>
      <c r="AG26" s="28">
        <f>N26-'Jun24'!N26</f>
        <v>1.0000000000000009E-2</v>
      </c>
      <c r="AH26" s="28">
        <f>P26-'Jun24'!P26</f>
        <v>0</v>
      </c>
      <c r="AI26" s="28">
        <f>R26-'Jun24'!R26</f>
        <v>0</v>
      </c>
      <c r="AK26" s="10">
        <f>I26-'Jun24'!I26</f>
        <v>60300000</v>
      </c>
      <c r="AL26" s="76">
        <f>I26/'Jun24'!I26-1</f>
        <v>0.10807420019715019</v>
      </c>
    </row>
    <row r="27" spans="6:38" s="8" customFormat="1" x14ac:dyDescent="0.25">
      <c r="F27" s="7">
        <f t="shared" si="0"/>
        <v>0.99999999999999989</v>
      </c>
      <c r="H27" s="21" t="s">
        <v>45</v>
      </c>
      <c r="I27" s="20">
        <f>SUM(I18:I26)</f>
        <v>4645573877.9700003</v>
      </c>
      <c r="J27" s="15">
        <f>K27/$I$27</f>
        <v>0.19531996018530232</v>
      </c>
      <c r="K27" s="63">
        <f>SUM(K18:K26)</f>
        <v>907373304.88298094</v>
      </c>
      <c r="L27" s="15">
        <f>M27/$I$27</f>
        <v>0.20575937378827253</v>
      </c>
      <c r="M27" s="62">
        <f>SUM(M18:M26)</f>
        <v>955870372.01826406</v>
      </c>
      <c r="N27" s="15">
        <f>O27/$I$27</f>
        <v>0.50957121801838445</v>
      </c>
      <c r="O27" s="63">
        <f>SUM(O18:O26)</f>
        <v>2367250739.3915629</v>
      </c>
      <c r="P27" s="15">
        <f>Q27/$I$27</f>
        <v>7.808385656685439E-2</v>
      </c>
      <c r="Q27" s="63">
        <f>SUM(Q18:Q26)</f>
        <v>362744324.35813504</v>
      </c>
      <c r="R27" s="15">
        <f>S27/$I$27</f>
        <v>1.1834765441901566E-2</v>
      </c>
      <c r="S27" s="63">
        <f>SUM(S18:S26)</f>
        <v>54979277.1888</v>
      </c>
      <c r="T27" s="15">
        <f>U27/$I$27</f>
        <v>-5.6917400071536969E-4</v>
      </c>
      <c r="U27" s="17">
        <f>SUM(U18:U26)</f>
        <v>-2644139.8697429998</v>
      </c>
      <c r="Y27" s="12">
        <f>K27-'Jun24'!E27</f>
        <v>907373304.88298094</v>
      </c>
      <c r="Z27" s="12">
        <f>M27-'Jun24'!G27</f>
        <v>955870372.01826406</v>
      </c>
      <c r="AA27" s="12">
        <f>O27-'Jun24'!I27</f>
        <v>-2531956924.5484376</v>
      </c>
      <c r="AB27" s="12">
        <f>Q27-'Jun24'!K27</f>
        <v>-718577118.80517507</v>
      </c>
      <c r="AC27" s="12">
        <f>+S27-'Jun24'!M27</f>
        <v>-959661365.28228009</v>
      </c>
      <c r="AE27" s="28">
        <f>J27-'Jun24'!J27</f>
        <v>-2.5393575009835467E-2</v>
      </c>
      <c r="AF27" s="28">
        <f>L27-'Jun24'!L27</f>
        <v>-1.3436338958504324E-3</v>
      </c>
      <c r="AG27" s="28">
        <f>N27-'Jun24'!N27</f>
        <v>1.9911776356760391E-2</v>
      </c>
      <c r="AH27" s="28">
        <f>P27-'Jun24'!P27</f>
        <v>6.8789257049111791E-3</v>
      </c>
      <c r="AI27" s="28">
        <f>R27-'Jun24'!R27</f>
        <v>2.5965313282380609E-4</v>
      </c>
      <c r="AK27" s="92">
        <f>I27-'Jun24'!I27</f>
        <v>-253633785.97000027</v>
      </c>
      <c r="AL27" s="76">
        <f>I27/'Jun24'!I27-1</f>
        <v>-5.1770368469342465E-2</v>
      </c>
    </row>
    <row r="28" spans="6:38" x14ac:dyDescent="0.25">
      <c r="F28" s="7"/>
      <c r="I28" s="10"/>
      <c r="J28" s="10"/>
      <c r="K28" s="10"/>
      <c r="L28" s="5"/>
      <c r="M28" s="10"/>
      <c r="N28" s="10"/>
      <c r="O28" s="10"/>
      <c r="P28" s="5"/>
      <c r="Q28" s="10"/>
    </row>
    <row r="29" spans="6:38" x14ac:dyDescent="0.25">
      <c r="F29" s="7"/>
      <c r="H29" s="4" t="s">
        <v>38</v>
      </c>
      <c r="I29" s="9" t="s">
        <v>4</v>
      </c>
      <c r="J29" s="113" t="s">
        <v>7</v>
      </c>
      <c r="K29" s="113"/>
      <c r="L29" s="112" t="s">
        <v>8</v>
      </c>
      <c r="M29" s="112"/>
      <c r="N29" s="112" t="s">
        <v>10</v>
      </c>
      <c r="O29" s="112"/>
      <c r="P29" s="112" t="s">
        <v>9</v>
      </c>
      <c r="Q29" s="112"/>
      <c r="R29" s="112" t="s">
        <v>40</v>
      </c>
      <c r="S29" s="112"/>
      <c r="T29" s="112" t="s">
        <v>55</v>
      </c>
      <c r="U29" s="112"/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  <c r="AE29" s="27" t="s">
        <v>49</v>
      </c>
      <c r="AF29" s="27" t="s">
        <v>50</v>
      </c>
      <c r="AG29" s="27" t="s">
        <v>51</v>
      </c>
      <c r="AH29" s="27" t="s">
        <v>52</v>
      </c>
      <c r="AI29" s="27" t="s">
        <v>54</v>
      </c>
    </row>
    <row r="30" spans="6:38" x14ac:dyDescent="0.25">
      <c r="F30" s="7">
        <f>J30+L30+N30+P30+R30+T30</f>
        <v>1</v>
      </c>
      <c r="H30" s="21" t="s">
        <v>39</v>
      </c>
      <c r="I30" s="94">
        <v>226621860.68000001</v>
      </c>
      <c r="J30" s="81">
        <f>3.6%+2.6%</f>
        <v>6.2000000000000006E-2</v>
      </c>
      <c r="K30" s="80">
        <f>$I30*J30</f>
        <v>14050555.362160003</v>
      </c>
      <c r="L30" s="81">
        <f>13.3%+7%+2.1%+1.1%</f>
        <v>0.23500000000000001</v>
      </c>
      <c r="M30" s="80">
        <f>$I30*L30</f>
        <v>53256137.259800002</v>
      </c>
      <c r="N30" s="81">
        <f>54%+4.2%+2%</f>
        <v>0.60200000000000009</v>
      </c>
      <c r="O30" s="80">
        <f>$I30*N30</f>
        <v>136426360.12936002</v>
      </c>
      <c r="P30" s="81">
        <v>0.106</v>
      </c>
      <c r="Q30" s="80">
        <f>$I30*P30</f>
        <v>24021917.232080001</v>
      </c>
      <c r="R30" s="88">
        <v>5.8999999999999997E-2</v>
      </c>
      <c r="S30" s="80">
        <f>$I30*R30</f>
        <v>13370689.78012</v>
      </c>
      <c r="T30" s="81">
        <v>-6.4000000000000001E-2</v>
      </c>
      <c r="U30" s="65">
        <f>$I30*T30</f>
        <v>-14503799.083520001</v>
      </c>
      <c r="Y30" s="12">
        <f>K30-'Jun24'!E30</f>
        <v>14050555.362160003</v>
      </c>
      <c r="Z30" s="12">
        <f>M30-'Jun24'!G30</f>
        <v>53256137.259800002</v>
      </c>
      <c r="AA30" s="12">
        <f>O30-'Jun24'!I30</f>
        <v>-87246491.560639977</v>
      </c>
      <c r="AB30" s="12">
        <f>Q30-'Jun24'!K30</f>
        <v>4338706.2833600044</v>
      </c>
      <c r="AC30" s="12">
        <f>+S30-'Jun24'!M30</f>
        <v>-32258571.964639999</v>
      </c>
      <c r="AE30" s="28">
        <f>J30-'Jun24'!J30</f>
        <v>-2.5999999999999988E-2</v>
      </c>
      <c r="AF30" s="28">
        <f>L30-'Jun24'!L30</f>
        <v>3.1000000000000028E-2</v>
      </c>
      <c r="AG30" s="28">
        <f>N30-'Jun24'!N30</f>
        <v>-1.4000000000000012E-2</v>
      </c>
      <c r="AH30" s="28">
        <f>P30-'Jun24'!P30</f>
        <v>-2.0000000000000018E-3</v>
      </c>
      <c r="AI30" s="28">
        <f>R30-'Jun24'!R30</f>
        <v>5.9999999999999984E-3</v>
      </c>
      <c r="AK30" s="10">
        <f>I30-'Jun24'!I30</f>
        <v>2949008.9900000095</v>
      </c>
      <c r="AL30" s="76">
        <f>I30/'Jun24'!I30-1</f>
        <v>1.318447441304671E-2</v>
      </c>
    </row>
    <row r="31" spans="6:38" hidden="1" outlineLevel="1" x14ac:dyDescent="0.25">
      <c r="F31" s="7">
        <f t="shared" si="0"/>
        <v>0</v>
      </c>
      <c r="H31" s="3" t="s">
        <v>56</v>
      </c>
      <c r="I31" s="78"/>
      <c r="J31" s="77"/>
      <c r="K31" s="78"/>
      <c r="L31" s="77"/>
      <c r="M31" s="78"/>
      <c r="N31" s="77"/>
      <c r="O31" s="78"/>
      <c r="P31" s="77"/>
      <c r="Q31" s="78"/>
      <c r="R31" s="77"/>
      <c r="S31" s="78"/>
      <c r="T31" s="77"/>
      <c r="U31" s="72"/>
      <c r="Y31" s="12">
        <f>K31-'Jun24'!E31</f>
        <v>0</v>
      </c>
      <c r="Z31" s="12">
        <f>M31-'Jun24'!G31</f>
        <v>0</v>
      </c>
      <c r="AA31" s="12">
        <f>O31-'Jun24'!I31</f>
        <v>0</v>
      </c>
      <c r="AB31" s="12">
        <f>Q31-'Jun24'!K31</f>
        <v>0</v>
      </c>
      <c r="AC31" s="12">
        <f>+S31-'Jun24'!M31</f>
        <v>0</v>
      </c>
      <c r="AE31" s="28">
        <f>J31-'Jun24'!J31</f>
        <v>0</v>
      </c>
      <c r="AF31" s="28">
        <f>L31-'Jun24'!L31</f>
        <v>0</v>
      </c>
      <c r="AG31" s="28">
        <f>N31-'Jun24'!N31</f>
        <v>0</v>
      </c>
      <c r="AH31" s="28">
        <f>P31-'Jun24'!P31</f>
        <v>0</v>
      </c>
      <c r="AI31" s="28">
        <f>R31-'Jun24'!R31</f>
        <v>0</v>
      </c>
      <c r="AK31" s="10">
        <f>I31-'Jun24'!I31</f>
        <v>0</v>
      </c>
      <c r="AL31" s="76" t="e">
        <f>I31/'Jun24'!I31-1</f>
        <v>#DIV/0!</v>
      </c>
    </row>
    <row r="32" spans="6:38" collapsed="1" x14ac:dyDescent="0.25">
      <c r="F32" s="7">
        <f t="shared" si="0"/>
        <v>1</v>
      </c>
      <c r="H32" s="3" t="s">
        <v>42</v>
      </c>
      <c r="I32" s="84">
        <v>228933842</v>
      </c>
      <c r="J32" s="77">
        <v>0.11</v>
      </c>
      <c r="K32" s="78">
        <f t="shared" ref="K32:K34" si="13">$I32*J32</f>
        <v>25182722.620000001</v>
      </c>
      <c r="L32" s="77">
        <v>0.13</v>
      </c>
      <c r="M32" s="78">
        <f t="shared" ref="M32:M34" si="14">$I32*L32</f>
        <v>29761399.460000001</v>
      </c>
      <c r="N32" s="77">
        <f>41%+8%</f>
        <v>0.49</v>
      </c>
      <c r="O32" s="78">
        <f t="shared" ref="O32:O34" si="15">$I32*N32</f>
        <v>112177582.58</v>
      </c>
      <c r="P32" s="77">
        <v>0.05</v>
      </c>
      <c r="Q32" s="78">
        <f t="shared" ref="Q32:Q34" si="16">$I32*P32</f>
        <v>11446692.100000001</v>
      </c>
      <c r="R32" s="77">
        <v>0.15</v>
      </c>
      <c r="S32" s="78">
        <f t="shared" ref="S32:S34" si="17">$I32*R32</f>
        <v>34340076.299999997</v>
      </c>
      <c r="T32" s="77">
        <v>7.0000000000000007E-2</v>
      </c>
      <c r="U32" s="72">
        <f>$I32*T32</f>
        <v>16025368.940000001</v>
      </c>
      <c r="Y32" s="12">
        <f>K32-'Jun24'!E32</f>
        <v>25182722.620000001</v>
      </c>
      <c r="Z32" s="12">
        <f>M32-'Jun24'!G32</f>
        <v>29761399.460000001</v>
      </c>
      <c r="AA32" s="12">
        <f>O32-'Jun24'!I32</f>
        <v>-117922811.42</v>
      </c>
      <c r="AB32" s="12">
        <f>Q32-'Jun24'!K32</f>
        <v>-58327.599999999627</v>
      </c>
      <c r="AC32" s="12">
        <f>+S32-'Jun24'!M32</f>
        <v>6728029.0199999996</v>
      </c>
      <c r="AE32" s="28">
        <f>J32-'Jun24'!J32</f>
        <v>0.06</v>
      </c>
      <c r="AF32" s="28">
        <f>L32-'Jun24'!L32</f>
        <v>1.0000000000000009E-2</v>
      </c>
      <c r="AG32" s="28">
        <f>N32-'Jun24'!N32</f>
        <v>-6.0000000000000053E-2</v>
      </c>
      <c r="AH32" s="28">
        <f>P32-'Jun24'!P32</f>
        <v>0</v>
      </c>
      <c r="AI32" s="28">
        <f>R32-'Jun24'!R32</f>
        <v>-1.0000000000000009E-2</v>
      </c>
      <c r="AK32" s="10">
        <f>I32-'Jun24'!I32</f>
        <v>-1166552</v>
      </c>
      <c r="AL32" s="76">
        <f>I32/'Jun24'!I32-1</f>
        <v>-5.0697522925580163E-3</v>
      </c>
    </row>
    <row r="33" spans="6:38" x14ac:dyDescent="0.25">
      <c r="F33" s="7">
        <f t="shared" si="0"/>
        <v>1</v>
      </c>
      <c r="H33" s="3" t="s">
        <v>43</v>
      </c>
      <c r="I33" s="84">
        <v>458989476</v>
      </c>
      <c r="J33" s="77">
        <v>0.11</v>
      </c>
      <c r="K33" s="78">
        <f t="shared" si="13"/>
        <v>50488842.359999999</v>
      </c>
      <c r="L33" s="77">
        <v>0.08</v>
      </c>
      <c r="M33" s="78">
        <f t="shared" si="14"/>
        <v>36719158.079999998</v>
      </c>
      <c r="N33" s="77">
        <f>61%+2%+1%</f>
        <v>0.64</v>
      </c>
      <c r="O33" s="78">
        <f t="shared" si="15"/>
        <v>293753264.63999999</v>
      </c>
      <c r="P33" s="77">
        <v>0.16</v>
      </c>
      <c r="Q33" s="78">
        <f t="shared" si="16"/>
        <v>73438316.159999996</v>
      </c>
      <c r="R33" s="77"/>
      <c r="S33" s="78">
        <f t="shared" si="17"/>
        <v>0</v>
      </c>
      <c r="T33" s="77">
        <v>0.01</v>
      </c>
      <c r="U33" s="72">
        <f t="shared" ref="U33:U34" si="18">$I33*T33</f>
        <v>4589894.76</v>
      </c>
      <c r="Y33" s="12">
        <f>K33-'Jun24'!E33</f>
        <v>50488842.359999999</v>
      </c>
      <c r="Z33" s="12">
        <f>M33-'Jun24'!G33</f>
        <v>36719158.079999998</v>
      </c>
      <c r="AA33" s="12">
        <f>O33-'Jun24'!I33</f>
        <v>-176388477.36000001</v>
      </c>
      <c r="AB33" s="12">
        <f>Q33-'Jun24'!K33</f>
        <v>26424141.959999993</v>
      </c>
      <c r="AC33" s="12">
        <f>+S33-'Jun24'!M33</f>
        <v>-56417009.039999999</v>
      </c>
      <c r="AE33" s="28">
        <f>J33-'Jun24'!J33</f>
        <v>9.999999999999995E-3</v>
      </c>
      <c r="AF33" s="28">
        <f>L33-'Jun24'!L33</f>
        <v>-3.9999999999999994E-2</v>
      </c>
      <c r="AG33" s="28">
        <f>N33-'Jun24'!N33</f>
        <v>4.0000000000000036E-2</v>
      </c>
      <c r="AH33" s="28">
        <f>P33-'Jun24'!P33</f>
        <v>-1.0000000000000009E-2</v>
      </c>
      <c r="AI33" s="28">
        <f>R33-'Jun24'!R33</f>
        <v>0</v>
      </c>
      <c r="AK33" s="10">
        <f>I33-'Jun24'!I33</f>
        <v>-11152266</v>
      </c>
      <c r="AL33" s="76">
        <f>I33/'Jun24'!I33-1</f>
        <v>-2.3721071761375279E-2</v>
      </c>
    </row>
    <row r="34" spans="6:38" x14ac:dyDescent="0.25">
      <c r="F34" s="7">
        <f t="shared" si="0"/>
        <v>1</v>
      </c>
      <c r="H34" s="3" t="s">
        <v>44</v>
      </c>
      <c r="I34" s="84">
        <v>29300000</v>
      </c>
      <c r="J34" s="77">
        <v>0.19</v>
      </c>
      <c r="K34" s="78">
        <f t="shared" si="13"/>
        <v>5567000</v>
      </c>
      <c r="L34" s="77"/>
      <c r="M34" s="78">
        <f t="shared" si="14"/>
        <v>0</v>
      </c>
      <c r="N34" s="77">
        <v>0.67</v>
      </c>
      <c r="O34" s="78">
        <f t="shared" si="15"/>
        <v>19631000</v>
      </c>
      <c r="P34" s="77"/>
      <c r="Q34" s="78">
        <f t="shared" si="16"/>
        <v>0</v>
      </c>
      <c r="R34" s="77">
        <v>0.14000000000000001</v>
      </c>
      <c r="S34" s="78">
        <f t="shared" si="17"/>
        <v>4102000.0000000005</v>
      </c>
      <c r="T34" s="77"/>
      <c r="U34" s="72">
        <f t="shared" si="18"/>
        <v>0</v>
      </c>
      <c r="Y34" s="12">
        <f>K34-'Jun24'!E34</f>
        <v>5567000</v>
      </c>
      <c r="Z34" s="12">
        <f>M34-'Jun24'!G34</f>
        <v>0</v>
      </c>
      <c r="AA34" s="12">
        <f>O34-'Jun24'!I34</f>
        <v>-3669000</v>
      </c>
      <c r="AB34" s="12">
        <f>Q34-'Jun24'!K34</f>
        <v>-6757000</v>
      </c>
      <c r="AC34" s="12">
        <f>+S34-'Jun24'!M34</f>
        <v>4102000.0000000005</v>
      </c>
      <c r="AE34" s="28">
        <f>J34-'Jun24'!J34</f>
        <v>-9.9999999999999978E-2</v>
      </c>
      <c r="AF34" s="28">
        <f>L34-'Jun24'!L34</f>
        <v>0</v>
      </c>
      <c r="AG34" s="28">
        <f>N34-'Jun24'!N34</f>
        <v>0.19000000000000006</v>
      </c>
      <c r="AH34" s="28">
        <f>P34-'Jun24'!P34</f>
        <v>0</v>
      </c>
      <c r="AI34" s="28">
        <f>R34-'Jun24'!R34</f>
        <v>-7.9999999999999988E-2</v>
      </c>
      <c r="AK34" s="10">
        <f>I34-'Jun24'!I34</f>
        <v>6000000</v>
      </c>
      <c r="AL34" s="76">
        <f>I34/'Jun24'!I34-1</f>
        <v>0.257510729613734</v>
      </c>
    </row>
    <row r="35" spans="6:38" s="8" customFormat="1" x14ac:dyDescent="0.25">
      <c r="F35" s="7">
        <f t="shared" si="0"/>
        <v>1</v>
      </c>
      <c r="H35" s="3" t="s">
        <v>45</v>
      </c>
      <c r="I35" s="17">
        <f>SUM(I30:I34)</f>
        <v>943845178.68000007</v>
      </c>
      <c r="J35" s="15">
        <f>+K35/$I$35</f>
        <v>0.10095842251949108</v>
      </c>
      <c r="K35" s="17">
        <f>SUM(K30:K34)</f>
        <v>95289120.342160001</v>
      </c>
      <c r="L35" s="15">
        <f>+M35/$I$35</f>
        <v>0.12686052490860406</v>
      </c>
      <c r="M35" s="17">
        <f>SUM(M30:M34)</f>
        <v>119736694.79979999</v>
      </c>
      <c r="N35" s="15">
        <f>+O35/$I$35</f>
        <v>0.5954241437513299</v>
      </c>
      <c r="O35" s="17">
        <f>SUM(O30:O34)</f>
        <v>561988207.34935999</v>
      </c>
      <c r="P35" s="15">
        <f>+Q35/$I$35</f>
        <v>0.11538642984264652</v>
      </c>
      <c r="Q35" s="17">
        <f>SUM(Q30:Q34)</f>
        <v>108906925.49208</v>
      </c>
      <c r="R35" s="15">
        <f>+S35/$I$35</f>
        <v>5.4895407902153963E-2</v>
      </c>
      <c r="S35" s="17">
        <f>SUM(S30:S34)</f>
        <v>51812766.080119997</v>
      </c>
      <c r="T35" s="15">
        <f>+U35/$I$35</f>
        <v>6.4750710757744126E-3</v>
      </c>
      <c r="U35" s="63">
        <f>SUM(U30:U34)</f>
        <v>6111464.6164800003</v>
      </c>
      <c r="Y35" s="12">
        <f>K35-'Jun24'!E35</f>
        <v>95289120.342160001</v>
      </c>
      <c r="Z35" s="12">
        <f>M35-'Jun24'!G35</f>
        <v>119736694.79979999</v>
      </c>
      <c r="AA35" s="12">
        <f>O35-'Jun24'!I35</f>
        <v>-385226780.34064007</v>
      </c>
      <c r="AB35" s="12">
        <f>Q35-'Jun24'!K35</f>
        <v>23947520.643360004</v>
      </c>
      <c r="AC35" s="12">
        <f>+S35-'Jun24'!M35</f>
        <v>-77845551.984640002</v>
      </c>
      <c r="AE35" s="28">
        <f>J35-'Jun24'!J35</f>
        <v>1.1264524140715534E-2</v>
      </c>
      <c r="AF35" s="28">
        <f>L35-'Jun24'!L35</f>
        <v>-1.0023202386464841E-2</v>
      </c>
      <c r="AG35" s="28">
        <f>N35-'Jun24'!N35</f>
        <v>6.7439119267773684E-3</v>
      </c>
      <c r="AH35" s="28">
        <f>P35-'Jun24'!P35</f>
        <v>-6.640549591454617E-3</v>
      </c>
      <c r="AI35" s="28">
        <f>R35-'Jun24'!R35</f>
        <v>-1.8992214889683098E-3</v>
      </c>
      <c r="AK35" s="92">
        <f>I35-'Jun24'!I35</f>
        <v>-3369809.0099999905</v>
      </c>
      <c r="AL35" s="76">
        <f>I35/'Jun24'!I35-1</f>
        <v>-3.5575968009311509E-3</v>
      </c>
    </row>
    <row r="36" spans="6:38" x14ac:dyDescent="0.25">
      <c r="F36" s="7"/>
    </row>
    <row r="37" spans="6:38" x14ac:dyDescent="0.25">
      <c r="F37" s="7"/>
      <c r="K37"/>
    </row>
    <row r="38" spans="6:38" x14ac:dyDescent="0.25">
      <c r="F38" s="7"/>
      <c r="J38" s="38"/>
    </row>
    <row r="39" spans="6:38" x14ac:dyDescent="0.25">
      <c r="F39" s="7"/>
      <c r="I39" s="30"/>
      <c r="J39" s="35"/>
    </row>
    <row r="40" spans="6:38" x14ac:dyDescent="0.25">
      <c r="F40" s="7"/>
      <c r="I40"/>
      <c r="J40"/>
      <c r="K40"/>
      <c r="L40"/>
      <c r="M40"/>
      <c r="N40"/>
      <c r="O40"/>
      <c r="P40"/>
      <c r="Q40"/>
      <c r="R40"/>
      <c r="S40"/>
      <c r="T40"/>
    </row>
    <row r="41" spans="6:38" x14ac:dyDescent="0.25">
      <c r="F41" s="7"/>
      <c r="I41"/>
      <c r="J41"/>
      <c r="K41"/>
      <c r="L41"/>
      <c r="M41"/>
      <c r="N41"/>
      <c r="O41"/>
      <c r="P41"/>
      <c r="Q41"/>
      <c r="R41"/>
      <c r="S41"/>
      <c r="T41"/>
    </row>
    <row r="42" spans="6:38" x14ac:dyDescent="0.25">
      <c r="F42" s="7"/>
      <c r="I42"/>
      <c r="J42"/>
      <c r="K42"/>
      <c r="L42"/>
      <c r="M42"/>
      <c r="N42"/>
      <c r="O42"/>
      <c r="P42"/>
      <c r="Q42"/>
      <c r="R42"/>
      <c r="S42"/>
      <c r="T42"/>
    </row>
    <row r="43" spans="6:38" x14ac:dyDescent="0.25">
      <c r="F43" s="7"/>
      <c r="I43"/>
      <c r="J43"/>
      <c r="K43"/>
      <c r="L43"/>
      <c r="M43"/>
      <c r="N43"/>
      <c r="O43"/>
      <c r="P43"/>
      <c r="Q43"/>
      <c r="R43"/>
      <c r="S43"/>
      <c r="T43"/>
    </row>
    <row r="44" spans="6:38" x14ac:dyDescent="0.25">
      <c r="F44" s="7"/>
      <c r="I44" s="37"/>
      <c r="J44" s="35"/>
      <c r="K44" s="37"/>
    </row>
    <row r="45" spans="6:38" x14ac:dyDescent="0.25">
      <c r="F45" s="7"/>
      <c r="I45" s="37"/>
      <c r="J45" s="35"/>
    </row>
    <row r="46" spans="6:38" x14ac:dyDescent="0.25">
      <c r="F46" s="7"/>
      <c r="I46" s="37"/>
      <c r="J46" s="35"/>
    </row>
    <row r="47" spans="6:38" x14ac:dyDescent="0.25">
      <c r="F47" s="7"/>
      <c r="I47" s="37"/>
      <c r="J47" s="35"/>
    </row>
    <row r="48" spans="6:38" x14ac:dyDescent="0.25">
      <c r="I48" s="37"/>
      <c r="J48" s="35"/>
    </row>
    <row r="49" spans="9:10" x14ac:dyDescent="0.25">
      <c r="I49" s="37"/>
      <c r="J49" s="35"/>
    </row>
    <row r="50" spans="9:10" x14ac:dyDescent="0.25">
      <c r="I50" s="37"/>
      <c r="J50" s="35"/>
    </row>
    <row r="51" spans="9:10" x14ac:dyDescent="0.25">
      <c r="I51" s="37"/>
      <c r="J51" s="35"/>
    </row>
    <row r="52" spans="9:10" x14ac:dyDescent="0.25">
      <c r="I52" s="37"/>
      <c r="J52" s="35"/>
    </row>
    <row r="53" spans="9:10" x14ac:dyDescent="0.25">
      <c r="I53" s="37"/>
      <c r="J53" s="35"/>
    </row>
    <row r="54" spans="9:10" x14ac:dyDescent="0.25">
      <c r="I54" s="37"/>
      <c r="J54" s="35"/>
    </row>
    <row r="55" spans="9:10" x14ac:dyDescent="0.25">
      <c r="I55" s="37"/>
      <c r="J55" s="35"/>
    </row>
    <row r="56" spans="9:10" x14ac:dyDescent="0.25">
      <c r="I56" s="37"/>
      <c r="J56" s="35"/>
    </row>
    <row r="57" spans="9:10" x14ac:dyDescent="0.25">
      <c r="I57" s="37"/>
      <c r="J57" s="35"/>
    </row>
    <row r="58" spans="9:10" x14ac:dyDescent="0.25">
      <c r="I58" s="37"/>
      <c r="J58" s="35"/>
    </row>
    <row r="59" spans="9:10" x14ac:dyDescent="0.25">
      <c r="I59" s="37"/>
      <c r="J59" s="35"/>
    </row>
    <row r="60" spans="9:10" x14ac:dyDescent="0.25">
      <c r="I60" s="37"/>
      <c r="J60" s="35"/>
    </row>
    <row r="61" spans="9:10" x14ac:dyDescent="0.25">
      <c r="I61" s="37"/>
      <c r="J61" s="35"/>
    </row>
    <row r="62" spans="9:10" x14ac:dyDescent="0.25">
      <c r="I62" s="37"/>
      <c r="J62" s="35"/>
    </row>
    <row r="63" spans="9:10" x14ac:dyDescent="0.25">
      <c r="I63" s="37"/>
      <c r="J63" s="35"/>
    </row>
    <row r="64" spans="9:10" x14ac:dyDescent="0.25">
      <c r="I64" s="37"/>
      <c r="J64" s="35"/>
    </row>
    <row r="65" spans="9:10" x14ac:dyDescent="0.25">
      <c r="I65" s="37"/>
      <c r="J65" s="35"/>
    </row>
    <row r="66" spans="9:10" x14ac:dyDescent="0.25">
      <c r="I66" s="37"/>
      <c r="J66" s="35"/>
    </row>
    <row r="67" spans="9:10" x14ac:dyDescent="0.25">
      <c r="I67" s="37"/>
      <c r="J67" s="35"/>
    </row>
    <row r="68" spans="9:10" x14ac:dyDescent="0.25">
      <c r="I68" s="37"/>
      <c r="J68" s="35"/>
    </row>
    <row r="69" spans="9:10" x14ac:dyDescent="0.25">
      <c r="I69" s="37"/>
      <c r="J69" s="35"/>
    </row>
    <row r="70" spans="9:10" x14ac:dyDescent="0.25">
      <c r="I70" s="37"/>
      <c r="J70" s="35"/>
    </row>
    <row r="71" spans="9:10" x14ac:dyDescent="0.25">
      <c r="I71" s="37"/>
      <c r="J71" s="35"/>
    </row>
    <row r="72" spans="9:10" x14ac:dyDescent="0.25">
      <c r="I72" s="37"/>
      <c r="J72" s="35"/>
    </row>
    <row r="73" spans="9:10" x14ac:dyDescent="0.25">
      <c r="I73" s="37"/>
      <c r="J73" s="35"/>
    </row>
    <row r="74" spans="9:10" x14ac:dyDescent="0.25">
      <c r="I74" s="37"/>
      <c r="J74" s="35"/>
    </row>
    <row r="75" spans="9:10" x14ac:dyDescent="0.25">
      <c r="I75" s="37"/>
      <c r="J75" s="35"/>
    </row>
    <row r="76" spans="9:10" x14ac:dyDescent="0.25">
      <c r="I76" s="37"/>
      <c r="J76" s="35"/>
    </row>
    <row r="77" spans="9:10" x14ac:dyDescent="0.25">
      <c r="I77" s="37"/>
      <c r="J77" s="35"/>
    </row>
    <row r="78" spans="9:10" x14ac:dyDescent="0.25">
      <c r="I78" s="37"/>
      <c r="J78" s="35"/>
    </row>
    <row r="79" spans="9:10" x14ac:dyDescent="0.25">
      <c r="I79" s="37"/>
      <c r="J79" s="35"/>
    </row>
    <row r="80" spans="9:10" x14ac:dyDescent="0.25">
      <c r="I80" s="37"/>
      <c r="J80" s="35"/>
    </row>
    <row r="81" spans="9:10" x14ac:dyDescent="0.25">
      <c r="I81" s="37"/>
      <c r="J81" s="35"/>
    </row>
    <row r="82" spans="9:10" x14ac:dyDescent="0.25">
      <c r="I82" s="37"/>
      <c r="J82" s="35"/>
    </row>
    <row r="83" spans="9:10" x14ac:dyDescent="0.25">
      <c r="I83" s="37"/>
      <c r="J83" s="35"/>
    </row>
    <row r="84" spans="9:10" x14ac:dyDescent="0.25">
      <c r="I84" s="37"/>
      <c r="J84" s="35"/>
    </row>
    <row r="85" spans="9:10" x14ac:dyDescent="0.25">
      <c r="I85" s="37"/>
      <c r="J85" s="35"/>
    </row>
    <row r="86" spans="9:10" x14ac:dyDescent="0.25">
      <c r="I86" s="37"/>
      <c r="J86" s="35"/>
    </row>
    <row r="87" spans="9:10" x14ac:dyDescent="0.25">
      <c r="I87" s="37"/>
      <c r="J87" s="35"/>
    </row>
    <row r="88" spans="9:10" x14ac:dyDescent="0.25">
      <c r="I88" s="37"/>
      <c r="J88" s="35"/>
    </row>
    <row r="89" spans="9:10" x14ac:dyDescent="0.25">
      <c r="I89" s="37"/>
      <c r="J89" s="35"/>
    </row>
    <row r="90" spans="9:10" x14ac:dyDescent="0.25">
      <c r="I90" s="37"/>
      <c r="J90" s="35"/>
    </row>
    <row r="91" spans="9:10" x14ac:dyDescent="0.25">
      <c r="I91" s="37"/>
      <c r="J91" s="35"/>
    </row>
    <row r="92" spans="9:10" x14ac:dyDescent="0.25">
      <c r="I92" s="37"/>
      <c r="J92" s="35"/>
    </row>
    <row r="93" spans="9:10" x14ac:dyDescent="0.25">
      <c r="I93" s="37"/>
      <c r="J93" s="35"/>
    </row>
    <row r="94" spans="9:10" x14ac:dyDescent="0.25">
      <c r="I94" s="37"/>
      <c r="J94" s="35"/>
    </row>
    <row r="95" spans="9:10" x14ac:dyDescent="0.25">
      <c r="I95" s="37"/>
      <c r="J95" s="35"/>
    </row>
    <row r="96" spans="9:10" x14ac:dyDescent="0.25">
      <c r="I96" s="37"/>
      <c r="J96" s="35"/>
    </row>
    <row r="97" spans="9:10" x14ac:dyDescent="0.25">
      <c r="I97" s="37"/>
      <c r="J97" s="35"/>
    </row>
    <row r="98" spans="9:10" x14ac:dyDescent="0.25">
      <c r="I98" s="37"/>
      <c r="J98" s="35"/>
    </row>
    <row r="99" spans="9:10" x14ac:dyDescent="0.25">
      <c r="I99" s="37"/>
      <c r="J99" s="35"/>
    </row>
    <row r="100" spans="9:10" x14ac:dyDescent="0.25">
      <c r="I100" s="37"/>
      <c r="J100" s="35"/>
    </row>
    <row r="101" spans="9:10" x14ac:dyDescent="0.25">
      <c r="I101" s="37"/>
      <c r="J101" s="35"/>
    </row>
    <row r="102" spans="9:10" x14ac:dyDescent="0.25">
      <c r="I102" s="37"/>
      <c r="J102" s="35"/>
    </row>
    <row r="103" spans="9:10" x14ac:dyDescent="0.25">
      <c r="I103" s="37"/>
      <c r="J103" s="35"/>
    </row>
    <row r="104" spans="9:10" x14ac:dyDescent="0.25">
      <c r="I104" s="37"/>
      <c r="J104" s="35"/>
    </row>
    <row r="105" spans="9:10" x14ac:dyDescent="0.25">
      <c r="I105" s="37"/>
      <c r="J105" s="35"/>
    </row>
    <row r="106" spans="9:10" x14ac:dyDescent="0.25">
      <c r="I106" s="37"/>
      <c r="J106" s="35"/>
    </row>
    <row r="107" spans="9:10" x14ac:dyDescent="0.25">
      <c r="I107" s="37"/>
      <c r="J107" s="35"/>
    </row>
    <row r="108" spans="9:10" x14ac:dyDescent="0.25">
      <c r="I108" s="37"/>
      <c r="J108" s="35"/>
    </row>
    <row r="109" spans="9:10" x14ac:dyDescent="0.25">
      <c r="I109" s="37"/>
      <c r="J109" s="35"/>
    </row>
    <row r="110" spans="9:10" x14ac:dyDescent="0.25">
      <c r="I110" s="37"/>
      <c r="J110" s="35"/>
    </row>
    <row r="111" spans="9:10" x14ac:dyDescent="0.25">
      <c r="I111" s="37"/>
      <c r="J111" s="35"/>
    </row>
    <row r="112" spans="9:10" x14ac:dyDescent="0.25">
      <c r="I112" s="37"/>
      <c r="J112" s="35"/>
    </row>
    <row r="113" spans="9:10" x14ac:dyDescent="0.25">
      <c r="I113" s="37"/>
      <c r="J113" s="35"/>
    </row>
    <row r="114" spans="9:10" x14ac:dyDescent="0.25">
      <c r="I114" s="37"/>
      <c r="J114" s="35"/>
    </row>
    <row r="115" spans="9:10" x14ac:dyDescent="0.25">
      <c r="I115" s="37"/>
      <c r="J115" s="35"/>
    </row>
    <row r="116" spans="9:10" x14ac:dyDescent="0.25">
      <c r="I116" s="37"/>
      <c r="J116" s="35"/>
    </row>
    <row r="117" spans="9:10" x14ac:dyDescent="0.25">
      <c r="I117" s="37"/>
      <c r="J117" s="35"/>
    </row>
    <row r="118" spans="9:10" x14ac:dyDescent="0.25">
      <c r="I118" s="37"/>
      <c r="J118" s="35"/>
    </row>
    <row r="119" spans="9:10" x14ac:dyDescent="0.25">
      <c r="I119" s="37"/>
      <c r="J119" s="35"/>
    </row>
    <row r="120" spans="9:10" x14ac:dyDescent="0.25">
      <c r="I120" s="37"/>
      <c r="J120" s="35"/>
    </row>
    <row r="121" spans="9:10" x14ac:dyDescent="0.25">
      <c r="I121" s="37"/>
      <c r="J121" s="35"/>
    </row>
    <row r="122" spans="9:10" x14ac:dyDescent="0.25">
      <c r="I122" s="37"/>
      <c r="J122" s="35"/>
    </row>
    <row r="123" spans="9:10" x14ac:dyDescent="0.25">
      <c r="I123" s="37"/>
      <c r="J123" s="35"/>
    </row>
    <row r="124" spans="9:10" x14ac:dyDescent="0.25">
      <c r="I124" s="37"/>
      <c r="J124" s="35"/>
    </row>
    <row r="125" spans="9:10" x14ac:dyDescent="0.25">
      <c r="I125" s="37"/>
      <c r="J125" s="35"/>
    </row>
    <row r="126" spans="9:10" x14ac:dyDescent="0.25">
      <c r="I126" s="37"/>
      <c r="J126" s="35"/>
    </row>
    <row r="127" spans="9:10" x14ac:dyDescent="0.25">
      <c r="I127" s="37"/>
      <c r="J127" s="35"/>
    </row>
    <row r="128" spans="9:10" x14ac:dyDescent="0.25">
      <c r="I128" s="37"/>
      <c r="J128" s="35"/>
    </row>
    <row r="129" spans="9:10" x14ac:dyDescent="0.25">
      <c r="I129" s="37"/>
      <c r="J129" s="35"/>
    </row>
    <row r="130" spans="9:10" x14ac:dyDescent="0.25">
      <c r="I130" s="37"/>
      <c r="J130" s="35"/>
    </row>
    <row r="131" spans="9:10" x14ac:dyDescent="0.25">
      <c r="I131" s="37"/>
      <c r="J131" s="35"/>
    </row>
    <row r="132" spans="9:10" x14ac:dyDescent="0.25">
      <c r="I132" s="37"/>
      <c r="J132" s="35"/>
    </row>
    <row r="133" spans="9:10" x14ac:dyDescent="0.25">
      <c r="I133" s="37"/>
      <c r="J133" s="35"/>
    </row>
    <row r="134" spans="9:10" x14ac:dyDescent="0.25">
      <c r="I134" s="37"/>
      <c r="J134" s="35"/>
    </row>
    <row r="135" spans="9:10" x14ac:dyDescent="0.25">
      <c r="I135" s="37"/>
      <c r="J135" s="35"/>
    </row>
    <row r="136" spans="9:10" x14ac:dyDescent="0.25">
      <c r="I136" s="37"/>
      <c r="J136" s="35"/>
    </row>
    <row r="137" spans="9:10" x14ac:dyDescent="0.25">
      <c r="I137" s="37"/>
      <c r="J137" s="35"/>
    </row>
    <row r="138" spans="9:10" x14ac:dyDescent="0.25">
      <c r="I138" s="37"/>
      <c r="J138" s="35"/>
    </row>
    <row r="139" spans="9:10" x14ac:dyDescent="0.25">
      <c r="I139" s="37"/>
      <c r="J139" s="35"/>
    </row>
    <row r="140" spans="9:10" x14ac:dyDescent="0.25">
      <c r="I140" s="37"/>
      <c r="J140" s="35"/>
    </row>
    <row r="141" spans="9:10" x14ac:dyDescent="0.25">
      <c r="I141" s="37"/>
      <c r="J141" s="35"/>
    </row>
    <row r="142" spans="9:10" x14ac:dyDescent="0.25">
      <c r="I142" s="37"/>
      <c r="J142" s="35"/>
    </row>
    <row r="143" spans="9:10" x14ac:dyDescent="0.25">
      <c r="I143" s="37"/>
      <c r="J143" s="35"/>
    </row>
    <row r="144" spans="9:10" x14ac:dyDescent="0.25">
      <c r="I144" s="37"/>
      <c r="J144" s="35"/>
    </row>
    <row r="145" spans="9:10" x14ac:dyDescent="0.25">
      <c r="I145" s="37"/>
      <c r="J145" s="35"/>
    </row>
    <row r="146" spans="9:10" x14ac:dyDescent="0.25">
      <c r="I146" s="37"/>
      <c r="J146" s="35"/>
    </row>
    <row r="147" spans="9:10" x14ac:dyDescent="0.25">
      <c r="I147" s="37"/>
      <c r="J147" s="35"/>
    </row>
    <row r="148" spans="9:10" x14ac:dyDescent="0.25">
      <c r="I148" s="37"/>
      <c r="J148" s="35"/>
    </row>
    <row r="149" spans="9:10" x14ac:dyDescent="0.25">
      <c r="I149" s="37"/>
      <c r="J149" s="35"/>
    </row>
    <row r="150" spans="9:10" x14ac:dyDescent="0.25">
      <c r="I150" s="37"/>
      <c r="J150" s="35"/>
    </row>
    <row r="151" spans="9:10" x14ac:dyDescent="0.25">
      <c r="I151" s="37"/>
      <c r="J151" s="35"/>
    </row>
    <row r="152" spans="9:10" x14ac:dyDescent="0.25">
      <c r="I152" s="37"/>
      <c r="J152" s="35"/>
    </row>
    <row r="153" spans="9:10" x14ac:dyDescent="0.25">
      <c r="I153" s="37"/>
      <c r="J153" s="35"/>
    </row>
    <row r="154" spans="9:10" x14ac:dyDescent="0.25">
      <c r="I154" s="37"/>
      <c r="J154" s="35"/>
    </row>
    <row r="155" spans="9:10" x14ac:dyDescent="0.25">
      <c r="I155" s="37"/>
      <c r="J155" s="35"/>
    </row>
    <row r="156" spans="9:10" x14ac:dyDescent="0.25">
      <c r="I156" s="37"/>
      <c r="J156" s="35"/>
    </row>
    <row r="157" spans="9:10" x14ac:dyDescent="0.25">
      <c r="I157" s="37"/>
      <c r="J157" s="35"/>
    </row>
    <row r="158" spans="9:10" x14ac:dyDescent="0.25">
      <c r="I158" s="37"/>
      <c r="J158" s="35"/>
    </row>
    <row r="159" spans="9:10" x14ac:dyDescent="0.25">
      <c r="I159" s="37"/>
      <c r="J159" s="35"/>
    </row>
    <row r="160" spans="9:10" x14ac:dyDescent="0.25">
      <c r="I160" s="37"/>
      <c r="J160" s="35"/>
    </row>
    <row r="161" spans="9:10" x14ac:dyDescent="0.25">
      <c r="I161" s="37"/>
      <c r="J161" s="35"/>
    </row>
    <row r="162" spans="9:10" x14ac:dyDescent="0.25">
      <c r="I162" s="37"/>
      <c r="J162" s="35"/>
    </row>
    <row r="163" spans="9:10" x14ac:dyDescent="0.25">
      <c r="I163" s="37"/>
      <c r="J163" s="35"/>
    </row>
    <row r="164" spans="9:10" x14ac:dyDescent="0.25">
      <c r="I164" s="37"/>
      <c r="J164" s="35"/>
    </row>
    <row r="165" spans="9:10" x14ac:dyDescent="0.25">
      <c r="I165" s="37"/>
      <c r="J165" s="35"/>
    </row>
    <row r="166" spans="9:10" x14ac:dyDescent="0.25">
      <c r="I166" s="37"/>
      <c r="J166" s="35"/>
    </row>
    <row r="167" spans="9:10" x14ac:dyDescent="0.25">
      <c r="I167" s="37"/>
      <c r="J167" s="35"/>
    </row>
    <row r="168" spans="9:10" x14ac:dyDescent="0.25">
      <c r="I168" s="37"/>
      <c r="J168" s="35"/>
    </row>
    <row r="169" spans="9:10" x14ac:dyDescent="0.25">
      <c r="I169" s="37"/>
      <c r="J169" s="35"/>
    </row>
    <row r="170" spans="9:10" x14ac:dyDescent="0.25">
      <c r="I170" s="37"/>
      <c r="J170" s="35"/>
    </row>
    <row r="171" spans="9:10" x14ac:dyDescent="0.25">
      <c r="I171" s="37"/>
      <c r="J171" s="35"/>
    </row>
    <row r="172" spans="9:10" x14ac:dyDescent="0.25">
      <c r="I172" s="37"/>
      <c r="J172" s="35"/>
    </row>
    <row r="173" spans="9:10" x14ac:dyDescent="0.25">
      <c r="I173" s="37"/>
      <c r="J173" s="35"/>
    </row>
    <row r="174" spans="9:10" x14ac:dyDescent="0.25">
      <c r="I174" s="37"/>
      <c r="J174" s="35"/>
    </row>
    <row r="175" spans="9:10" x14ac:dyDescent="0.25">
      <c r="I175" s="37"/>
      <c r="J175" s="35"/>
    </row>
    <row r="176" spans="9:10" x14ac:dyDescent="0.25">
      <c r="I176" s="37"/>
      <c r="J176" s="35"/>
    </row>
    <row r="177" spans="9:10" x14ac:dyDescent="0.25">
      <c r="I177" s="37"/>
      <c r="J177" s="35"/>
    </row>
    <row r="178" spans="9:10" x14ac:dyDescent="0.25">
      <c r="I178" s="37"/>
      <c r="J178" s="35"/>
    </row>
    <row r="179" spans="9:10" x14ac:dyDescent="0.25">
      <c r="I179" s="37"/>
      <c r="J179" s="35"/>
    </row>
    <row r="180" spans="9:10" x14ac:dyDescent="0.25">
      <c r="I180" s="37"/>
      <c r="J180" s="35"/>
    </row>
    <row r="181" spans="9:10" x14ac:dyDescent="0.25">
      <c r="I181" s="37"/>
      <c r="J181" s="35"/>
    </row>
    <row r="182" spans="9:10" x14ac:dyDescent="0.25">
      <c r="I182" s="37"/>
      <c r="J182" s="35"/>
    </row>
    <row r="183" spans="9:10" x14ac:dyDescent="0.25">
      <c r="I183" s="37"/>
      <c r="J183" s="35"/>
    </row>
    <row r="184" spans="9:10" x14ac:dyDescent="0.25">
      <c r="I184" s="37"/>
      <c r="J184" s="35"/>
    </row>
    <row r="185" spans="9:10" x14ac:dyDescent="0.25">
      <c r="I185" s="37"/>
      <c r="J185" s="35"/>
    </row>
    <row r="186" spans="9:10" x14ac:dyDescent="0.25">
      <c r="I186" s="37"/>
      <c r="J186" s="35"/>
    </row>
    <row r="187" spans="9:10" x14ac:dyDescent="0.25">
      <c r="I187" s="37"/>
      <c r="J187" s="35"/>
    </row>
    <row r="188" spans="9:10" x14ac:dyDescent="0.25">
      <c r="I188" s="37"/>
      <c r="J188" s="35"/>
    </row>
    <row r="189" spans="9:10" x14ac:dyDescent="0.25">
      <c r="I189" s="37"/>
      <c r="J189" s="35"/>
    </row>
    <row r="190" spans="9:10" x14ac:dyDescent="0.25">
      <c r="I190" s="37"/>
      <c r="J190" s="35"/>
    </row>
    <row r="191" spans="9:10" x14ac:dyDescent="0.25">
      <c r="I191" s="37"/>
      <c r="J191" s="35"/>
    </row>
    <row r="192" spans="9:10" x14ac:dyDescent="0.25">
      <c r="I192" s="37"/>
      <c r="J192" s="35"/>
    </row>
    <row r="193" spans="9:10" x14ac:dyDescent="0.25">
      <c r="I193" s="37"/>
      <c r="J193" s="35"/>
    </row>
    <row r="194" spans="9:10" x14ac:dyDescent="0.25">
      <c r="I194" s="37"/>
      <c r="J194" s="35"/>
    </row>
    <row r="195" spans="9:10" x14ac:dyDescent="0.25">
      <c r="I195" s="37"/>
      <c r="J195" s="35"/>
    </row>
    <row r="196" spans="9:10" x14ac:dyDescent="0.25">
      <c r="I196" s="37"/>
      <c r="J196" s="35"/>
    </row>
    <row r="197" spans="9:10" x14ac:dyDescent="0.25">
      <c r="I197" s="37"/>
      <c r="J197" s="35"/>
    </row>
    <row r="198" spans="9:10" x14ac:dyDescent="0.25">
      <c r="I198" s="37"/>
      <c r="J198" s="35"/>
    </row>
    <row r="199" spans="9:10" x14ac:dyDescent="0.25">
      <c r="I199" s="37"/>
      <c r="J199" s="35"/>
    </row>
    <row r="200" spans="9:10" x14ac:dyDescent="0.25">
      <c r="I200" s="37"/>
      <c r="J200" s="35"/>
    </row>
    <row r="201" spans="9:10" x14ac:dyDescent="0.25">
      <c r="I201" s="37"/>
      <c r="J201" s="35"/>
    </row>
    <row r="202" spans="9:10" x14ac:dyDescent="0.25">
      <c r="I202" s="37"/>
      <c r="J202" s="35"/>
    </row>
    <row r="203" spans="9:10" x14ac:dyDescent="0.25">
      <c r="I203" s="37"/>
      <c r="J203" s="35"/>
    </row>
    <row r="204" spans="9:10" x14ac:dyDescent="0.25">
      <c r="I204" s="37"/>
      <c r="J204" s="35"/>
    </row>
    <row r="205" spans="9:10" x14ac:dyDescent="0.25">
      <c r="I205" s="37"/>
      <c r="J205" s="35"/>
    </row>
    <row r="206" spans="9:10" x14ac:dyDescent="0.25">
      <c r="I206" s="37"/>
      <c r="J206" s="35"/>
    </row>
    <row r="207" spans="9:10" x14ac:dyDescent="0.25">
      <c r="I207" s="37"/>
      <c r="J207" s="35"/>
    </row>
    <row r="208" spans="9:10" x14ac:dyDescent="0.25">
      <c r="I208" s="37"/>
      <c r="J208" s="35"/>
    </row>
    <row r="209" spans="9:10" x14ac:dyDescent="0.25">
      <c r="I209" s="37"/>
      <c r="J209" s="35"/>
    </row>
    <row r="210" spans="9:10" x14ac:dyDescent="0.25">
      <c r="I210" s="37"/>
      <c r="J210" s="35"/>
    </row>
    <row r="211" spans="9:10" x14ac:dyDescent="0.25">
      <c r="I211" s="37"/>
      <c r="J211" s="35"/>
    </row>
    <row r="212" spans="9:10" x14ac:dyDescent="0.25">
      <c r="I212" s="37"/>
      <c r="J212" s="35"/>
    </row>
    <row r="213" spans="9:10" x14ac:dyDescent="0.25">
      <c r="I213" s="37"/>
      <c r="J213" s="35"/>
    </row>
    <row r="214" spans="9:10" x14ac:dyDescent="0.25">
      <c r="I214" s="37"/>
      <c r="J214" s="35"/>
    </row>
    <row r="215" spans="9:10" x14ac:dyDescent="0.25">
      <c r="I215" s="37"/>
      <c r="J215" s="35"/>
    </row>
    <row r="216" spans="9:10" x14ac:dyDescent="0.25">
      <c r="I216" s="37"/>
      <c r="J216" s="35"/>
    </row>
    <row r="217" spans="9:10" x14ac:dyDescent="0.25">
      <c r="I217" s="37"/>
      <c r="J217" s="35"/>
    </row>
    <row r="218" spans="9:10" x14ac:dyDescent="0.25">
      <c r="I218" s="37"/>
      <c r="J218" s="35"/>
    </row>
    <row r="219" spans="9:10" x14ac:dyDescent="0.25">
      <c r="I219" s="37"/>
      <c r="J219" s="35"/>
    </row>
    <row r="220" spans="9:10" x14ac:dyDescent="0.25">
      <c r="I220" s="37"/>
      <c r="J220" s="35"/>
    </row>
    <row r="221" spans="9:10" x14ac:dyDescent="0.25">
      <c r="I221" s="37"/>
      <c r="J221" s="35"/>
    </row>
    <row r="222" spans="9:10" x14ac:dyDescent="0.25">
      <c r="I222" s="37"/>
      <c r="J222" s="35"/>
    </row>
    <row r="223" spans="9:10" x14ac:dyDescent="0.25">
      <c r="I223" s="37"/>
      <c r="J223" s="35"/>
    </row>
    <row r="224" spans="9:10" x14ac:dyDescent="0.25">
      <c r="I224" s="37"/>
      <c r="J224" s="35"/>
    </row>
    <row r="225" spans="9:10" x14ac:dyDescent="0.25">
      <c r="I225" s="37"/>
      <c r="J225" s="35"/>
    </row>
    <row r="226" spans="9:10" x14ac:dyDescent="0.25">
      <c r="I226" s="37"/>
      <c r="J226" s="35"/>
    </row>
    <row r="227" spans="9:10" x14ac:dyDescent="0.25">
      <c r="I227" s="37"/>
      <c r="J227" s="35"/>
    </row>
    <row r="228" spans="9:10" x14ac:dyDescent="0.25">
      <c r="I228" s="37"/>
      <c r="J228" s="35"/>
    </row>
    <row r="229" spans="9:10" x14ac:dyDescent="0.25">
      <c r="I229" s="37"/>
      <c r="J229" s="35"/>
    </row>
    <row r="230" spans="9:10" x14ac:dyDescent="0.25">
      <c r="I230" s="37"/>
      <c r="J230" s="35"/>
    </row>
    <row r="231" spans="9:10" x14ac:dyDescent="0.25">
      <c r="I231" s="37"/>
      <c r="J231" s="35"/>
    </row>
    <row r="232" spans="9:10" x14ac:dyDescent="0.25">
      <c r="I232" s="37"/>
      <c r="J232" s="35"/>
    </row>
    <row r="233" spans="9:10" x14ac:dyDescent="0.25">
      <c r="I233" s="37"/>
      <c r="J233" s="35"/>
    </row>
    <row r="234" spans="9:10" x14ac:dyDescent="0.25">
      <c r="I234" s="37"/>
      <c r="J234" s="35"/>
    </row>
    <row r="235" spans="9:10" x14ac:dyDescent="0.25">
      <c r="I235" s="37"/>
      <c r="J235" s="35"/>
    </row>
    <row r="236" spans="9:10" x14ac:dyDescent="0.25">
      <c r="I236" s="37"/>
      <c r="J236" s="35"/>
    </row>
    <row r="237" spans="9:10" x14ac:dyDescent="0.25">
      <c r="I237" s="37"/>
      <c r="J237" s="35"/>
    </row>
    <row r="238" spans="9:10" x14ac:dyDescent="0.25">
      <c r="I238" s="37"/>
      <c r="J238" s="35"/>
    </row>
    <row r="239" spans="9:10" x14ac:dyDescent="0.25">
      <c r="I239" s="37"/>
      <c r="J239" s="35"/>
    </row>
    <row r="240" spans="9:10" x14ac:dyDescent="0.25">
      <c r="I240" s="37"/>
      <c r="J240" s="35"/>
    </row>
    <row r="241" spans="9:10" x14ac:dyDescent="0.25">
      <c r="I241" s="37"/>
      <c r="J241" s="35"/>
    </row>
    <row r="242" spans="9:10" x14ac:dyDescent="0.25">
      <c r="I242" s="37"/>
      <c r="J242" s="35"/>
    </row>
    <row r="243" spans="9:10" x14ac:dyDescent="0.25">
      <c r="I243" s="37"/>
      <c r="J243" s="35"/>
    </row>
    <row r="244" spans="9:10" x14ac:dyDescent="0.25">
      <c r="I244" s="37"/>
      <c r="J244" s="35"/>
    </row>
    <row r="245" spans="9:10" x14ac:dyDescent="0.25">
      <c r="I245" s="37"/>
      <c r="J245" s="35"/>
    </row>
    <row r="246" spans="9:10" x14ac:dyDescent="0.25">
      <c r="I246" s="37"/>
      <c r="J246" s="35"/>
    </row>
    <row r="247" spans="9:10" x14ac:dyDescent="0.25">
      <c r="I247" s="37"/>
      <c r="J247" s="35"/>
    </row>
    <row r="248" spans="9:10" x14ac:dyDescent="0.25">
      <c r="I248" s="37"/>
      <c r="J248" s="35"/>
    </row>
    <row r="249" spans="9:10" x14ac:dyDescent="0.25">
      <c r="I249" s="37"/>
      <c r="J249" s="35"/>
    </row>
    <row r="250" spans="9:10" x14ac:dyDescent="0.25">
      <c r="I250" s="37"/>
      <c r="J250" s="35"/>
    </row>
    <row r="251" spans="9:10" x14ac:dyDescent="0.25">
      <c r="I251" s="37"/>
      <c r="J251" s="35"/>
    </row>
    <row r="252" spans="9:10" x14ac:dyDescent="0.25">
      <c r="I252" s="37"/>
      <c r="J252" s="35"/>
    </row>
    <row r="253" spans="9:10" x14ac:dyDescent="0.25">
      <c r="I253" s="37"/>
      <c r="J253" s="35"/>
    </row>
    <row r="254" spans="9:10" x14ac:dyDescent="0.25">
      <c r="I254" s="37"/>
      <c r="J254" s="35"/>
    </row>
    <row r="255" spans="9:10" x14ac:dyDescent="0.25">
      <c r="I255" s="37"/>
      <c r="J255" s="35"/>
    </row>
    <row r="256" spans="9:10" x14ac:dyDescent="0.25">
      <c r="I256" s="37"/>
      <c r="J256" s="35"/>
    </row>
    <row r="257" spans="9:10" x14ac:dyDescent="0.25">
      <c r="I257" s="37"/>
      <c r="J257" s="35"/>
    </row>
    <row r="258" spans="9:10" x14ac:dyDescent="0.25">
      <c r="I258" s="37"/>
      <c r="J258" s="35"/>
    </row>
    <row r="259" spans="9:10" x14ac:dyDescent="0.25">
      <c r="I259" s="37"/>
      <c r="J259" s="35"/>
    </row>
    <row r="260" spans="9:10" x14ac:dyDescent="0.25">
      <c r="I260" s="37"/>
      <c r="J260" s="35"/>
    </row>
    <row r="261" spans="9:10" x14ac:dyDescent="0.25">
      <c r="I261" s="37"/>
      <c r="J261" s="35"/>
    </row>
    <row r="262" spans="9:10" x14ac:dyDescent="0.25">
      <c r="I262" s="37"/>
      <c r="J262" s="35"/>
    </row>
    <row r="263" spans="9:10" x14ac:dyDescent="0.25">
      <c r="I263" s="37"/>
      <c r="J263" s="35"/>
    </row>
    <row r="264" spans="9:10" x14ac:dyDescent="0.25">
      <c r="I264" s="37"/>
      <c r="J264" s="35"/>
    </row>
    <row r="265" spans="9:10" x14ac:dyDescent="0.25">
      <c r="I265" s="37"/>
      <c r="J265" s="35"/>
    </row>
    <row r="266" spans="9:10" x14ac:dyDescent="0.25">
      <c r="I266" s="37"/>
      <c r="J266" s="35"/>
    </row>
    <row r="267" spans="9:10" x14ac:dyDescent="0.25">
      <c r="I267" s="37"/>
      <c r="J267" s="35"/>
    </row>
    <row r="268" spans="9:10" x14ac:dyDescent="0.25">
      <c r="I268" s="37"/>
      <c r="J268" s="35"/>
    </row>
    <row r="269" spans="9:10" x14ac:dyDescent="0.25">
      <c r="I269" s="37"/>
      <c r="J269" s="35"/>
    </row>
    <row r="270" spans="9:10" x14ac:dyDescent="0.25">
      <c r="I270" s="37"/>
      <c r="J270" s="35"/>
    </row>
    <row r="271" spans="9:10" x14ac:dyDescent="0.25">
      <c r="I271" s="37"/>
      <c r="J271" s="35"/>
    </row>
    <row r="272" spans="9:10" x14ac:dyDescent="0.25">
      <c r="I272" s="37"/>
      <c r="J272" s="35"/>
    </row>
    <row r="273" spans="9:10" x14ac:dyDescent="0.25">
      <c r="I273" s="37"/>
      <c r="J273" s="35"/>
    </row>
    <row r="274" spans="9:10" x14ac:dyDescent="0.25">
      <c r="I274" s="37"/>
      <c r="J274" s="35"/>
    </row>
    <row r="275" spans="9:10" x14ac:dyDescent="0.25">
      <c r="I275" s="37"/>
      <c r="J275" s="35"/>
    </row>
    <row r="276" spans="9:10" x14ac:dyDescent="0.25">
      <c r="I276" s="37"/>
      <c r="J276" s="35"/>
    </row>
    <row r="277" spans="9:10" x14ac:dyDescent="0.25">
      <c r="I277" s="37"/>
      <c r="J277" s="35"/>
    </row>
    <row r="278" spans="9:10" x14ac:dyDescent="0.25">
      <c r="I278" s="37"/>
      <c r="J278" s="35"/>
    </row>
    <row r="279" spans="9:10" x14ac:dyDescent="0.25">
      <c r="I279" s="37"/>
      <c r="J279" s="35"/>
    </row>
    <row r="280" spans="9:10" x14ac:dyDescent="0.25">
      <c r="I280" s="37"/>
      <c r="J280" s="35"/>
    </row>
    <row r="281" spans="9:10" x14ac:dyDescent="0.25">
      <c r="I281" s="37"/>
      <c r="J281" s="35"/>
    </row>
    <row r="282" spans="9:10" x14ac:dyDescent="0.25">
      <c r="I282" s="37"/>
      <c r="J282" s="35"/>
    </row>
    <row r="283" spans="9:10" x14ac:dyDescent="0.25">
      <c r="I283" s="37"/>
      <c r="J283" s="35"/>
    </row>
    <row r="284" spans="9:10" x14ac:dyDescent="0.25">
      <c r="I284" s="37"/>
      <c r="J284" s="35"/>
    </row>
    <row r="285" spans="9:10" x14ac:dyDescent="0.25">
      <c r="I285" s="37"/>
      <c r="J285" s="35"/>
    </row>
    <row r="286" spans="9:10" x14ac:dyDescent="0.25">
      <c r="I286" s="37"/>
      <c r="J286" s="35"/>
    </row>
    <row r="287" spans="9:10" x14ac:dyDescent="0.25">
      <c r="I287" s="37"/>
      <c r="J287" s="35"/>
    </row>
    <row r="288" spans="9:10" x14ac:dyDescent="0.25">
      <c r="I288" s="37"/>
      <c r="J288" s="35"/>
    </row>
    <row r="289" spans="9:10" x14ac:dyDescent="0.25">
      <c r="I289" s="37"/>
      <c r="J289" s="35"/>
    </row>
    <row r="290" spans="9:10" x14ac:dyDescent="0.25">
      <c r="I290" s="37"/>
      <c r="J290" s="35"/>
    </row>
    <row r="291" spans="9:10" x14ac:dyDescent="0.25">
      <c r="I291" s="37"/>
      <c r="J291" s="35"/>
    </row>
    <row r="292" spans="9:10" x14ac:dyDescent="0.25">
      <c r="I292" s="37"/>
      <c r="J292" s="35"/>
    </row>
    <row r="293" spans="9:10" x14ac:dyDescent="0.25">
      <c r="I293" s="37"/>
      <c r="J293" s="35"/>
    </row>
    <row r="294" spans="9:10" x14ac:dyDescent="0.25">
      <c r="I294" s="37"/>
      <c r="J294" s="35"/>
    </row>
    <row r="295" spans="9:10" x14ac:dyDescent="0.25">
      <c r="I295" s="37"/>
      <c r="J295" s="35"/>
    </row>
    <row r="296" spans="9:10" x14ac:dyDescent="0.25">
      <c r="I296" s="37"/>
      <c r="J296" s="35"/>
    </row>
    <row r="297" spans="9:10" x14ac:dyDescent="0.25">
      <c r="I297" s="37"/>
      <c r="J297" s="35"/>
    </row>
    <row r="298" spans="9:10" x14ac:dyDescent="0.25">
      <c r="I298" s="37"/>
      <c r="J298" s="35"/>
    </row>
    <row r="299" spans="9:10" x14ac:dyDescent="0.25">
      <c r="I299" s="37"/>
      <c r="J299" s="35"/>
    </row>
    <row r="300" spans="9:10" x14ac:dyDescent="0.25">
      <c r="I300" s="37"/>
      <c r="J300" s="35"/>
    </row>
    <row r="301" spans="9:10" x14ac:dyDescent="0.25">
      <c r="I301" s="37"/>
      <c r="J301" s="35"/>
    </row>
    <row r="302" spans="9:10" x14ac:dyDescent="0.25">
      <c r="I302" s="37"/>
      <c r="J302" s="35"/>
    </row>
    <row r="303" spans="9:10" x14ac:dyDescent="0.25">
      <c r="I303" s="37"/>
      <c r="J303" s="35"/>
    </row>
    <row r="304" spans="9:10" x14ac:dyDescent="0.25">
      <c r="I304" s="37"/>
      <c r="J304" s="35"/>
    </row>
    <row r="305" spans="9:12" x14ac:dyDescent="0.25">
      <c r="I305" s="37"/>
      <c r="J305" s="35"/>
    </row>
    <row r="306" spans="9:12" x14ac:dyDescent="0.25">
      <c r="I306" s="37"/>
      <c r="J306" s="35"/>
    </row>
    <row r="307" spans="9:12" x14ac:dyDescent="0.25">
      <c r="I307" s="37"/>
      <c r="J307" s="35"/>
    </row>
    <row r="308" spans="9:12" x14ac:dyDescent="0.25">
      <c r="I308" s="37"/>
      <c r="J308" s="35"/>
    </row>
    <row r="309" spans="9:12" x14ac:dyDescent="0.25">
      <c r="I309" s="37"/>
      <c r="J309" s="35"/>
    </row>
    <row r="310" spans="9:12" x14ac:dyDescent="0.25">
      <c r="I310" s="37"/>
      <c r="J310" s="35"/>
    </row>
    <row r="311" spans="9:12" x14ac:dyDescent="0.25">
      <c r="I311" s="37"/>
      <c r="J311" s="35"/>
      <c r="L311" s="36"/>
    </row>
    <row r="312" spans="9:12" x14ac:dyDescent="0.25">
      <c r="I312" s="37"/>
      <c r="J312" s="35"/>
    </row>
    <row r="313" spans="9:12" x14ac:dyDescent="0.25">
      <c r="I313" s="37"/>
      <c r="J313" s="35"/>
    </row>
    <row r="314" spans="9:12" x14ac:dyDescent="0.25">
      <c r="I314" s="37"/>
      <c r="J314" s="35"/>
    </row>
    <row r="315" spans="9:12" x14ac:dyDescent="0.25">
      <c r="I315" s="37"/>
      <c r="J315" s="35"/>
    </row>
    <row r="316" spans="9:12" x14ac:dyDescent="0.25">
      <c r="I316" s="37"/>
      <c r="J316" s="35"/>
    </row>
    <row r="317" spans="9:12" x14ac:dyDescent="0.25">
      <c r="I317" s="37"/>
      <c r="J317" s="35"/>
    </row>
    <row r="318" spans="9:12" x14ac:dyDescent="0.25">
      <c r="I318" s="37"/>
      <c r="J318" s="35"/>
    </row>
    <row r="319" spans="9:12" x14ac:dyDescent="0.25">
      <c r="I319" s="37"/>
      <c r="J319" s="35"/>
    </row>
    <row r="320" spans="9:12" x14ac:dyDescent="0.25">
      <c r="I320" s="37"/>
      <c r="J320" s="35"/>
    </row>
    <row r="321" spans="9:10" x14ac:dyDescent="0.25">
      <c r="I321" s="37"/>
      <c r="J321" s="35"/>
    </row>
    <row r="322" spans="9:10" x14ac:dyDescent="0.25">
      <c r="I322" s="37"/>
      <c r="J322" s="35"/>
    </row>
    <row r="323" spans="9:10" x14ac:dyDescent="0.25">
      <c r="I323" s="37"/>
      <c r="J323" s="35"/>
    </row>
    <row r="324" spans="9:10" x14ac:dyDescent="0.25">
      <c r="I324" s="37"/>
      <c r="J324" s="35"/>
    </row>
    <row r="325" spans="9:10" x14ac:dyDescent="0.25">
      <c r="I325" s="37"/>
      <c r="J325" s="35"/>
    </row>
    <row r="326" spans="9:10" x14ac:dyDescent="0.25">
      <c r="I326" s="37"/>
      <c r="J326" s="35"/>
    </row>
    <row r="327" spans="9:10" x14ac:dyDescent="0.25">
      <c r="I327" s="37"/>
      <c r="J327" s="35"/>
    </row>
    <row r="328" spans="9:10" x14ac:dyDescent="0.25">
      <c r="I328" s="37"/>
      <c r="J328" s="35"/>
    </row>
    <row r="329" spans="9:10" x14ac:dyDescent="0.25">
      <c r="I329" s="37"/>
      <c r="J329" s="35"/>
    </row>
    <row r="330" spans="9:10" x14ac:dyDescent="0.25">
      <c r="I330" s="37"/>
      <c r="J330" s="35"/>
    </row>
    <row r="331" spans="9:10" x14ac:dyDescent="0.25">
      <c r="I331" s="37"/>
      <c r="J331" s="35"/>
    </row>
    <row r="332" spans="9:10" x14ac:dyDescent="0.25">
      <c r="I332" s="37"/>
      <c r="J332" s="35"/>
    </row>
    <row r="333" spans="9:10" x14ac:dyDescent="0.25">
      <c r="I333" s="37"/>
      <c r="J333" s="35"/>
    </row>
    <row r="334" spans="9:10" x14ac:dyDescent="0.25">
      <c r="I334" s="37"/>
      <c r="J334" s="35"/>
    </row>
    <row r="335" spans="9:10" x14ac:dyDescent="0.25">
      <c r="I335" s="37"/>
      <c r="J335" s="35"/>
    </row>
    <row r="336" spans="9:10" x14ac:dyDescent="0.25">
      <c r="I336" s="37"/>
      <c r="J336" s="35"/>
    </row>
    <row r="337" spans="9:10" x14ac:dyDescent="0.25">
      <c r="I337" s="37"/>
      <c r="J337" s="35"/>
    </row>
    <row r="338" spans="9:10" x14ac:dyDescent="0.25">
      <c r="I338" s="37"/>
      <c r="J338" s="35"/>
    </row>
    <row r="339" spans="9:10" x14ac:dyDescent="0.25">
      <c r="I339" s="37"/>
      <c r="J339" s="35"/>
    </row>
    <row r="340" spans="9:10" x14ac:dyDescent="0.25">
      <c r="I340" s="37"/>
      <c r="J340" s="35"/>
    </row>
    <row r="341" spans="9:10" x14ac:dyDescent="0.25">
      <c r="I341" s="37"/>
      <c r="J341" s="35"/>
    </row>
    <row r="342" spans="9:10" x14ac:dyDescent="0.25">
      <c r="I342" s="37"/>
      <c r="J342" s="35"/>
    </row>
    <row r="343" spans="9:10" x14ac:dyDescent="0.25">
      <c r="I343" s="37"/>
      <c r="J343" s="35"/>
    </row>
    <row r="344" spans="9:10" x14ac:dyDescent="0.25">
      <c r="I344" s="37"/>
      <c r="J344" s="35"/>
    </row>
    <row r="345" spans="9:10" x14ac:dyDescent="0.25">
      <c r="I345" s="37"/>
      <c r="J345" s="35"/>
    </row>
    <row r="346" spans="9:10" x14ac:dyDescent="0.25">
      <c r="I346" s="37"/>
      <c r="J346" s="35"/>
    </row>
    <row r="347" spans="9:10" x14ac:dyDescent="0.25">
      <c r="I347" s="37"/>
      <c r="J347" s="35"/>
    </row>
    <row r="348" spans="9:10" x14ac:dyDescent="0.25">
      <c r="I348" s="37"/>
      <c r="J348" s="35"/>
    </row>
    <row r="349" spans="9:10" x14ac:dyDescent="0.25">
      <c r="I349" s="37"/>
      <c r="J349" s="35"/>
    </row>
    <row r="350" spans="9:10" x14ac:dyDescent="0.25">
      <c r="I350" s="37"/>
      <c r="J350" s="35"/>
    </row>
    <row r="351" spans="9:10" x14ac:dyDescent="0.25">
      <c r="I351" s="37"/>
      <c r="J351" s="35"/>
    </row>
    <row r="352" spans="9:10" x14ac:dyDescent="0.25">
      <c r="I352" s="37"/>
      <c r="J352" s="35"/>
    </row>
    <row r="353" spans="9:10" x14ac:dyDescent="0.25">
      <c r="I353" s="37"/>
      <c r="J353" s="35"/>
    </row>
    <row r="354" spans="9:10" x14ac:dyDescent="0.25">
      <c r="I354" s="37"/>
      <c r="J354" s="35"/>
    </row>
    <row r="355" spans="9:10" x14ac:dyDescent="0.25">
      <c r="I355" s="37"/>
      <c r="J355" s="35"/>
    </row>
    <row r="356" spans="9:10" x14ac:dyDescent="0.25">
      <c r="I356" s="37"/>
      <c r="J356" s="35"/>
    </row>
    <row r="357" spans="9:10" x14ac:dyDescent="0.25">
      <c r="I357" s="37"/>
      <c r="J357" s="35"/>
    </row>
    <row r="358" spans="9:10" x14ac:dyDescent="0.25">
      <c r="I358" s="37"/>
      <c r="J358" s="35"/>
    </row>
    <row r="359" spans="9:10" x14ac:dyDescent="0.25">
      <c r="I359" s="37"/>
      <c r="J359" s="35"/>
    </row>
    <row r="360" spans="9:10" x14ac:dyDescent="0.25">
      <c r="I360" s="37"/>
      <c r="J360" s="35"/>
    </row>
    <row r="361" spans="9:10" x14ac:dyDescent="0.25">
      <c r="I361" s="37"/>
      <c r="J361" s="35"/>
    </row>
    <row r="362" spans="9:10" x14ac:dyDescent="0.25">
      <c r="I362" s="37"/>
      <c r="J362" s="35"/>
    </row>
    <row r="363" spans="9:10" x14ac:dyDescent="0.25">
      <c r="I363" s="37"/>
      <c r="J363" s="35"/>
    </row>
    <row r="364" spans="9:10" x14ac:dyDescent="0.25">
      <c r="I364" s="37"/>
      <c r="J364" s="35"/>
    </row>
    <row r="365" spans="9:10" x14ac:dyDescent="0.25">
      <c r="I365" s="37"/>
      <c r="J365" s="35"/>
    </row>
    <row r="366" spans="9:10" x14ac:dyDescent="0.25">
      <c r="I366" s="37"/>
      <c r="J366" s="35"/>
    </row>
    <row r="367" spans="9:10" x14ac:dyDescent="0.25">
      <c r="I367" s="37"/>
      <c r="J367" s="35"/>
    </row>
    <row r="368" spans="9:10" x14ac:dyDescent="0.25">
      <c r="I368" s="37"/>
      <c r="J368" s="35"/>
    </row>
    <row r="369" spans="9:10" x14ac:dyDescent="0.25">
      <c r="I369" s="37"/>
      <c r="J369" s="35"/>
    </row>
    <row r="370" spans="9:10" x14ac:dyDescent="0.25">
      <c r="I370" s="37"/>
      <c r="J370" s="35"/>
    </row>
    <row r="371" spans="9:10" x14ac:dyDescent="0.25">
      <c r="I371" s="37"/>
      <c r="J371" s="35"/>
    </row>
    <row r="372" spans="9:10" x14ac:dyDescent="0.25">
      <c r="I372" s="37"/>
      <c r="J372" s="35"/>
    </row>
    <row r="373" spans="9:10" x14ac:dyDescent="0.25">
      <c r="I373" s="37"/>
      <c r="J373" s="35"/>
    </row>
    <row r="374" spans="9:10" x14ac:dyDescent="0.25">
      <c r="I374" s="37"/>
      <c r="J374" s="35"/>
    </row>
    <row r="375" spans="9:10" x14ac:dyDescent="0.25">
      <c r="I375" s="37"/>
      <c r="J375" s="35"/>
    </row>
    <row r="376" spans="9:10" x14ac:dyDescent="0.25">
      <c r="I376" s="37"/>
      <c r="J376" s="35"/>
    </row>
    <row r="377" spans="9:10" x14ac:dyDescent="0.25">
      <c r="I377" s="37"/>
      <c r="J377" s="35"/>
    </row>
    <row r="378" spans="9:10" x14ac:dyDescent="0.25">
      <c r="I378" s="37"/>
      <c r="J378" s="35"/>
    </row>
    <row r="379" spans="9:10" x14ac:dyDescent="0.25">
      <c r="I379" s="37"/>
      <c r="J379" s="35"/>
    </row>
    <row r="380" spans="9:10" x14ac:dyDescent="0.25">
      <c r="I380" s="37"/>
      <c r="J380" s="35"/>
    </row>
    <row r="381" spans="9:10" x14ac:dyDescent="0.25">
      <c r="I381" s="37"/>
      <c r="J381" s="35"/>
    </row>
    <row r="382" spans="9:10" x14ac:dyDescent="0.25">
      <c r="I382" s="37"/>
      <c r="J382" s="35"/>
    </row>
    <row r="383" spans="9:10" x14ac:dyDescent="0.25">
      <c r="I383" s="37"/>
      <c r="J383" s="35"/>
    </row>
    <row r="384" spans="9:10" x14ac:dyDescent="0.25">
      <c r="I384" s="37"/>
      <c r="J384" s="35"/>
    </row>
    <row r="385" spans="9:10" x14ac:dyDescent="0.25">
      <c r="I385" s="37"/>
      <c r="J385" s="35"/>
    </row>
    <row r="386" spans="9:10" x14ac:dyDescent="0.25">
      <c r="I386" s="37"/>
      <c r="J386" s="35"/>
    </row>
    <row r="387" spans="9:10" x14ac:dyDescent="0.25">
      <c r="I387" s="37"/>
      <c r="J387" s="35"/>
    </row>
    <row r="388" spans="9:10" x14ac:dyDescent="0.25">
      <c r="I388" s="37"/>
      <c r="J388" s="35"/>
    </row>
    <row r="389" spans="9:10" x14ac:dyDescent="0.25">
      <c r="I389" s="37"/>
      <c r="J389" s="35"/>
    </row>
    <row r="390" spans="9:10" x14ac:dyDescent="0.25">
      <c r="I390" s="37"/>
      <c r="J390" s="35"/>
    </row>
    <row r="391" spans="9:10" x14ac:dyDescent="0.25">
      <c r="I391" s="37"/>
      <c r="J391" s="35"/>
    </row>
    <row r="392" spans="9:10" x14ac:dyDescent="0.25">
      <c r="I392" s="37"/>
      <c r="J392" s="35"/>
    </row>
    <row r="393" spans="9:10" x14ac:dyDescent="0.25">
      <c r="I393" s="37"/>
      <c r="J393" s="35"/>
    </row>
    <row r="394" spans="9:10" x14ac:dyDescent="0.25">
      <c r="I394" s="37"/>
      <c r="J394" s="35"/>
    </row>
    <row r="395" spans="9:10" x14ac:dyDescent="0.25">
      <c r="I395" s="37"/>
      <c r="J395" s="35"/>
    </row>
    <row r="396" spans="9:10" x14ac:dyDescent="0.25">
      <c r="I396" s="37"/>
      <c r="J396" s="35"/>
    </row>
    <row r="397" spans="9:10" x14ac:dyDescent="0.25">
      <c r="I397" s="37"/>
      <c r="J397" s="35"/>
    </row>
    <row r="398" spans="9:10" x14ac:dyDescent="0.25">
      <c r="I398" s="37"/>
      <c r="J398" s="35"/>
    </row>
    <row r="399" spans="9:10" x14ac:dyDescent="0.25">
      <c r="I399" s="37"/>
      <c r="J399" s="35"/>
    </row>
    <row r="400" spans="9:10" x14ac:dyDescent="0.25">
      <c r="I400" s="37"/>
      <c r="J400" s="35"/>
    </row>
    <row r="401" spans="9:10" x14ac:dyDescent="0.25">
      <c r="I401" s="37"/>
      <c r="J401" s="35"/>
    </row>
    <row r="402" spans="9:10" x14ac:dyDescent="0.25">
      <c r="I402" s="37"/>
      <c r="J402" s="35"/>
    </row>
    <row r="403" spans="9:10" x14ac:dyDescent="0.25">
      <c r="I403" s="37"/>
      <c r="J403" s="35"/>
    </row>
    <row r="404" spans="9:10" x14ac:dyDescent="0.25">
      <c r="I404" s="37"/>
      <c r="J404" s="35"/>
    </row>
    <row r="405" spans="9:10" x14ac:dyDescent="0.25">
      <c r="I405" s="37"/>
      <c r="J405" s="35"/>
    </row>
    <row r="406" spans="9:10" x14ac:dyDescent="0.25">
      <c r="I406" s="37"/>
      <c r="J406" s="35"/>
    </row>
    <row r="407" spans="9:10" x14ac:dyDescent="0.25">
      <c r="I407" s="37"/>
      <c r="J407" s="35"/>
    </row>
    <row r="408" spans="9:10" x14ac:dyDescent="0.25">
      <c r="I408" s="37"/>
      <c r="J408" s="35"/>
    </row>
    <row r="409" spans="9:10" x14ac:dyDescent="0.25">
      <c r="I409" s="37"/>
      <c r="J409" s="35"/>
    </row>
    <row r="410" spans="9:10" x14ac:dyDescent="0.25">
      <c r="I410" s="37"/>
      <c r="J410" s="35"/>
    </row>
    <row r="411" spans="9:10" x14ac:dyDescent="0.25">
      <c r="I411" s="37"/>
      <c r="J411" s="35"/>
    </row>
    <row r="412" spans="9:10" x14ac:dyDescent="0.25">
      <c r="I412" s="37"/>
      <c r="J412" s="35"/>
    </row>
    <row r="413" spans="9:10" x14ac:dyDescent="0.25">
      <c r="I413" s="37"/>
      <c r="J413" s="35"/>
    </row>
    <row r="414" spans="9:10" x14ac:dyDescent="0.25">
      <c r="I414" s="37"/>
      <c r="J414" s="35"/>
    </row>
    <row r="415" spans="9:10" x14ac:dyDescent="0.25">
      <c r="I415" s="37"/>
      <c r="J415" s="35"/>
    </row>
    <row r="416" spans="9:10" x14ac:dyDescent="0.25">
      <c r="I416" s="37"/>
      <c r="J416" s="35"/>
    </row>
    <row r="417" spans="9:10" x14ac:dyDescent="0.25">
      <c r="I417" s="37"/>
      <c r="J417" s="35"/>
    </row>
    <row r="418" spans="9:10" x14ac:dyDescent="0.25">
      <c r="I418" s="37"/>
      <c r="J418" s="35"/>
    </row>
    <row r="419" spans="9:10" x14ac:dyDescent="0.25">
      <c r="I419" s="37"/>
      <c r="J419" s="35"/>
    </row>
    <row r="420" spans="9:10" x14ac:dyDescent="0.25">
      <c r="I420" s="37"/>
      <c r="J420" s="35"/>
    </row>
    <row r="421" spans="9:10" x14ac:dyDescent="0.25">
      <c r="I421" s="37"/>
      <c r="J421" s="35"/>
    </row>
    <row r="422" spans="9:10" x14ac:dyDescent="0.25">
      <c r="I422" s="37"/>
      <c r="J422" s="35"/>
    </row>
    <row r="423" spans="9:10" x14ac:dyDescent="0.25">
      <c r="I423" s="37"/>
      <c r="J423" s="35"/>
    </row>
    <row r="424" spans="9:10" x14ac:dyDescent="0.25">
      <c r="I424" s="37"/>
      <c r="J424" s="35"/>
    </row>
    <row r="425" spans="9:10" x14ac:dyDescent="0.25">
      <c r="I425" s="37"/>
      <c r="J425" s="35"/>
    </row>
    <row r="426" spans="9:10" x14ac:dyDescent="0.25">
      <c r="I426" s="37"/>
      <c r="J426" s="35"/>
    </row>
    <row r="427" spans="9:10" x14ac:dyDescent="0.25">
      <c r="I427" s="37"/>
      <c r="J427" s="35"/>
    </row>
    <row r="428" spans="9:10" x14ac:dyDescent="0.25">
      <c r="I428" s="37"/>
      <c r="J428" s="35"/>
    </row>
    <row r="429" spans="9:10" x14ac:dyDescent="0.25">
      <c r="I429" s="37"/>
      <c r="J429" s="35"/>
    </row>
    <row r="430" spans="9:10" x14ac:dyDescent="0.25">
      <c r="I430" s="37"/>
      <c r="J430" s="35"/>
    </row>
    <row r="431" spans="9:10" x14ac:dyDescent="0.25">
      <c r="I431" s="37"/>
      <c r="J431" s="35"/>
    </row>
    <row r="432" spans="9:10" x14ac:dyDescent="0.25">
      <c r="I432" s="37"/>
      <c r="J432" s="35"/>
    </row>
    <row r="433" spans="9:10" x14ac:dyDescent="0.25">
      <c r="I433" s="37"/>
      <c r="J433" s="35"/>
    </row>
    <row r="434" spans="9:10" x14ac:dyDescent="0.25">
      <c r="I434" s="37"/>
      <c r="J434" s="35"/>
    </row>
    <row r="435" spans="9:10" x14ac:dyDescent="0.25">
      <c r="I435" s="37"/>
      <c r="J435" s="35"/>
    </row>
    <row r="436" spans="9:10" x14ac:dyDescent="0.25">
      <c r="I436" s="37"/>
      <c r="J436" s="35"/>
    </row>
    <row r="437" spans="9:10" x14ac:dyDescent="0.25">
      <c r="I437" s="37"/>
      <c r="J437" s="35"/>
    </row>
    <row r="438" spans="9:10" x14ac:dyDescent="0.25">
      <c r="I438" s="37"/>
      <c r="J438" s="35"/>
    </row>
    <row r="439" spans="9:10" x14ac:dyDescent="0.25">
      <c r="I439" s="37"/>
      <c r="J439" s="35"/>
    </row>
    <row r="440" spans="9:10" x14ac:dyDescent="0.25">
      <c r="I440" s="37"/>
      <c r="J440" s="35"/>
    </row>
    <row r="441" spans="9:10" x14ac:dyDescent="0.25">
      <c r="I441" s="37"/>
      <c r="J441" s="35"/>
    </row>
    <row r="442" spans="9:10" x14ac:dyDescent="0.25">
      <c r="I442" s="37"/>
      <c r="J442" s="35"/>
    </row>
    <row r="443" spans="9:10" x14ac:dyDescent="0.25">
      <c r="I443" s="37"/>
      <c r="J443" s="35"/>
    </row>
    <row r="444" spans="9:10" x14ac:dyDescent="0.25">
      <c r="I444" s="37"/>
      <c r="J444" s="35"/>
    </row>
    <row r="445" spans="9:10" x14ac:dyDescent="0.25">
      <c r="I445" s="37"/>
      <c r="J445" s="35"/>
    </row>
    <row r="446" spans="9:10" x14ac:dyDescent="0.25">
      <c r="I446" s="37"/>
      <c r="J446" s="35"/>
    </row>
    <row r="447" spans="9:10" x14ac:dyDescent="0.25">
      <c r="I447" s="37"/>
      <c r="J447" s="35"/>
    </row>
    <row r="448" spans="9:10" x14ac:dyDescent="0.25">
      <c r="I448" s="37"/>
      <c r="J448" s="35"/>
    </row>
    <row r="449" spans="9:10" x14ac:dyDescent="0.25">
      <c r="I449" s="37"/>
      <c r="J449" s="35"/>
    </row>
    <row r="450" spans="9:10" x14ac:dyDescent="0.25">
      <c r="I450" s="37"/>
      <c r="J450" s="35"/>
    </row>
    <row r="451" spans="9:10" x14ac:dyDescent="0.25">
      <c r="I451" s="37"/>
      <c r="J451" s="35"/>
    </row>
    <row r="452" spans="9:10" x14ac:dyDescent="0.25">
      <c r="I452" s="37"/>
      <c r="J452" s="35"/>
    </row>
    <row r="453" spans="9:10" x14ac:dyDescent="0.25">
      <c r="I453" s="37"/>
      <c r="J453" s="35"/>
    </row>
    <row r="454" spans="9:10" x14ac:dyDescent="0.25">
      <c r="I454" s="37"/>
      <c r="J454" s="35"/>
    </row>
    <row r="455" spans="9:10" x14ac:dyDescent="0.25">
      <c r="I455" s="37"/>
      <c r="J455" s="35"/>
    </row>
    <row r="456" spans="9:10" x14ac:dyDescent="0.25">
      <c r="I456" s="37"/>
      <c r="J456" s="35"/>
    </row>
    <row r="457" spans="9:10" x14ac:dyDescent="0.25">
      <c r="I457" s="37"/>
      <c r="J457" s="35"/>
    </row>
    <row r="458" spans="9:10" x14ac:dyDescent="0.25">
      <c r="I458" s="37"/>
      <c r="J458" s="35"/>
    </row>
    <row r="459" spans="9:10" x14ac:dyDescent="0.25">
      <c r="I459" s="37"/>
      <c r="J459" s="35"/>
    </row>
    <row r="460" spans="9:10" x14ac:dyDescent="0.25">
      <c r="I460" s="37"/>
      <c r="J460" s="35"/>
    </row>
    <row r="461" spans="9:10" x14ac:dyDescent="0.25">
      <c r="I461" s="37"/>
      <c r="J461" s="35"/>
    </row>
    <row r="462" spans="9:10" x14ac:dyDescent="0.25">
      <c r="I462" s="37"/>
      <c r="J462" s="35"/>
    </row>
    <row r="463" spans="9:10" x14ac:dyDescent="0.25">
      <c r="I463" s="37"/>
      <c r="J463" s="35"/>
    </row>
    <row r="464" spans="9:10" x14ac:dyDescent="0.25">
      <c r="I464" s="37"/>
      <c r="J464" s="35"/>
    </row>
    <row r="465" spans="9:10" x14ac:dyDescent="0.25">
      <c r="I465" s="37"/>
      <c r="J465" s="35"/>
    </row>
    <row r="466" spans="9:10" x14ac:dyDescent="0.25">
      <c r="I466" s="37"/>
      <c r="J466" s="35"/>
    </row>
    <row r="467" spans="9:10" x14ac:dyDescent="0.25">
      <c r="I467" s="37"/>
      <c r="J467" s="35"/>
    </row>
    <row r="468" spans="9:10" x14ac:dyDescent="0.25">
      <c r="I468" s="37"/>
      <c r="J468" s="35"/>
    </row>
    <row r="469" spans="9:10" x14ac:dyDescent="0.25">
      <c r="I469" s="37"/>
      <c r="J469" s="35"/>
    </row>
    <row r="470" spans="9:10" x14ac:dyDescent="0.25">
      <c r="I470" s="37"/>
      <c r="J470" s="35"/>
    </row>
    <row r="471" spans="9:10" x14ac:dyDescent="0.25">
      <c r="I471" s="37"/>
      <c r="J471" s="35"/>
    </row>
    <row r="472" spans="9:10" x14ac:dyDescent="0.25">
      <c r="I472" s="37"/>
      <c r="J472" s="35"/>
    </row>
    <row r="473" spans="9:10" x14ac:dyDescent="0.25">
      <c r="I473" s="37"/>
      <c r="J473" s="35"/>
    </row>
    <row r="474" spans="9:10" x14ac:dyDescent="0.25">
      <c r="I474" s="37"/>
      <c r="J474" s="35"/>
    </row>
    <row r="475" spans="9:10" x14ac:dyDescent="0.25">
      <c r="I475" s="37"/>
      <c r="J475" s="35"/>
    </row>
    <row r="476" spans="9:10" x14ac:dyDescent="0.25">
      <c r="I476" s="37"/>
      <c r="J476" s="35"/>
    </row>
    <row r="477" spans="9:10" x14ac:dyDescent="0.25">
      <c r="I477" s="37"/>
      <c r="J477" s="35"/>
    </row>
    <row r="478" spans="9:10" x14ac:dyDescent="0.25">
      <c r="I478" s="37"/>
      <c r="J478" s="35"/>
    </row>
    <row r="479" spans="9:10" x14ac:dyDescent="0.25">
      <c r="I479" s="37"/>
      <c r="J479" s="35"/>
    </row>
    <row r="480" spans="9:10" x14ac:dyDescent="0.25">
      <c r="I480" s="37"/>
      <c r="J480" s="35"/>
    </row>
    <row r="481" spans="9:10" x14ac:dyDescent="0.25">
      <c r="I481" s="37"/>
      <c r="J481" s="35"/>
    </row>
    <row r="482" spans="9:10" x14ac:dyDescent="0.25">
      <c r="I482" s="37"/>
      <c r="J482" s="35"/>
    </row>
    <row r="483" spans="9:10" x14ac:dyDescent="0.25">
      <c r="I483" s="37"/>
      <c r="J483" s="35"/>
    </row>
    <row r="484" spans="9:10" x14ac:dyDescent="0.25">
      <c r="I484" s="37"/>
      <c r="J484" s="35"/>
    </row>
    <row r="485" spans="9:10" x14ac:dyDescent="0.25">
      <c r="I485" s="37"/>
      <c r="J485" s="35"/>
    </row>
    <row r="486" spans="9:10" x14ac:dyDescent="0.25">
      <c r="I486" s="37"/>
      <c r="J486" s="35"/>
    </row>
    <row r="487" spans="9:10" x14ac:dyDescent="0.25">
      <c r="I487" s="37"/>
      <c r="J487" s="35"/>
    </row>
    <row r="488" spans="9:10" x14ac:dyDescent="0.25">
      <c r="I488" s="37"/>
      <c r="J488" s="35"/>
    </row>
    <row r="489" spans="9:10" x14ac:dyDescent="0.25">
      <c r="I489" s="37"/>
      <c r="J489" s="35"/>
    </row>
    <row r="490" spans="9:10" x14ac:dyDescent="0.25">
      <c r="I490" s="37"/>
      <c r="J490" s="35"/>
    </row>
    <row r="491" spans="9:10" x14ac:dyDescent="0.25">
      <c r="I491" s="37"/>
      <c r="J491" s="35"/>
    </row>
    <row r="492" spans="9:10" x14ac:dyDescent="0.25">
      <c r="I492" s="37"/>
      <c r="J492" s="35"/>
    </row>
    <row r="493" spans="9:10" x14ac:dyDescent="0.25">
      <c r="I493" s="37"/>
      <c r="J493" s="35"/>
    </row>
    <row r="494" spans="9:10" x14ac:dyDescent="0.25">
      <c r="I494" s="37"/>
      <c r="J494" s="35"/>
    </row>
    <row r="495" spans="9:10" x14ac:dyDescent="0.25">
      <c r="I495" s="37"/>
      <c r="J495" s="35"/>
    </row>
    <row r="496" spans="9:10" x14ac:dyDescent="0.25">
      <c r="I496" s="37"/>
      <c r="J496" s="35"/>
    </row>
    <row r="497" spans="9:10" x14ac:dyDescent="0.25">
      <c r="I497" s="37"/>
      <c r="J497" s="35"/>
    </row>
    <row r="498" spans="9:10" x14ac:dyDescent="0.25">
      <c r="I498" s="37"/>
      <c r="J498" s="35"/>
    </row>
    <row r="499" spans="9:10" x14ac:dyDescent="0.25">
      <c r="I499" s="37"/>
      <c r="J499" s="35"/>
    </row>
    <row r="500" spans="9:10" x14ac:dyDescent="0.25">
      <c r="I500" s="37"/>
      <c r="J500" s="35"/>
    </row>
    <row r="501" spans="9:10" x14ac:dyDescent="0.25">
      <c r="I501" s="37"/>
      <c r="J501" s="35"/>
    </row>
    <row r="502" spans="9:10" x14ac:dyDescent="0.25">
      <c r="I502" s="37"/>
      <c r="J502" s="35"/>
    </row>
    <row r="503" spans="9:10" x14ac:dyDescent="0.25">
      <c r="I503" s="37"/>
      <c r="J503" s="35"/>
    </row>
    <row r="504" spans="9:10" x14ac:dyDescent="0.25">
      <c r="I504" s="37"/>
      <c r="J504" s="35"/>
    </row>
    <row r="505" spans="9:10" x14ac:dyDescent="0.25">
      <c r="I505" s="37"/>
      <c r="J505" s="35"/>
    </row>
    <row r="506" spans="9:10" x14ac:dyDescent="0.25">
      <c r="I506" s="37"/>
      <c r="J506" s="35"/>
    </row>
    <row r="507" spans="9:10" x14ac:dyDescent="0.25">
      <c r="I507" s="37"/>
      <c r="J507" s="35"/>
    </row>
    <row r="508" spans="9:10" x14ac:dyDescent="0.25">
      <c r="I508" s="37"/>
      <c r="J508" s="35"/>
    </row>
    <row r="509" spans="9:10" x14ac:dyDescent="0.25">
      <c r="I509" s="37"/>
      <c r="J509" s="35"/>
    </row>
    <row r="510" spans="9:10" x14ac:dyDescent="0.25">
      <c r="I510" s="37"/>
      <c r="J510" s="35"/>
    </row>
    <row r="511" spans="9:10" x14ac:dyDescent="0.25">
      <c r="I511" s="37"/>
      <c r="J511" s="35"/>
    </row>
    <row r="512" spans="9:10" x14ac:dyDescent="0.25">
      <c r="I512" s="37"/>
      <c r="J512" s="35"/>
    </row>
    <row r="513" spans="9:10" x14ac:dyDescent="0.25">
      <c r="I513" s="37"/>
      <c r="J513" s="35"/>
    </row>
    <row r="514" spans="9:10" x14ac:dyDescent="0.25">
      <c r="I514" s="37"/>
      <c r="J514" s="35"/>
    </row>
    <row r="515" spans="9:10" x14ac:dyDescent="0.25">
      <c r="I515" s="37"/>
      <c r="J515" s="35"/>
    </row>
    <row r="516" spans="9:10" x14ac:dyDescent="0.25">
      <c r="I516" s="37"/>
      <c r="J516" s="35"/>
    </row>
    <row r="517" spans="9:10" x14ac:dyDescent="0.25">
      <c r="I517" s="37"/>
      <c r="J517" s="35"/>
    </row>
    <row r="518" spans="9:10" x14ac:dyDescent="0.25">
      <c r="I518" s="37"/>
      <c r="J518" s="35"/>
    </row>
    <row r="519" spans="9:10" x14ac:dyDescent="0.25">
      <c r="I519" s="37"/>
      <c r="J519" s="35"/>
    </row>
    <row r="520" spans="9:10" x14ac:dyDescent="0.25">
      <c r="I520" s="37"/>
      <c r="J520" s="35"/>
    </row>
    <row r="521" spans="9:10" x14ac:dyDescent="0.25">
      <c r="I521" s="37"/>
      <c r="J521" s="35"/>
    </row>
    <row r="522" spans="9:10" x14ac:dyDescent="0.25">
      <c r="I522" s="37"/>
      <c r="J522" s="35"/>
    </row>
    <row r="523" spans="9:10" x14ac:dyDescent="0.25">
      <c r="I523" s="37"/>
      <c r="J523" s="35"/>
    </row>
    <row r="524" spans="9:10" x14ac:dyDescent="0.25">
      <c r="I524" s="37"/>
      <c r="J524" s="35"/>
    </row>
    <row r="525" spans="9:10" x14ac:dyDescent="0.25">
      <c r="I525" s="37"/>
      <c r="J525" s="35"/>
    </row>
    <row r="526" spans="9:10" x14ac:dyDescent="0.25">
      <c r="I526" s="37"/>
      <c r="J526" s="35"/>
    </row>
    <row r="527" spans="9:10" x14ac:dyDescent="0.25">
      <c r="I527" s="37"/>
      <c r="J527" s="35"/>
    </row>
    <row r="528" spans="9:10" x14ac:dyDescent="0.25">
      <c r="I528" s="37"/>
      <c r="J528" s="35"/>
    </row>
    <row r="529" spans="9:10" x14ac:dyDescent="0.25">
      <c r="I529" s="37"/>
      <c r="J529" s="35"/>
    </row>
    <row r="530" spans="9:10" x14ac:dyDescent="0.25">
      <c r="I530" s="37"/>
      <c r="J530" s="35"/>
    </row>
    <row r="531" spans="9:10" x14ac:dyDescent="0.25">
      <c r="I531" s="37"/>
      <c r="J531" s="35"/>
    </row>
    <row r="532" spans="9:10" x14ac:dyDescent="0.25">
      <c r="I532" s="37"/>
      <c r="J532" s="35"/>
    </row>
    <row r="533" spans="9:10" x14ac:dyDescent="0.25">
      <c r="I533" s="37"/>
      <c r="J533" s="35"/>
    </row>
    <row r="534" spans="9:10" x14ac:dyDescent="0.25">
      <c r="I534" s="37"/>
      <c r="J534" s="35"/>
    </row>
    <row r="535" spans="9:10" x14ac:dyDescent="0.25">
      <c r="I535" s="37"/>
      <c r="J535" s="35"/>
    </row>
    <row r="536" spans="9:10" x14ac:dyDescent="0.25">
      <c r="I536" s="37"/>
      <c r="J536" s="35"/>
    </row>
    <row r="537" spans="9:10" x14ac:dyDescent="0.25">
      <c r="I537" s="37"/>
      <c r="J537" s="35"/>
    </row>
    <row r="538" spans="9:10" x14ac:dyDescent="0.25">
      <c r="I538" s="37"/>
      <c r="J538" s="35"/>
    </row>
    <row r="539" spans="9:10" x14ac:dyDescent="0.25">
      <c r="I539" s="37"/>
      <c r="J539" s="35"/>
    </row>
    <row r="540" spans="9:10" x14ac:dyDescent="0.25">
      <c r="I540" s="37"/>
      <c r="J540" s="35"/>
    </row>
    <row r="541" spans="9:10" x14ac:dyDescent="0.25">
      <c r="I541" s="37"/>
      <c r="J541" s="35"/>
    </row>
    <row r="542" spans="9:10" x14ac:dyDescent="0.25">
      <c r="I542" s="37"/>
      <c r="J542" s="35"/>
    </row>
    <row r="543" spans="9:10" x14ac:dyDescent="0.25">
      <c r="I543" s="37"/>
      <c r="J543" s="35"/>
    </row>
    <row r="544" spans="9:10" x14ac:dyDescent="0.25">
      <c r="I544" s="37"/>
      <c r="J544" s="35"/>
    </row>
    <row r="545" spans="9:10" x14ac:dyDescent="0.25">
      <c r="I545" s="37"/>
      <c r="J545" s="35"/>
    </row>
    <row r="546" spans="9:10" x14ac:dyDescent="0.25">
      <c r="I546" s="37"/>
      <c r="J546" s="35"/>
    </row>
    <row r="547" spans="9:10" x14ac:dyDescent="0.25">
      <c r="I547" s="37"/>
      <c r="J547" s="35"/>
    </row>
    <row r="548" spans="9:10" x14ac:dyDescent="0.25">
      <c r="I548" s="37"/>
      <c r="J548" s="35"/>
    </row>
    <row r="549" spans="9:10" x14ac:dyDescent="0.25">
      <c r="I549" s="37"/>
      <c r="J549" s="35"/>
    </row>
    <row r="550" spans="9:10" x14ac:dyDescent="0.25">
      <c r="I550" s="37"/>
      <c r="J550" s="35"/>
    </row>
    <row r="551" spans="9:10" x14ac:dyDescent="0.25">
      <c r="I551" s="37"/>
      <c r="J551" s="35"/>
    </row>
    <row r="552" spans="9:10" x14ac:dyDescent="0.25">
      <c r="I552" s="37"/>
      <c r="J552" s="35"/>
    </row>
    <row r="553" spans="9:10" x14ac:dyDescent="0.25">
      <c r="I553" s="37"/>
      <c r="J553" s="35"/>
    </row>
    <row r="554" spans="9:10" x14ac:dyDescent="0.25">
      <c r="I554" s="37"/>
      <c r="J554" s="35"/>
    </row>
    <row r="555" spans="9:10" x14ac:dyDescent="0.25">
      <c r="I555" s="37"/>
      <c r="J555" s="35"/>
    </row>
    <row r="556" spans="9:10" x14ac:dyDescent="0.25">
      <c r="I556" s="37"/>
      <c r="J556" s="35"/>
    </row>
    <row r="557" spans="9:10" x14ac:dyDescent="0.25">
      <c r="I557" s="37"/>
      <c r="J557" s="35"/>
    </row>
    <row r="558" spans="9:10" x14ac:dyDescent="0.25">
      <c r="I558" s="37"/>
      <c r="J558" s="35"/>
    </row>
    <row r="559" spans="9:10" x14ac:dyDescent="0.25">
      <c r="I559" s="37"/>
      <c r="J559" s="35"/>
    </row>
    <row r="560" spans="9:10" x14ac:dyDescent="0.25">
      <c r="I560" s="37"/>
      <c r="J560" s="35"/>
    </row>
    <row r="561" spans="9:10" x14ac:dyDescent="0.25">
      <c r="I561" s="37"/>
      <c r="J561" s="35"/>
    </row>
    <row r="562" spans="9:10" x14ac:dyDescent="0.25">
      <c r="I562" s="37"/>
      <c r="J562" s="35"/>
    </row>
    <row r="563" spans="9:10" x14ac:dyDescent="0.25">
      <c r="I563" s="37"/>
      <c r="J563" s="35"/>
    </row>
    <row r="564" spans="9:10" x14ac:dyDescent="0.25">
      <c r="I564" s="37"/>
      <c r="J564" s="35"/>
    </row>
    <row r="565" spans="9:10" x14ac:dyDescent="0.25">
      <c r="I565" s="37"/>
      <c r="J565" s="35"/>
    </row>
    <row r="566" spans="9:10" x14ac:dyDescent="0.25">
      <c r="I566" s="37"/>
      <c r="J566" s="35"/>
    </row>
    <row r="567" spans="9:10" x14ac:dyDescent="0.25">
      <c r="I567" s="37"/>
      <c r="J567" s="35"/>
    </row>
    <row r="568" spans="9:10" x14ac:dyDescent="0.25">
      <c r="I568" s="37"/>
      <c r="J568" s="35"/>
    </row>
    <row r="569" spans="9:10" x14ac:dyDescent="0.25">
      <c r="I569" s="37"/>
      <c r="J569" s="35"/>
    </row>
    <row r="570" spans="9:10" x14ac:dyDescent="0.25">
      <c r="I570" s="37"/>
      <c r="J570" s="35"/>
    </row>
    <row r="571" spans="9:10" x14ac:dyDescent="0.25">
      <c r="I571" s="37"/>
      <c r="J571" s="35"/>
    </row>
    <row r="572" spans="9:10" x14ac:dyDescent="0.25">
      <c r="I572" s="37"/>
      <c r="J572" s="35"/>
    </row>
    <row r="573" spans="9:10" x14ac:dyDescent="0.25">
      <c r="I573" s="37"/>
      <c r="J573" s="35"/>
    </row>
    <row r="574" spans="9:10" x14ac:dyDescent="0.25">
      <c r="I574" s="37"/>
      <c r="J574" s="35"/>
    </row>
    <row r="575" spans="9:10" x14ac:dyDescent="0.25">
      <c r="I575" s="37"/>
      <c r="J575" s="35"/>
    </row>
    <row r="576" spans="9:10" x14ac:dyDescent="0.25">
      <c r="I576" s="37"/>
      <c r="J576" s="35"/>
    </row>
    <row r="577" spans="9:10" x14ac:dyDescent="0.25">
      <c r="I577" s="37"/>
      <c r="J577" s="35"/>
    </row>
    <row r="578" spans="9:10" x14ac:dyDescent="0.25">
      <c r="I578" s="37"/>
      <c r="J578" s="35"/>
    </row>
    <row r="579" spans="9:10" x14ac:dyDescent="0.25">
      <c r="I579" s="37"/>
      <c r="J579" s="35"/>
    </row>
    <row r="580" spans="9:10" x14ac:dyDescent="0.25">
      <c r="I580" s="37"/>
      <c r="J580" s="35"/>
    </row>
    <row r="581" spans="9:10" x14ac:dyDescent="0.25">
      <c r="I581" s="37"/>
      <c r="J581" s="35"/>
    </row>
    <row r="582" spans="9:10" x14ac:dyDescent="0.25">
      <c r="I582" s="37"/>
      <c r="J582" s="35"/>
    </row>
    <row r="583" spans="9:10" x14ac:dyDescent="0.25">
      <c r="I583" s="37"/>
      <c r="J583" s="35"/>
    </row>
    <row r="584" spans="9:10" x14ac:dyDescent="0.25">
      <c r="I584" s="37"/>
      <c r="J584" s="35"/>
    </row>
    <row r="585" spans="9:10" x14ac:dyDescent="0.25">
      <c r="I585" s="37"/>
      <c r="J585" s="35"/>
    </row>
    <row r="586" spans="9:10" x14ac:dyDescent="0.25">
      <c r="I586" s="37"/>
      <c r="J586" s="35"/>
    </row>
    <row r="587" spans="9:10" x14ac:dyDescent="0.25">
      <c r="I587" s="37"/>
      <c r="J587" s="35"/>
    </row>
    <row r="588" spans="9:10" x14ac:dyDescent="0.25">
      <c r="I588" s="37"/>
      <c r="J588" s="35"/>
    </row>
    <row r="589" spans="9:10" x14ac:dyDescent="0.25">
      <c r="I589" s="37"/>
      <c r="J589" s="35"/>
    </row>
    <row r="590" spans="9:10" x14ac:dyDescent="0.25">
      <c r="I590" s="37"/>
      <c r="J590" s="35"/>
    </row>
    <row r="591" spans="9:10" x14ac:dyDescent="0.25">
      <c r="I591" s="37"/>
      <c r="J591" s="35"/>
    </row>
    <row r="592" spans="9:10" x14ac:dyDescent="0.25">
      <c r="I592" s="37"/>
      <c r="J592" s="35"/>
    </row>
    <row r="593" spans="9:10" x14ac:dyDescent="0.25">
      <c r="I593" s="37"/>
      <c r="J593" s="35"/>
    </row>
    <row r="594" spans="9:10" x14ac:dyDescent="0.25">
      <c r="I594" s="37"/>
      <c r="J594" s="35"/>
    </row>
    <row r="595" spans="9:10" x14ac:dyDescent="0.25">
      <c r="I595" s="37"/>
      <c r="J595" s="35"/>
    </row>
    <row r="596" spans="9:10" x14ac:dyDescent="0.25">
      <c r="I596" s="37"/>
      <c r="J596" s="35"/>
    </row>
    <row r="597" spans="9:10" x14ac:dyDescent="0.25">
      <c r="I597" s="37"/>
      <c r="J597" s="35"/>
    </row>
    <row r="598" spans="9:10" x14ac:dyDescent="0.25">
      <c r="I598" s="37"/>
      <c r="J598" s="35"/>
    </row>
    <row r="599" spans="9:10" x14ac:dyDescent="0.25">
      <c r="I599" s="37"/>
      <c r="J599" s="35"/>
    </row>
    <row r="600" spans="9:10" x14ac:dyDescent="0.25">
      <c r="I600" s="37"/>
      <c r="J600" s="35"/>
    </row>
    <row r="601" spans="9:10" x14ac:dyDescent="0.25">
      <c r="I601" s="37"/>
      <c r="J601" s="35"/>
    </row>
    <row r="602" spans="9:10" x14ac:dyDescent="0.25">
      <c r="I602" s="37"/>
      <c r="J602" s="35"/>
    </row>
    <row r="603" spans="9:10" x14ac:dyDescent="0.25">
      <c r="I603" s="37"/>
      <c r="J603" s="35"/>
    </row>
    <row r="604" spans="9:10" x14ac:dyDescent="0.25">
      <c r="I604" s="37"/>
      <c r="J604" s="35"/>
    </row>
    <row r="605" spans="9:10" x14ac:dyDescent="0.25">
      <c r="I605" s="37"/>
      <c r="J605" s="35"/>
    </row>
    <row r="606" spans="9:10" x14ac:dyDescent="0.25">
      <c r="I606" s="37"/>
      <c r="J606" s="35"/>
    </row>
    <row r="607" spans="9:10" x14ac:dyDescent="0.25">
      <c r="I607" s="37"/>
      <c r="J607" s="35"/>
    </row>
    <row r="608" spans="9:10" x14ac:dyDescent="0.25">
      <c r="I608" s="37"/>
      <c r="J608" s="35"/>
    </row>
    <row r="609" spans="9:10" x14ac:dyDescent="0.25">
      <c r="I609" s="37"/>
      <c r="J609" s="35"/>
    </row>
    <row r="610" spans="9:10" x14ac:dyDescent="0.25">
      <c r="I610" s="37"/>
      <c r="J610" s="35"/>
    </row>
    <row r="611" spans="9:10" x14ac:dyDescent="0.25">
      <c r="I611" s="37"/>
      <c r="J611" s="35"/>
    </row>
    <row r="612" spans="9:10" x14ac:dyDescent="0.25">
      <c r="I612" s="37"/>
      <c r="J612" s="35"/>
    </row>
    <row r="613" spans="9:10" x14ac:dyDescent="0.25">
      <c r="I613" s="37"/>
      <c r="J613" s="35"/>
    </row>
    <row r="614" spans="9:10" x14ac:dyDescent="0.25">
      <c r="I614" s="37"/>
      <c r="J614" s="35"/>
    </row>
    <row r="615" spans="9:10" x14ac:dyDescent="0.25">
      <c r="I615" s="37"/>
      <c r="J615" s="35"/>
    </row>
    <row r="616" spans="9:10" x14ac:dyDescent="0.25">
      <c r="I616" s="37"/>
      <c r="J616" s="35"/>
    </row>
    <row r="617" spans="9:10" x14ac:dyDescent="0.25">
      <c r="I617" s="37"/>
      <c r="J617" s="35"/>
    </row>
    <row r="618" spans="9:10" x14ac:dyDescent="0.25">
      <c r="I618" s="37"/>
      <c r="J618" s="35"/>
    </row>
    <row r="619" spans="9:10" x14ac:dyDescent="0.25">
      <c r="I619" s="37"/>
      <c r="J619" s="35"/>
    </row>
    <row r="620" spans="9:10" x14ac:dyDescent="0.25">
      <c r="I620" s="37"/>
      <c r="J620" s="35"/>
    </row>
    <row r="621" spans="9:10" x14ac:dyDescent="0.25">
      <c r="I621" s="37"/>
      <c r="J621" s="35"/>
    </row>
    <row r="622" spans="9:10" x14ac:dyDescent="0.25">
      <c r="I622" s="37"/>
      <c r="J622" s="35"/>
    </row>
    <row r="623" spans="9:10" x14ac:dyDescent="0.25">
      <c r="I623" s="37"/>
      <c r="J623" s="35"/>
    </row>
    <row r="624" spans="9:10" x14ac:dyDescent="0.25">
      <c r="I624" s="37"/>
      <c r="J624" s="35"/>
    </row>
    <row r="625" spans="9:10" x14ac:dyDescent="0.25">
      <c r="I625" s="37"/>
      <c r="J625" s="35"/>
    </row>
    <row r="626" spans="9:10" x14ac:dyDescent="0.25">
      <c r="I626" s="37"/>
      <c r="J626" s="35"/>
    </row>
    <row r="627" spans="9:10" x14ac:dyDescent="0.25">
      <c r="I627" s="37"/>
      <c r="J627" s="35"/>
    </row>
    <row r="628" spans="9:10" x14ac:dyDescent="0.25">
      <c r="I628" s="37"/>
      <c r="J628" s="35"/>
    </row>
    <row r="629" spans="9:10" x14ac:dyDescent="0.25">
      <c r="I629" s="37"/>
      <c r="J629" s="35"/>
    </row>
    <row r="630" spans="9:10" x14ac:dyDescent="0.25">
      <c r="I630" s="37"/>
      <c r="J630" s="35"/>
    </row>
    <row r="631" spans="9:10" x14ac:dyDescent="0.25">
      <c r="I631" s="37"/>
      <c r="J631" s="35"/>
    </row>
    <row r="632" spans="9:10" x14ac:dyDescent="0.25">
      <c r="I632" s="37"/>
      <c r="J632" s="35"/>
    </row>
    <row r="633" spans="9:10" x14ac:dyDescent="0.25">
      <c r="I633" s="37"/>
      <c r="J633" s="35"/>
    </row>
    <row r="634" spans="9:10" x14ac:dyDescent="0.25">
      <c r="I634" s="37"/>
      <c r="J634" s="35"/>
    </row>
    <row r="635" spans="9:10" x14ac:dyDescent="0.25">
      <c r="I635" s="37"/>
      <c r="J635" s="35"/>
    </row>
    <row r="636" spans="9:10" x14ac:dyDescent="0.25">
      <c r="I636" s="37"/>
      <c r="J636" s="35"/>
    </row>
    <row r="637" spans="9:10" x14ac:dyDescent="0.25">
      <c r="I637" s="37"/>
      <c r="J637" s="35"/>
    </row>
    <row r="638" spans="9:10" x14ac:dyDescent="0.25">
      <c r="I638" s="37"/>
      <c r="J638" s="35"/>
    </row>
    <row r="639" spans="9:10" x14ac:dyDescent="0.25">
      <c r="I639" s="37"/>
      <c r="J639" s="35"/>
    </row>
    <row r="640" spans="9:10" x14ac:dyDescent="0.25">
      <c r="I640" s="37"/>
      <c r="J640" s="35"/>
    </row>
    <row r="641" spans="9:10" x14ac:dyDescent="0.25">
      <c r="I641" s="37"/>
      <c r="J641" s="35"/>
    </row>
    <row r="642" spans="9:10" x14ac:dyDescent="0.25">
      <c r="I642" s="37"/>
      <c r="J642" s="35"/>
    </row>
    <row r="643" spans="9:10" x14ac:dyDescent="0.25">
      <c r="I643" s="37"/>
      <c r="J643" s="35"/>
    </row>
    <row r="644" spans="9:10" x14ac:dyDescent="0.25">
      <c r="I644" s="37"/>
      <c r="J644" s="35"/>
    </row>
    <row r="645" spans="9:10" x14ac:dyDescent="0.25">
      <c r="I645" s="37"/>
      <c r="J645" s="35"/>
    </row>
    <row r="646" spans="9:10" x14ac:dyDescent="0.25">
      <c r="I646" s="37"/>
      <c r="J646" s="35"/>
    </row>
    <row r="647" spans="9:10" x14ac:dyDescent="0.25">
      <c r="I647" s="37"/>
      <c r="J647" s="35"/>
    </row>
    <row r="648" spans="9:10" x14ac:dyDescent="0.25">
      <c r="I648" s="37"/>
      <c r="J648" s="35"/>
    </row>
    <row r="649" spans="9:10" x14ac:dyDescent="0.25">
      <c r="I649" s="37"/>
      <c r="J649" s="35"/>
    </row>
    <row r="650" spans="9:10" x14ac:dyDescent="0.25">
      <c r="I650" s="37"/>
      <c r="J650" s="35"/>
    </row>
    <row r="651" spans="9:10" x14ac:dyDescent="0.25">
      <c r="I651" s="37"/>
      <c r="J651" s="35"/>
    </row>
    <row r="652" spans="9:10" x14ac:dyDescent="0.25">
      <c r="I652" s="37"/>
      <c r="J652" s="35"/>
    </row>
    <row r="653" spans="9:10" x14ac:dyDescent="0.25">
      <c r="I653" s="37"/>
      <c r="J653" s="35"/>
    </row>
    <row r="654" spans="9:10" x14ac:dyDescent="0.25">
      <c r="I654" s="37"/>
      <c r="J654" s="35"/>
    </row>
    <row r="655" spans="9:10" x14ac:dyDescent="0.25">
      <c r="I655" s="37"/>
      <c r="J655" s="35"/>
    </row>
    <row r="656" spans="9:10" x14ac:dyDescent="0.25">
      <c r="I656" s="37"/>
      <c r="J656" s="35"/>
    </row>
    <row r="657" spans="9:10" x14ac:dyDescent="0.25">
      <c r="I657" s="37"/>
      <c r="J657" s="35"/>
    </row>
    <row r="658" spans="9:10" x14ac:dyDescent="0.25">
      <c r="I658" s="37"/>
      <c r="J658" s="35"/>
    </row>
    <row r="659" spans="9:10" x14ac:dyDescent="0.25">
      <c r="I659" s="37"/>
      <c r="J659" s="35"/>
    </row>
    <row r="660" spans="9:10" x14ac:dyDescent="0.25">
      <c r="I660" s="37"/>
      <c r="J660" s="35"/>
    </row>
    <row r="661" spans="9:10" x14ac:dyDescent="0.25">
      <c r="I661" s="37"/>
      <c r="J661" s="35"/>
    </row>
    <row r="662" spans="9:10" x14ac:dyDescent="0.25">
      <c r="I662" s="37"/>
      <c r="J662" s="35"/>
    </row>
    <row r="663" spans="9:10" x14ac:dyDescent="0.25">
      <c r="I663" s="37"/>
      <c r="J663" s="35"/>
    </row>
    <row r="664" spans="9:10" x14ac:dyDescent="0.25">
      <c r="I664" s="37"/>
      <c r="J664" s="35"/>
    </row>
    <row r="665" spans="9:10" x14ac:dyDescent="0.25">
      <c r="I665" s="37"/>
      <c r="J665" s="35"/>
    </row>
    <row r="666" spans="9:10" x14ac:dyDescent="0.25">
      <c r="I666" s="37"/>
      <c r="J666" s="35"/>
    </row>
    <row r="667" spans="9:10" x14ac:dyDescent="0.25">
      <c r="I667" s="37"/>
      <c r="J667" s="35"/>
    </row>
    <row r="668" spans="9:10" x14ac:dyDescent="0.25">
      <c r="I668" s="37"/>
      <c r="J668" s="35"/>
    </row>
    <row r="669" spans="9:10" x14ac:dyDescent="0.25">
      <c r="I669" s="37"/>
      <c r="J669" s="35"/>
    </row>
    <row r="670" spans="9:10" x14ac:dyDescent="0.25">
      <c r="I670" s="37"/>
      <c r="J670" s="35"/>
    </row>
    <row r="671" spans="9:10" x14ac:dyDescent="0.25">
      <c r="I671" s="37"/>
      <c r="J671" s="35"/>
    </row>
    <row r="672" spans="9:10" x14ac:dyDescent="0.25">
      <c r="I672" s="37"/>
      <c r="J672" s="35"/>
    </row>
    <row r="673" spans="9:10" x14ac:dyDescent="0.25">
      <c r="I673" s="37"/>
      <c r="J673" s="35"/>
    </row>
    <row r="674" spans="9:10" x14ac:dyDescent="0.25">
      <c r="I674" s="37"/>
      <c r="J674" s="35"/>
    </row>
    <row r="675" spans="9:10" x14ac:dyDescent="0.25">
      <c r="I675" s="37"/>
      <c r="J675" s="35"/>
    </row>
    <row r="676" spans="9:10" x14ac:dyDescent="0.25">
      <c r="I676" s="37"/>
      <c r="J676" s="35"/>
    </row>
    <row r="677" spans="9:10" x14ac:dyDescent="0.25">
      <c r="I677" s="37"/>
      <c r="J677" s="35"/>
    </row>
    <row r="678" spans="9:10" x14ac:dyDescent="0.25">
      <c r="I678" s="37"/>
      <c r="J678" s="35"/>
    </row>
    <row r="679" spans="9:10" x14ac:dyDescent="0.25">
      <c r="I679" s="37"/>
      <c r="J679" s="35"/>
    </row>
    <row r="680" spans="9:10" x14ac:dyDescent="0.25">
      <c r="I680" s="37"/>
      <c r="J680" s="35"/>
    </row>
    <row r="681" spans="9:10" x14ac:dyDescent="0.25">
      <c r="I681" s="37"/>
      <c r="J681" s="35"/>
    </row>
    <row r="682" spans="9:10" x14ac:dyDescent="0.25">
      <c r="I682" s="37"/>
      <c r="J682" s="35"/>
    </row>
    <row r="683" spans="9:10" x14ac:dyDescent="0.25">
      <c r="I683" s="37"/>
      <c r="J683" s="35"/>
    </row>
    <row r="684" spans="9:10" x14ac:dyDescent="0.25">
      <c r="I684" s="37"/>
      <c r="J684" s="35"/>
    </row>
    <row r="685" spans="9:10" x14ac:dyDescent="0.25">
      <c r="I685" s="37"/>
      <c r="J685" s="35"/>
    </row>
    <row r="686" spans="9:10" x14ac:dyDescent="0.25">
      <c r="I686" s="37"/>
      <c r="J686" s="35"/>
    </row>
    <row r="687" spans="9:10" x14ac:dyDescent="0.25">
      <c r="I687" s="37"/>
      <c r="J687" s="35"/>
    </row>
    <row r="688" spans="9:10" x14ac:dyDescent="0.25">
      <c r="I688" s="37"/>
      <c r="J688" s="35"/>
    </row>
    <row r="689" spans="9:10" x14ac:dyDescent="0.25">
      <c r="I689" s="37"/>
      <c r="J689" s="35"/>
    </row>
    <row r="690" spans="9:10" x14ac:dyDescent="0.25">
      <c r="I690" s="37"/>
      <c r="J690" s="35"/>
    </row>
    <row r="691" spans="9:10" x14ac:dyDescent="0.25">
      <c r="I691" s="37"/>
      <c r="J691" s="35"/>
    </row>
    <row r="692" spans="9:10" x14ac:dyDescent="0.25">
      <c r="I692" s="37"/>
      <c r="J692" s="35"/>
    </row>
    <row r="693" spans="9:10" x14ac:dyDescent="0.25">
      <c r="I693" s="37"/>
      <c r="J693" s="35"/>
    </row>
    <row r="694" spans="9:10" x14ac:dyDescent="0.25">
      <c r="I694" s="37"/>
      <c r="J694" s="35"/>
    </row>
    <row r="695" spans="9:10" x14ac:dyDescent="0.25">
      <c r="I695" s="37"/>
      <c r="J695" s="35"/>
    </row>
    <row r="696" spans="9:10" x14ac:dyDescent="0.25">
      <c r="I696" s="37"/>
      <c r="J696" s="35"/>
    </row>
    <row r="697" spans="9:10" x14ac:dyDescent="0.25">
      <c r="I697" s="37"/>
      <c r="J697" s="35"/>
    </row>
    <row r="698" spans="9:10" x14ac:dyDescent="0.25">
      <c r="I698" s="37"/>
      <c r="J698" s="35"/>
    </row>
    <row r="699" spans="9:10" x14ac:dyDescent="0.25">
      <c r="I699" s="37"/>
      <c r="J699" s="35"/>
    </row>
    <row r="700" spans="9:10" x14ac:dyDescent="0.25">
      <c r="I700" s="37"/>
      <c r="J700" s="35"/>
    </row>
    <row r="701" spans="9:10" x14ac:dyDescent="0.25">
      <c r="I701" s="37"/>
      <c r="J701" s="35"/>
    </row>
    <row r="702" spans="9:10" x14ac:dyDescent="0.25">
      <c r="I702" s="37"/>
      <c r="J702" s="35"/>
    </row>
    <row r="703" spans="9:10" x14ac:dyDescent="0.25">
      <c r="I703" s="37"/>
      <c r="J703" s="35"/>
    </row>
    <row r="704" spans="9:10" x14ac:dyDescent="0.25">
      <c r="I704" s="37"/>
      <c r="J704" s="35"/>
    </row>
    <row r="705" spans="9:10" x14ac:dyDescent="0.25">
      <c r="I705" s="37"/>
      <c r="J705" s="35"/>
    </row>
    <row r="706" spans="9:10" x14ac:dyDescent="0.25">
      <c r="I706" s="37"/>
      <c r="J706" s="35"/>
    </row>
    <row r="707" spans="9:10" x14ac:dyDescent="0.25">
      <c r="I707" s="37"/>
      <c r="J707" s="35"/>
    </row>
    <row r="708" spans="9:10" x14ac:dyDescent="0.25">
      <c r="I708" s="37"/>
      <c r="J708" s="35"/>
    </row>
    <row r="709" spans="9:10" x14ac:dyDescent="0.25">
      <c r="I709" s="37"/>
      <c r="J709" s="35"/>
    </row>
    <row r="710" spans="9:10" x14ac:dyDescent="0.25">
      <c r="I710" s="37"/>
      <c r="J710" s="35"/>
    </row>
    <row r="711" spans="9:10" x14ac:dyDescent="0.25">
      <c r="I711" s="37"/>
      <c r="J711" s="35"/>
    </row>
    <row r="712" spans="9:10" x14ac:dyDescent="0.25">
      <c r="I712" s="37"/>
      <c r="J712" s="35"/>
    </row>
    <row r="713" spans="9:10" x14ac:dyDescent="0.25">
      <c r="I713" s="37"/>
      <c r="J713" s="35"/>
    </row>
    <row r="714" spans="9:10" x14ac:dyDescent="0.25">
      <c r="I714" s="37"/>
      <c r="J714" s="35"/>
    </row>
    <row r="715" spans="9:10" x14ac:dyDescent="0.25">
      <c r="I715" s="37"/>
      <c r="J715" s="35"/>
    </row>
    <row r="716" spans="9:10" x14ac:dyDescent="0.25">
      <c r="I716" s="37"/>
      <c r="J716" s="35"/>
    </row>
    <row r="717" spans="9:10" x14ac:dyDescent="0.25">
      <c r="I717" s="37"/>
      <c r="J717" s="35"/>
    </row>
    <row r="718" spans="9:10" x14ac:dyDescent="0.25">
      <c r="I718" s="37"/>
      <c r="J718" s="35"/>
    </row>
    <row r="719" spans="9:10" x14ac:dyDescent="0.25">
      <c r="I719" s="37"/>
      <c r="J719" s="35"/>
    </row>
    <row r="720" spans="9:10" x14ac:dyDescent="0.25">
      <c r="I720" s="37"/>
      <c r="J720" s="35"/>
    </row>
    <row r="721" spans="9:10" x14ac:dyDescent="0.25">
      <c r="I721" s="37"/>
      <c r="J721" s="35"/>
    </row>
    <row r="722" spans="9:10" x14ac:dyDescent="0.25">
      <c r="I722" s="37"/>
      <c r="J722" s="35"/>
    </row>
    <row r="723" spans="9:10" x14ac:dyDescent="0.25">
      <c r="I723" s="37"/>
      <c r="J723" s="35"/>
    </row>
    <row r="724" spans="9:10" x14ac:dyDescent="0.25">
      <c r="I724" s="37"/>
      <c r="J724" s="35"/>
    </row>
    <row r="725" spans="9:10" x14ac:dyDescent="0.25">
      <c r="I725" s="37"/>
      <c r="J725" s="35"/>
    </row>
    <row r="726" spans="9:10" x14ac:dyDescent="0.25">
      <c r="I726" s="37"/>
      <c r="J726" s="35"/>
    </row>
    <row r="727" spans="9:10" x14ac:dyDescent="0.25">
      <c r="I727" s="37"/>
      <c r="J727" s="35"/>
    </row>
    <row r="728" spans="9:10" x14ac:dyDescent="0.25">
      <c r="I728" s="37"/>
      <c r="J728" s="35"/>
    </row>
    <row r="729" spans="9:10" x14ac:dyDescent="0.25">
      <c r="I729" s="37"/>
      <c r="J729" s="35"/>
    </row>
    <row r="730" spans="9:10" x14ac:dyDescent="0.25">
      <c r="I730" s="37"/>
      <c r="J730" s="35"/>
    </row>
    <row r="731" spans="9:10" x14ac:dyDescent="0.25">
      <c r="I731" s="37"/>
      <c r="J731" s="35"/>
    </row>
    <row r="732" spans="9:10" x14ac:dyDescent="0.25">
      <c r="I732" s="37"/>
      <c r="J732" s="35"/>
    </row>
    <row r="733" spans="9:10" x14ac:dyDescent="0.25">
      <c r="I733" s="37"/>
      <c r="J733" s="35"/>
    </row>
    <row r="734" spans="9:10" x14ac:dyDescent="0.25">
      <c r="I734" s="37"/>
      <c r="J734" s="35"/>
    </row>
    <row r="735" spans="9:10" x14ac:dyDescent="0.25">
      <c r="I735" s="37"/>
      <c r="J735" s="35"/>
    </row>
    <row r="736" spans="9:10" x14ac:dyDescent="0.25">
      <c r="I736" s="37"/>
      <c r="J736" s="35"/>
    </row>
    <row r="737" spans="9:10" x14ac:dyDescent="0.25">
      <c r="I737" s="37"/>
      <c r="J737" s="35"/>
    </row>
    <row r="738" spans="9:10" x14ac:dyDescent="0.25">
      <c r="I738" s="37"/>
      <c r="J738" s="35"/>
    </row>
    <row r="739" spans="9:10" x14ac:dyDescent="0.25">
      <c r="I739" s="37"/>
      <c r="J739" s="35"/>
    </row>
    <row r="740" spans="9:10" x14ac:dyDescent="0.25">
      <c r="I740" s="37"/>
      <c r="J740" s="35"/>
    </row>
    <row r="741" spans="9:10" x14ac:dyDescent="0.25">
      <c r="I741" s="37"/>
      <c r="J741" s="35"/>
    </row>
    <row r="742" spans="9:10" x14ac:dyDescent="0.25">
      <c r="I742" s="37"/>
      <c r="J742" s="35"/>
    </row>
    <row r="743" spans="9:10" x14ac:dyDescent="0.25">
      <c r="I743" s="37"/>
      <c r="J743" s="35"/>
    </row>
    <row r="744" spans="9:10" x14ac:dyDescent="0.25">
      <c r="I744" s="37"/>
      <c r="J744" s="35"/>
    </row>
    <row r="745" spans="9:10" x14ac:dyDescent="0.25">
      <c r="I745" s="37"/>
      <c r="J745" s="35"/>
    </row>
    <row r="746" spans="9:10" x14ac:dyDescent="0.25">
      <c r="I746" s="37"/>
      <c r="J746" s="35"/>
    </row>
    <row r="747" spans="9:10" x14ac:dyDescent="0.25">
      <c r="I747" s="37"/>
      <c r="J747" s="35"/>
    </row>
    <row r="748" spans="9:10" x14ac:dyDescent="0.25">
      <c r="I748" s="37"/>
      <c r="J748" s="35"/>
    </row>
    <row r="749" spans="9:10" x14ac:dyDescent="0.25">
      <c r="I749" s="37"/>
      <c r="J749" s="35"/>
    </row>
    <row r="750" spans="9:10" x14ac:dyDescent="0.25">
      <c r="I750" s="37"/>
      <c r="J750" s="35"/>
    </row>
    <row r="751" spans="9:10" x14ac:dyDescent="0.25">
      <c r="I751" s="37"/>
      <c r="J751" s="35"/>
    </row>
    <row r="752" spans="9:10" x14ac:dyDescent="0.25">
      <c r="I752" s="37"/>
      <c r="J752" s="35"/>
    </row>
    <row r="753" spans="9:10" x14ac:dyDescent="0.25">
      <c r="I753" s="37"/>
      <c r="J753" s="35"/>
    </row>
    <row r="754" spans="9:10" x14ac:dyDescent="0.25">
      <c r="I754" s="37"/>
      <c r="J754" s="35"/>
    </row>
    <row r="755" spans="9:10" x14ac:dyDescent="0.25">
      <c r="I755" s="37"/>
      <c r="J755" s="35"/>
    </row>
    <row r="756" spans="9:10" x14ac:dyDescent="0.25">
      <c r="I756" s="37"/>
      <c r="J756" s="35"/>
    </row>
    <row r="757" spans="9:10" x14ac:dyDescent="0.25">
      <c r="I757" s="37"/>
      <c r="J757" s="35"/>
    </row>
    <row r="758" spans="9:10" x14ac:dyDescent="0.25">
      <c r="I758" s="37"/>
      <c r="J758" s="35"/>
    </row>
    <row r="759" spans="9:10" x14ac:dyDescent="0.25">
      <c r="I759" s="37"/>
      <c r="J759" s="35"/>
    </row>
    <row r="760" spans="9:10" x14ac:dyDescent="0.25">
      <c r="I760" s="37"/>
      <c r="J760" s="35"/>
    </row>
    <row r="761" spans="9:10" x14ac:dyDescent="0.25">
      <c r="I761" s="37"/>
      <c r="J761" s="35"/>
    </row>
    <row r="762" spans="9:10" x14ac:dyDescent="0.25">
      <c r="I762" s="37"/>
      <c r="J762" s="35"/>
    </row>
    <row r="763" spans="9:10" x14ac:dyDescent="0.25">
      <c r="I763" s="37"/>
      <c r="J763" s="35"/>
    </row>
    <row r="764" spans="9:10" x14ac:dyDescent="0.25">
      <c r="I764" s="37"/>
      <c r="J764" s="35"/>
    </row>
    <row r="765" spans="9:10" x14ac:dyDescent="0.25">
      <c r="I765" s="37"/>
      <c r="J765" s="35"/>
    </row>
    <row r="766" spans="9:10" x14ac:dyDescent="0.25">
      <c r="I766" s="37"/>
      <c r="J766" s="35"/>
    </row>
    <row r="767" spans="9:10" x14ac:dyDescent="0.25">
      <c r="I767" s="37"/>
      <c r="J767" s="35"/>
    </row>
    <row r="768" spans="9:10" x14ac:dyDescent="0.25">
      <c r="I768" s="37"/>
      <c r="J768" s="35"/>
    </row>
    <row r="769" spans="9:10" x14ac:dyDescent="0.25">
      <c r="I769" s="37"/>
      <c r="J769" s="35"/>
    </row>
    <row r="770" spans="9:10" x14ac:dyDescent="0.25">
      <c r="I770" s="37"/>
      <c r="J770" s="35"/>
    </row>
    <row r="771" spans="9:10" x14ac:dyDescent="0.25">
      <c r="I771" s="37"/>
      <c r="J771" s="35"/>
    </row>
    <row r="772" spans="9:10" x14ac:dyDescent="0.25">
      <c r="I772" s="37"/>
      <c r="J772" s="35"/>
    </row>
    <row r="773" spans="9:10" x14ac:dyDescent="0.25">
      <c r="I773" s="37"/>
      <c r="J773" s="35"/>
    </row>
    <row r="774" spans="9:10" x14ac:dyDescent="0.25">
      <c r="I774" s="37"/>
      <c r="J774" s="35"/>
    </row>
    <row r="775" spans="9:10" x14ac:dyDescent="0.25">
      <c r="I775" s="37"/>
      <c r="J775" s="35"/>
    </row>
    <row r="776" spans="9:10" x14ac:dyDescent="0.25">
      <c r="I776" s="37"/>
      <c r="J776" s="35"/>
    </row>
    <row r="777" spans="9:10" x14ac:dyDescent="0.25">
      <c r="I777" s="37"/>
      <c r="J777" s="35"/>
    </row>
    <row r="778" spans="9:10" x14ac:dyDescent="0.25">
      <c r="I778" s="37"/>
      <c r="J778" s="35"/>
    </row>
    <row r="779" spans="9:10" x14ac:dyDescent="0.25">
      <c r="I779" s="37"/>
      <c r="J779" s="35"/>
    </row>
    <row r="780" spans="9:10" x14ac:dyDescent="0.25">
      <c r="I780" s="37"/>
      <c r="J780" s="35"/>
    </row>
    <row r="781" spans="9:10" x14ac:dyDescent="0.25">
      <c r="I781" s="37"/>
      <c r="J781" s="35"/>
    </row>
    <row r="782" spans="9:10" x14ac:dyDescent="0.25">
      <c r="I782" s="37"/>
      <c r="J782" s="35"/>
    </row>
    <row r="783" spans="9:10" x14ac:dyDescent="0.25">
      <c r="I783" s="37"/>
      <c r="J783" s="35"/>
    </row>
    <row r="784" spans="9:10" x14ac:dyDescent="0.25">
      <c r="I784" s="37"/>
      <c r="J784" s="35"/>
    </row>
    <row r="785" spans="9:10" x14ac:dyDescent="0.25">
      <c r="I785" s="37"/>
      <c r="J785" s="35"/>
    </row>
    <row r="786" spans="9:10" x14ac:dyDescent="0.25">
      <c r="I786" s="37"/>
      <c r="J786" s="35"/>
    </row>
    <row r="787" spans="9:10" x14ac:dyDescent="0.25">
      <c r="I787" s="37"/>
      <c r="J787" s="35"/>
    </row>
    <row r="788" spans="9:10" x14ac:dyDescent="0.25">
      <c r="I788" s="37"/>
      <c r="J788" s="35"/>
    </row>
    <row r="789" spans="9:10" x14ac:dyDescent="0.25">
      <c r="I789" s="37"/>
      <c r="J789" s="35"/>
    </row>
    <row r="790" spans="9:10" x14ac:dyDescent="0.25">
      <c r="I790" s="37"/>
      <c r="J790" s="35"/>
    </row>
    <row r="791" spans="9:10" x14ac:dyDescent="0.25">
      <c r="I791" s="37"/>
      <c r="J791" s="35"/>
    </row>
    <row r="792" spans="9:10" x14ac:dyDescent="0.25">
      <c r="I792" s="37"/>
      <c r="J792" s="35"/>
    </row>
    <row r="793" spans="9:10" x14ac:dyDescent="0.25">
      <c r="I793" s="37"/>
      <c r="J793" s="35"/>
    </row>
    <row r="794" spans="9:10" x14ac:dyDescent="0.25">
      <c r="I794" s="37"/>
      <c r="J794" s="35"/>
    </row>
    <row r="795" spans="9:10" x14ac:dyDescent="0.25">
      <c r="I795" s="37"/>
      <c r="J795" s="35"/>
    </row>
    <row r="796" spans="9:10" x14ac:dyDescent="0.25">
      <c r="I796" s="37"/>
      <c r="J796" s="35"/>
    </row>
    <row r="797" spans="9:10" x14ac:dyDescent="0.25">
      <c r="I797" s="37"/>
      <c r="J797" s="35"/>
    </row>
    <row r="798" spans="9:10" x14ac:dyDescent="0.25">
      <c r="I798" s="37"/>
      <c r="J798" s="35"/>
    </row>
    <row r="799" spans="9:10" x14ac:dyDescent="0.25">
      <c r="I799" s="37"/>
      <c r="J799" s="35"/>
    </row>
    <row r="800" spans="9:10" x14ac:dyDescent="0.25">
      <c r="I800" s="37"/>
      <c r="J800" s="35"/>
    </row>
    <row r="801" spans="9:10" x14ac:dyDescent="0.25">
      <c r="I801" s="37"/>
      <c r="J801" s="35"/>
    </row>
    <row r="802" spans="9:10" x14ac:dyDescent="0.25">
      <c r="I802" s="37"/>
      <c r="J802" s="35"/>
    </row>
    <row r="803" spans="9:10" x14ac:dyDescent="0.25">
      <c r="I803" s="37"/>
      <c r="J803" s="35"/>
    </row>
    <row r="804" spans="9:10" x14ac:dyDescent="0.25">
      <c r="I804" s="37"/>
      <c r="J804" s="35"/>
    </row>
    <row r="805" spans="9:10" x14ac:dyDescent="0.25">
      <c r="I805" s="37"/>
      <c r="J805" s="35"/>
    </row>
    <row r="806" spans="9:10" x14ac:dyDescent="0.25">
      <c r="I806" s="37"/>
      <c r="J806" s="35"/>
    </row>
    <row r="807" spans="9:10" x14ac:dyDescent="0.25">
      <c r="I807" s="37"/>
      <c r="J807" s="35"/>
    </row>
    <row r="808" spans="9:10" x14ac:dyDescent="0.25">
      <c r="I808" s="37"/>
      <c r="J808" s="35"/>
    </row>
    <row r="809" spans="9:10" x14ac:dyDescent="0.25">
      <c r="I809" s="37"/>
      <c r="J809" s="35"/>
    </row>
    <row r="810" spans="9:10" x14ac:dyDescent="0.25">
      <c r="I810" s="37"/>
      <c r="J810" s="35"/>
    </row>
    <row r="811" spans="9:10" x14ac:dyDescent="0.25">
      <c r="I811" s="37"/>
      <c r="J811" s="35"/>
    </row>
    <row r="812" spans="9:10" x14ac:dyDescent="0.25">
      <c r="I812" s="37"/>
      <c r="J812" s="35"/>
    </row>
    <row r="813" spans="9:10" x14ac:dyDescent="0.25">
      <c r="I813" s="37"/>
      <c r="J813" s="35"/>
    </row>
    <row r="814" spans="9:10" x14ac:dyDescent="0.25">
      <c r="I814" s="37"/>
      <c r="J814" s="35"/>
    </row>
    <row r="815" spans="9:10" x14ac:dyDescent="0.25">
      <c r="I815" s="37"/>
      <c r="J815" s="35"/>
    </row>
    <row r="816" spans="9:10" x14ac:dyDescent="0.25">
      <c r="I816" s="37"/>
      <c r="J816" s="35"/>
    </row>
    <row r="817" spans="9:10" x14ac:dyDescent="0.25">
      <c r="I817" s="37"/>
      <c r="J817" s="35"/>
    </row>
    <row r="818" spans="9:10" x14ac:dyDescent="0.25">
      <c r="I818" s="37"/>
      <c r="J818" s="35"/>
    </row>
    <row r="819" spans="9:10" x14ac:dyDescent="0.25">
      <c r="I819" s="37"/>
      <c r="J819" s="35"/>
    </row>
    <row r="820" spans="9:10" x14ac:dyDescent="0.25">
      <c r="I820" s="37"/>
      <c r="J820" s="35"/>
    </row>
    <row r="821" spans="9:10" x14ac:dyDescent="0.25">
      <c r="I821" s="37"/>
      <c r="J821" s="35"/>
    </row>
    <row r="822" spans="9:10" x14ac:dyDescent="0.25">
      <c r="I822" s="37"/>
      <c r="J822" s="35"/>
    </row>
    <row r="823" spans="9:10" x14ac:dyDescent="0.25">
      <c r="I823" s="37"/>
      <c r="J823" s="35"/>
    </row>
    <row r="824" spans="9:10" x14ac:dyDescent="0.25">
      <c r="I824" s="37"/>
      <c r="J824" s="35"/>
    </row>
    <row r="825" spans="9:10" x14ac:dyDescent="0.25">
      <c r="I825" s="37"/>
      <c r="J825" s="35"/>
    </row>
    <row r="826" spans="9:10" x14ac:dyDescent="0.25">
      <c r="I826" s="37"/>
      <c r="J826" s="35"/>
    </row>
    <row r="827" spans="9:10" x14ac:dyDescent="0.25">
      <c r="I827" s="37"/>
      <c r="J827" s="35"/>
    </row>
    <row r="828" spans="9:10" x14ac:dyDescent="0.25">
      <c r="I828" s="37"/>
      <c r="J828" s="35"/>
    </row>
    <row r="829" spans="9:10" x14ac:dyDescent="0.25">
      <c r="I829" s="37"/>
      <c r="J829" s="35"/>
    </row>
    <row r="830" spans="9:10" x14ac:dyDescent="0.25">
      <c r="I830" s="37"/>
      <c r="J830" s="35"/>
    </row>
    <row r="831" spans="9:10" x14ac:dyDescent="0.25">
      <c r="I831" s="37"/>
      <c r="J831" s="35"/>
    </row>
    <row r="832" spans="9:10" x14ac:dyDescent="0.25">
      <c r="I832" s="37"/>
      <c r="J832" s="35"/>
    </row>
    <row r="833" spans="9:10" x14ac:dyDescent="0.25">
      <c r="I833" s="37"/>
      <c r="J833" s="35"/>
    </row>
    <row r="834" spans="9:10" x14ac:dyDescent="0.25">
      <c r="I834" s="37"/>
      <c r="J834" s="35"/>
    </row>
    <row r="835" spans="9:10" x14ac:dyDescent="0.25">
      <c r="I835" s="37"/>
      <c r="J835" s="35"/>
    </row>
    <row r="836" spans="9:10" x14ac:dyDescent="0.25">
      <c r="I836" s="37"/>
      <c r="J836" s="35"/>
    </row>
    <row r="837" spans="9:10" x14ac:dyDescent="0.25">
      <c r="I837" s="37"/>
      <c r="J837" s="35"/>
    </row>
    <row r="838" spans="9:10" x14ac:dyDescent="0.25">
      <c r="I838" s="37"/>
      <c r="J838" s="35"/>
    </row>
    <row r="839" spans="9:10" x14ac:dyDescent="0.25">
      <c r="I839" s="37"/>
      <c r="J839" s="35"/>
    </row>
    <row r="840" spans="9:10" x14ac:dyDescent="0.25">
      <c r="I840" s="37"/>
      <c r="J840" s="35"/>
    </row>
    <row r="841" spans="9:10" x14ac:dyDescent="0.25">
      <c r="I841" s="37"/>
      <c r="J841" s="35"/>
    </row>
    <row r="842" spans="9:10" x14ac:dyDescent="0.25">
      <c r="I842" s="37"/>
      <c r="J842" s="35"/>
    </row>
    <row r="843" spans="9:10" x14ac:dyDescent="0.25">
      <c r="I843" s="37"/>
      <c r="J843" s="35"/>
    </row>
    <row r="844" spans="9:10" x14ac:dyDescent="0.25">
      <c r="I844" s="37"/>
      <c r="J844" s="35"/>
    </row>
    <row r="845" spans="9:10" x14ac:dyDescent="0.25">
      <c r="I845" s="37"/>
      <c r="J845" s="35"/>
    </row>
    <row r="846" spans="9:10" x14ac:dyDescent="0.25">
      <c r="I846" s="37"/>
      <c r="J846" s="35"/>
    </row>
    <row r="847" spans="9:10" x14ac:dyDescent="0.25">
      <c r="I847" s="37"/>
      <c r="J847" s="35"/>
    </row>
    <row r="848" spans="9:10" x14ac:dyDescent="0.25">
      <c r="I848" s="37"/>
      <c r="J848" s="35"/>
    </row>
    <row r="849" spans="9:10" x14ac:dyDescent="0.25">
      <c r="I849" s="37"/>
      <c r="J849" s="35"/>
    </row>
    <row r="850" spans="9:10" x14ac:dyDescent="0.25">
      <c r="I850" s="37"/>
      <c r="J850" s="35"/>
    </row>
    <row r="851" spans="9:10" x14ac:dyDescent="0.25">
      <c r="I851" s="37"/>
      <c r="J851" s="35"/>
    </row>
    <row r="852" spans="9:10" x14ac:dyDescent="0.25">
      <c r="I852" s="37"/>
      <c r="J852" s="35"/>
    </row>
    <row r="853" spans="9:10" x14ac:dyDescent="0.25">
      <c r="I853" s="37"/>
      <c r="J853" s="35"/>
    </row>
    <row r="854" spans="9:10" x14ac:dyDescent="0.25">
      <c r="I854" s="37"/>
      <c r="J854" s="35"/>
    </row>
    <row r="855" spans="9:10" x14ac:dyDescent="0.25">
      <c r="I855" s="37"/>
      <c r="J855" s="35"/>
    </row>
    <row r="856" spans="9:10" x14ac:dyDescent="0.25">
      <c r="I856" s="37"/>
      <c r="J856" s="35"/>
    </row>
    <row r="857" spans="9:10" x14ac:dyDescent="0.25">
      <c r="I857" s="37"/>
      <c r="J857" s="35"/>
    </row>
    <row r="858" spans="9:10" x14ac:dyDescent="0.25">
      <c r="I858" s="37"/>
      <c r="J858" s="35"/>
    </row>
    <row r="859" spans="9:10" x14ac:dyDescent="0.25">
      <c r="I859" s="37"/>
      <c r="J859" s="35"/>
    </row>
    <row r="860" spans="9:10" x14ac:dyDescent="0.25">
      <c r="I860" s="37"/>
      <c r="J860" s="35"/>
    </row>
    <row r="861" spans="9:10" x14ac:dyDescent="0.25">
      <c r="I861" s="37"/>
      <c r="J861" s="35"/>
    </row>
    <row r="862" spans="9:10" x14ac:dyDescent="0.25">
      <c r="I862" s="37"/>
      <c r="J862" s="35"/>
    </row>
    <row r="863" spans="9:10" x14ac:dyDescent="0.25">
      <c r="I863" s="37"/>
      <c r="J863" s="35"/>
    </row>
    <row r="864" spans="9:10" x14ac:dyDescent="0.25">
      <c r="I864" s="37"/>
      <c r="J864" s="35"/>
    </row>
    <row r="865" spans="9:10" x14ac:dyDescent="0.25">
      <c r="I865" s="37"/>
      <c r="J865" s="35"/>
    </row>
    <row r="866" spans="9:10" x14ac:dyDescent="0.25">
      <c r="I866" s="37"/>
      <c r="J866" s="35"/>
    </row>
    <row r="867" spans="9:10" x14ac:dyDescent="0.25">
      <c r="I867" s="37"/>
      <c r="J867" s="35"/>
    </row>
    <row r="868" spans="9:10" x14ac:dyDescent="0.25">
      <c r="I868" s="37"/>
      <c r="J868" s="35"/>
    </row>
    <row r="869" spans="9:10" x14ac:dyDescent="0.25">
      <c r="I869" s="37"/>
      <c r="J869" s="35"/>
    </row>
    <row r="870" spans="9:10" x14ac:dyDescent="0.25">
      <c r="I870" s="37"/>
      <c r="J870" s="35"/>
    </row>
    <row r="871" spans="9:10" x14ac:dyDescent="0.25">
      <c r="I871" s="37"/>
      <c r="J871" s="35"/>
    </row>
    <row r="872" spans="9:10" x14ac:dyDescent="0.25">
      <c r="I872" s="37"/>
      <c r="J872" s="35"/>
    </row>
    <row r="873" spans="9:10" x14ac:dyDescent="0.25">
      <c r="I873" s="37"/>
      <c r="J873" s="35"/>
    </row>
    <row r="874" spans="9:10" x14ac:dyDescent="0.25">
      <c r="I874" s="37"/>
      <c r="J874" s="35"/>
    </row>
    <row r="875" spans="9:10" x14ac:dyDescent="0.25">
      <c r="I875" s="37"/>
      <c r="J875" s="35"/>
    </row>
    <row r="876" spans="9:10" x14ac:dyDescent="0.25">
      <c r="I876" s="37"/>
      <c r="J876" s="35"/>
    </row>
    <row r="877" spans="9:10" x14ac:dyDescent="0.25">
      <c r="I877" s="37"/>
      <c r="J877" s="35"/>
    </row>
    <row r="878" spans="9:10" x14ac:dyDescent="0.25">
      <c r="I878" s="37"/>
      <c r="J878" s="35"/>
    </row>
    <row r="879" spans="9:10" x14ac:dyDescent="0.25">
      <c r="I879" s="37"/>
      <c r="J879" s="35"/>
    </row>
    <row r="880" spans="9:10" x14ac:dyDescent="0.25">
      <c r="I880" s="37"/>
      <c r="J880" s="35"/>
    </row>
    <row r="881" spans="9:10" x14ac:dyDescent="0.25">
      <c r="I881" s="37"/>
      <c r="J881" s="35"/>
    </row>
    <row r="882" spans="9:10" x14ac:dyDescent="0.25">
      <c r="I882" s="37"/>
      <c r="J882" s="35"/>
    </row>
    <row r="883" spans="9:10" x14ac:dyDescent="0.25">
      <c r="I883" s="37"/>
      <c r="J883" s="35"/>
    </row>
    <row r="884" spans="9:10" x14ac:dyDescent="0.25">
      <c r="I884" s="37"/>
      <c r="J884" s="35"/>
    </row>
    <row r="885" spans="9:10" x14ac:dyDescent="0.25">
      <c r="I885" s="37"/>
      <c r="J885" s="35"/>
    </row>
    <row r="886" spans="9:10" x14ac:dyDescent="0.25">
      <c r="I886" s="37"/>
      <c r="J886" s="35"/>
    </row>
    <row r="887" spans="9:10" x14ac:dyDescent="0.25">
      <c r="I887" s="37"/>
      <c r="J887" s="35"/>
    </row>
    <row r="888" spans="9:10" x14ac:dyDescent="0.25">
      <c r="I888" s="37"/>
      <c r="J888" s="35"/>
    </row>
    <row r="889" spans="9:10" x14ac:dyDescent="0.25">
      <c r="I889" s="37"/>
      <c r="J889" s="35"/>
    </row>
    <row r="890" spans="9:10" x14ac:dyDescent="0.25">
      <c r="I890" s="37"/>
      <c r="J890" s="35"/>
    </row>
    <row r="891" spans="9:10" x14ac:dyDescent="0.25">
      <c r="I891" s="37"/>
      <c r="J891" s="35"/>
    </row>
    <row r="892" spans="9:10" x14ac:dyDescent="0.25">
      <c r="I892" s="37"/>
      <c r="J892" s="35"/>
    </row>
    <row r="893" spans="9:10" x14ac:dyDescent="0.25">
      <c r="I893" s="37"/>
      <c r="J893" s="35"/>
    </row>
    <row r="894" spans="9:10" x14ac:dyDescent="0.25">
      <c r="I894" s="37"/>
      <c r="J894" s="35"/>
    </row>
    <row r="895" spans="9:10" x14ac:dyDescent="0.25">
      <c r="I895" s="37"/>
      <c r="J895" s="35"/>
    </row>
    <row r="896" spans="9:10" x14ac:dyDescent="0.25">
      <c r="I896" s="37"/>
      <c r="J896" s="35"/>
    </row>
    <row r="897" spans="9:10" x14ac:dyDescent="0.25">
      <c r="I897" s="37"/>
      <c r="J897" s="35"/>
    </row>
    <row r="898" spans="9:10" x14ac:dyDescent="0.25">
      <c r="I898" s="37"/>
      <c r="J898" s="35"/>
    </row>
    <row r="899" spans="9:10" x14ac:dyDescent="0.25">
      <c r="I899" s="37"/>
      <c r="J899" s="35"/>
    </row>
    <row r="900" spans="9:10" x14ac:dyDescent="0.25">
      <c r="I900" s="37"/>
      <c r="J900" s="35"/>
    </row>
    <row r="901" spans="9:10" x14ac:dyDescent="0.25">
      <c r="I901" s="37"/>
      <c r="J901" s="35"/>
    </row>
    <row r="902" spans="9:10" x14ac:dyDescent="0.25">
      <c r="I902" s="37"/>
      <c r="J902" s="35"/>
    </row>
    <row r="903" spans="9:10" x14ac:dyDescent="0.25">
      <c r="I903" s="37"/>
      <c r="J903" s="35"/>
    </row>
    <row r="904" spans="9:10" x14ac:dyDescent="0.25">
      <c r="I904" s="37"/>
      <c r="J904" s="35"/>
    </row>
    <row r="905" spans="9:10" x14ac:dyDescent="0.25">
      <c r="I905" s="37"/>
      <c r="J905" s="35"/>
    </row>
    <row r="906" spans="9:10" x14ac:dyDescent="0.25">
      <c r="I906" s="37"/>
      <c r="J906" s="35"/>
    </row>
    <row r="907" spans="9:10" x14ac:dyDescent="0.25">
      <c r="I907" s="37"/>
      <c r="J907" s="35"/>
    </row>
    <row r="908" spans="9:10" x14ac:dyDescent="0.25">
      <c r="I908" s="37"/>
      <c r="J908" s="35"/>
    </row>
    <row r="909" spans="9:10" x14ac:dyDescent="0.25">
      <c r="I909" s="37"/>
      <c r="J909" s="35"/>
    </row>
    <row r="910" spans="9:10" x14ac:dyDescent="0.25">
      <c r="I910" s="37"/>
      <c r="J910" s="35"/>
    </row>
    <row r="911" spans="9:10" x14ac:dyDescent="0.25">
      <c r="I911" s="37"/>
      <c r="J911" s="35"/>
    </row>
    <row r="912" spans="9:10" x14ac:dyDescent="0.25">
      <c r="I912" s="37"/>
      <c r="J912" s="35"/>
    </row>
    <row r="913" spans="9:10" x14ac:dyDescent="0.25">
      <c r="I913" s="37"/>
      <c r="J913" s="35"/>
    </row>
    <row r="914" spans="9:10" x14ac:dyDescent="0.25">
      <c r="I914" s="37"/>
      <c r="J914" s="35"/>
    </row>
    <row r="915" spans="9:10" x14ac:dyDescent="0.25">
      <c r="I915" s="37"/>
      <c r="J915" s="35"/>
    </row>
    <row r="916" spans="9:10" x14ac:dyDescent="0.25">
      <c r="I916" s="37"/>
      <c r="J916" s="35"/>
    </row>
    <row r="917" spans="9:10" x14ac:dyDescent="0.25">
      <c r="I917" s="37"/>
      <c r="J917" s="35"/>
    </row>
    <row r="918" spans="9:10" x14ac:dyDescent="0.25">
      <c r="I918" s="37"/>
      <c r="J918" s="35"/>
    </row>
    <row r="919" spans="9:10" x14ac:dyDescent="0.25">
      <c r="I919" s="37"/>
      <c r="J919" s="35"/>
    </row>
    <row r="920" spans="9:10" x14ac:dyDescent="0.25">
      <c r="I920" s="37"/>
      <c r="J920" s="35"/>
    </row>
    <row r="921" spans="9:10" x14ac:dyDescent="0.25">
      <c r="I921" s="37"/>
      <c r="J921" s="35"/>
    </row>
    <row r="922" spans="9:10" x14ac:dyDescent="0.25">
      <c r="I922" s="37"/>
      <c r="J922" s="35"/>
    </row>
    <row r="923" spans="9:10" x14ac:dyDescent="0.25">
      <c r="I923" s="37"/>
      <c r="J923" s="35"/>
    </row>
    <row r="924" spans="9:10" x14ac:dyDescent="0.25">
      <c r="I924" s="37"/>
      <c r="J924" s="35"/>
    </row>
    <row r="925" spans="9:10" x14ac:dyDescent="0.25">
      <c r="I925" s="37"/>
      <c r="J925" s="35"/>
    </row>
    <row r="926" spans="9:10" x14ac:dyDescent="0.25">
      <c r="I926" s="37"/>
      <c r="J926" s="35"/>
    </row>
    <row r="927" spans="9:10" x14ac:dyDescent="0.25">
      <c r="I927" s="37"/>
      <c r="J927" s="35"/>
    </row>
    <row r="928" spans="9:10" x14ac:dyDescent="0.25">
      <c r="I928" s="37"/>
      <c r="J928" s="35"/>
    </row>
    <row r="929" spans="9:10" x14ac:dyDescent="0.25">
      <c r="I929" s="37"/>
      <c r="J929" s="35"/>
    </row>
    <row r="930" spans="9:10" x14ac:dyDescent="0.25">
      <c r="I930" s="37"/>
      <c r="J930" s="35"/>
    </row>
    <row r="931" spans="9:10" x14ac:dyDescent="0.25">
      <c r="I931" s="37"/>
      <c r="J931" s="35"/>
    </row>
    <row r="932" spans="9:10" x14ac:dyDescent="0.25">
      <c r="I932" s="37"/>
      <c r="J932" s="35"/>
    </row>
    <row r="933" spans="9:10" x14ac:dyDescent="0.25">
      <c r="I933" s="37"/>
      <c r="J933" s="35"/>
    </row>
    <row r="934" spans="9:10" x14ac:dyDescent="0.25">
      <c r="I934" s="37"/>
      <c r="J934" s="35"/>
    </row>
    <row r="935" spans="9:10" x14ac:dyDescent="0.25">
      <c r="I935" s="37"/>
      <c r="J935" s="35"/>
    </row>
    <row r="936" spans="9:10" x14ac:dyDescent="0.25">
      <c r="I936" s="37"/>
      <c r="J936" s="35"/>
    </row>
    <row r="937" spans="9:10" x14ac:dyDescent="0.25">
      <c r="I937" s="37"/>
      <c r="J937" s="35"/>
    </row>
    <row r="938" spans="9:10" x14ac:dyDescent="0.25">
      <c r="I938" s="37"/>
      <c r="J938" s="35"/>
    </row>
    <row r="939" spans="9:10" x14ac:dyDescent="0.25">
      <c r="I939" s="37"/>
      <c r="J939" s="35"/>
    </row>
    <row r="940" spans="9:10" x14ac:dyDescent="0.25">
      <c r="I940" s="37"/>
      <c r="J940" s="35"/>
    </row>
    <row r="941" spans="9:10" x14ac:dyDescent="0.25">
      <c r="I941" s="37"/>
      <c r="J941" s="35"/>
    </row>
    <row r="942" spans="9:10" x14ac:dyDescent="0.25">
      <c r="I942" s="37"/>
      <c r="J942" s="35"/>
    </row>
    <row r="943" spans="9:10" x14ac:dyDescent="0.25">
      <c r="I943" s="37"/>
      <c r="J943" s="35"/>
    </row>
    <row r="944" spans="9:10" x14ac:dyDescent="0.25">
      <c r="I944" s="37"/>
      <c r="J944" s="35"/>
    </row>
    <row r="945" spans="9:10" x14ac:dyDescent="0.25">
      <c r="I945" s="37"/>
      <c r="J945" s="35"/>
    </row>
    <row r="946" spans="9:10" x14ac:dyDescent="0.25">
      <c r="I946" s="37"/>
      <c r="J946" s="35"/>
    </row>
    <row r="947" spans="9:10" x14ac:dyDescent="0.25">
      <c r="I947" s="37"/>
      <c r="J947" s="35"/>
    </row>
    <row r="948" spans="9:10" x14ac:dyDescent="0.25">
      <c r="I948" s="37"/>
      <c r="J948" s="35"/>
    </row>
    <row r="949" spans="9:10" x14ac:dyDescent="0.25">
      <c r="I949" s="37"/>
      <c r="J949" s="35"/>
    </row>
    <row r="950" spans="9:10" x14ac:dyDescent="0.25">
      <c r="I950" s="37"/>
      <c r="J950" s="35"/>
    </row>
    <row r="951" spans="9:10" x14ac:dyDescent="0.25">
      <c r="I951" s="37"/>
      <c r="J951" s="35"/>
    </row>
    <row r="952" spans="9:10" x14ac:dyDescent="0.25">
      <c r="I952" s="37"/>
      <c r="J952" s="35"/>
    </row>
    <row r="953" spans="9:10" x14ac:dyDescent="0.25">
      <c r="I953" s="37"/>
      <c r="J953" s="35"/>
    </row>
    <row r="954" spans="9:10" x14ac:dyDescent="0.25">
      <c r="I954" s="37"/>
      <c r="J954" s="35"/>
    </row>
    <row r="955" spans="9:10" x14ac:dyDescent="0.25">
      <c r="I955" s="37"/>
      <c r="J955" s="35"/>
    </row>
    <row r="956" spans="9:10" x14ac:dyDescent="0.25">
      <c r="I956" s="37"/>
      <c r="J956" s="35"/>
    </row>
    <row r="957" spans="9:10" x14ac:dyDescent="0.25">
      <c r="I957" s="37"/>
      <c r="J957" s="35"/>
    </row>
    <row r="958" spans="9:10" x14ac:dyDescent="0.25">
      <c r="I958" s="37"/>
      <c r="J958" s="35"/>
    </row>
    <row r="959" spans="9:10" x14ac:dyDescent="0.25">
      <c r="I959" s="37"/>
      <c r="J959" s="35"/>
    </row>
    <row r="960" spans="9:10" x14ac:dyDescent="0.25">
      <c r="I960" s="37"/>
      <c r="J960" s="35"/>
    </row>
    <row r="961" spans="9:10" x14ac:dyDescent="0.25">
      <c r="I961" s="37"/>
      <c r="J961" s="35"/>
    </row>
    <row r="962" spans="9:10" x14ac:dyDescent="0.25">
      <c r="I962" s="37"/>
      <c r="J962" s="35"/>
    </row>
    <row r="963" spans="9:10" x14ac:dyDescent="0.25">
      <c r="I963" s="37"/>
      <c r="J963" s="35"/>
    </row>
    <row r="964" spans="9:10" x14ac:dyDescent="0.25">
      <c r="I964" s="37"/>
      <c r="J964" s="35"/>
    </row>
    <row r="965" spans="9:10" x14ac:dyDescent="0.25">
      <c r="I965" s="37"/>
      <c r="J965" s="35"/>
    </row>
    <row r="966" spans="9:10" x14ac:dyDescent="0.25">
      <c r="I966" s="37"/>
      <c r="J966" s="35"/>
    </row>
    <row r="967" spans="9:10" x14ac:dyDescent="0.25">
      <c r="I967" s="37"/>
      <c r="J967" s="35"/>
    </row>
    <row r="968" spans="9:10" x14ac:dyDescent="0.25">
      <c r="I968" s="37"/>
      <c r="J968" s="35"/>
    </row>
    <row r="969" spans="9:10" x14ac:dyDescent="0.25">
      <c r="I969" s="37"/>
      <c r="J969" s="35"/>
    </row>
    <row r="970" spans="9:10" x14ac:dyDescent="0.25">
      <c r="I970" s="37"/>
      <c r="J970" s="35"/>
    </row>
    <row r="971" spans="9:10" x14ac:dyDescent="0.25">
      <c r="I971" s="37"/>
      <c r="J971" s="35"/>
    </row>
    <row r="972" spans="9:10" x14ac:dyDescent="0.25">
      <c r="I972" s="37"/>
      <c r="J972" s="35"/>
    </row>
    <row r="973" spans="9:10" x14ac:dyDescent="0.25">
      <c r="I973" s="37"/>
      <c r="J973" s="35"/>
    </row>
    <row r="974" spans="9:10" x14ac:dyDescent="0.25">
      <c r="I974" s="37"/>
      <c r="J974" s="35"/>
    </row>
    <row r="975" spans="9:10" x14ac:dyDescent="0.25">
      <c r="I975" s="37"/>
      <c r="J975" s="35"/>
    </row>
    <row r="976" spans="9:10" x14ac:dyDescent="0.25">
      <c r="I976" s="37"/>
      <c r="J976" s="35"/>
    </row>
    <row r="977" spans="9:10" x14ac:dyDescent="0.25">
      <c r="I977" s="37"/>
      <c r="J977" s="35"/>
    </row>
    <row r="978" spans="9:10" x14ac:dyDescent="0.25">
      <c r="I978" s="37"/>
      <c r="J978" s="35"/>
    </row>
    <row r="979" spans="9:10" x14ac:dyDescent="0.25">
      <c r="I979" s="37"/>
      <c r="J979" s="35"/>
    </row>
    <row r="980" spans="9:10" x14ac:dyDescent="0.25">
      <c r="I980" s="37"/>
      <c r="J980" s="35"/>
    </row>
    <row r="981" spans="9:10" x14ac:dyDescent="0.25">
      <c r="I981" s="37"/>
      <c r="J981" s="35"/>
    </row>
    <row r="982" spans="9:10" x14ac:dyDescent="0.25">
      <c r="I982" s="37"/>
      <c r="J982" s="35"/>
    </row>
    <row r="983" spans="9:10" x14ac:dyDescent="0.25">
      <c r="I983" s="37"/>
      <c r="J983" s="35"/>
    </row>
    <row r="984" spans="9:10" x14ac:dyDescent="0.25">
      <c r="I984" s="37"/>
      <c r="J984" s="35"/>
    </row>
    <row r="985" spans="9:10" x14ac:dyDescent="0.25">
      <c r="I985" s="37"/>
      <c r="J985" s="35"/>
    </row>
    <row r="986" spans="9:10" x14ac:dyDescent="0.25">
      <c r="I986" s="37"/>
      <c r="J986" s="35"/>
    </row>
    <row r="987" spans="9:10" x14ac:dyDescent="0.25">
      <c r="I987" s="37"/>
      <c r="J987" s="35"/>
    </row>
    <row r="988" spans="9:10" x14ac:dyDescent="0.25">
      <c r="I988" s="37"/>
      <c r="J988" s="35"/>
    </row>
    <row r="989" spans="9:10" x14ac:dyDescent="0.25">
      <c r="I989" s="37"/>
      <c r="J989" s="35"/>
    </row>
    <row r="990" spans="9:10" x14ac:dyDescent="0.25">
      <c r="I990" s="37"/>
      <c r="J990" s="35"/>
    </row>
    <row r="991" spans="9:10" x14ac:dyDescent="0.25">
      <c r="I991" s="37"/>
      <c r="J991" s="35"/>
    </row>
    <row r="992" spans="9:10" x14ac:dyDescent="0.25">
      <c r="I992" s="37"/>
      <c r="J992" s="35"/>
    </row>
    <row r="993" spans="9:10" x14ac:dyDescent="0.25">
      <c r="I993" s="37"/>
      <c r="J993" s="35"/>
    </row>
    <row r="994" spans="9:10" x14ac:dyDescent="0.25">
      <c r="I994" s="37"/>
      <c r="J994" s="35"/>
    </row>
    <row r="995" spans="9:10" x14ac:dyDescent="0.25">
      <c r="I995" s="37"/>
      <c r="J995" s="35"/>
    </row>
    <row r="996" spans="9:10" x14ac:dyDescent="0.25">
      <c r="I996" s="37"/>
      <c r="J996" s="35"/>
    </row>
    <row r="997" spans="9:10" x14ac:dyDescent="0.25">
      <c r="I997" s="37"/>
      <c r="J997" s="35"/>
    </row>
    <row r="998" spans="9:10" x14ac:dyDescent="0.25">
      <c r="I998" s="37"/>
      <c r="J998" s="35"/>
    </row>
    <row r="999" spans="9:10" x14ac:dyDescent="0.25">
      <c r="I999" s="37"/>
      <c r="J999" s="35"/>
    </row>
    <row r="1000" spans="9:10" x14ac:dyDescent="0.25">
      <c r="I1000" s="37"/>
      <c r="J1000" s="35"/>
    </row>
    <row r="1001" spans="9:10" x14ac:dyDescent="0.25">
      <c r="I1001" s="37"/>
      <c r="J1001" s="35"/>
    </row>
    <row r="1002" spans="9:10" x14ac:dyDescent="0.25">
      <c r="I1002" s="37"/>
      <c r="J1002" s="35"/>
    </row>
    <row r="1003" spans="9:10" x14ac:dyDescent="0.25">
      <c r="I1003" s="37"/>
      <c r="J1003" s="35"/>
    </row>
    <row r="1004" spans="9:10" x14ac:dyDescent="0.25">
      <c r="I1004" s="37"/>
      <c r="J1004" s="35"/>
    </row>
    <row r="1005" spans="9:10" x14ac:dyDescent="0.25">
      <c r="I1005" s="37"/>
      <c r="J1005" s="35"/>
    </row>
    <row r="1006" spans="9:10" x14ac:dyDescent="0.25">
      <c r="I1006" s="37"/>
      <c r="J1006" s="35"/>
    </row>
    <row r="1007" spans="9:10" x14ac:dyDescent="0.25">
      <c r="I1007" s="37"/>
      <c r="J1007" s="35"/>
    </row>
    <row r="1008" spans="9:10" x14ac:dyDescent="0.25">
      <c r="I1008" s="37"/>
      <c r="J1008" s="35"/>
    </row>
    <row r="1009" spans="9:10" x14ac:dyDescent="0.25">
      <c r="I1009" s="37"/>
      <c r="J1009" s="35"/>
    </row>
    <row r="1010" spans="9:10" x14ac:dyDescent="0.25">
      <c r="I1010" s="37"/>
      <c r="J1010" s="35"/>
    </row>
    <row r="1011" spans="9:10" x14ac:dyDescent="0.25">
      <c r="I1011" s="37"/>
      <c r="J1011" s="35"/>
    </row>
    <row r="1012" spans="9:10" x14ac:dyDescent="0.25">
      <c r="I1012" s="37"/>
      <c r="J1012" s="35"/>
    </row>
    <row r="1013" spans="9:10" x14ac:dyDescent="0.25">
      <c r="I1013" s="37"/>
      <c r="J1013" s="35"/>
    </row>
    <row r="1014" spans="9:10" x14ac:dyDescent="0.25">
      <c r="I1014" s="37"/>
      <c r="J1014" s="35"/>
    </row>
    <row r="1015" spans="9:10" x14ac:dyDescent="0.25">
      <c r="I1015" s="37"/>
      <c r="J1015" s="35"/>
    </row>
    <row r="1016" spans="9:10" x14ac:dyDescent="0.25">
      <c r="I1016" s="37"/>
      <c r="J1016" s="35"/>
    </row>
    <row r="1017" spans="9:10" x14ac:dyDescent="0.25">
      <c r="I1017" s="37"/>
      <c r="J1017" s="35"/>
    </row>
    <row r="1018" spans="9:10" x14ac:dyDescent="0.25">
      <c r="I1018" s="37"/>
      <c r="J1018" s="35"/>
    </row>
    <row r="1019" spans="9:10" x14ac:dyDescent="0.25">
      <c r="I1019" s="37"/>
      <c r="J1019" s="35"/>
    </row>
    <row r="1020" spans="9:10" x14ac:dyDescent="0.25">
      <c r="I1020" s="37"/>
      <c r="J1020" s="35"/>
    </row>
    <row r="1021" spans="9:10" x14ac:dyDescent="0.25">
      <c r="I1021" s="37"/>
      <c r="J1021" s="35"/>
    </row>
    <row r="1022" spans="9:10" x14ac:dyDescent="0.25">
      <c r="I1022" s="37"/>
      <c r="J1022" s="35"/>
    </row>
    <row r="1023" spans="9:10" x14ac:dyDescent="0.25">
      <c r="I1023" s="37"/>
      <c r="J1023" s="35"/>
    </row>
    <row r="1024" spans="9:10" x14ac:dyDescent="0.25">
      <c r="I1024" s="37"/>
      <c r="J1024" s="35"/>
    </row>
    <row r="1025" spans="9:10" x14ac:dyDescent="0.25">
      <c r="I1025" s="37"/>
      <c r="J1025" s="35"/>
    </row>
    <row r="1026" spans="9:10" x14ac:dyDescent="0.25">
      <c r="I1026" s="37"/>
      <c r="J1026" s="35"/>
    </row>
    <row r="1027" spans="9:10" x14ac:dyDescent="0.25">
      <c r="I1027" s="37"/>
      <c r="J1027" s="35"/>
    </row>
    <row r="1028" spans="9:10" x14ac:dyDescent="0.25">
      <c r="I1028" s="37"/>
      <c r="J1028" s="35"/>
    </row>
    <row r="1029" spans="9:10" x14ac:dyDescent="0.25">
      <c r="I1029" s="37"/>
      <c r="J1029" s="35"/>
    </row>
    <row r="1030" spans="9:10" x14ac:dyDescent="0.25">
      <c r="I1030" s="37"/>
      <c r="J1030" s="35"/>
    </row>
    <row r="1031" spans="9:10" x14ac:dyDescent="0.25">
      <c r="I1031" s="37"/>
      <c r="J1031" s="35"/>
    </row>
    <row r="1032" spans="9:10" x14ac:dyDescent="0.25">
      <c r="I1032" s="37"/>
      <c r="J1032" s="35"/>
    </row>
    <row r="1033" spans="9:10" x14ac:dyDescent="0.25">
      <c r="I1033" s="37"/>
      <c r="J1033" s="35"/>
    </row>
    <row r="1034" spans="9:10" x14ac:dyDescent="0.25">
      <c r="I1034" s="37"/>
      <c r="J1034" s="35"/>
    </row>
    <row r="1035" spans="9:10" x14ac:dyDescent="0.25">
      <c r="I1035" s="37"/>
      <c r="J1035" s="35"/>
    </row>
    <row r="1036" spans="9:10" x14ac:dyDescent="0.25">
      <c r="I1036" s="37"/>
      <c r="J1036" s="35"/>
    </row>
    <row r="1037" spans="9:10" x14ac:dyDescent="0.25">
      <c r="I1037" s="37"/>
      <c r="J1037" s="35"/>
    </row>
    <row r="1038" spans="9:10" x14ac:dyDescent="0.25">
      <c r="I1038" s="37"/>
      <c r="J1038" s="35"/>
    </row>
    <row r="1039" spans="9:10" x14ac:dyDescent="0.25">
      <c r="I1039" s="37"/>
      <c r="J1039" s="35"/>
    </row>
    <row r="1040" spans="9:10" x14ac:dyDescent="0.25">
      <c r="I1040" s="37"/>
      <c r="J1040" s="35"/>
    </row>
    <row r="1041" spans="9:10" x14ac:dyDescent="0.25">
      <c r="I1041" s="37"/>
      <c r="J1041" s="35"/>
    </row>
    <row r="1042" spans="9:10" x14ac:dyDescent="0.25">
      <c r="I1042" s="37"/>
      <c r="J1042" s="35"/>
    </row>
    <row r="1043" spans="9:10" x14ac:dyDescent="0.25">
      <c r="I1043" s="37"/>
      <c r="J1043" s="35"/>
    </row>
    <row r="1044" spans="9:10" x14ac:dyDescent="0.25">
      <c r="I1044" s="37"/>
      <c r="J1044" s="35"/>
    </row>
    <row r="1045" spans="9:10" x14ac:dyDescent="0.25">
      <c r="I1045" s="37"/>
      <c r="J1045" s="35"/>
    </row>
    <row r="1046" spans="9:10" x14ac:dyDescent="0.25">
      <c r="I1046" s="37"/>
      <c r="J1046" s="35"/>
    </row>
    <row r="1047" spans="9:10" x14ac:dyDescent="0.25">
      <c r="I1047" s="37"/>
      <c r="J1047" s="35"/>
    </row>
    <row r="1048" spans="9:10" x14ac:dyDescent="0.25">
      <c r="I1048" s="37"/>
      <c r="J1048" s="35"/>
    </row>
    <row r="1049" spans="9:10" x14ac:dyDescent="0.25">
      <c r="I1049" s="37"/>
      <c r="J1049" s="35"/>
    </row>
    <row r="1050" spans="9:10" x14ac:dyDescent="0.25">
      <c r="I1050" s="37"/>
      <c r="J1050" s="35"/>
    </row>
    <row r="1051" spans="9:10" x14ac:dyDescent="0.25">
      <c r="I1051" s="37"/>
      <c r="J1051" s="35"/>
    </row>
    <row r="1052" spans="9:10" x14ac:dyDescent="0.25">
      <c r="I1052" s="37"/>
      <c r="J1052" s="35"/>
    </row>
    <row r="1053" spans="9:10" x14ac:dyDescent="0.25">
      <c r="I1053" s="37"/>
      <c r="J1053" s="35"/>
    </row>
    <row r="1054" spans="9:10" x14ac:dyDescent="0.25">
      <c r="I1054" s="37"/>
      <c r="J1054" s="35"/>
    </row>
    <row r="1055" spans="9:10" x14ac:dyDescent="0.25">
      <c r="I1055" s="37"/>
      <c r="J1055" s="35"/>
    </row>
    <row r="1056" spans="9:10" x14ac:dyDescent="0.25">
      <c r="I1056" s="37"/>
      <c r="J1056" s="35"/>
    </row>
    <row r="1057" spans="9:10" x14ac:dyDescent="0.25">
      <c r="I1057" s="37"/>
      <c r="J1057" s="35"/>
    </row>
    <row r="1058" spans="9:10" x14ac:dyDescent="0.25">
      <c r="I1058" s="37"/>
      <c r="J1058" s="35"/>
    </row>
    <row r="1059" spans="9:10" x14ac:dyDescent="0.25">
      <c r="I1059" s="37"/>
      <c r="J1059" s="35"/>
    </row>
    <row r="1060" spans="9:10" x14ac:dyDescent="0.25">
      <c r="I1060" s="37"/>
      <c r="J1060" s="35"/>
    </row>
    <row r="1061" spans="9:10" x14ac:dyDescent="0.25">
      <c r="I1061" s="37"/>
      <c r="J1061" s="35"/>
    </row>
    <row r="1062" spans="9:10" x14ac:dyDescent="0.25">
      <c r="I1062" s="37"/>
      <c r="J1062" s="35"/>
    </row>
    <row r="1063" spans="9:10" x14ac:dyDescent="0.25">
      <c r="I1063" s="37"/>
      <c r="J1063" s="35"/>
    </row>
    <row r="1064" spans="9:10" x14ac:dyDescent="0.25">
      <c r="I1064" s="37"/>
      <c r="J1064" s="35"/>
    </row>
    <row r="1065" spans="9:10" x14ac:dyDescent="0.25">
      <c r="I1065" s="37"/>
      <c r="J1065" s="35"/>
    </row>
    <row r="1066" spans="9:10" x14ac:dyDescent="0.25">
      <c r="I1066" s="37"/>
      <c r="J1066" s="35"/>
    </row>
    <row r="1067" spans="9:10" x14ac:dyDescent="0.25">
      <c r="I1067" s="37"/>
      <c r="J1067" s="35"/>
    </row>
    <row r="1068" spans="9:10" x14ac:dyDescent="0.25">
      <c r="I1068" s="37"/>
      <c r="J1068" s="35"/>
    </row>
    <row r="1069" spans="9:10" x14ac:dyDescent="0.25">
      <c r="I1069" s="37"/>
      <c r="J1069" s="35"/>
    </row>
    <row r="1070" spans="9:10" x14ac:dyDescent="0.25">
      <c r="I1070" s="37"/>
      <c r="J1070" s="35"/>
    </row>
    <row r="1071" spans="9:10" x14ac:dyDescent="0.25">
      <c r="I1071" s="37"/>
      <c r="J1071" s="35"/>
    </row>
    <row r="1072" spans="9:10" x14ac:dyDescent="0.25">
      <c r="I1072" s="37"/>
      <c r="J1072" s="35"/>
    </row>
    <row r="1073" spans="9:10" x14ac:dyDescent="0.25">
      <c r="I1073" s="37"/>
      <c r="J1073" s="35"/>
    </row>
    <row r="1074" spans="9:10" x14ac:dyDescent="0.25">
      <c r="I1074" s="37"/>
      <c r="J1074" s="35"/>
    </row>
    <row r="1075" spans="9:10" x14ac:dyDescent="0.25">
      <c r="I1075" s="37"/>
      <c r="J1075" s="35"/>
    </row>
    <row r="1076" spans="9:10" x14ac:dyDescent="0.25">
      <c r="I1076" s="37"/>
      <c r="J1076" s="35"/>
    </row>
    <row r="1077" spans="9:10" x14ac:dyDescent="0.25">
      <c r="I1077" s="37"/>
      <c r="J1077" s="35"/>
    </row>
    <row r="1078" spans="9:10" x14ac:dyDescent="0.25">
      <c r="I1078" s="37"/>
      <c r="J1078" s="35"/>
    </row>
    <row r="1079" spans="9:10" x14ac:dyDescent="0.25">
      <c r="I1079" s="37"/>
      <c r="J1079" s="35"/>
    </row>
    <row r="1080" spans="9:10" x14ac:dyDescent="0.25">
      <c r="I1080" s="37"/>
      <c r="J1080" s="35"/>
    </row>
    <row r="1081" spans="9:10" x14ac:dyDescent="0.25">
      <c r="I1081" s="37"/>
      <c r="J1081" s="35"/>
    </row>
    <row r="1082" spans="9:10" x14ac:dyDescent="0.25">
      <c r="I1082" s="37"/>
      <c r="J1082" s="35"/>
    </row>
    <row r="1083" spans="9:10" x14ac:dyDescent="0.25">
      <c r="I1083" s="37"/>
      <c r="J1083" s="35"/>
    </row>
    <row r="1084" spans="9:10" x14ac:dyDescent="0.25">
      <c r="I1084" s="37"/>
      <c r="J1084" s="35"/>
    </row>
    <row r="1085" spans="9:10" x14ac:dyDescent="0.25">
      <c r="I1085" s="37"/>
      <c r="J1085" s="35"/>
    </row>
    <row r="1086" spans="9:10" x14ac:dyDescent="0.25">
      <c r="I1086" s="37"/>
      <c r="J1086" s="35"/>
    </row>
    <row r="1087" spans="9:10" x14ac:dyDescent="0.25">
      <c r="I1087" s="37"/>
      <c r="J1087" s="35"/>
    </row>
    <row r="1088" spans="9:10" x14ac:dyDescent="0.25">
      <c r="I1088" s="37"/>
      <c r="J1088" s="35"/>
    </row>
    <row r="1089" spans="9:10" x14ac:dyDescent="0.25">
      <c r="I1089" s="37"/>
      <c r="J1089" s="35"/>
    </row>
    <row r="1090" spans="9:10" x14ac:dyDescent="0.25">
      <c r="I1090" s="37"/>
      <c r="J1090" s="35"/>
    </row>
    <row r="1091" spans="9:10" x14ac:dyDescent="0.25">
      <c r="I1091" s="37"/>
      <c r="J1091" s="35"/>
    </row>
    <row r="1092" spans="9:10" x14ac:dyDescent="0.25">
      <c r="I1092" s="37"/>
      <c r="J1092" s="35"/>
    </row>
    <row r="1093" spans="9:10" x14ac:dyDescent="0.25">
      <c r="I1093" s="37"/>
      <c r="J1093" s="35"/>
    </row>
    <row r="1094" spans="9:10" x14ac:dyDescent="0.25">
      <c r="I1094" s="37"/>
      <c r="J1094" s="35"/>
    </row>
    <row r="1095" spans="9:10" x14ac:dyDescent="0.25">
      <c r="I1095" s="37"/>
      <c r="J1095" s="35"/>
    </row>
    <row r="1096" spans="9:10" x14ac:dyDescent="0.25">
      <c r="I1096" s="37"/>
      <c r="J1096" s="35"/>
    </row>
    <row r="1097" spans="9:10" x14ac:dyDescent="0.25">
      <c r="I1097" s="37"/>
      <c r="J1097" s="35"/>
    </row>
    <row r="1098" spans="9:10" x14ac:dyDescent="0.25">
      <c r="I1098" s="37"/>
      <c r="J1098" s="35"/>
    </row>
    <row r="1099" spans="9:10" x14ac:dyDescent="0.25">
      <c r="I1099" s="37"/>
      <c r="J1099" s="35"/>
    </row>
    <row r="1100" spans="9:10" x14ac:dyDescent="0.25">
      <c r="I1100" s="37"/>
      <c r="J1100" s="35"/>
    </row>
    <row r="1101" spans="9:10" x14ac:dyDescent="0.25">
      <c r="I1101" s="37"/>
      <c r="J1101" s="35"/>
    </row>
    <row r="1102" spans="9:10" x14ac:dyDescent="0.25">
      <c r="I1102" s="37"/>
      <c r="J1102" s="35"/>
    </row>
    <row r="1103" spans="9:10" x14ac:dyDescent="0.25">
      <c r="I1103" s="37"/>
      <c r="J1103" s="35"/>
    </row>
    <row r="1104" spans="9:10" x14ac:dyDescent="0.25">
      <c r="I1104" s="37"/>
      <c r="J1104" s="35"/>
    </row>
    <row r="1105" spans="9:10" x14ac:dyDescent="0.25">
      <c r="I1105" s="37"/>
      <c r="J1105" s="35"/>
    </row>
    <row r="1106" spans="9:10" x14ac:dyDescent="0.25">
      <c r="I1106" s="37"/>
      <c r="J1106" s="35"/>
    </row>
    <row r="1107" spans="9:10" x14ac:dyDescent="0.25">
      <c r="I1107" s="37"/>
      <c r="J1107" s="35"/>
    </row>
    <row r="1108" spans="9:10" x14ac:dyDescent="0.25">
      <c r="I1108" s="37"/>
      <c r="J1108" s="35"/>
    </row>
    <row r="1109" spans="9:10" x14ac:dyDescent="0.25">
      <c r="I1109" s="37"/>
      <c r="J1109" s="35"/>
    </row>
    <row r="1110" spans="9:10" x14ac:dyDescent="0.25">
      <c r="I1110" s="37"/>
      <c r="J1110" s="35"/>
    </row>
    <row r="1111" spans="9:10" x14ac:dyDescent="0.25">
      <c r="I1111" s="37"/>
      <c r="J1111" s="35"/>
    </row>
    <row r="1112" spans="9:10" x14ac:dyDescent="0.25">
      <c r="I1112" s="37"/>
      <c r="J1112" s="35"/>
    </row>
    <row r="1113" spans="9:10" x14ac:dyDescent="0.25">
      <c r="I1113" s="37"/>
      <c r="J1113" s="35"/>
    </row>
    <row r="1114" spans="9:10" x14ac:dyDescent="0.25">
      <c r="I1114" s="37"/>
      <c r="J1114" s="35"/>
    </row>
    <row r="1115" spans="9:10" x14ac:dyDescent="0.25">
      <c r="I1115" s="37"/>
      <c r="J1115" s="35"/>
    </row>
    <row r="1116" spans="9:10" x14ac:dyDescent="0.25">
      <c r="I1116" s="37"/>
      <c r="J1116" s="35"/>
    </row>
    <row r="1117" spans="9:10" x14ac:dyDescent="0.25">
      <c r="I1117" s="37"/>
      <c r="J1117" s="35"/>
    </row>
    <row r="1118" spans="9:10" x14ac:dyDescent="0.25">
      <c r="I1118" s="37"/>
      <c r="J1118" s="35"/>
    </row>
    <row r="1119" spans="9:10" x14ac:dyDescent="0.25">
      <c r="I1119" s="37"/>
      <c r="J1119" s="35"/>
    </row>
    <row r="1120" spans="9:10" x14ac:dyDescent="0.25">
      <c r="I1120" s="37"/>
      <c r="J1120" s="35"/>
    </row>
    <row r="1121" spans="9:10" x14ac:dyDescent="0.25">
      <c r="I1121" s="37"/>
      <c r="J1121" s="35"/>
    </row>
    <row r="1122" spans="9:10" x14ac:dyDescent="0.25">
      <c r="I1122" s="37"/>
      <c r="J1122" s="35"/>
    </row>
    <row r="1123" spans="9:10" x14ac:dyDescent="0.25">
      <c r="I1123" s="37"/>
      <c r="J1123" s="35"/>
    </row>
    <row r="1124" spans="9:10" x14ac:dyDescent="0.25">
      <c r="I1124" s="37"/>
      <c r="J1124" s="35"/>
    </row>
    <row r="1125" spans="9:10" x14ac:dyDescent="0.25">
      <c r="I1125" s="37"/>
      <c r="J1125" s="35"/>
    </row>
    <row r="1126" spans="9:10" x14ac:dyDescent="0.25">
      <c r="I1126" s="37"/>
      <c r="J1126" s="35"/>
    </row>
    <row r="1127" spans="9:10" x14ac:dyDescent="0.25">
      <c r="I1127" s="37"/>
      <c r="J1127" s="35"/>
    </row>
    <row r="1128" spans="9:10" x14ac:dyDescent="0.25">
      <c r="I1128" s="37"/>
      <c r="J1128" s="35"/>
    </row>
    <row r="1129" spans="9:10" x14ac:dyDescent="0.25">
      <c r="I1129" s="37"/>
      <c r="J1129" s="35"/>
    </row>
    <row r="1130" spans="9:10" x14ac:dyDescent="0.25">
      <c r="I1130" s="37"/>
      <c r="J1130" s="35"/>
    </row>
    <row r="1131" spans="9:10" x14ac:dyDescent="0.25">
      <c r="I1131" s="37"/>
      <c r="J1131" s="35"/>
    </row>
    <row r="1132" spans="9:10" x14ac:dyDescent="0.25">
      <c r="I1132" s="37"/>
      <c r="J1132" s="35"/>
    </row>
    <row r="1133" spans="9:10" x14ac:dyDescent="0.25">
      <c r="I1133" s="37"/>
      <c r="J1133" s="35"/>
    </row>
    <row r="1134" spans="9:10" x14ac:dyDescent="0.25">
      <c r="I1134" s="37"/>
      <c r="J1134" s="35"/>
    </row>
    <row r="1135" spans="9:10" x14ac:dyDescent="0.25">
      <c r="I1135" s="37"/>
      <c r="J1135" s="35"/>
    </row>
    <row r="1136" spans="9:10" x14ac:dyDescent="0.25">
      <c r="I1136" s="37"/>
      <c r="J1136" s="35"/>
    </row>
    <row r="1137" spans="9:10" x14ac:dyDescent="0.25">
      <c r="I1137" s="37"/>
      <c r="J1137" s="35"/>
    </row>
    <row r="1138" spans="9:10" x14ac:dyDescent="0.25">
      <c r="I1138" s="37"/>
      <c r="J1138" s="35"/>
    </row>
    <row r="1139" spans="9:10" x14ac:dyDescent="0.25">
      <c r="I1139" s="37"/>
      <c r="J1139" s="35"/>
    </row>
    <row r="1140" spans="9:10" x14ac:dyDescent="0.25">
      <c r="I1140" s="37"/>
      <c r="J1140" s="35"/>
    </row>
    <row r="1141" spans="9:10" x14ac:dyDescent="0.25">
      <c r="I1141" s="37"/>
      <c r="J1141" s="35"/>
    </row>
    <row r="1142" spans="9:10" x14ac:dyDescent="0.25">
      <c r="I1142" s="37"/>
      <c r="J1142" s="35"/>
    </row>
    <row r="1143" spans="9:10" x14ac:dyDescent="0.25">
      <c r="I1143" s="37"/>
      <c r="J1143" s="35"/>
    </row>
    <row r="1144" spans="9:10" x14ac:dyDescent="0.25">
      <c r="I1144" s="37"/>
      <c r="J1144" s="35"/>
    </row>
    <row r="1145" spans="9:10" x14ac:dyDescent="0.25">
      <c r="I1145" s="37"/>
      <c r="J1145" s="35"/>
    </row>
    <row r="1146" spans="9:10" x14ac:dyDescent="0.25">
      <c r="I1146" s="37"/>
      <c r="J1146" s="35"/>
    </row>
    <row r="1147" spans="9:10" x14ac:dyDescent="0.25">
      <c r="I1147" s="37"/>
      <c r="J1147" s="35"/>
    </row>
    <row r="1148" spans="9:10" x14ac:dyDescent="0.25">
      <c r="I1148" s="37"/>
      <c r="J1148" s="35"/>
    </row>
    <row r="1149" spans="9:10" x14ac:dyDescent="0.25">
      <c r="I1149" s="37"/>
      <c r="J1149" s="35"/>
    </row>
    <row r="1150" spans="9:10" x14ac:dyDescent="0.25">
      <c r="I1150" s="37"/>
      <c r="J1150" s="35"/>
    </row>
    <row r="1151" spans="9:10" x14ac:dyDescent="0.25">
      <c r="I1151" s="37"/>
      <c r="J1151" s="35"/>
    </row>
    <row r="1152" spans="9:10" x14ac:dyDescent="0.25">
      <c r="I1152" s="37"/>
      <c r="J1152" s="35"/>
    </row>
    <row r="1153" spans="9:10" x14ac:dyDescent="0.25">
      <c r="I1153" s="37"/>
      <c r="J1153" s="35"/>
    </row>
    <row r="1154" spans="9:10" x14ac:dyDescent="0.25">
      <c r="I1154" s="37"/>
      <c r="J1154" s="35"/>
    </row>
    <row r="1155" spans="9:10" x14ac:dyDescent="0.25">
      <c r="I1155" s="37"/>
      <c r="J1155" s="35"/>
    </row>
    <row r="1156" spans="9:10" x14ac:dyDescent="0.25">
      <c r="I1156" s="37"/>
      <c r="J1156" s="35"/>
    </row>
    <row r="1157" spans="9:10" x14ac:dyDescent="0.25">
      <c r="I1157" s="37"/>
      <c r="J1157" s="35"/>
    </row>
    <row r="1158" spans="9:10" x14ac:dyDescent="0.25">
      <c r="I1158" s="37"/>
      <c r="J1158" s="35"/>
    </row>
    <row r="1159" spans="9:10" x14ac:dyDescent="0.25">
      <c r="I1159" s="37"/>
      <c r="J1159" s="35"/>
    </row>
    <row r="1160" spans="9:10" x14ac:dyDescent="0.25">
      <c r="I1160" s="37"/>
      <c r="J1160" s="35"/>
    </row>
    <row r="1161" spans="9:10" x14ac:dyDescent="0.25">
      <c r="I1161" s="37"/>
      <c r="J1161" s="35"/>
    </row>
    <row r="1162" spans="9:10" x14ac:dyDescent="0.25">
      <c r="I1162" s="37"/>
      <c r="J1162" s="35"/>
    </row>
    <row r="1163" spans="9:10" x14ac:dyDescent="0.25">
      <c r="I1163" s="37"/>
      <c r="J1163" s="35"/>
    </row>
    <row r="1164" spans="9:10" x14ac:dyDescent="0.25">
      <c r="I1164" s="37"/>
      <c r="J1164" s="35"/>
    </row>
    <row r="1165" spans="9:10" x14ac:dyDescent="0.25">
      <c r="I1165" s="37"/>
      <c r="J1165" s="35"/>
    </row>
    <row r="1166" spans="9:10" x14ac:dyDescent="0.25">
      <c r="I1166" s="37"/>
      <c r="J1166" s="35"/>
    </row>
    <row r="1167" spans="9:10" x14ac:dyDescent="0.25">
      <c r="I1167" s="37"/>
      <c r="J1167" s="35"/>
    </row>
    <row r="1168" spans="9:10" x14ac:dyDescent="0.25">
      <c r="I1168" s="37"/>
      <c r="J1168" s="35"/>
    </row>
    <row r="1169" spans="9:10" x14ac:dyDescent="0.25">
      <c r="I1169" s="37"/>
      <c r="J1169" s="35"/>
    </row>
    <row r="1170" spans="9:10" x14ac:dyDescent="0.25">
      <c r="I1170" s="37"/>
      <c r="J1170" s="35"/>
    </row>
    <row r="1171" spans="9:10" x14ac:dyDescent="0.25">
      <c r="I1171" s="37"/>
      <c r="J1171" s="35"/>
    </row>
    <row r="1172" spans="9:10" x14ac:dyDescent="0.25">
      <c r="I1172" s="37"/>
      <c r="J1172" s="35"/>
    </row>
    <row r="1173" spans="9:10" x14ac:dyDescent="0.25">
      <c r="I1173" s="37"/>
      <c r="J1173" s="35"/>
    </row>
    <row r="1174" spans="9:10" x14ac:dyDescent="0.25">
      <c r="I1174" s="37"/>
      <c r="J1174" s="35"/>
    </row>
    <row r="1175" spans="9:10" x14ac:dyDescent="0.25">
      <c r="I1175" s="37"/>
      <c r="J1175" s="35"/>
    </row>
    <row r="1176" spans="9:10" x14ac:dyDescent="0.25">
      <c r="I1176" s="37"/>
      <c r="J1176" s="35"/>
    </row>
    <row r="1177" spans="9:10" x14ac:dyDescent="0.25">
      <c r="I1177" s="37"/>
      <c r="J1177" s="35"/>
    </row>
    <row r="1178" spans="9:10" x14ac:dyDescent="0.25">
      <c r="I1178" s="37"/>
      <c r="J1178" s="35"/>
    </row>
    <row r="1179" spans="9:10" x14ac:dyDescent="0.25">
      <c r="I1179" s="37"/>
      <c r="J1179" s="35"/>
    </row>
    <row r="1180" spans="9:10" x14ac:dyDescent="0.25">
      <c r="I1180" s="37"/>
      <c r="J1180" s="35"/>
    </row>
    <row r="1181" spans="9:10" x14ac:dyDescent="0.25">
      <c r="I1181" s="37"/>
      <c r="J1181" s="35"/>
    </row>
    <row r="1182" spans="9:10" x14ac:dyDescent="0.25">
      <c r="I1182" s="37"/>
      <c r="J1182" s="35"/>
    </row>
    <row r="1183" spans="9:10" x14ac:dyDescent="0.25">
      <c r="I1183" s="37"/>
      <c r="J1183" s="35"/>
    </row>
    <row r="1184" spans="9:10" x14ac:dyDescent="0.25">
      <c r="I1184" s="37"/>
      <c r="J1184" s="35"/>
    </row>
    <row r="1185" spans="9:10" x14ac:dyDescent="0.25">
      <c r="I1185" s="37"/>
      <c r="J1185" s="35"/>
    </row>
    <row r="1186" spans="9:10" x14ac:dyDescent="0.25">
      <c r="I1186" s="37"/>
      <c r="J1186" s="35"/>
    </row>
    <row r="1187" spans="9:10" x14ac:dyDescent="0.25">
      <c r="I1187" s="37"/>
      <c r="J1187" s="35"/>
    </row>
    <row r="1188" spans="9:10" x14ac:dyDescent="0.25">
      <c r="I1188" s="37"/>
      <c r="J1188" s="35"/>
    </row>
    <row r="1189" spans="9:10" x14ac:dyDescent="0.25">
      <c r="I1189" s="37"/>
      <c r="J1189" s="35"/>
    </row>
    <row r="1190" spans="9:10" x14ac:dyDescent="0.25">
      <c r="I1190" s="37"/>
      <c r="J1190" s="35"/>
    </row>
    <row r="1191" spans="9:10" x14ac:dyDescent="0.25">
      <c r="I1191" s="37"/>
      <c r="J1191" s="35"/>
    </row>
    <row r="1192" spans="9:10" x14ac:dyDescent="0.25">
      <c r="I1192" s="37"/>
      <c r="J1192" s="35"/>
    </row>
    <row r="1193" spans="9:10" x14ac:dyDescent="0.25">
      <c r="I1193" s="37"/>
      <c r="J1193" s="35"/>
    </row>
    <row r="1194" spans="9:10" x14ac:dyDescent="0.25">
      <c r="I1194" s="37"/>
      <c r="J1194" s="35"/>
    </row>
    <row r="1195" spans="9:10" x14ac:dyDescent="0.25">
      <c r="I1195" s="37"/>
      <c r="J1195" s="35"/>
    </row>
    <row r="1196" spans="9:10" x14ac:dyDescent="0.25">
      <c r="I1196" s="37"/>
      <c r="J1196" s="35"/>
    </row>
    <row r="1197" spans="9:10" x14ac:dyDescent="0.25">
      <c r="I1197" s="37"/>
      <c r="J1197" s="35"/>
    </row>
    <row r="1198" spans="9:10" x14ac:dyDescent="0.25">
      <c r="I1198" s="37"/>
      <c r="J1198" s="35"/>
    </row>
    <row r="1199" spans="9:10" x14ac:dyDescent="0.25">
      <c r="I1199" s="37"/>
      <c r="J1199" s="35"/>
    </row>
    <row r="1200" spans="9:10" x14ac:dyDescent="0.25">
      <c r="I1200" s="37"/>
      <c r="J1200" s="35"/>
    </row>
    <row r="1201" spans="9:10" x14ac:dyDescent="0.25">
      <c r="I1201" s="37"/>
      <c r="J1201" s="35"/>
    </row>
    <row r="1202" spans="9:10" x14ac:dyDescent="0.25">
      <c r="I1202" s="37"/>
      <c r="J1202" s="35"/>
    </row>
    <row r="1203" spans="9:10" x14ac:dyDescent="0.25">
      <c r="I1203" s="37"/>
      <c r="J1203" s="35"/>
    </row>
    <row r="1204" spans="9:10" x14ac:dyDescent="0.25">
      <c r="I1204" s="37"/>
      <c r="J1204" s="35"/>
    </row>
    <row r="1205" spans="9:10" x14ac:dyDescent="0.25">
      <c r="I1205" s="37"/>
      <c r="J1205" s="35"/>
    </row>
    <row r="1206" spans="9:10" x14ac:dyDescent="0.25">
      <c r="I1206" s="37"/>
      <c r="J1206" s="35"/>
    </row>
    <row r="1207" spans="9:10" x14ac:dyDescent="0.25">
      <c r="I1207" s="37"/>
      <c r="J1207" s="35"/>
    </row>
    <row r="1208" spans="9:10" x14ac:dyDescent="0.25">
      <c r="I1208" s="37"/>
      <c r="J1208" s="35"/>
    </row>
    <row r="1209" spans="9:10" x14ac:dyDescent="0.25">
      <c r="I1209" s="37"/>
      <c r="J1209" s="35"/>
    </row>
    <row r="1210" spans="9:10" x14ac:dyDescent="0.25">
      <c r="I1210" s="37"/>
      <c r="J1210" s="35"/>
    </row>
    <row r="1211" spans="9:10" x14ac:dyDescent="0.25">
      <c r="I1211" s="37"/>
      <c r="J1211" s="35"/>
    </row>
    <row r="1212" spans="9:10" x14ac:dyDescent="0.25">
      <c r="I1212" s="37"/>
      <c r="J1212" s="35"/>
    </row>
    <row r="1213" spans="9:10" x14ac:dyDescent="0.25">
      <c r="I1213" s="37"/>
      <c r="J1213" s="35"/>
    </row>
    <row r="1214" spans="9:10" x14ac:dyDescent="0.25">
      <c r="I1214" s="37"/>
      <c r="J1214" s="35"/>
    </row>
    <row r="1215" spans="9:10" x14ac:dyDescent="0.25">
      <c r="I1215" s="37"/>
      <c r="J1215" s="35"/>
    </row>
    <row r="1216" spans="9:10" x14ac:dyDescent="0.25">
      <c r="I1216" s="37"/>
      <c r="J1216" s="35"/>
    </row>
    <row r="1217" spans="9:10" x14ac:dyDescent="0.25">
      <c r="I1217" s="37"/>
      <c r="J1217" s="35"/>
    </row>
    <row r="1218" spans="9:10" x14ac:dyDescent="0.25">
      <c r="I1218" s="37"/>
      <c r="J1218" s="35"/>
    </row>
    <row r="1219" spans="9:10" x14ac:dyDescent="0.25">
      <c r="I1219" s="37"/>
      <c r="J1219" s="35"/>
    </row>
    <row r="1220" spans="9:10" x14ac:dyDescent="0.25">
      <c r="I1220" s="37"/>
      <c r="J1220" s="35"/>
    </row>
    <row r="1221" spans="9:10" x14ac:dyDescent="0.25">
      <c r="I1221" s="37"/>
      <c r="J1221" s="35"/>
    </row>
    <row r="1222" spans="9:10" x14ac:dyDescent="0.25">
      <c r="I1222" s="37"/>
      <c r="J1222" s="35"/>
    </row>
    <row r="1223" spans="9:10" x14ac:dyDescent="0.25">
      <c r="I1223" s="37"/>
      <c r="J1223" s="35"/>
    </row>
    <row r="1224" spans="9:10" x14ac:dyDescent="0.25">
      <c r="I1224" s="37"/>
      <c r="J1224" s="35"/>
    </row>
    <row r="1225" spans="9:10" x14ac:dyDescent="0.25">
      <c r="I1225" s="37"/>
      <c r="J1225" s="35"/>
    </row>
    <row r="1226" spans="9:10" x14ac:dyDescent="0.25">
      <c r="I1226" s="37"/>
      <c r="J1226" s="35"/>
    </row>
    <row r="1227" spans="9:10" x14ac:dyDescent="0.25">
      <c r="I1227" s="37"/>
      <c r="J1227" s="35"/>
    </row>
    <row r="1228" spans="9:10" x14ac:dyDescent="0.25">
      <c r="I1228" s="37"/>
      <c r="J1228" s="35"/>
    </row>
    <row r="1229" spans="9:10" x14ac:dyDescent="0.25">
      <c r="I1229" s="37"/>
      <c r="J1229" s="35"/>
    </row>
    <row r="1230" spans="9:10" x14ac:dyDescent="0.25">
      <c r="I1230" s="37"/>
      <c r="J1230" s="35"/>
    </row>
    <row r="1231" spans="9:10" x14ac:dyDescent="0.25">
      <c r="I1231" s="37"/>
      <c r="J1231" s="35"/>
    </row>
    <row r="1232" spans="9:10" x14ac:dyDescent="0.25">
      <c r="I1232" s="37"/>
      <c r="J1232" s="35"/>
    </row>
    <row r="1233" spans="9:10" x14ac:dyDescent="0.25">
      <c r="I1233" s="37"/>
      <c r="J1233" s="35"/>
    </row>
    <row r="1234" spans="9:10" x14ac:dyDescent="0.25">
      <c r="I1234" s="37"/>
      <c r="J1234" s="35"/>
    </row>
    <row r="1235" spans="9:10" x14ac:dyDescent="0.25">
      <c r="I1235" s="37"/>
      <c r="J1235" s="35"/>
    </row>
    <row r="1236" spans="9:10" x14ac:dyDescent="0.25">
      <c r="I1236" s="37"/>
      <c r="J1236" s="35"/>
    </row>
    <row r="1237" spans="9:10" x14ac:dyDescent="0.25">
      <c r="I1237" s="37"/>
      <c r="J1237" s="35"/>
    </row>
    <row r="1238" spans="9:10" x14ac:dyDescent="0.25">
      <c r="I1238" s="37"/>
      <c r="J1238" s="35"/>
    </row>
    <row r="1239" spans="9:10" x14ac:dyDescent="0.25">
      <c r="I1239" s="37"/>
      <c r="J1239" s="35"/>
    </row>
    <row r="1240" spans="9:10" x14ac:dyDescent="0.25">
      <c r="I1240" s="37"/>
      <c r="J1240" s="35"/>
    </row>
    <row r="1241" spans="9:10" x14ac:dyDescent="0.25">
      <c r="I1241" s="37"/>
      <c r="J1241" s="35"/>
    </row>
    <row r="1242" spans="9:10" x14ac:dyDescent="0.25">
      <c r="I1242" s="37"/>
      <c r="J1242" s="35"/>
    </row>
    <row r="1243" spans="9:10" x14ac:dyDescent="0.25">
      <c r="I1243" s="37"/>
      <c r="J1243" s="35"/>
    </row>
    <row r="1244" spans="9:10" x14ac:dyDescent="0.25">
      <c r="I1244" s="37"/>
      <c r="J1244" s="35"/>
    </row>
    <row r="1245" spans="9:10" x14ac:dyDescent="0.25">
      <c r="I1245" s="37"/>
      <c r="J1245" s="35"/>
    </row>
    <row r="1246" spans="9:10" x14ac:dyDescent="0.25">
      <c r="I1246" s="37"/>
      <c r="J1246" s="35"/>
    </row>
    <row r="1247" spans="9:10" x14ac:dyDescent="0.25">
      <c r="I1247" s="37"/>
      <c r="J1247" s="35"/>
    </row>
    <row r="1248" spans="9:10" x14ac:dyDescent="0.25">
      <c r="I1248" s="37"/>
      <c r="J1248" s="35"/>
    </row>
    <row r="1249" spans="9:10" x14ac:dyDescent="0.25">
      <c r="I1249" s="37"/>
      <c r="J1249" s="35"/>
    </row>
    <row r="1250" spans="9:10" x14ac:dyDescent="0.25">
      <c r="I1250" s="37"/>
      <c r="J1250" s="35"/>
    </row>
    <row r="1251" spans="9:10" x14ac:dyDescent="0.25">
      <c r="I1251" s="37"/>
      <c r="J1251" s="35"/>
    </row>
    <row r="1252" spans="9:10" x14ac:dyDescent="0.25">
      <c r="I1252" s="37"/>
      <c r="J1252" s="35"/>
    </row>
    <row r="1253" spans="9:10" x14ac:dyDescent="0.25">
      <c r="I1253" s="37"/>
      <c r="J1253" s="35"/>
    </row>
    <row r="1254" spans="9:10" x14ac:dyDescent="0.25">
      <c r="I1254" s="37"/>
      <c r="J1254" s="35"/>
    </row>
    <row r="1255" spans="9:10" x14ac:dyDescent="0.25">
      <c r="I1255" s="37"/>
      <c r="J1255" s="35"/>
    </row>
    <row r="1256" spans="9:10" x14ac:dyDescent="0.25">
      <c r="I1256" s="37"/>
      <c r="J1256" s="35"/>
    </row>
    <row r="1257" spans="9:10" x14ac:dyDescent="0.25">
      <c r="I1257" s="37"/>
      <c r="J1257" s="35"/>
    </row>
    <row r="1258" spans="9:10" x14ac:dyDescent="0.25">
      <c r="I1258" s="37"/>
      <c r="J1258" s="35"/>
    </row>
    <row r="1259" spans="9:10" x14ac:dyDescent="0.25">
      <c r="I1259" s="37"/>
      <c r="J1259" s="35"/>
    </row>
    <row r="1260" spans="9:10" x14ac:dyDescent="0.25">
      <c r="I1260" s="37"/>
      <c r="J1260" s="35"/>
    </row>
    <row r="1261" spans="9:10" x14ac:dyDescent="0.25">
      <c r="I1261" s="37"/>
      <c r="J1261" s="35"/>
    </row>
    <row r="1262" spans="9:10" x14ac:dyDescent="0.25">
      <c r="I1262" s="37"/>
      <c r="J1262" s="35"/>
    </row>
    <row r="1263" spans="9:10" x14ac:dyDescent="0.25">
      <c r="I1263" s="37"/>
      <c r="J1263" s="35"/>
    </row>
    <row r="1264" spans="9:10" x14ac:dyDescent="0.25">
      <c r="I1264" s="37"/>
      <c r="J1264" s="35"/>
    </row>
    <row r="1265" spans="9:10" x14ac:dyDescent="0.25">
      <c r="I1265" s="37"/>
      <c r="J1265" s="35"/>
    </row>
    <row r="1266" spans="9:10" x14ac:dyDescent="0.25">
      <c r="I1266" s="37"/>
      <c r="J1266" s="35"/>
    </row>
    <row r="1267" spans="9:10" x14ac:dyDescent="0.25">
      <c r="I1267" s="37"/>
      <c r="J1267" s="35"/>
    </row>
    <row r="1268" spans="9:10" x14ac:dyDescent="0.25">
      <c r="I1268" s="37"/>
      <c r="J1268" s="35"/>
    </row>
    <row r="1269" spans="9:10" x14ac:dyDescent="0.25">
      <c r="I1269" s="37"/>
      <c r="J1269" s="35"/>
    </row>
    <row r="1270" spans="9:10" x14ac:dyDescent="0.25">
      <c r="I1270" s="37"/>
      <c r="J1270" s="35"/>
    </row>
    <row r="1271" spans="9:10" x14ac:dyDescent="0.25">
      <c r="I1271" s="37"/>
      <c r="J1271" s="35"/>
    </row>
    <row r="1272" spans="9:10" x14ac:dyDescent="0.25">
      <c r="I1272" s="37"/>
      <c r="J1272" s="35"/>
    </row>
    <row r="1273" spans="9:10" x14ac:dyDescent="0.25">
      <c r="I1273" s="37"/>
      <c r="J1273" s="35"/>
    </row>
    <row r="1274" spans="9:10" x14ac:dyDescent="0.25">
      <c r="I1274" s="37"/>
      <c r="J1274" s="35"/>
    </row>
    <row r="1275" spans="9:10" x14ac:dyDescent="0.25">
      <c r="I1275" s="37"/>
      <c r="J1275" s="35"/>
    </row>
    <row r="1276" spans="9:10" x14ac:dyDescent="0.25">
      <c r="I1276" s="37"/>
      <c r="J1276" s="35"/>
    </row>
    <row r="1277" spans="9:10" x14ac:dyDescent="0.25">
      <c r="I1277" s="37"/>
      <c r="J1277" s="35"/>
    </row>
    <row r="1278" spans="9:10" x14ac:dyDescent="0.25">
      <c r="I1278" s="37"/>
      <c r="J1278" s="35"/>
    </row>
    <row r="1279" spans="9:10" x14ac:dyDescent="0.25">
      <c r="I1279" s="37"/>
      <c r="J1279" s="35"/>
    </row>
    <row r="1280" spans="9:10" x14ac:dyDescent="0.25">
      <c r="I1280" s="37"/>
      <c r="J1280" s="35"/>
    </row>
    <row r="1281" spans="9:10" x14ac:dyDescent="0.25">
      <c r="I1281" s="37"/>
      <c r="J1281" s="35"/>
    </row>
    <row r="1282" spans="9:10" x14ac:dyDescent="0.25">
      <c r="I1282" s="37"/>
      <c r="J1282" s="35"/>
    </row>
    <row r="1283" spans="9:10" x14ac:dyDescent="0.25">
      <c r="I1283" s="37"/>
      <c r="J1283" s="35"/>
    </row>
    <row r="1284" spans="9:10" x14ac:dyDescent="0.25">
      <c r="I1284" s="37"/>
      <c r="J1284" s="35"/>
    </row>
    <row r="1285" spans="9:10" x14ac:dyDescent="0.25">
      <c r="I1285" s="37"/>
      <c r="J1285" s="35"/>
    </row>
    <row r="1286" spans="9:10" x14ac:dyDescent="0.25">
      <c r="I1286" s="37"/>
      <c r="J1286" s="35"/>
    </row>
    <row r="1287" spans="9:10" x14ac:dyDescent="0.25">
      <c r="I1287" s="37"/>
      <c r="J1287" s="35"/>
    </row>
    <row r="1288" spans="9:10" x14ac:dyDescent="0.25">
      <c r="I1288" s="37"/>
      <c r="J1288" s="35"/>
    </row>
    <row r="1289" spans="9:10" x14ac:dyDescent="0.25">
      <c r="I1289" s="37"/>
      <c r="J1289" s="35"/>
    </row>
    <row r="1290" spans="9:10" x14ac:dyDescent="0.25">
      <c r="I1290" s="37"/>
      <c r="J1290" s="35"/>
    </row>
    <row r="1291" spans="9:10" x14ac:dyDescent="0.25">
      <c r="I1291" s="37"/>
      <c r="J1291" s="35"/>
    </row>
    <row r="1292" spans="9:10" x14ac:dyDescent="0.25">
      <c r="I1292" s="37"/>
      <c r="J1292" s="35"/>
    </row>
    <row r="1293" spans="9:10" x14ac:dyDescent="0.25">
      <c r="I1293" s="37"/>
      <c r="J1293" s="35"/>
    </row>
    <row r="1294" spans="9:10" x14ac:dyDescent="0.25">
      <c r="I1294" s="37"/>
      <c r="J1294" s="35"/>
    </row>
    <row r="1295" spans="9:10" x14ac:dyDescent="0.25">
      <c r="I1295" s="37"/>
      <c r="J1295" s="35"/>
    </row>
    <row r="1296" spans="9:10" x14ac:dyDescent="0.25">
      <c r="I1296" s="37"/>
      <c r="J1296" s="35"/>
    </row>
    <row r="1297" spans="9:10" x14ac:dyDescent="0.25">
      <c r="I1297" s="37"/>
      <c r="J1297" s="35"/>
    </row>
    <row r="1298" spans="9:10" x14ac:dyDescent="0.25">
      <c r="I1298" s="37"/>
      <c r="J1298" s="35"/>
    </row>
    <row r="1299" spans="9:10" x14ac:dyDescent="0.25">
      <c r="I1299" s="37"/>
      <c r="J1299" s="35"/>
    </row>
    <row r="1300" spans="9:10" x14ac:dyDescent="0.25">
      <c r="I1300" s="37"/>
      <c r="J1300" s="35"/>
    </row>
    <row r="1301" spans="9:10" x14ac:dyDescent="0.25">
      <c r="I1301" s="37"/>
      <c r="J1301" s="35"/>
    </row>
    <row r="1302" spans="9:10" x14ac:dyDescent="0.25">
      <c r="I1302" s="37"/>
      <c r="J1302" s="35"/>
    </row>
    <row r="1303" spans="9:10" x14ac:dyDescent="0.25">
      <c r="I1303" s="37"/>
      <c r="J1303" s="35"/>
    </row>
    <row r="1304" spans="9:10" x14ac:dyDescent="0.25">
      <c r="I1304" s="37"/>
      <c r="J1304" s="35"/>
    </row>
    <row r="1305" spans="9:10" x14ac:dyDescent="0.25">
      <c r="I1305" s="37"/>
      <c r="J1305" s="35"/>
    </row>
    <row r="1306" spans="9:10" x14ac:dyDescent="0.25">
      <c r="I1306" s="37"/>
      <c r="J1306" s="35"/>
    </row>
    <row r="1307" spans="9:10" x14ac:dyDescent="0.25">
      <c r="I1307" s="37"/>
      <c r="J1307" s="35"/>
    </row>
    <row r="1308" spans="9:10" x14ac:dyDescent="0.25">
      <c r="I1308" s="37"/>
      <c r="J1308" s="35"/>
    </row>
    <row r="1309" spans="9:10" x14ac:dyDescent="0.25">
      <c r="I1309" s="37"/>
      <c r="J1309" s="35"/>
    </row>
    <row r="1310" spans="9:10" x14ac:dyDescent="0.25">
      <c r="I1310" s="37"/>
      <c r="J1310" s="35"/>
    </row>
    <row r="1311" spans="9:10" x14ac:dyDescent="0.25">
      <c r="I1311" s="37"/>
      <c r="J1311" s="35"/>
    </row>
    <row r="1312" spans="9:10" x14ac:dyDescent="0.25">
      <c r="I1312" s="37"/>
      <c r="J1312" s="35"/>
    </row>
    <row r="1313" spans="9:10" x14ac:dyDescent="0.25">
      <c r="I1313" s="37"/>
      <c r="J1313" s="35"/>
    </row>
    <row r="1314" spans="9:10" x14ac:dyDescent="0.25">
      <c r="I1314" s="37"/>
      <c r="J1314" s="35"/>
    </row>
    <row r="1315" spans="9:10" x14ac:dyDescent="0.25">
      <c r="I1315" s="37"/>
      <c r="J1315" s="35"/>
    </row>
    <row r="1316" spans="9:10" x14ac:dyDescent="0.25">
      <c r="I1316" s="37"/>
      <c r="J1316" s="35"/>
    </row>
    <row r="1317" spans="9:10" x14ac:dyDescent="0.25">
      <c r="I1317" s="37"/>
      <c r="J1317" s="35"/>
    </row>
    <row r="1318" spans="9:10" x14ac:dyDescent="0.25">
      <c r="I1318" s="37"/>
      <c r="J1318" s="35"/>
    </row>
    <row r="1319" spans="9:10" x14ac:dyDescent="0.25">
      <c r="I1319" s="37"/>
      <c r="J1319" s="35"/>
    </row>
    <row r="1320" spans="9:10" x14ac:dyDescent="0.25">
      <c r="I1320" s="37"/>
      <c r="J1320" s="35"/>
    </row>
    <row r="1321" spans="9:10" x14ac:dyDescent="0.25">
      <c r="I1321" s="37"/>
      <c r="J1321" s="35"/>
    </row>
    <row r="1322" spans="9:10" x14ac:dyDescent="0.25">
      <c r="I1322" s="37"/>
      <c r="J1322" s="35"/>
    </row>
    <row r="1323" spans="9:10" x14ac:dyDescent="0.25">
      <c r="I1323" s="37"/>
      <c r="J1323" s="35"/>
    </row>
    <row r="1324" spans="9:10" x14ac:dyDescent="0.25">
      <c r="I1324" s="37"/>
      <c r="J1324" s="35"/>
    </row>
    <row r="1325" spans="9:10" x14ac:dyDescent="0.25">
      <c r="I1325" s="37"/>
      <c r="J1325" s="35"/>
    </row>
    <row r="1326" spans="9:10" x14ac:dyDescent="0.25">
      <c r="I1326" s="37"/>
      <c r="J1326" s="35"/>
    </row>
    <row r="1327" spans="9:10" x14ac:dyDescent="0.25">
      <c r="I1327" s="37"/>
      <c r="J1327" s="35"/>
    </row>
    <row r="1328" spans="9:10" x14ac:dyDescent="0.25">
      <c r="I1328" s="37"/>
      <c r="J1328" s="35"/>
    </row>
    <row r="1329" spans="9:10" x14ac:dyDescent="0.25">
      <c r="I1329" s="37"/>
      <c r="J1329" s="35"/>
    </row>
    <row r="1330" spans="9:10" x14ac:dyDescent="0.25">
      <c r="I1330" s="37"/>
      <c r="J1330" s="35"/>
    </row>
    <row r="1331" spans="9:10" x14ac:dyDescent="0.25">
      <c r="I1331" s="37"/>
      <c r="J1331" s="35"/>
    </row>
    <row r="1332" spans="9:10" x14ac:dyDescent="0.25">
      <c r="I1332" s="37"/>
      <c r="J1332" s="35"/>
    </row>
    <row r="1333" spans="9:10" x14ac:dyDescent="0.25">
      <c r="I1333" s="37"/>
      <c r="J1333" s="35"/>
    </row>
  </sheetData>
  <mergeCells count="18">
    <mergeCell ref="T2:U2"/>
    <mergeCell ref="J2:K2"/>
    <mergeCell ref="L2:M2"/>
    <mergeCell ref="N2:O2"/>
    <mergeCell ref="P2:Q2"/>
    <mergeCell ref="R2:S2"/>
    <mergeCell ref="T29:U29"/>
    <mergeCell ref="J17:K17"/>
    <mergeCell ref="L17:M17"/>
    <mergeCell ref="N17:O17"/>
    <mergeCell ref="P17:Q17"/>
    <mergeCell ref="R17:S17"/>
    <mergeCell ref="T17:U17"/>
    <mergeCell ref="J29:K29"/>
    <mergeCell ref="L29:M29"/>
    <mergeCell ref="N29:O29"/>
    <mergeCell ref="P29:Q29"/>
    <mergeCell ref="R29:S29"/>
  </mergeCells>
  <conditionalFormatting sqref="AE3:AI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8:AI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0:AI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2509-4898-4858-9BB0-23B691D9CE12}">
  <dimension ref="B1:AP1333"/>
  <sheetViews>
    <sheetView workbookViewId="0">
      <selection activeCell="Z15" sqref="Z15"/>
    </sheetView>
  </sheetViews>
  <sheetFormatPr defaultRowHeight="15" outlineLevelRow="1" outlineLevelCol="1" x14ac:dyDescent="0.25"/>
  <cols>
    <col min="1" max="1" width="2.5703125" customWidth="1"/>
    <col min="3" max="3" width="16.28515625" bestFit="1" customWidth="1"/>
    <col min="4" max="4" width="15.28515625" bestFit="1" customWidth="1"/>
    <col min="5" max="5" width="2.5703125" customWidth="1"/>
    <col min="6" max="6" width="8.42578125" bestFit="1" customWidth="1"/>
    <col min="7" max="7" width="2.5703125" customWidth="1"/>
    <col min="8" max="8" width="25.140625" bestFit="1" customWidth="1"/>
    <col min="9" max="9" width="24.28515625" style="11" customWidth="1" outlineLevel="1"/>
    <col min="10" max="10" width="9.42578125" style="6" customWidth="1"/>
    <col min="11" max="11" width="16.85546875" style="11" hidden="1" customWidth="1" outlineLevel="1"/>
    <col min="12" max="12" width="9.28515625" style="6" customWidth="1" collapsed="1"/>
    <col min="13" max="13" width="19.5703125" style="11" hidden="1" customWidth="1" outlineLevel="1"/>
    <col min="14" max="14" width="9.140625" style="6" collapsed="1"/>
    <col min="15" max="15" width="19.5703125" style="11" hidden="1" customWidth="1" outlineLevel="1"/>
    <col min="16" max="16" width="8.140625" style="6" bestFit="1" customWidth="1" collapsed="1"/>
    <col min="17" max="17" width="18" style="11" hidden="1" customWidth="1" outlineLevel="1"/>
    <col min="18" max="18" width="7.140625" style="5" bestFit="1" customWidth="1" collapsed="1"/>
    <col min="19" max="19" width="19.5703125" style="10" hidden="1" customWidth="1" outlineLevel="1"/>
    <col min="20" max="20" width="8.140625" style="10" bestFit="1" customWidth="1" collapsed="1"/>
    <col min="21" max="21" width="19.5703125" style="10" hidden="1" customWidth="1" outlineLevel="1"/>
    <col min="22" max="22" width="2.5703125" customWidth="1" collapsed="1"/>
    <col min="23" max="24" width="7.140625" hidden="1" customWidth="1" outlineLevel="1"/>
    <col min="25" max="25" width="17.85546875" bestFit="1" customWidth="1" collapsed="1"/>
    <col min="26" max="27" width="17.85546875" bestFit="1" customWidth="1"/>
    <col min="28" max="29" width="15.140625" bestFit="1" customWidth="1"/>
    <col min="30" max="30" width="2.5703125" customWidth="1"/>
    <col min="31" max="31" width="7.85546875" bestFit="1" customWidth="1"/>
    <col min="32" max="32" width="11.140625" bestFit="1" customWidth="1"/>
    <col min="33" max="33" width="13.28515625" bestFit="1" customWidth="1"/>
    <col min="34" max="34" width="7.85546875" bestFit="1" customWidth="1"/>
    <col min="35" max="35" width="8.140625" bestFit="1" customWidth="1"/>
    <col min="36" max="36" width="2.5703125" customWidth="1"/>
    <col min="37" max="37" width="16.85546875" bestFit="1" customWidth="1"/>
    <col min="38" max="38" width="7.7109375" bestFit="1" customWidth="1"/>
    <col min="39" max="39" width="2.5703125" customWidth="1"/>
    <col min="41" max="41" width="16.28515625" bestFit="1" customWidth="1"/>
  </cols>
  <sheetData>
    <row r="1" spans="2:42" ht="9" customHeight="1" x14ac:dyDescent="0.25"/>
    <row r="2" spans="2:42" x14ac:dyDescent="0.25">
      <c r="B2" s="1"/>
      <c r="C2" s="1" t="s">
        <v>20</v>
      </c>
      <c r="D2" s="1"/>
      <c r="H2" s="4" t="s">
        <v>1</v>
      </c>
      <c r="I2" s="9" t="s">
        <v>4</v>
      </c>
      <c r="J2" s="112" t="s">
        <v>7</v>
      </c>
      <c r="K2" s="112"/>
      <c r="L2" s="112" t="s">
        <v>8</v>
      </c>
      <c r="M2" s="112"/>
      <c r="N2" s="112" t="s">
        <v>10</v>
      </c>
      <c r="O2" s="112"/>
      <c r="P2" s="112" t="s">
        <v>9</v>
      </c>
      <c r="Q2" s="112"/>
      <c r="R2" s="112" t="s">
        <v>21</v>
      </c>
      <c r="S2" s="112"/>
      <c r="T2" s="112" t="s">
        <v>55</v>
      </c>
      <c r="U2" s="112"/>
      <c r="W2" s="1" t="s">
        <v>46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27" t="s">
        <v>49</v>
      </c>
      <c r="AF2" s="27" t="s">
        <v>50</v>
      </c>
      <c r="AG2" s="27" t="s">
        <v>51</v>
      </c>
      <c r="AH2" s="27" t="s">
        <v>52</v>
      </c>
      <c r="AI2" s="27" t="s">
        <v>53</v>
      </c>
      <c r="AK2" s="75" t="s">
        <v>60</v>
      </c>
      <c r="AL2" s="75" t="s">
        <v>61</v>
      </c>
      <c r="AN2" s="1"/>
      <c r="AO2" s="1" t="s">
        <v>20</v>
      </c>
      <c r="AP2" s="1"/>
    </row>
    <row r="3" spans="2:42" x14ac:dyDescent="0.25">
      <c r="B3" t="s">
        <v>11</v>
      </c>
      <c r="C3" s="2" t="s">
        <v>10</v>
      </c>
      <c r="D3" t="s">
        <v>7</v>
      </c>
      <c r="F3" s="7">
        <f>J3+L3+N3+P3+R3+T3</f>
        <v>0.99999999999999989</v>
      </c>
      <c r="H3" s="21" t="s">
        <v>5</v>
      </c>
      <c r="I3" s="80">
        <v>399600682.19</v>
      </c>
      <c r="J3" s="81">
        <f>41.3%+1.2%</f>
        <v>0.42499999999999999</v>
      </c>
      <c r="K3" s="80">
        <f>$I3*J3</f>
        <v>169830289.93074998</v>
      </c>
      <c r="L3" s="81">
        <f>10.3%+9.3%+3.9%+0.6%</f>
        <v>0.24100000000000002</v>
      </c>
      <c r="M3" s="80">
        <f>$I3*L3</f>
        <v>96303764.407790005</v>
      </c>
      <c r="N3" s="81">
        <f>29.2%+0.8%</f>
        <v>0.3</v>
      </c>
      <c r="O3" s="80">
        <f>$I3*N3</f>
        <v>119880204.65699999</v>
      </c>
      <c r="P3" s="81">
        <v>3.6999999999999998E-2</v>
      </c>
      <c r="Q3" s="80">
        <f>$I3*P3</f>
        <v>14785225.241029998</v>
      </c>
      <c r="R3" s="82"/>
      <c r="S3" s="80">
        <f>$I3*R3</f>
        <v>0</v>
      </c>
      <c r="T3" s="81">
        <v>-3.0000000000000001E-3</v>
      </c>
      <c r="U3" s="65">
        <f>$I3*T3</f>
        <v>-1198802.04657</v>
      </c>
      <c r="Y3" s="12">
        <f>K3-'Mai24'!E3</f>
        <v>-1421700.6409300268</v>
      </c>
      <c r="Z3" s="12">
        <f>M3-'Mai24'!G3</f>
        <v>-989514.30036999285</v>
      </c>
      <c r="AA3" s="12">
        <f>O3-'Mai24'!I3</f>
        <v>3207370.433799997</v>
      </c>
      <c r="AB3" s="12">
        <f>Q3-'Mai24'!K3</f>
        <v>942685.58742999844</v>
      </c>
      <c r="AC3" s="12">
        <f>+S3-'Mai24'!M3</f>
        <v>0</v>
      </c>
      <c r="AE3" s="28">
        <f>J3-'Mai24'!D3</f>
        <v>-8.0000000000000626E-3</v>
      </c>
      <c r="AF3" s="28">
        <f>L3-'Mai24'!F3</f>
        <v>-5.0000000000000044E-3</v>
      </c>
      <c r="AG3" s="28">
        <f>N3-'Mai24'!H3</f>
        <v>5.0000000000000044E-3</v>
      </c>
      <c r="AH3" s="28">
        <f>P3-'Mai24'!J3</f>
        <v>1.9999999999999948E-3</v>
      </c>
      <c r="AI3" s="28">
        <f>R3-'Mai24'!L3</f>
        <v>0</v>
      </c>
      <c r="AK3" s="10">
        <f>I3-'Mai24'!C3</f>
        <v>4099549.2300000191</v>
      </c>
      <c r="AL3" s="76">
        <f>I3/'Mai24'!C3-1</f>
        <v>1.0365455085598052E-2</v>
      </c>
      <c r="AN3" t="s">
        <v>11</v>
      </c>
      <c r="AO3" s="2" t="s">
        <v>10</v>
      </c>
      <c r="AP3" t="s">
        <v>7</v>
      </c>
    </row>
    <row r="4" spans="2:42" x14ac:dyDescent="0.25">
      <c r="B4" t="s">
        <v>12</v>
      </c>
      <c r="C4" s="2" t="s">
        <v>16</v>
      </c>
      <c r="D4" t="s">
        <v>58</v>
      </c>
      <c r="F4" s="7">
        <f t="shared" ref="F4:F35" si="0">J4+L4+N4+P4+R4+T4</f>
        <v>1</v>
      </c>
      <c r="H4" s="3" t="s">
        <v>0</v>
      </c>
      <c r="I4" s="78">
        <v>1404047195</v>
      </c>
      <c r="J4" s="77">
        <v>0.37</v>
      </c>
      <c r="K4" s="78">
        <f>$I4*J4</f>
        <v>519497462.14999998</v>
      </c>
      <c r="L4" s="77">
        <f>8%+3%+1%+3%+1%</f>
        <v>0.16</v>
      </c>
      <c r="M4" s="78">
        <f>$I4*L4</f>
        <v>224647551.20000002</v>
      </c>
      <c r="N4" s="77">
        <f>39%+1%</f>
        <v>0.4</v>
      </c>
      <c r="O4" s="78">
        <f>$I4*N4</f>
        <v>561618878</v>
      </c>
      <c r="P4" s="77">
        <v>7.0000000000000007E-2</v>
      </c>
      <c r="Q4" s="78">
        <f>$I4*P4</f>
        <v>98283303.650000006</v>
      </c>
      <c r="R4" s="77"/>
      <c r="S4" s="78">
        <f>$I4*R4</f>
        <v>0</v>
      </c>
      <c r="T4" s="77"/>
      <c r="U4" s="57">
        <f>$I4*T4</f>
        <v>0</v>
      </c>
      <c r="Y4" s="12">
        <f>K4-'Mai24'!E4</f>
        <v>-5876175.3700000048</v>
      </c>
      <c r="Z4" s="12">
        <f>M4-'Mai24'!G4</f>
        <v>31088842.639999986</v>
      </c>
      <c r="AA4" s="12">
        <f>O4-'Mai24'!I4</f>
        <v>-5231625.6399999857</v>
      </c>
      <c r="AB4" s="12">
        <f>Q4-'Mai24'!K4</f>
        <v>1503949.3699999899</v>
      </c>
      <c r="AC4" s="12">
        <f>+S4-'Mai24'!M4</f>
        <v>0</v>
      </c>
      <c r="AE4" s="28">
        <f>J4-'Mai24'!D4</f>
        <v>-1.0000000000000009E-2</v>
      </c>
      <c r="AF4" s="28">
        <f>L4-'Mai24'!F4</f>
        <v>1.999999999999999E-2</v>
      </c>
      <c r="AG4" s="28">
        <f>N4-'Mai24'!H4</f>
        <v>-1.0000000000000009E-2</v>
      </c>
      <c r="AH4" s="28">
        <f>P4-'Mai24'!J4</f>
        <v>0</v>
      </c>
      <c r="AI4" s="28">
        <f>R4-'Mai24'!L4</f>
        <v>0</v>
      </c>
      <c r="AK4" s="10">
        <f>I4-'Mai24'!C4</f>
        <v>21484991</v>
      </c>
      <c r="AL4" s="76">
        <f>I4/'Mai24'!C4-1</f>
        <v>1.5539981447373563E-2</v>
      </c>
      <c r="AN4" t="s">
        <v>12</v>
      </c>
      <c r="AO4" s="2" t="s">
        <v>16</v>
      </c>
      <c r="AP4" t="s">
        <v>58</v>
      </c>
    </row>
    <row r="5" spans="2:42" x14ac:dyDescent="0.25">
      <c r="B5" t="s">
        <v>13</v>
      </c>
      <c r="C5" s="2" t="s">
        <v>17</v>
      </c>
      <c r="D5" t="s">
        <v>59</v>
      </c>
      <c r="F5" s="7">
        <f t="shared" si="0"/>
        <v>1</v>
      </c>
      <c r="H5" s="3" t="s">
        <v>3</v>
      </c>
      <c r="I5" s="78">
        <v>721385614.67999995</v>
      </c>
      <c r="J5" s="77">
        <v>0.52</v>
      </c>
      <c r="K5" s="78">
        <f t="shared" ref="K5:M14" si="1">$I5*J5</f>
        <v>375120519.6336</v>
      </c>
      <c r="L5" s="77"/>
      <c r="M5" s="78">
        <f t="shared" si="1"/>
        <v>0</v>
      </c>
      <c r="N5" s="77">
        <f>28%+2%</f>
        <v>0.30000000000000004</v>
      </c>
      <c r="O5" s="78">
        <f t="shared" ref="O5:O14" si="2">$I5*N5</f>
        <v>216415684.40400001</v>
      </c>
      <c r="P5" s="77">
        <v>0.04</v>
      </c>
      <c r="Q5" s="78">
        <f t="shared" ref="Q5:Q13" si="3">$I5*P5</f>
        <v>28855424.587199997</v>
      </c>
      <c r="R5" s="77">
        <v>0.14000000000000001</v>
      </c>
      <c r="S5" s="78">
        <f t="shared" ref="S5:S13" si="4">$I5*R5</f>
        <v>100993986.0552</v>
      </c>
      <c r="T5" s="77"/>
      <c r="U5" s="57">
        <f t="shared" ref="U5:U13" si="5">$I5*T5</f>
        <v>0</v>
      </c>
      <c r="Y5" s="12">
        <f>K5-'Mai24'!E5</f>
        <v>-66131674.084200084</v>
      </c>
      <c r="Z5" s="12">
        <f>M5-'Mai24'!G5</f>
        <v>-24514010.7621</v>
      </c>
      <c r="AA5" s="12">
        <f>O5-'Mai24'!I5</f>
        <v>12132261.386500001</v>
      </c>
      <c r="AB5" s="12">
        <f>Q5-'Mai24'!K5</f>
        <v>-12001260.016300011</v>
      </c>
      <c r="AC5" s="12">
        <f>+S5-'Mai24'!M5</f>
        <v>-5233393.9139000177</v>
      </c>
      <c r="AE5" s="28">
        <f>J5-'Mai24'!D5</f>
        <v>-2.0000000000000018E-2</v>
      </c>
      <c r="AF5" s="28">
        <f>L5-'Mai24'!F5</f>
        <v>-0.03</v>
      </c>
      <c r="AG5" s="28">
        <f>N5-'Mai24'!H5</f>
        <v>5.0000000000000044E-2</v>
      </c>
      <c r="AH5" s="28">
        <f>P5-'Mai24'!J5</f>
        <v>-1.0000000000000002E-2</v>
      </c>
      <c r="AI5" s="28">
        <f>R5-'Mai24'!L5</f>
        <v>1.0000000000000009E-2</v>
      </c>
      <c r="AK5" s="10">
        <f>I5-'Mai24'!C5</f>
        <v>-95748077.390000105</v>
      </c>
      <c r="AL5" s="76">
        <f>I5/'Mai24'!C5-1</f>
        <v>-0.11717553482276166</v>
      </c>
      <c r="AN5" t="s">
        <v>13</v>
      </c>
      <c r="AO5" s="2" t="s">
        <v>17</v>
      </c>
      <c r="AP5" t="s">
        <v>59</v>
      </c>
    </row>
    <row r="6" spans="2:42" x14ac:dyDescent="0.25">
      <c r="B6" t="s">
        <v>14</v>
      </c>
      <c r="C6" s="2" t="s">
        <v>18</v>
      </c>
      <c r="F6" s="7">
        <f t="shared" si="0"/>
        <v>1</v>
      </c>
      <c r="H6" s="3" t="s">
        <v>62</v>
      </c>
      <c r="I6" s="78">
        <v>3341701664</v>
      </c>
      <c r="J6" s="77">
        <v>0.30299999999999999</v>
      </c>
      <c r="K6" s="78">
        <f t="shared" si="1"/>
        <v>1012535604.1919999</v>
      </c>
      <c r="L6" s="77">
        <v>0.17599999999999999</v>
      </c>
      <c r="M6" s="78">
        <f t="shared" si="1"/>
        <v>588139492.86399996</v>
      </c>
      <c r="N6" s="77">
        <f>46.5%+1.7%+1.1%+1.6%</f>
        <v>0.50900000000000001</v>
      </c>
      <c r="O6" s="78">
        <f t="shared" si="2"/>
        <v>1700926146.9760001</v>
      </c>
      <c r="P6" s="77"/>
      <c r="Q6" s="78">
        <f t="shared" si="3"/>
        <v>0</v>
      </c>
      <c r="R6" s="77"/>
      <c r="S6" s="78">
        <f t="shared" si="4"/>
        <v>0</v>
      </c>
      <c r="T6" s="77">
        <v>1.2E-2</v>
      </c>
      <c r="U6" s="57">
        <f t="shared" si="5"/>
        <v>40100419.968000002</v>
      </c>
      <c r="Y6" s="12">
        <f>K6-'Mai24'!E6</f>
        <v>187886817.50279987</v>
      </c>
      <c r="Z6" s="12">
        <f>M6-'Mai24'!G6</f>
        <v>23136222.161199927</v>
      </c>
      <c r="AA6" s="12">
        <f>O6-'Mai24'!I6</f>
        <v>119892183.43439984</v>
      </c>
      <c r="AB6" s="12">
        <f>Q6-'Mai24'!K6</f>
        <v>0</v>
      </c>
      <c r="AC6" s="12">
        <f>+S6-'Mai24'!M6</f>
        <v>0</v>
      </c>
      <c r="AE6" s="28">
        <f>J6-'Mai24'!D6</f>
        <v>3.2399999999999984E-2</v>
      </c>
      <c r="AF6" s="28">
        <f>L6-'Mai24'!F6</f>
        <v>-9.4000000000000195E-3</v>
      </c>
      <c r="AG6" s="28">
        <f>N6-'Mai24'!H6</f>
        <v>-9.8000000000000309E-3</v>
      </c>
      <c r="AH6" s="28">
        <f>P6-'Mai24'!J6</f>
        <v>0</v>
      </c>
      <c r="AI6" s="28">
        <f>R6-'Mai24'!L6</f>
        <v>0</v>
      </c>
      <c r="AK6" s="10">
        <f>I6-'Mai24'!C6</f>
        <v>294219082</v>
      </c>
      <c r="AL6" s="76">
        <f>I6/'Mai24'!C6-1</f>
        <v>9.6544959350320481E-2</v>
      </c>
      <c r="AN6" t="s">
        <v>14</v>
      </c>
      <c r="AO6" s="2" t="s">
        <v>18</v>
      </c>
    </row>
    <row r="7" spans="2:42" x14ac:dyDescent="0.25">
      <c r="B7" t="s">
        <v>15</v>
      </c>
      <c r="C7" s="2" t="s">
        <v>19</v>
      </c>
      <c r="F7" s="7">
        <f t="shared" si="0"/>
        <v>1</v>
      </c>
      <c r="H7" s="3" t="s">
        <v>22</v>
      </c>
      <c r="I7" s="78">
        <v>1105170000</v>
      </c>
      <c r="J7" s="77">
        <v>0.254</v>
      </c>
      <c r="K7" s="78">
        <f t="shared" si="1"/>
        <v>280713180</v>
      </c>
      <c r="L7" s="77">
        <v>0.158</v>
      </c>
      <c r="M7" s="78">
        <f t="shared" si="1"/>
        <v>174616860</v>
      </c>
      <c r="N7" s="77">
        <f>6.7%+46.5%</f>
        <v>0.53200000000000003</v>
      </c>
      <c r="O7" s="78">
        <f t="shared" si="2"/>
        <v>587950440</v>
      </c>
      <c r="P7" s="77">
        <v>5.6000000000000001E-2</v>
      </c>
      <c r="Q7" s="78">
        <f t="shared" si="3"/>
        <v>61889520</v>
      </c>
      <c r="R7" s="77"/>
      <c r="S7" s="78">
        <f t="shared" si="4"/>
        <v>0</v>
      </c>
      <c r="T7" s="77"/>
      <c r="U7" s="57">
        <f t="shared" si="5"/>
        <v>0</v>
      </c>
      <c r="Y7" s="12">
        <f>K7-'Mai24'!E7</f>
        <v>139112160</v>
      </c>
      <c r="Z7" s="12">
        <f>M7-'Mai24'!G7</f>
        <v>45624150</v>
      </c>
      <c r="AA7" s="12">
        <f>O7-'Mai24'!I7</f>
        <v>-63802199.999999881</v>
      </c>
      <c r="AB7" s="12">
        <f>Q7-'Mai24'!K7</f>
        <v>14365890</v>
      </c>
      <c r="AC7" s="12">
        <f>+S7-'Mai24'!M7</f>
        <v>0</v>
      </c>
      <c r="AE7" s="28">
        <f>J7-'Mai24'!D7</f>
        <v>0.10800000000000001</v>
      </c>
      <c r="AF7" s="28">
        <f>L7-'Mai24'!F7</f>
        <v>2.4999999999999994E-2</v>
      </c>
      <c r="AG7" s="28">
        <f>N7-'Mai24'!H7</f>
        <v>-0.1399999999999999</v>
      </c>
      <c r="AH7" s="28">
        <f>P7-'Mai24'!J7</f>
        <v>6.9999999999999993E-3</v>
      </c>
      <c r="AI7" s="28">
        <f>R7-'Mai24'!L7</f>
        <v>0</v>
      </c>
      <c r="AK7" s="10">
        <f>I7-'Mai24'!C7</f>
        <v>135300000</v>
      </c>
      <c r="AL7" s="76">
        <f>I7/'Mai24'!C7-1</f>
        <v>0.13950323239197004</v>
      </c>
      <c r="AN7" t="s">
        <v>15</v>
      </c>
      <c r="AO7" s="2" t="s">
        <v>19</v>
      </c>
    </row>
    <row r="8" spans="2:42" x14ac:dyDescent="0.25">
      <c r="B8" t="s">
        <v>57</v>
      </c>
      <c r="F8" s="7">
        <f t="shared" si="0"/>
        <v>1</v>
      </c>
      <c r="H8" s="3" t="s">
        <v>23</v>
      </c>
      <c r="I8" s="78">
        <v>2081906616.5999999</v>
      </c>
      <c r="J8" s="77">
        <v>0.39</v>
      </c>
      <c r="K8" s="78">
        <f t="shared" si="1"/>
        <v>811943580.47399998</v>
      </c>
      <c r="L8" s="77">
        <f>3%+1%+27%</f>
        <v>0.31</v>
      </c>
      <c r="M8" s="78">
        <f t="shared" si="1"/>
        <v>645391051.14599991</v>
      </c>
      <c r="N8" s="77">
        <v>0.24</v>
      </c>
      <c r="O8" s="78">
        <f t="shared" si="2"/>
        <v>499657587.98399997</v>
      </c>
      <c r="P8" s="77">
        <v>0.04</v>
      </c>
      <c r="Q8" s="78">
        <f t="shared" si="3"/>
        <v>83276264.664000005</v>
      </c>
      <c r="R8" s="77">
        <v>0.02</v>
      </c>
      <c r="S8" s="78">
        <f t="shared" si="4"/>
        <v>41638132.332000002</v>
      </c>
      <c r="T8" s="77"/>
      <c r="U8" s="57">
        <f t="shared" si="5"/>
        <v>0</v>
      </c>
      <c r="Y8" s="12">
        <f>K8-'Mai24'!E8</f>
        <v>42646030.689599991</v>
      </c>
      <c r="Z8" s="12">
        <f>M8-'Mai24'!G8</f>
        <v>112800439.75679988</v>
      </c>
      <c r="AA8" s="12">
        <f>O8-'Mai24'!I8</f>
        <v>-13207445.205600083</v>
      </c>
      <c r="AB8" s="12">
        <f>Q8-'Mai24'!K8</f>
        <v>4373951.8656000048</v>
      </c>
      <c r="AC8" s="12">
        <f>+S8-'Mai24'!M8</f>
        <v>-37264180.466399997</v>
      </c>
      <c r="AE8" s="28">
        <f>J8-'Mai24'!D8</f>
        <v>0</v>
      </c>
      <c r="AF8" s="28">
        <f>L8-'Mai24'!F8</f>
        <v>3.999999999999998E-2</v>
      </c>
      <c r="AG8" s="28">
        <f>N8-'Mai24'!H8</f>
        <v>-2.0000000000000018E-2</v>
      </c>
      <c r="AH8" s="28">
        <f>P8-'Mai24'!J8</f>
        <v>0</v>
      </c>
      <c r="AI8" s="28">
        <f>R8-'Mai24'!L8</f>
        <v>-0.02</v>
      </c>
      <c r="AK8" s="10">
        <f>I8-'Mai24'!C8</f>
        <v>109348796.63999987</v>
      </c>
      <c r="AL8" s="76">
        <f>I8/'Mai24'!C8-1</f>
        <v>5.5435027320120511E-2</v>
      </c>
      <c r="AN8" t="s">
        <v>57</v>
      </c>
    </row>
    <row r="9" spans="2:42" x14ac:dyDescent="0.25">
      <c r="F9" s="7">
        <f t="shared" si="0"/>
        <v>0.99999999999999989</v>
      </c>
      <c r="H9" s="3" t="s">
        <v>24</v>
      </c>
      <c r="I9" s="78">
        <v>1763840710</v>
      </c>
      <c r="J9" s="77">
        <v>0.38129999999999997</v>
      </c>
      <c r="K9" s="78">
        <f t="shared" si="1"/>
        <v>672552462.72299993</v>
      </c>
      <c r="L9" s="77">
        <v>0.19980000000000001</v>
      </c>
      <c r="M9" s="78">
        <f t="shared" si="1"/>
        <v>352415373.85799998</v>
      </c>
      <c r="N9" s="77">
        <v>0.37109999999999999</v>
      </c>
      <c r="O9" s="78">
        <f t="shared" si="2"/>
        <v>654561287.48099995</v>
      </c>
      <c r="P9" s="77">
        <v>4.7800000000000002E-2</v>
      </c>
      <c r="Q9" s="78">
        <f t="shared" si="3"/>
        <v>84311585.938000008</v>
      </c>
      <c r="R9" s="77"/>
      <c r="S9" s="78">
        <f t="shared" si="4"/>
        <v>0</v>
      </c>
      <c r="T9" s="77"/>
      <c r="U9" s="57">
        <f t="shared" si="5"/>
        <v>0</v>
      </c>
      <c r="Y9" s="12">
        <f>K9-'Mai24'!E9</f>
        <v>99865220.622900009</v>
      </c>
      <c r="Z9" s="12">
        <f>M9-'Mai24'!G9</f>
        <v>-19310387.665499985</v>
      </c>
      <c r="AA9" s="12">
        <f>O9-'Mai24'!I9</f>
        <v>-81120195.895200133</v>
      </c>
      <c r="AB9" s="12">
        <f>Q9-'Mai24'!K9</f>
        <v>-1512034.06219998</v>
      </c>
      <c r="AC9" s="12">
        <f>+S9-'Mai24'!M9</f>
        <v>0</v>
      </c>
      <c r="AE9" s="28">
        <f>J9-'Mai24'!D9</f>
        <v>5.6999999999999995E-2</v>
      </c>
      <c r="AF9" s="28">
        <f>L9-'Mai24'!F9</f>
        <v>-1.0699999999999987E-2</v>
      </c>
      <c r="AG9" s="28">
        <f>N9-'Mai24'!H9</f>
        <v>-4.550000000000004E-2</v>
      </c>
      <c r="AH9" s="28">
        <f>P9-'Mai24'!J9</f>
        <v>-7.9999999999999516E-4</v>
      </c>
      <c r="AI9" s="28">
        <f>R9-'Mai24'!L9</f>
        <v>0</v>
      </c>
      <c r="AK9" s="10">
        <f>I9-'Mai24'!C9</f>
        <v>-2077397</v>
      </c>
      <c r="AL9" s="76">
        <f>I9/'Mai24'!C9-1</f>
        <v>-1.1763835433621361E-3</v>
      </c>
    </row>
    <row r="10" spans="2:42" x14ac:dyDescent="0.25">
      <c r="F10" s="7">
        <f t="shared" si="0"/>
        <v>1</v>
      </c>
      <c r="H10" s="3" t="s">
        <v>25</v>
      </c>
      <c r="I10" s="78">
        <v>102912287</v>
      </c>
      <c r="J10" s="77">
        <v>0.78</v>
      </c>
      <c r="K10" s="78">
        <f t="shared" si="1"/>
        <v>80271583.859999999</v>
      </c>
      <c r="L10" s="77">
        <f>3%+1%</f>
        <v>0.04</v>
      </c>
      <c r="M10" s="78">
        <f t="shared" si="1"/>
        <v>4116491.48</v>
      </c>
      <c r="N10" s="77">
        <v>0.15</v>
      </c>
      <c r="O10" s="78">
        <f t="shared" si="2"/>
        <v>15436843.049999999</v>
      </c>
      <c r="P10" s="77">
        <v>0.03</v>
      </c>
      <c r="Q10" s="78">
        <f t="shared" si="3"/>
        <v>3087368.61</v>
      </c>
      <c r="R10" s="77"/>
      <c r="S10" s="78">
        <f t="shared" si="4"/>
        <v>0</v>
      </c>
      <c r="T10" s="77"/>
      <c r="U10" s="57">
        <f t="shared" si="5"/>
        <v>0</v>
      </c>
      <c r="Y10" s="12">
        <f>K10-'Mai24'!E10</f>
        <v>1273834.8599999994</v>
      </c>
      <c r="Z10" s="12">
        <f>M10-'Mai24'!G10</f>
        <v>-96721.800000000279</v>
      </c>
      <c r="AA10" s="12">
        <f>O10-'Mai24'!I10</f>
        <v>-3522616.709999999</v>
      </c>
      <c r="AB10" s="12">
        <f>Q10-'Mai24'!K10</f>
        <v>-72541.350000000093</v>
      </c>
      <c r="AC10" s="12">
        <f>+S10-'Mai24'!M10</f>
        <v>0</v>
      </c>
      <c r="AE10" s="28">
        <f>J10-'Mai24'!D10</f>
        <v>3.0000000000000027E-2</v>
      </c>
      <c r="AF10" s="28">
        <f>L10-'Mai24'!F10</f>
        <v>0</v>
      </c>
      <c r="AG10" s="28">
        <f>N10-'Mai24'!H10</f>
        <v>-0.03</v>
      </c>
      <c r="AH10" s="28">
        <f>P10-'Mai24'!J10</f>
        <v>0</v>
      </c>
      <c r="AI10" s="28">
        <f>R10-'Mai24'!L10</f>
        <v>0</v>
      </c>
      <c r="AK10" s="10">
        <f>I10-'Mai24'!C10</f>
        <v>-2418045</v>
      </c>
      <c r="AL10" s="76">
        <f>I10/'Mai24'!C10-1</f>
        <v>-2.2956777540585338E-2</v>
      </c>
    </row>
    <row r="11" spans="2:42" x14ac:dyDescent="0.25">
      <c r="F11" s="7">
        <f t="shared" si="0"/>
        <v>1</v>
      </c>
      <c r="H11" s="3" t="s">
        <v>29</v>
      </c>
      <c r="I11" s="78">
        <v>7019624659</v>
      </c>
      <c r="J11" s="77">
        <v>0.40500000000000003</v>
      </c>
      <c r="K11" s="78">
        <f t="shared" si="1"/>
        <v>2842947986.895</v>
      </c>
      <c r="L11" s="77">
        <f>31%+5.5%</f>
        <v>0.36499999999999999</v>
      </c>
      <c r="M11" s="78">
        <f t="shared" si="1"/>
        <v>2562163000.5349998</v>
      </c>
      <c r="N11" s="77">
        <f>20.7%+0.9%</f>
        <v>0.216</v>
      </c>
      <c r="O11" s="78">
        <f t="shared" si="2"/>
        <v>1516238926.3440001</v>
      </c>
      <c r="P11" s="77">
        <v>1.4E-2</v>
      </c>
      <c r="Q11" s="78">
        <f t="shared" si="3"/>
        <v>98274745.225999996</v>
      </c>
      <c r="R11" s="77"/>
      <c r="S11" s="78">
        <f t="shared" si="4"/>
        <v>0</v>
      </c>
      <c r="T11" s="77"/>
      <c r="U11" s="57">
        <f t="shared" si="5"/>
        <v>0</v>
      </c>
      <c r="Y11" s="12">
        <f>K11-'Mai24'!E11</f>
        <v>104035001.8829999</v>
      </c>
      <c r="Z11" s="12">
        <f>M11-'Mai24'!G11</f>
        <v>155642368.07299995</v>
      </c>
      <c r="AA11" s="12">
        <f>O11-'Mai24'!I11</f>
        <v>100247504.48100019</v>
      </c>
      <c r="AB11" s="12">
        <f>Q11-'Mai24'!K11</f>
        <v>11852733.562999994</v>
      </c>
      <c r="AC11" s="12">
        <f>+S11-'Mai24'!M11</f>
        <v>0</v>
      </c>
      <c r="AE11" s="28">
        <f>J11-'Mai24'!D11</f>
        <v>-6.9999999999999507E-3</v>
      </c>
      <c r="AF11" s="28">
        <f>L11-'Mai24'!F11</f>
        <v>3.0000000000000027E-3</v>
      </c>
      <c r="AG11" s="28">
        <f>N11-'Mai24'!H11</f>
        <v>3.0000000000000027E-3</v>
      </c>
      <c r="AH11" s="28">
        <f>P11-'Mai24'!J11</f>
        <v>1.0000000000000009E-3</v>
      </c>
      <c r="AI11" s="28">
        <f>R11-'Mai24'!L11</f>
        <v>0</v>
      </c>
      <c r="AK11" s="10">
        <f>I11-'Mai24'!C11</f>
        <v>371777608</v>
      </c>
      <c r="AL11" s="76">
        <f>I11/'Mai24'!C11-1</f>
        <v>5.5924512875800136E-2</v>
      </c>
    </row>
    <row r="12" spans="2:42" x14ac:dyDescent="0.25">
      <c r="F12" s="7">
        <f t="shared" si="0"/>
        <v>1</v>
      </c>
      <c r="H12" s="3" t="s">
        <v>47</v>
      </c>
      <c r="I12" s="78">
        <v>2387902971.98</v>
      </c>
      <c r="J12" s="77">
        <f>48.36%+20.83%</f>
        <v>0.69189999999999996</v>
      </c>
      <c r="K12" s="78">
        <f t="shared" si="1"/>
        <v>1652190066.3129618</v>
      </c>
      <c r="L12" s="77">
        <v>9.8000000000000004E-2</v>
      </c>
      <c r="M12" s="78">
        <f t="shared" si="1"/>
        <v>234014491.25404</v>
      </c>
      <c r="N12" s="77">
        <v>0.17829999999999999</v>
      </c>
      <c r="O12" s="78">
        <f t="shared" si="2"/>
        <v>425763099.90403396</v>
      </c>
      <c r="P12" s="77"/>
      <c r="Q12" s="78">
        <f t="shared" si="3"/>
        <v>0</v>
      </c>
      <c r="R12" s="77"/>
      <c r="S12" s="78">
        <f t="shared" si="4"/>
        <v>0</v>
      </c>
      <c r="T12" s="77">
        <v>3.1800000000000002E-2</v>
      </c>
      <c r="U12" s="57">
        <f t="shared" si="5"/>
        <v>75935314.508964002</v>
      </c>
      <c r="Y12" s="12">
        <f>K12-'Mai24'!E12</f>
        <v>489201317.857862</v>
      </c>
      <c r="Z12" s="12">
        <f>M12-'Mai24'!G12</f>
        <v>65465397.275040001</v>
      </c>
      <c r="AA12" s="12">
        <f>O12-'Mai24'!I12</f>
        <v>71810002.548133969</v>
      </c>
      <c r="AB12" s="12">
        <f>Q12-'Mai24'!K12</f>
        <v>0</v>
      </c>
      <c r="AC12" s="12">
        <f>+S12-'Mai24'!M12</f>
        <v>0</v>
      </c>
      <c r="AE12" s="28">
        <f>J12-'Mai24'!D12</f>
        <v>1.9000000000000128E-3</v>
      </c>
      <c r="AF12" s="28">
        <f>L12-'Mai24'!F12</f>
        <v>-2.0000000000000018E-3</v>
      </c>
      <c r="AG12" s="28">
        <f>N12-'Mai24'!H12</f>
        <v>-3.1700000000000006E-2</v>
      </c>
      <c r="AH12" s="28">
        <f>P12-'Mai24'!J12</f>
        <v>0</v>
      </c>
      <c r="AI12" s="28">
        <f>R12-'Mai24'!L12</f>
        <v>0</v>
      </c>
      <c r="AK12" s="10">
        <f>I12-'Mai24'!C12</f>
        <v>702412032.19000006</v>
      </c>
      <c r="AL12" s="76">
        <f>I12/'Mai24'!C12-1</f>
        <v>0.41674031916037202</v>
      </c>
    </row>
    <row r="13" spans="2:42" x14ac:dyDescent="0.25">
      <c r="F13" s="7">
        <f t="shared" si="0"/>
        <v>1</v>
      </c>
      <c r="H13" s="3" t="s">
        <v>30</v>
      </c>
      <c r="I13" s="78">
        <v>980830000</v>
      </c>
      <c r="J13" s="77">
        <v>0.40799999999999997</v>
      </c>
      <c r="K13" s="78">
        <f t="shared" si="1"/>
        <v>400178640</v>
      </c>
      <c r="L13" s="77">
        <f>5.5%+14.3%</f>
        <v>0.19800000000000001</v>
      </c>
      <c r="M13" s="78">
        <f t="shared" si="1"/>
        <v>194204340</v>
      </c>
      <c r="N13" s="77">
        <v>0.38300000000000001</v>
      </c>
      <c r="O13" s="78">
        <f t="shared" si="2"/>
        <v>375657890</v>
      </c>
      <c r="P13" s="77">
        <v>1.0999999999999999E-2</v>
      </c>
      <c r="Q13" s="78">
        <f t="shared" si="3"/>
        <v>10789130</v>
      </c>
      <c r="R13" s="77"/>
      <c r="S13" s="78">
        <f t="shared" si="4"/>
        <v>0</v>
      </c>
      <c r="T13" s="77"/>
      <c r="U13" s="57">
        <f t="shared" si="5"/>
        <v>0</v>
      </c>
      <c r="Y13" s="12">
        <f>K13-'Mai24'!E13</f>
        <v>78096380</v>
      </c>
      <c r="Z13" s="12">
        <f>M13-'Mai24'!G13</f>
        <v>20706990</v>
      </c>
      <c r="AA13" s="12">
        <f>O13-'Mai24'!I13</f>
        <v>-7815740</v>
      </c>
      <c r="AB13" s="12">
        <f>Q13-'Mai24'!K13</f>
        <v>112370</v>
      </c>
      <c r="AC13" s="12">
        <f>+S13-'Mai24'!M13</f>
        <v>0</v>
      </c>
      <c r="AE13" s="28">
        <f>J13-'Mai24'!D13</f>
        <v>4.5999999999999985E-2</v>
      </c>
      <c r="AF13" s="28">
        <f>L13-'Mai24'!F13</f>
        <v>3.0000000000000027E-3</v>
      </c>
      <c r="AG13" s="28">
        <f>N13-'Mai24'!H13</f>
        <v>-4.7999999999999987E-2</v>
      </c>
      <c r="AH13" s="28">
        <f>P13-'Mai24'!J13</f>
        <v>-1.0000000000000009E-3</v>
      </c>
      <c r="AI13" s="28">
        <f>R13-'Mai24'!L13</f>
        <v>0</v>
      </c>
      <c r="AK13" s="10">
        <f>I13-'Mai24'!C13</f>
        <v>91100000</v>
      </c>
      <c r="AL13" s="76">
        <f>I13/'Mai24'!C13-1</f>
        <v>0.10239061288255979</v>
      </c>
    </row>
    <row r="14" spans="2:42" x14ac:dyDescent="0.25">
      <c r="F14" s="7">
        <f t="shared" si="0"/>
        <v>1</v>
      </c>
      <c r="H14" s="3" t="s">
        <v>63</v>
      </c>
      <c r="I14" s="78">
        <v>50207800.609999999</v>
      </c>
      <c r="J14" s="77">
        <v>0.52200000000000002</v>
      </c>
      <c r="K14" s="78">
        <f t="shared" si="1"/>
        <v>26208471.918420002</v>
      </c>
      <c r="L14" s="77">
        <v>9.2999999999999999E-2</v>
      </c>
      <c r="M14" s="78"/>
      <c r="N14" s="77">
        <v>0.38500000000000001</v>
      </c>
      <c r="O14" s="78">
        <f t="shared" si="2"/>
        <v>19330003.234850001</v>
      </c>
      <c r="P14" s="77"/>
      <c r="Q14" s="78"/>
      <c r="R14" s="77"/>
      <c r="S14" s="78"/>
      <c r="T14" s="77"/>
      <c r="U14" s="57"/>
      <c r="Y14" s="12">
        <f>K14-'Mai24'!E14</f>
        <v>162417.2470600009</v>
      </c>
      <c r="Z14" s="12">
        <f>M14-'Mai24'!G14</f>
        <v>0</v>
      </c>
      <c r="AA14" s="12">
        <f>O14-'Mai24'!I14</f>
        <v>-865863.37556000054</v>
      </c>
      <c r="AB14" s="12">
        <f>Q14-'Mai24'!K14</f>
        <v>0</v>
      </c>
      <c r="AC14" s="12">
        <f>+S14-'Mai24'!M14</f>
        <v>0</v>
      </c>
      <c r="AE14" s="28">
        <f>J14-'Mai24'!D14</f>
        <v>1.0000000000000009E-2</v>
      </c>
      <c r="AF14" s="28">
        <f>L14-'Mai24'!F14</f>
        <v>2.0000000000000018E-3</v>
      </c>
      <c r="AG14" s="28">
        <f>N14-'Mai24'!H14</f>
        <v>-1.2000000000000011E-2</v>
      </c>
      <c r="AH14" s="28">
        <f>P14-'Mai24'!J14</f>
        <v>0</v>
      </c>
      <c r="AI14" s="28">
        <f>R14-'Mai24'!L14</f>
        <v>0</v>
      </c>
      <c r="AK14" s="10">
        <f>I14-'Mai24'!C14</f>
        <v>-663399.92000000179</v>
      </c>
      <c r="AL14" s="76">
        <f>I14/'Mai24'!C14-1</f>
        <v>-1.3040775784498693E-2</v>
      </c>
    </row>
    <row r="15" spans="2:42" s="8" customFormat="1" x14ac:dyDescent="0.25">
      <c r="F15" s="7">
        <f>J15+L15+N15+P15+R15+T15</f>
        <v>0.99978138971892683</v>
      </c>
      <c r="H15" s="21" t="s">
        <v>45</v>
      </c>
      <c r="I15" s="20">
        <f>SUM(I3:I14)</f>
        <v>21359130201.060001</v>
      </c>
      <c r="J15" s="15">
        <f>K15/$I15</f>
        <v>0.41406132950352198</v>
      </c>
      <c r="K15" s="17">
        <f>SUM(K3:K14)</f>
        <v>8843989848.0897331</v>
      </c>
      <c r="L15" s="15">
        <f>M15/$I15</f>
        <v>0.23765070810294134</v>
      </c>
      <c r="M15" s="20">
        <f>SUM(M3:M14)</f>
        <v>5076012416.7448292</v>
      </c>
      <c r="N15" s="15">
        <f>O15/$I15</f>
        <v>0.31337591601472164</v>
      </c>
      <c r="O15" s="17">
        <f>SUM(O3:O14)</f>
        <v>6693436992.0348835</v>
      </c>
      <c r="P15" s="15">
        <f>Q15/$I15</f>
        <v>2.263915072216904E-2</v>
      </c>
      <c r="Q15" s="17">
        <f>SUM(Q3:Q14)</f>
        <v>483552567.91623008</v>
      </c>
      <c r="R15" s="15">
        <f>S15/$I15</f>
        <v>6.6778055587732458E-3</v>
      </c>
      <c r="S15" s="17">
        <f>SUM(S3:S14)</f>
        <v>142632118.3872</v>
      </c>
      <c r="T15" s="15">
        <f>U15/$I15</f>
        <v>5.3764798167996054E-3</v>
      </c>
      <c r="U15" s="63">
        <f>SUM(U3:U14)</f>
        <v>114836932.43039399</v>
      </c>
      <c r="Y15" s="12">
        <f>K15-'Mai24'!E15</f>
        <v>1068849630.5680933</v>
      </c>
      <c r="Z15" s="12">
        <f>M15-'Mai24'!G15</f>
        <v>409553775.37806892</v>
      </c>
      <c r="AA15" s="12">
        <f>O15-'Mai24'!I15</f>
        <v>131723635.45747375</v>
      </c>
      <c r="AB15" s="12">
        <f>Q15-'Mai24'!K15</f>
        <v>19565744.957530141</v>
      </c>
      <c r="AC15" s="12">
        <f>+S15-'Mai24'!M15</f>
        <v>-42497574.380300015</v>
      </c>
      <c r="AE15" s="28">
        <f>J15-'Mai24'!D15</f>
        <v>1.9990171755442876E-2</v>
      </c>
      <c r="AF15" s="28">
        <f>L15-'Mai24'!F15</f>
        <v>1.1383484617810136E-3</v>
      </c>
      <c r="AG15" s="28">
        <f>N15-'Mai24'!H15</f>
        <v>-1.9194546625979581E-2</v>
      </c>
      <c r="AH15" s="28">
        <f>P15-'Mai24'!J15</f>
        <v>-8.7731578362346477E-4</v>
      </c>
      <c r="AI15" s="28">
        <f>R15-'Mai24'!L15</f>
        <v>-2.7052113800118674E-3</v>
      </c>
      <c r="AK15" s="10">
        <f>I15-'Mai24'!C15</f>
        <v>1628835139.75</v>
      </c>
      <c r="AL15" s="76">
        <f>I15/'Mai24'!C15-1</f>
        <v>8.2555031979428151E-2</v>
      </c>
    </row>
    <row r="16" spans="2:42" x14ac:dyDescent="0.25">
      <c r="F16" s="7"/>
      <c r="I16" s="10"/>
      <c r="J16" s="10"/>
      <c r="K16" s="10"/>
      <c r="L16" s="5"/>
      <c r="M16" s="10"/>
      <c r="N16" s="10"/>
      <c r="O16" s="10"/>
      <c r="P16" s="5"/>
      <c r="Q16" s="10"/>
    </row>
    <row r="17" spans="6:38" x14ac:dyDescent="0.25">
      <c r="F17" s="7"/>
      <c r="H17" s="4" t="s">
        <v>2</v>
      </c>
      <c r="I17" s="9" t="s">
        <v>4</v>
      </c>
      <c r="J17" s="112" t="s">
        <v>7</v>
      </c>
      <c r="K17" s="112"/>
      <c r="L17" s="112" t="s">
        <v>8</v>
      </c>
      <c r="M17" s="112"/>
      <c r="N17" s="112" t="s">
        <v>10</v>
      </c>
      <c r="O17" s="112"/>
      <c r="P17" s="112" t="s">
        <v>9</v>
      </c>
      <c r="Q17" s="112"/>
      <c r="R17" s="112" t="s">
        <v>21</v>
      </c>
      <c r="S17" s="112"/>
      <c r="T17" s="112" t="s">
        <v>55</v>
      </c>
      <c r="U17" s="112"/>
      <c r="Y17" s="27" t="s">
        <v>49</v>
      </c>
      <c r="Z17" s="27" t="s">
        <v>50</v>
      </c>
      <c r="AA17" s="27" t="s">
        <v>51</v>
      </c>
      <c r="AB17" s="27" t="s">
        <v>52</v>
      </c>
      <c r="AC17" s="27" t="s">
        <v>53</v>
      </c>
      <c r="AE17" s="27" t="s">
        <v>49</v>
      </c>
      <c r="AF17" s="27" t="s">
        <v>50</v>
      </c>
      <c r="AG17" s="27" t="s">
        <v>51</v>
      </c>
      <c r="AH17" s="27" t="s">
        <v>52</v>
      </c>
      <c r="AI17" s="27" t="s">
        <v>53</v>
      </c>
    </row>
    <row r="18" spans="6:38" x14ac:dyDescent="0.25">
      <c r="F18" s="7">
        <f t="shared" si="0"/>
        <v>1</v>
      </c>
      <c r="H18" s="21" t="s">
        <v>6</v>
      </c>
      <c r="I18" s="83">
        <v>249263955.09999999</v>
      </c>
      <c r="J18" s="81">
        <f>20.99%+0.72%</f>
        <v>0.21709999999999999</v>
      </c>
      <c r="K18" s="58">
        <f>J18*$I18</f>
        <v>54115204.652209997</v>
      </c>
      <c r="L18" s="81">
        <f>9.37%+9.2%+6.49%+6.12%</f>
        <v>0.31179999999999997</v>
      </c>
      <c r="M18" s="58">
        <f>L18*$I18</f>
        <v>77720501.200179994</v>
      </c>
      <c r="N18" s="81">
        <f>41.02%+1.59%</f>
        <v>0.42610000000000003</v>
      </c>
      <c r="O18" s="58">
        <f>N18*$I18</f>
        <v>106211371.26811001</v>
      </c>
      <c r="P18" s="81">
        <v>6.7500000000000004E-2</v>
      </c>
      <c r="Q18" s="58">
        <f>P18*$I18</f>
        <v>16825316.969250001</v>
      </c>
      <c r="R18" s="81"/>
      <c r="S18" s="58">
        <f>R18*$I18</f>
        <v>0</v>
      </c>
      <c r="T18" s="81">
        <v>-2.2499999999999999E-2</v>
      </c>
      <c r="U18" s="79">
        <f>T18*$I18</f>
        <v>-5608438.9897499997</v>
      </c>
      <c r="Y18" s="12">
        <f>K18-'Mai24'!E18</f>
        <v>-4125913.5895899981</v>
      </c>
      <c r="Z18" s="12">
        <f>M18-'Mai24'!G18</f>
        <v>2692531.437654987</v>
      </c>
      <c r="AA18" s="12">
        <f>O18-'Mai24'!I18</f>
        <v>-1839912.9614150077</v>
      </c>
      <c r="AB18" s="12">
        <f>Q18-'Mai24'!K18</f>
        <v>1014154.2850499991</v>
      </c>
      <c r="AC18" s="12">
        <f>+S18-'Mai24'!M18</f>
        <v>0</v>
      </c>
      <c r="AE18" s="28">
        <f>J18-'Mai24'!D18</f>
        <v>-1.5699999999999992E-2</v>
      </c>
      <c r="AF18" s="28">
        <f>L18-'Mai24'!F18</f>
        <v>1.1899999999999966E-2</v>
      </c>
      <c r="AG18" s="28">
        <f>N18-'Mai24'!H18</f>
        <v>-5.8000000000000274E-3</v>
      </c>
      <c r="AH18" s="28">
        <f>P18-'Mai24'!J18</f>
        <v>4.2999999999999983E-3</v>
      </c>
      <c r="AI18" s="28">
        <f>R18-'Mai24'!L18</f>
        <v>0</v>
      </c>
      <c r="AK18" s="10">
        <f>I18-'Mai24'!C18</f>
        <v>-912669.65000000596</v>
      </c>
      <c r="AL18" s="76">
        <f>I18/'Mai24'!C18-1</f>
        <v>-3.6481012201361462E-3</v>
      </c>
    </row>
    <row r="19" spans="6:38" x14ac:dyDescent="0.25">
      <c r="F19" s="7">
        <f t="shared" si="0"/>
        <v>1</v>
      </c>
      <c r="H19" s="3" t="s">
        <v>26</v>
      </c>
      <c r="I19" s="78">
        <v>630098654.84000003</v>
      </c>
      <c r="J19" s="77">
        <v>0.38</v>
      </c>
      <c r="K19" s="57">
        <f>J19*$I19</f>
        <v>239437488.83920002</v>
      </c>
      <c r="L19" s="77">
        <f>1%+12%</f>
        <v>0.13</v>
      </c>
      <c r="M19" s="57">
        <f>L19*$I19</f>
        <v>81912825.129200011</v>
      </c>
      <c r="N19" s="77">
        <f>1%+28%</f>
        <v>0.29000000000000004</v>
      </c>
      <c r="O19" s="57">
        <f>N19*$I19</f>
        <v>182728609.90360004</v>
      </c>
      <c r="P19" s="77">
        <v>0.11</v>
      </c>
      <c r="Q19" s="57">
        <f>P19*$I19</f>
        <v>69310852.032399997</v>
      </c>
      <c r="R19" s="77">
        <v>0.09</v>
      </c>
      <c r="S19" s="57">
        <f>R19*$I19</f>
        <v>56708878.935599998</v>
      </c>
      <c r="T19" s="77"/>
      <c r="U19" s="57">
        <f>T19*$I19</f>
        <v>0</v>
      </c>
      <c r="Y19" s="12">
        <f>K19-'Mai24'!E19</f>
        <v>94869353.648000002</v>
      </c>
      <c r="Z19" s="12">
        <f>M19-'Mai24'!G19</f>
        <v>14791905.219000012</v>
      </c>
      <c r="AA19" s="12">
        <f>O19-'Mai24'!I19</f>
        <v>2018440.9146000445</v>
      </c>
      <c r="AB19" s="12">
        <f>Q19-'Mai24'!K19</f>
        <v>-8136363.2486000061</v>
      </c>
      <c r="AC19" s="12">
        <f>+S19-'Mai24'!M19</f>
        <v>10240549.766999997</v>
      </c>
      <c r="AE19" s="28">
        <f>J19-'Mai24'!D19</f>
        <v>9.9999999999999978E-2</v>
      </c>
      <c r="AF19" s="28">
        <f>L19-'Mai24'!F19</f>
        <v>0</v>
      </c>
      <c r="AG19" s="28">
        <f>N19-'Mai24'!H19</f>
        <v>-5.9999999999999942E-2</v>
      </c>
      <c r="AH19" s="28">
        <f>P19-'Mai24'!J19</f>
        <v>-3.9999999999999994E-2</v>
      </c>
      <c r="AI19" s="28">
        <f>R19-'Mai24'!L19</f>
        <v>0</v>
      </c>
      <c r="AK19" s="10">
        <f>I19-'Mai24'!C19</f>
        <v>113783886.30000001</v>
      </c>
      <c r="AL19" s="76">
        <f>I19/'Mai24'!C19-1</f>
        <v>0.22037697395670164</v>
      </c>
    </row>
    <row r="20" spans="6:38" x14ac:dyDescent="0.25">
      <c r="F20" s="7">
        <f t="shared" si="0"/>
        <v>1</v>
      </c>
      <c r="H20" s="3" t="s">
        <v>27</v>
      </c>
      <c r="I20" s="78">
        <f>356500000+361900000</f>
        <v>718400000</v>
      </c>
      <c r="J20" s="77">
        <v>5.5E-2</v>
      </c>
      <c r="K20" s="57">
        <f t="shared" ref="K20:M25" si="6">J20*$I20</f>
        <v>39512000</v>
      </c>
      <c r="L20" s="77">
        <v>0.26300000000000001</v>
      </c>
      <c r="M20" s="57">
        <f t="shared" si="6"/>
        <v>188939200</v>
      </c>
      <c r="N20" s="77">
        <f>59.4%+2.3%+2.2%</f>
        <v>0.63900000000000001</v>
      </c>
      <c r="O20" s="57">
        <f t="shared" ref="O20:O25" si="7">N20*$I20</f>
        <v>459057600</v>
      </c>
      <c r="P20" s="77">
        <v>3.6999999999999998E-2</v>
      </c>
      <c r="Q20" s="57">
        <f t="shared" ref="Q20:Q25" si="8">P20*$I20</f>
        <v>26580800</v>
      </c>
      <c r="R20" s="77"/>
      <c r="S20" s="57">
        <f t="shared" ref="S20:S25" si="9">R20*$I20</f>
        <v>0</v>
      </c>
      <c r="T20" s="77">
        <v>6.0000000000000001E-3</v>
      </c>
      <c r="U20" s="57">
        <f t="shared" ref="U20:U26" si="10">T20*$I20</f>
        <v>4310400</v>
      </c>
      <c r="Y20" s="12">
        <f>K20-'Mai24'!E20</f>
        <v>23086677.0572</v>
      </c>
      <c r="Z20" s="12">
        <f>M20-'Mai24'!G20</f>
        <v>8404729.4094000161</v>
      </c>
      <c r="AA20" s="12">
        <f>O20-'Mai24'!I20</f>
        <v>-14971456.85800004</v>
      </c>
      <c r="AB20" s="12">
        <f>Q20-'Mai24'!K20</f>
        <v>-3244128.5014000013</v>
      </c>
      <c r="AC20" s="12">
        <f>+S20-'Mai24'!M20</f>
        <v>0</v>
      </c>
      <c r="AE20" s="28">
        <f>J20-'Mai24'!D20</f>
        <v>3.2199999999999999E-2</v>
      </c>
      <c r="AF20" s="28">
        <f>L20-'Mai24'!F20</f>
        <v>1.2400000000000022E-2</v>
      </c>
      <c r="AG20" s="28">
        <f>N20-'Mai24'!H20</f>
        <v>-1.9000000000000017E-2</v>
      </c>
      <c r="AH20" s="28">
        <f>P20-'Mai24'!J20</f>
        <v>-4.4000000000000011E-3</v>
      </c>
      <c r="AI20" s="28">
        <f>R20-'Mai24'!L20</f>
        <v>0</v>
      </c>
      <c r="AK20" s="10">
        <f>I20-'Mai24'!C20</f>
        <v>-2008901</v>
      </c>
      <c r="AL20" s="76">
        <f>I20/'Mai24'!C20-1</f>
        <v>-2.7885566061321976E-3</v>
      </c>
    </row>
    <row r="21" spans="6:38" x14ac:dyDescent="0.25">
      <c r="F21" s="7">
        <f t="shared" si="0"/>
        <v>1</v>
      </c>
      <c r="H21" s="3" t="s">
        <v>28</v>
      </c>
      <c r="I21" s="78">
        <v>1068173716</v>
      </c>
      <c r="J21" s="77">
        <v>0.13</v>
      </c>
      <c r="K21" s="57">
        <f t="shared" si="6"/>
        <v>138862583.08000001</v>
      </c>
      <c r="L21" s="77">
        <f>8%+7%+2%+1%</f>
        <v>0.18000000000000002</v>
      </c>
      <c r="M21" s="57">
        <f t="shared" si="6"/>
        <v>192271268.88000003</v>
      </c>
      <c r="N21" s="77">
        <v>0.56000000000000005</v>
      </c>
      <c r="O21" s="57">
        <f t="shared" si="7"/>
        <v>598177280.96000004</v>
      </c>
      <c r="P21" s="77">
        <v>0.13</v>
      </c>
      <c r="Q21" s="57">
        <f t="shared" si="8"/>
        <v>138862583.08000001</v>
      </c>
      <c r="R21" s="77"/>
      <c r="S21" s="57">
        <f t="shared" si="9"/>
        <v>0</v>
      </c>
      <c r="T21" s="77"/>
      <c r="U21" s="57">
        <f t="shared" si="10"/>
        <v>0</v>
      </c>
      <c r="Y21" s="12">
        <f>K21-'Mai24'!E21</f>
        <v>173481.62000000477</v>
      </c>
      <c r="Z21" s="12">
        <f>M21-'Mai24'!G21</f>
        <v>240205.31999999285</v>
      </c>
      <c r="AA21" s="12">
        <f>O21-'Mai24'!I21</f>
        <v>747305.43999993801</v>
      </c>
      <c r="AB21" s="12">
        <f>Q21-'Mai24'!K21</f>
        <v>173481.62000000477</v>
      </c>
      <c r="AC21" s="12">
        <f>+S21-'Mai24'!M21</f>
        <v>0</v>
      </c>
      <c r="AE21" s="28">
        <f>J21-'Mai24'!D21</f>
        <v>0</v>
      </c>
      <c r="AF21" s="28">
        <f>L21-'Mai24'!F21</f>
        <v>0</v>
      </c>
      <c r="AG21" s="28">
        <f>N21-'Mai24'!H21</f>
        <v>0</v>
      </c>
      <c r="AH21" s="28">
        <f>P21-'Mai24'!J21</f>
        <v>0</v>
      </c>
      <c r="AI21" s="28">
        <f>R21-'Mai24'!L21</f>
        <v>0</v>
      </c>
      <c r="AK21" s="10">
        <f>I21-'Mai24'!C21</f>
        <v>1334474</v>
      </c>
      <c r="AL21" s="76">
        <f>I21/'Mai24'!C21-1</f>
        <v>1.2508669980102471E-3</v>
      </c>
    </row>
    <row r="22" spans="6:38" x14ac:dyDescent="0.25">
      <c r="F22" s="7">
        <f t="shared" si="0"/>
        <v>1</v>
      </c>
      <c r="H22" s="3" t="s">
        <v>32</v>
      </c>
      <c r="I22" s="78">
        <v>245500000</v>
      </c>
      <c r="J22" s="77">
        <v>0.2</v>
      </c>
      <c r="K22" s="57">
        <f t="shared" si="6"/>
        <v>49100000</v>
      </c>
      <c r="L22" s="77">
        <v>0.12</v>
      </c>
      <c r="M22" s="57">
        <f t="shared" si="6"/>
        <v>29460000</v>
      </c>
      <c r="N22" s="77">
        <f>51%+5%</f>
        <v>0.56000000000000005</v>
      </c>
      <c r="O22" s="57">
        <f t="shared" si="7"/>
        <v>137480000</v>
      </c>
      <c r="P22" s="77">
        <v>0.12</v>
      </c>
      <c r="Q22" s="57">
        <f t="shared" si="8"/>
        <v>29460000</v>
      </c>
      <c r="R22" s="77"/>
      <c r="S22" s="57">
        <f t="shared" si="9"/>
        <v>0</v>
      </c>
      <c r="T22" s="77"/>
      <c r="U22" s="57">
        <f t="shared" si="10"/>
        <v>0</v>
      </c>
      <c r="Y22" s="12">
        <f>K22-'Mai24'!E22</f>
        <v>6489500</v>
      </c>
      <c r="Z22" s="12">
        <f>M22-'Mai24'!G22</f>
        <v>-15657000</v>
      </c>
      <c r="AA22" s="12">
        <f>O22-'Mai24'!I22</f>
        <v>4635500</v>
      </c>
      <c r="AB22" s="12">
        <f>Q22-'Mai24'!K22</f>
        <v>-618000</v>
      </c>
      <c r="AC22" s="12">
        <f>+S22-'Mai24'!M22</f>
        <v>0</v>
      </c>
      <c r="AE22" s="28">
        <f>J22-'Mai24'!D22</f>
        <v>0.03</v>
      </c>
      <c r="AF22" s="28">
        <f>L22-'Mai24'!F22</f>
        <v>-0.06</v>
      </c>
      <c r="AG22" s="28">
        <f>N22-'Mai24'!H22</f>
        <v>3.0000000000000027E-2</v>
      </c>
      <c r="AH22" s="28">
        <f>P22-'Mai24'!J22</f>
        <v>0</v>
      </c>
      <c r="AI22" s="28">
        <f>R22-'Mai24'!L22</f>
        <v>0</v>
      </c>
      <c r="AK22" s="10">
        <f>I22-'Mai24'!C22</f>
        <v>-5150000</v>
      </c>
      <c r="AL22" s="76">
        <f>I22/'Mai24'!C22-1</f>
        <v>-2.0546578894873324E-2</v>
      </c>
    </row>
    <row r="23" spans="6:38" x14ac:dyDescent="0.25">
      <c r="F23" s="7">
        <f t="shared" si="0"/>
        <v>1</v>
      </c>
      <c r="H23" s="3" t="s">
        <v>33</v>
      </c>
      <c r="I23" s="84">
        <v>847500000</v>
      </c>
      <c r="J23" s="77">
        <v>0.41</v>
      </c>
      <c r="K23" s="57">
        <f t="shared" si="6"/>
        <v>347475000</v>
      </c>
      <c r="L23" s="77">
        <v>0.17</v>
      </c>
      <c r="M23" s="57">
        <f t="shared" si="6"/>
        <v>144075000</v>
      </c>
      <c r="N23" s="77">
        <v>0.42</v>
      </c>
      <c r="O23" s="57">
        <f t="shared" si="7"/>
        <v>355950000</v>
      </c>
      <c r="P23" s="77"/>
      <c r="Q23" s="57">
        <f t="shared" si="8"/>
        <v>0</v>
      </c>
      <c r="R23" s="77"/>
      <c r="S23" s="57">
        <f t="shared" si="9"/>
        <v>0</v>
      </c>
      <c r="T23" s="77"/>
      <c r="U23" s="57">
        <f t="shared" si="10"/>
        <v>0</v>
      </c>
      <c r="Y23" s="12">
        <f>K23-'Mai24'!E23</f>
        <v>51475000</v>
      </c>
      <c r="Z23" s="12">
        <f>M23-'Mai24'!G23</f>
        <v>75000</v>
      </c>
      <c r="AA23" s="12">
        <f>O23-'Mai24'!I23</f>
        <v>3950000</v>
      </c>
      <c r="AB23" s="12">
        <f>Q23-'Mai24'!K23</f>
        <v>-8000000</v>
      </c>
      <c r="AC23" s="12">
        <f>+S23-'Mai24'!M23</f>
        <v>0</v>
      </c>
      <c r="AE23" s="28">
        <f>J23-'Mai24'!D23</f>
        <v>3.999999999999998E-2</v>
      </c>
      <c r="AF23" s="28">
        <f>L23-'Mai24'!F23</f>
        <v>-9.9999999999999811E-3</v>
      </c>
      <c r="AG23" s="28">
        <f>N23-'Mai24'!H23</f>
        <v>-2.0000000000000018E-2</v>
      </c>
      <c r="AH23" s="28">
        <f>P23-'Mai24'!J23</f>
        <v>-0.01</v>
      </c>
      <c r="AI23" s="28">
        <f>R23-'Mai24'!L23</f>
        <v>0</v>
      </c>
      <c r="AK23" s="10">
        <f>I23-'Mai24'!C23</f>
        <v>47500000</v>
      </c>
      <c r="AL23" s="76">
        <f>I23/'Mai24'!C23-1</f>
        <v>5.9374999999999956E-2</v>
      </c>
    </row>
    <row r="24" spans="6:38" x14ac:dyDescent="0.25">
      <c r="F24" s="7">
        <f t="shared" si="0"/>
        <v>1</v>
      </c>
      <c r="H24" s="3" t="s">
        <v>34</v>
      </c>
      <c r="I24" s="84">
        <v>218530307</v>
      </c>
      <c r="J24" s="77">
        <v>0.2707</v>
      </c>
      <c r="K24" s="57">
        <f t="shared" si="6"/>
        <v>59156154.104900002</v>
      </c>
      <c r="L24" s="77">
        <v>0.14810000000000001</v>
      </c>
      <c r="M24" s="57">
        <f t="shared" si="6"/>
        <v>32364338.466700003</v>
      </c>
      <c r="N24" s="77">
        <v>0.48049999999999998</v>
      </c>
      <c r="O24" s="57">
        <f t="shared" si="7"/>
        <v>105003812.51349999</v>
      </c>
      <c r="P24" s="77">
        <v>0.10050000000000001</v>
      </c>
      <c r="Q24" s="57">
        <f t="shared" si="8"/>
        <v>21962295.853500001</v>
      </c>
      <c r="R24" s="77"/>
      <c r="S24" s="57">
        <f t="shared" si="9"/>
        <v>0</v>
      </c>
      <c r="T24" s="77">
        <v>2.0000000000000001E-4</v>
      </c>
      <c r="U24" s="57">
        <f t="shared" si="10"/>
        <v>43706.061399999999</v>
      </c>
      <c r="Y24" s="12">
        <f>K24-'Mai24'!E24</f>
        <v>10684884.806000002</v>
      </c>
      <c r="Z24" s="12">
        <f>M24-'Mai24'!G24</f>
        <v>-3253527.1523000002</v>
      </c>
      <c r="AA24" s="12">
        <f>O24-'Mai24'!I24</f>
        <v>-9681290.2001000047</v>
      </c>
      <c r="AB24" s="12">
        <f>Q24-'Mai24'!K24</f>
        <v>-426076.82129999995</v>
      </c>
      <c r="AC24" s="12">
        <f>+S24-'Mai24'!M24</f>
        <v>0</v>
      </c>
      <c r="AE24" s="28">
        <f>J24-'Mai24'!D24</f>
        <v>5.1600000000000007E-2</v>
      </c>
      <c r="AF24" s="28">
        <f>L24-'Mai24'!F24</f>
        <v>-1.2899999999999995E-2</v>
      </c>
      <c r="AG24" s="28">
        <f>N24-'Mai24'!H24</f>
        <v>-3.7899999999999989E-2</v>
      </c>
      <c r="AH24" s="28">
        <f>P24-'Mai24'!J24</f>
        <v>-6.999999999999923E-4</v>
      </c>
      <c r="AI24" s="28">
        <f>R24-'Mai24'!L24</f>
        <v>0</v>
      </c>
      <c r="AK24" s="10">
        <f>I24-'Mai24'!C24</f>
        <v>-2698672</v>
      </c>
      <c r="AL24" s="76">
        <f>I24/'Mai24'!C24-1</f>
        <v>-1.2198546556597356E-2</v>
      </c>
    </row>
    <row r="25" spans="6:38" x14ac:dyDescent="0.25">
      <c r="F25" s="7">
        <f t="shared" si="0"/>
        <v>1</v>
      </c>
      <c r="H25" s="3" t="s">
        <v>35</v>
      </c>
      <c r="I25" s="84">
        <v>363791031</v>
      </c>
      <c r="J25" s="77">
        <v>0.17699999999999999</v>
      </c>
      <c r="K25" s="57">
        <f t="shared" si="6"/>
        <v>64391012.486999996</v>
      </c>
      <c r="L25" s="77">
        <f>36.8%+7.7%</f>
        <v>0.44500000000000001</v>
      </c>
      <c r="M25" s="57">
        <f t="shared" si="6"/>
        <v>161887008.79500002</v>
      </c>
      <c r="N25" s="77">
        <f>33.9%+0.5%</f>
        <v>0.34399999999999997</v>
      </c>
      <c r="O25" s="57">
        <f t="shared" si="7"/>
        <v>125144114.66399999</v>
      </c>
      <c r="P25" s="77">
        <v>3.4000000000000002E-2</v>
      </c>
      <c r="Q25" s="57">
        <f t="shared" si="8"/>
        <v>12368895.054000001</v>
      </c>
      <c r="R25" s="77"/>
      <c r="S25" s="57">
        <f t="shared" si="9"/>
        <v>0</v>
      </c>
      <c r="T25" s="77"/>
      <c r="U25" s="57">
        <f t="shared" si="10"/>
        <v>0</v>
      </c>
      <c r="Y25" s="12">
        <f>K25-'Mai24'!E25</f>
        <v>23184336.514999993</v>
      </c>
      <c r="Z25" s="12">
        <f>M25-'Mai24'!G25</f>
        <v>7029661.9970000088</v>
      </c>
      <c r="AA25" s="12">
        <f>O25-'Mai24'!I25</f>
        <v>-6119087.0210000277</v>
      </c>
      <c r="AB25" s="12">
        <f>Q25-'Mai24'!K25</f>
        <v>7384216.5090000015</v>
      </c>
      <c r="AC25" s="12">
        <f>+S25-'Mai24'!M25</f>
        <v>0</v>
      </c>
      <c r="AE25" s="28">
        <f>J25-'Mai24'!D25</f>
        <v>5.2999999999999992E-2</v>
      </c>
      <c r="AF25" s="28">
        <f>L25-'Mai24'!F25</f>
        <v>-2.1000000000000019E-2</v>
      </c>
      <c r="AG25" s="28">
        <f>N25-'Mai24'!H25</f>
        <v>-5.1000000000000101E-2</v>
      </c>
      <c r="AH25" s="28">
        <f>P25-'Mai24'!J25</f>
        <v>1.9000000000000003E-2</v>
      </c>
      <c r="AI25" s="28">
        <f>R25-'Mai24'!L25</f>
        <v>0</v>
      </c>
      <c r="AK25" s="10">
        <f>I25-'Mai24'!C25</f>
        <v>31479128</v>
      </c>
      <c r="AL25" s="76">
        <f>I25/'Mai24'!C25-1</f>
        <v>9.4727657107124497E-2</v>
      </c>
    </row>
    <row r="26" spans="6:38" x14ac:dyDescent="0.25">
      <c r="F26" s="7">
        <f t="shared" si="0"/>
        <v>1</v>
      </c>
      <c r="H26" s="3" t="s">
        <v>36</v>
      </c>
      <c r="I26" s="84">
        <v>557950000</v>
      </c>
      <c r="J26" s="77">
        <v>0.16</v>
      </c>
      <c r="K26" s="57">
        <f t="shared" ref="K26" si="11">J26*$I26</f>
        <v>89272000</v>
      </c>
      <c r="L26" s="77">
        <v>0.19</v>
      </c>
      <c r="M26" s="57">
        <f t="shared" ref="M26" si="12">L26*$I26</f>
        <v>106010500</v>
      </c>
      <c r="N26" s="77">
        <f>55%+4%</f>
        <v>0.59000000000000008</v>
      </c>
      <c r="O26" s="57">
        <f t="shared" ref="O26" si="13">N26*$I26</f>
        <v>329190500.00000006</v>
      </c>
      <c r="P26" s="77">
        <v>0.06</v>
      </c>
      <c r="Q26" s="89">
        <f t="shared" ref="Q26" si="14">P26*$I26</f>
        <v>33477000</v>
      </c>
      <c r="R26" s="77"/>
      <c r="S26" s="57">
        <f t="shared" ref="S26" si="15">R26*$I26</f>
        <v>0</v>
      </c>
      <c r="T26" s="77"/>
      <c r="U26" s="57">
        <f t="shared" si="10"/>
        <v>0</v>
      </c>
      <c r="Y26" s="12">
        <f>K26-'Mai24'!E26</f>
        <v>5230000</v>
      </c>
      <c r="Z26" s="12">
        <f>M26-'Mai24'!G26</f>
        <v>-28456700</v>
      </c>
      <c r="AA26" s="12">
        <f>O26-'Mai24'!I26</f>
        <v>21036500.00000006</v>
      </c>
      <c r="AB26" s="12">
        <f>Q26-'Mai24'!K26</f>
        <v>-5742600.0000000075</v>
      </c>
      <c r="AC26" s="12">
        <f>+S26-'Mai24'!M26</f>
        <v>0</v>
      </c>
      <c r="AE26" s="28">
        <f>J26-'Mai24'!D26</f>
        <v>1.0000000000000009E-2</v>
      </c>
      <c r="AF26" s="28">
        <f>L26-'Mai24'!F26</f>
        <v>-4.9999999999999989E-2</v>
      </c>
      <c r="AG26" s="28">
        <f>N26-'Mai24'!H26</f>
        <v>4.0000000000000036E-2</v>
      </c>
      <c r="AH26" s="28">
        <f>P26-'Mai24'!J26</f>
        <v>-1.0000000000000009E-2</v>
      </c>
      <c r="AI26" s="28">
        <f>R26-'Mai24'!L26</f>
        <v>0</v>
      </c>
      <c r="AK26" s="10">
        <f>I26-'Mai24'!C26</f>
        <v>-2330000</v>
      </c>
      <c r="AL26" s="76">
        <f>I26/'Mai24'!C26-1</f>
        <v>-4.1586349682302126E-3</v>
      </c>
    </row>
    <row r="27" spans="6:38" s="8" customFormat="1" x14ac:dyDescent="0.25">
      <c r="F27" s="7">
        <f t="shared" si="0"/>
        <v>1</v>
      </c>
      <c r="H27" s="21" t="s">
        <v>45</v>
      </c>
      <c r="I27" s="20">
        <f>SUM(I18:I26)</f>
        <v>4899207663.9400005</v>
      </c>
      <c r="J27" s="15">
        <f>K27/$I27</f>
        <v>0.22071353519513778</v>
      </c>
      <c r="K27" s="63">
        <f>SUM(K18:K26)</f>
        <v>1081321443.1633101</v>
      </c>
      <c r="L27" s="15">
        <f>M27/$I27</f>
        <v>0.20710300768412296</v>
      </c>
      <c r="M27" s="62">
        <f>SUM(M18:M26)</f>
        <v>1014640642.4710801</v>
      </c>
      <c r="N27" s="15">
        <f>O27/$I27</f>
        <v>0.48965944166162406</v>
      </c>
      <c r="O27" s="63">
        <f>SUM(O18:O26)</f>
        <v>2398943289.3092103</v>
      </c>
      <c r="P27" s="15">
        <f>Q27/$I27</f>
        <v>7.1204930861943211E-2</v>
      </c>
      <c r="Q27" s="63">
        <f>SUM(Q18:Q26)</f>
        <v>348847742.98915005</v>
      </c>
      <c r="R27" s="15">
        <f>S27/$I27</f>
        <v>1.157511230907776E-2</v>
      </c>
      <c r="S27" s="63">
        <f>SUM(S18:S26)</f>
        <v>56708878.935599998</v>
      </c>
      <c r="T27" s="15">
        <f>U27/$I27</f>
        <v>-2.5602771190581672E-4</v>
      </c>
      <c r="U27" s="17">
        <f>SUM(U18:U26)</f>
        <v>-1254332.9283499997</v>
      </c>
      <c r="Y27" s="12">
        <f>K27-'Mai24'!E27</f>
        <v>211067320.05660999</v>
      </c>
      <c r="Z27" s="12">
        <f>M27-'Mai24'!G27</f>
        <v>-14133193.769244909</v>
      </c>
      <c r="AA27" s="12">
        <f>O27-'Mai24'!I27</f>
        <v>-224000.68591451645</v>
      </c>
      <c r="AB27" s="12">
        <f>Q27-'Mai24'!K27</f>
        <v>-17595316.157249928</v>
      </c>
      <c r="AC27" s="12">
        <f>+S27-'Mai24'!M27</f>
        <v>10240549.766999997</v>
      </c>
      <c r="AE27" s="28">
        <f>J27-'Mai24'!D27</f>
        <v>0.22071353519513778</v>
      </c>
      <c r="AF27" s="28">
        <f>L27-'Mai24'!F27</f>
        <v>0.20710300768412296</v>
      </c>
      <c r="AG27" s="28">
        <f>N27-'Mai24'!H27</f>
        <v>0.48965944166162406</v>
      </c>
      <c r="AH27" s="28">
        <f>P27-'Mai24'!J27</f>
        <v>7.1204930861943211E-2</v>
      </c>
      <c r="AI27" s="28">
        <f>R27-'Mai24'!L27</f>
        <v>1.157511230907776E-2</v>
      </c>
      <c r="AK27" s="10">
        <f>I27-'Mai24'!C27</f>
        <v>180997245.65000057</v>
      </c>
      <c r="AL27" s="76">
        <f>I27/'Mai24'!C27-1</f>
        <v>3.8361418759190968E-2</v>
      </c>
    </row>
    <row r="28" spans="6:38" x14ac:dyDescent="0.25">
      <c r="F28" s="7"/>
      <c r="I28" s="10"/>
      <c r="J28" s="10"/>
      <c r="K28" s="10"/>
      <c r="L28" s="5"/>
      <c r="M28" s="10"/>
      <c r="N28" s="10"/>
      <c r="O28" s="10"/>
      <c r="P28" s="5"/>
      <c r="Q28" s="10"/>
    </row>
    <row r="29" spans="6:38" x14ac:dyDescent="0.25">
      <c r="F29" s="7"/>
      <c r="H29" s="4" t="s">
        <v>38</v>
      </c>
      <c r="I29" s="9" t="s">
        <v>4</v>
      </c>
      <c r="J29" s="113" t="s">
        <v>7</v>
      </c>
      <c r="K29" s="113"/>
      <c r="L29" s="112" t="s">
        <v>8</v>
      </c>
      <c r="M29" s="112"/>
      <c r="N29" s="112" t="s">
        <v>10</v>
      </c>
      <c r="O29" s="112"/>
      <c r="P29" s="112" t="s">
        <v>9</v>
      </c>
      <c r="Q29" s="112"/>
      <c r="R29" s="112" t="s">
        <v>40</v>
      </c>
      <c r="S29" s="112"/>
      <c r="T29" s="112" t="s">
        <v>55</v>
      </c>
      <c r="U29" s="112"/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  <c r="AE29" s="27" t="s">
        <v>49</v>
      </c>
      <c r="AF29" s="27" t="s">
        <v>50</v>
      </c>
      <c r="AG29" s="27" t="s">
        <v>51</v>
      </c>
      <c r="AH29" s="27" t="s">
        <v>52</v>
      </c>
      <c r="AI29" s="27" t="s">
        <v>54</v>
      </c>
    </row>
    <row r="30" spans="6:38" x14ac:dyDescent="0.25">
      <c r="F30" s="7">
        <f>J30+L30+N30+P30+R30+T30</f>
        <v>1.0000000000000002</v>
      </c>
      <c r="H30" s="21" t="s">
        <v>39</v>
      </c>
      <c r="I30" s="87">
        <v>223672851.69</v>
      </c>
      <c r="J30" s="81">
        <f>6.1%+2.7%</f>
        <v>8.7999999999999995E-2</v>
      </c>
      <c r="K30" s="80">
        <f>$I30*J30</f>
        <v>19683210.948719997</v>
      </c>
      <c r="L30" s="81">
        <f>10.2%+7%+2.1%+1.1%</f>
        <v>0.20399999999999999</v>
      </c>
      <c r="M30" s="80">
        <f>$I30*L30</f>
        <v>45629261.744759999</v>
      </c>
      <c r="N30" s="81">
        <f>53.6%+5.9%+2.1%</f>
        <v>0.6160000000000001</v>
      </c>
      <c r="O30" s="80">
        <f>$I30*N30</f>
        <v>137782476.64104003</v>
      </c>
      <c r="P30" s="81">
        <v>0.108</v>
      </c>
      <c r="Q30" s="80">
        <f>$I30*P30</f>
        <v>24156667.982519999</v>
      </c>
      <c r="R30" s="88">
        <v>5.2999999999999999E-2</v>
      </c>
      <c r="S30" s="80">
        <f>$I30*R30</f>
        <v>11854661.13957</v>
      </c>
      <c r="T30" s="81">
        <v>-6.9000000000000006E-2</v>
      </c>
      <c r="U30" s="65">
        <f>$I30*T30</f>
        <v>-15433426.76661</v>
      </c>
      <c r="Y30" s="12">
        <f>K30-'Mai24'!E30</f>
        <v>-2634379.3498600051</v>
      </c>
      <c r="Z30" s="12">
        <f>M30-'Mai24'!G30</f>
        <v>-13368724.490100011</v>
      </c>
      <c r="AA30" s="12">
        <f>O30-'Mai24'!I30</f>
        <v>12715584.472760007</v>
      </c>
      <c r="AB30" s="12">
        <f>Q30-'Mai24'!K30</f>
        <v>1618111.4433600008</v>
      </c>
      <c r="AC30" s="12">
        <f>+S30-'Mai24'!M30</f>
        <v>806349.11056999862</v>
      </c>
      <c r="AE30" s="28">
        <f>J30-'Mai24'!D30</f>
        <v>-1.3000000000000012E-2</v>
      </c>
      <c r="AF30" s="28">
        <f>L30-'Mai24'!F30</f>
        <v>-6.3000000000000028E-2</v>
      </c>
      <c r="AG30" s="28">
        <f>N30-'Mai24'!H30</f>
        <v>5.0000000000000044E-2</v>
      </c>
      <c r="AH30" s="28">
        <f>P30-'Mai24'!J30</f>
        <v>6.0000000000000053E-3</v>
      </c>
      <c r="AI30" s="28">
        <f>R30-'Mai24'!L30</f>
        <v>2.9999999999999957E-3</v>
      </c>
      <c r="AK30" s="10">
        <f>I30-'Mai24'!C30</f>
        <v>2706611.1099999845</v>
      </c>
      <c r="AL30" s="76">
        <f>I30/'Mai24'!C30-1</f>
        <v>1.2248980219311312E-2</v>
      </c>
    </row>
    <row r="31" spans="6:38" hidden="1" outlineLevel="1" x14ac:dyDescent="0.25">
      <c r="F31" s="7">
        <f t="shared" si="0"/>
        <v>0</v>
      </c>
      <c r="H31" s="3" t="s">
        <v>56</v>
      </c>
      <c r="I31" s="78"/>
      <c r="J31" s="77"/>
      <c r="K31" s="78"/>
      <c r="L31" s="77"/>
      <c r="M31" s="78"/>
      <c r="N31" s="77"/>
      <c r="O31" s="78"/>
      <c r="P31" s="77"/>
      <c r="Q31" s="78"/>
      <c r="R31" s="77"/>
      <c r="S31" s="78"/>
      <c r="T31" s="77"/>
      <c r="U31" s="72"/>
      <c r="Y31" s="12">
        <f>K31-'Mai24'!E31</f>
        <v>0</v>
      </c>
      <c r="Z31" s="12">
        <f>M31-'Mai24'!G31</f>
        <v>0</v>
      </c>
      <c r="AA31" s="12">
        <f>O31-'Mai24'!I31</f>
        <v>0</v>
      </c>
      <c r="AB31" s="12">
        <f>Q31-'Mai24'!K31</f>
        <v>0</v>
      </c>
      <c r="AC31" s="12">
        <f>+S31-'Mai24'!M31</f>
        <v>0</v>
      </c>
      <c r="AE31" s="28">
        <f>J31-'Mai24'!D31</f>
        <v>0</v>
      </c>
      <c r="AF31" s="28">
        <f>L31-'Mai24'!F31</f>
        <v>0</v>
      </c>
      <c r="AG31" s="28">
        <f>N31-'Mai24'!H31</f>
        <v>0</v>
      </c>
      <c r="AH31" s="28">
        <f>P31-'Mai24'!J31</f>
        <v>0</v>
      </c>
      <c r="AI31" s="28">
        <f>R31-'Mai24'!L31</f>
        <v>0</v>
      </c>
      <c r="AK31" s="10">
        <f>I31-'Mai24'!C31</f>
        <v>0</v>
      </c>
      <c r="AL31" s="76" t="e">
        <f>I31/'Mai24'!C31-1</f>
        <v>#DIV/0!</v>
      </c>
    </row>
    <row r="32" spans="6:38" collapsed="1" x14ac:dyDescent="0.25">
      <c r="F32" s="7">
        <f t="shared" si="0"/>
        <v>1</v>
      </c>
      <c r="H32" s="3" t="s">
        <v>42</v>
      </c>
      <c r="I32" s="84">
        <v>230100394</v>
      </c>
      <c r="J32" s="77">
        <v>0.05</v>
      </c>
      <c r="K32" s="78">
        <f>$I32*J32</f>
        <v>11505019.700000001</v>
      </c>
      <c r="L32" s="77">
        <v>0.12</v>
      </c>
      <c r="M32" s="78">
        <f>$I32*L32</f>
        <v>27612047.279999997</v>
      </c>
      <c r="N32" s="77">
        <f>40%+15%</f>
        <v>0.55000000000000004</v>
      </c>
      <c r="O32" s="78">
        <f>$I32*N32</f>
        <v>126555216.7</v>
      </c>
      <c r="P32" s="77">
        <v>0.05</v>
      </c>
      <c r="Q32" s="78">
        <f>$I32*P32</f>
        <v>11505019.700000001</v>
      </c>
      <c r="R32" s="77">
        <v>0.16</v>
      </c>
      <c r="S32" s="78">
        <f>$I32*R32</f>
        <v>36816063.039999999</v>
      </c>
      <c r="T32" s="77">
        <v>7.0000000000000007E-2</v>
      </c>
      <c r="U32" s="72">
        <f>$I32*T32</f>
        <v>16107027.580000002</v>
      </c>
      <c r="Y32" s="12">
        <f>K32-'Mai24'!E32</f>
        <v>-289335.54999999888</v>
      </c>
      <c r="Z32" s="12">
        <f>M32-'Mai24'!G32</f>
        <v>1664465.7299999967</v>
      </c>
      <c r="AA32" s="12">
        <f>O32-'Mai24'!I32</f>
        <v>-12618175.249999985</v>
      </c>
      <c r="AB32" s="12">
        <f>Q32-'Mai24'!K32</f>
        <v>2069535.5</v>
      </c>
      <c r="AC32" s="12">
        <f>+S32-'Mai24'!M32</f>
        <v>1432997.2899999991</v>
      </c>
      <c r="AE32" s="28">
        <f>J32-'Mai24'!D32</f>
        <v>0</v>
      </c>
      <c r="AF32" s="28">
        <f>L32-'Mai24'!F32</f>
        <v>9.999999999999995E-3</v>
      </c>
      <c r="AG32" s="28">
        <f>N32-'Mai24'!H32</f>
        <v>-3.9999999999999925E-2</v>
      </c>
      <c r="AH32" s="28">
        <f>P32-'Mai24'!J32</f>
        <v>1.0000000000000002E-2</v>
      </c>
      <c r="AI32" s="28">
        <f>R32-'Mai24'!L32</f>
        <v>1.0000000000000009E-2</v>
      </c>
      <c r="AK32" s="10">
        <f>I32-'Mai24'!C32</f>
        <v>-5786711</v>
      </c>
      <c r="AL32" s="76">
        <f>I32/'Mai24'!C32-1</f>
        <v>-2.453169705906566E-2</v>
      </c>
    </row>
    <row r="33" spans="6:38" x14ac:dyDescent="0.25">
      <c r="F33" s="7">
        <f t="shared" si="0"/>
        <v>1</v>
      </c>
      <c r="H33" s="3" t="s">
        <v>43</v>
      </c>
      <c r="I33" s="84">
        <v>470141742</v>
      </c>
      <c r="J33" s="77">
        <v>0.1</v>
      </c>
      <c r="K33" s="78">
        <f t="shared" ref="K33:K34" si="16">$I33*J33</f>
        <v>47014174.200000003</v>
      </c>
      <c r="L33" s="77">
        <v>0.12</v>
      </c>
      <c r="M33" s="78">
        <f t="shared" ref="M33:M34" si="17">$I33*L33</f>
        <v>56417009.039999999</v>
      </c>
      <c r="N33" s="77">
        <f>58%+2%</f>
        <v>0.6</v>
      </c>
      <c r="O33" s="78">
        <f>$I33*N33</f>
        <v>282085045.19999999</v>
      </c>
      <c r="P33" s="77">
        <v>0.17</v>
      </c>
      <c r="Q33" s="78">
        <f t="shared" ref="Q33:Q34" si="18">$I33*P33</f>
        <v>79924096.140000001</v>
      </c>
      <c r="R33" s="77"/>
      <c r="S33" s="78">
        <f t="shared" ref="S33:S34" si="19">$I33*R33</f>
        <v>0</v>
      </c>
      <c r="T33" s="77">
        <v>0.01</v>
      </c>
      <c r="U33" s="57"/>
      <c r="Y33" s="12">
        <f>K33-'Mai24'!E33</f>
        <v>27449244.680000003</v>
      </c>
      <c r="Z33" s="12">
        <f>M33-'Mai24'!G33</f>
        <v>19732766.18999999</v>
      </c>
      <c r="AA33" s="12">
        <f>O33-'Mai24'!I33</f>
        <v>135348073.79999998</v>
      </c>
      <c r="AB33" s="12">
        <f>Q33-'Mai24'!K33</f>
        <v>40794237.100000001</v>
      </c>
      <c r="AC33" s="12">
        <f>+S33-'Mai24'!M33</f>
        <v>-2445616.19</v>
      </c>
      <c r="AE33" s="28">
        <f>J33-'Mai24'!D33</f>
        <v>2.0000000000000004E-2</v>
      </c>
      <c r="AF33" s="28">
        <f>L33-'Mai24'!F33</f>
        <v>-3.0000000000000027E-2</v>
      </c>
      <c r="AG33" s="28">
        <f>N33-'Mai24'!H33</f>
        <v>0</v>
      </c>
      <c r="AH33" s="28">
        <f>P33-'Mai24'!J33</f>
        <v>1.0000000000000009E-2</v>
      </c>
      <c r="AI33" s="28">
        <f>R33-'Mai24'!L33</f>
        <v>-0.01</v>
      </c>
      <c r="AK33" s="10">
        <f>I33-'Mai24'!C33</f>
        <v>225580123</v>
      </c>
      <c r="AL33" s="76">
        <f>I33/'Mai24'!C33-1</f>
        <v>0.9223856299381139</v>
      </c>
    </row>
    <row r="34" spans="6:38" x14ac:dyDescent="0.25">
      <c r="F34" s="7">
        <f t="shared" si="0"/>
        <v>0.99</v>
      </c>
      <c r="H34" s="3" t="s">
        <v>44</v>
      </c>
      <c r="I34" s="84">
        <v>23300000</v>
      </c>
      <c r="J34" s="77">
        <v>0.28999999999999998</v>
      </c>
      <c r="K34" s="78">
        <f t="shared" si="16"/>
        <v>6757000</v>
      </c>
      <c r="L34" s="77"/>
      <c r="M34" s="78">
        <f t="shared" si="17"/>
        <v>0</v>
      </c>
      <c r="N34" s="77">
        <v>0.48</v>
      </c>
      <c r="O34" s="78">
        <f>$I34*N34</f>
        <v>11184000</v>
      </c>
      <c r="P34" s="77"/>
      <c r="Q34" s="78">
        <f t="shared" si="18"/>
        <v>0</v>
      </c>
      <c r="R34" s="77">
        <v>0.22</v>
      </c>
      <c r="S34" s="78">
        <f t="shared" si="19"/>
        <v>5126000</v>
      </c>
      <c r="T34" s="77"/>
      <c r="U34" s="57"/>
      <c r="Y34" s="12">
        <f>K34-'Mai24'!E34</f>
        <v>577000</v>
      </c>
      <c r="Z34" s="12">
        <f>M34-'Mai24'!G34</f>
        <v>0</v>
      </c>
      <c r="AA34" s="12">
        <f>O34-'Mai24'!I34</f>
        <v>1502000</v>
      </c>
      <c r="AB34" s="12">
        <f>Q34-'Mai24'!K34</f>
        <v>0</v>
      </c>
      <c r="AC34" s="12">
        <f>+S34-'Mai24'!M34</f>
        <v>388000</v>
      </c>
      <c r="AE34" s="28">
        <f>J34-'Mai24'!D34</f>
        <v>-1.0000000000000009E-2</v>
      </c>
      <c r="AF34" s="28">
        <f>L34-'Mai24'!F34</f>
        <v>0</v>
      </c>
      <c r="AG34" s="28">
        <f>N34-'Mai24'!H34</f>
        <v>1.0000000000000009E-2</v>
      </c>
      <c r="AH34" s="28">
        <f>P34-'Mai24'!J34</f>
        <v>0</v>
      </c>
      <c r="AI34" s="28">
        <f>R34-'Mai24'!L34</f>
        <v>-1.0000000000000009E-2</v>
      </c>
      <c r="AK34" s="10">
        <f>I34-'Mai24'!C34</f>
        <v>2700000</v>
      </c>
      <c r="AL34" s="76">
        <f>I34/'Mai24'!C34-1</f>
        <v>0.13106796116504849</v>
      </c>
    </row>
    <row r="35" spans="6:38" s="8" customFormat="1" x14ac:dyDescent="0.25">
      <c r="F35" s="7">
        <f t="shared" si="0"/>
        <v>0.99479060457855095</v>
      </c>
      <c r="H35" s="3" t="s">
        <v>45</v>
      </c>
      <c r="I35" s="17">
        <f>SUM(I30:I34)</f>
        <v>947214987.69000006</v>
      </c>
      <c r="J35" s="15">
        <f>K35/$I35</f>
        <v>8.9693898378775547E-2</v>
      </c>
      <c r="K35" s="17">
        <f>SUM(K30:K34)</f>
        <v>84959404.848719999</v>
      </c>
      <c r="L35" s="15">
        <f>M35/$I35</f>
        <v>0.1368837272950689</v>
      </c>
      <c r="M35" s="17">
        <f>SUM(M30:M34)</f>
        <v>129658318.06476</v>
      </c>
      <c r="N35" s="15">
        <f>O35/$I35</f>
        <v>0.58868023182455254</v>
      </c>
      <c r="O35" s="17">
        <f>SUM(O30:O34)</f>
        <v>557606738.54103994</v>
      </c>
      <c r="P35" s="15">
        <f>Q35/$I35</f>
        <v>0.12202697943410114</v>
      </c>
      <c r="Q35" s="17">
        <f>SUM(Q30:Q34)</f>
        <v>115585783.82252</v>
      </c>
      <c r="R35" s="15">
        <f>S35/$I35</f>
        <v>5.6794629391122273E-2</v>
      </c>
      <c r="S35" s="17">
        <f>SUM(S30:S34)</f>
        <v>53796724.179569997</v>
      </c>
      <c r="T35" s="15">
        <f>U35/$I35</f>
        <v>7.1113825493062668E-4</v>
      </c>
      <c r="U35" s="63">
        <f>SUM(U30:U34)</f>
        <v>673600.81339000165</v>
      </c>
      <c r="Y35" s="12">
        <f>K35-'Mai24'!E35</f>
        <v>25102529.780139998</v>
      </c>
      <c r="Z35" s="12">
        <f>M35-'Mai24'!G35</f>
        <v>8028507.4298999757</v>
      </c>
      <c r="AA35" s="12">
        <f>O35-'Mai24'!I35</f>
        <v>136947483.02275991</v>
      </c>
      <c r="AB35" s="12">
        <f>Q35-'Mai24'!K35</f>
        <v>44481884.04336001</v>
      </c>
      <c r="AC35" s="12">
        <f>+S35-'Mai24'!M35</f>
        <v>181730.21057000011</v>
      </c>
      <c r="AE35" s="28">
        <f>J35-'Mai24'!D35</f>
        <v>8.9693898378775547E-2</v>
      </c>
      <c r="AF35" s="28">
        <f>L35-'Mai24'!F35</f>
        <v>0.1368837272950689</v>
      </c>
      <c r="AG35" s="28">
        <f>N35-'Mai24'!H35</f>
        <v>0.58868023182455254</v>
      </c>
      <c r="AH35" s="28">
        <f>P35-'Mai24'!J35</f>
        <v>0.12202697943410114</v>
      </c>
      <c r="AI35" s="28">
        <f>R35-'Mai24'!L35</f>
        <v>5.6794629391122273E-2</v>
      </c>
      <c r="AK35" s="10">
        <f>I35-'Mai24'!C35</f>
        <v>225200023.11000001</v>
      </c>
      <c r="AL35" s="76">
        <f>I35/'Mai24'!C35-1</f>
        <v>0.31190492463130615</v>
      </c>
    </row>
    <row r="36" spans="6:38" x14ac:dyDescent="0.25">
      <c r="F36" s="7"/>
    </row>
    <row r="37" spans="6:38" x14ac:dyDescent="0.25">
      <c r="F37" s="7"/>
      <c r="K37"/>
    </row>
    <row r="38" spans="6:38" x14ac:dyDescent="0.25">
      <c r="F38" s="7"/>
      <c r="J38" s="38"/>
    </row>
    <row r="39" spans="6:38" x14ac:dyDescent="0.25">
      <c r="F39" s="7"/>
      <c r="I39" s="30"/>
      <c r="J39" s="35"/>
    </row>
    <row r="40" spans="6:38" x14ac:dyDescent="0.25">
      <c r="F40" s="7"/>
      <c r="I40" s="37"/>
      <c r="J40" s="35"/>
    </row>
    <row r="41" spans="6:38" x14ac:dyDescent="0.25">
      <c r="F41" s="7"/>
      <c r="I41" s="37"/>
      <c r="J41" s="35"/>
    </row>
    <row r="42" spans="6:38" x14ac:dyDescent="0.25">
      <c r="F42" s="7"/>
      <c r="I42" s="37"/>
      <c r="J42" s="35"/>
    </row>
    <row r="43" spans="6:38" x14ac:dyDescent="0.25">
      <c r="F43" s="7"/>
      <c r="I43" s="37"/>
      <c r="J43" s="35"/>
    </row>
    <row r="44" spans="6:38" x14ac:dyDescent="0.25">
      <c r="F44" s="7"/>
      <c r="I44" s="37"/>
      <c r="J44" s="35"/>
      <c r="K44" s="37"/>
    </row>
    <row r="45" spans="6:38" x14ac:dyDescent="0.25">
      <c r="F45" s="7"/>
      <c r="I45" s="37"/>
      <c r="J45" s="35"/>
    </row>
    <row r="46" spans="6:38" x14ac:dyDescent="0.25">
      <c r="F46" s="7"/>
      <c r="I46" s="37"/>
      <c r="J46" s="35"/>
    </row>
    <row r="47" spans="6:38" x14ac:dyDescent="0.25">
      <c r="F47" s="7"/>
      <c r="I47" s="37"/>
      <c r="J47" s="35"/>
    </row>
    <row r="48" spans="6:38" x14ac:dyDescent="0.25">
      <c r="I48" s="37"/>
      <c r="J48" s="35"/>
    </row>
    <row r="49" spans="9:10" x14ac:dyDescent="0.25">
      <c r="I49" s="37"/>
      <c r="J49" s="35"/>
    </row>
    <row r="50" spans="9:10" x14ac:dyDescent="0.25">
      <c r="I50" s="37"/>
      <c r="J50" s="35"/>
    </row>
    <row r="51" spans="9:10" x14ac:dyDescent="0.25">
      <c r="I51" s="37"/>
      <c r="J51" s="35"/>
    </row>
    <row r="52" spans="9:10" x14ac:dyDescent="0.25">
      <c r="I52" s="37"/>
      <c r="J52" s="35"/>
    </row>
    <row r="53" spans="9:10" x14ac:dyDescent="0.25">
      <c r="I53" s="37"/>
      <c r="J53" s="35"/>
    </row>
    <row r="54" spans="9:10" x14ac:dyDescent="0.25">
      <c r="I54" s="37"/>
      <c r="J54" s="35"/>
    </row>
    <row r="55" spans="9:10" x14ac:dyDescent="0.25">
      <c r="I55" s="37"/>
      <c r="J55" s="35"/>
    </row>
    <row r="56" spans="9:10" x14ac:dyDescent="0.25">
      <c r="I56" s="37"/>
      <c r="J56" s="35"/>
    </row>
    <row r="57" spans="9:10" x14ac:dyDescent="0.25">
      <c r="I57" s="37"/>
      <c r="J57" s="35"/>
    </row>
    <row r="58" spans="9:10" x14ac:dyDescent="0.25">
      <c r="I58" s="37"/>
      <c r="J58" s="35"/>
    </row>
    <row r="59" spans="9:10" x14ac:dyDescent="0.25">
      <c r="I59" s="37"/>
      <c r="J59" s="35"/>
    </row>
    <row r="60" spans="9:10" x14ac:dyDescent="0.25">
      <c r="I60" s="37"/>
      <c r="J60" s="35"/>
    </row>
    <row r="61" spans="9:10" x14ac:dyDescent="0.25">
      <c r="I61" s="37"/>
      <c r="J61" s="35"/>
    </row>
    <row r="62" spans="9:10" x14ac:dyDescent="0.25">
      <c r="I62" s="37"/>
      <c r="J62" s="35"/>
    </row>
    <row r="63" spans="9:10" x14ac:dyDescent="0.25">
      <c r="I63" s="37"/>
      <c r="J63" s="35"/>
    </row>
    <row r="64" spans="9:10" x14ac:dyDescent="0.25">
      <c r="I64" s="37"/>
      <c r="J64" s="35"/>
    </row>
    <row r="65" spans="9:10" x14ac:dyDescent="0.25">
      <c r="I65" s="37"/>
      <c r="J65" s="35"/>
    </row>
    <row r="66" spans="9:10" x14ac:dyDescent="0.25">
      <c r="I66" s="37"/>
      <c r="J66" s="35"/>
    </row>
    <row r="67" spans="9:10" x14ac:dyDescent="0.25">
      <c r="I67" s="37"/>
      <c r="J67" s="35"/>
    </row>
    <row r="68" spans="9:10" x14ac:dyDescent="0.25">
      <c r="I68" s="37"/>
      <c r="J68" s="35"/>
    </row>
    <row r="69" spans="9:10" x14ac:dyDescent="0.25">
      <c r="I69" s="37"/>
      <c r="J69" s="35"/>
    </row>
    <row r="70" spans="9:10" x14ac:dyDescent="0.25">
      <c r="I70" s="37"/>
      <c r="J70" s="35"/>
    </row>
    <row r="71" spans="9:10" x14ac:dyDescent="0.25">
      <c r="I71" s="37"/>
      <c r="J71" s="35"/>
    </row>
    <row r="72" spans="9:10" x14ac:dyDescent="0.25">
      <c r="I72" s="37"/>
      <c r="J72" s="35"/>
    </row>
    <row r="73" spans="9:10" x14ac:dyDescent="0.25">
      <c r="I73" s="37"/>
      <c r="J73" s="35"/>
    </row>
    <row r="74" spans="9:10" x14ac:dyDescent="0.25">
      <c r="I74" s="37"/>
      <c r="J74" s="35"/>
    </row>
    <row r="75" spans="9:10" x14ac:dyDescent="0.25">
      <c r="I75" s="37"/>
      <c r="J75" s="35"/>
    </row>
    <row r="76" spans="9:10" x14ac:dyDescent="0.25">
      <c r="I76" s="37"/>
      <c r="J76" s="35"/>
    </row>
    <row r="77" spans="9:10" x14ac:dyDescent="0.25">
      <c r="I77" s="37"/>
      <c r="J77" s="35"/>
    </row>
    <row r="78" spans="9:10" x14ac:dyDescent="0.25">
      <c r="I78" s="37"/>
      <c r="J78" s="35"/>
    </row>
    <row r="79" spans="9:10" x14ac:dyDescent="0.25">
      <c r="I79" s="37"/>
      <c r="J79" s="35"/>
    </row>
    <row r="80" spans="9:10" x14ac:dyDescent="0.25">
      <c r="I80" s="37"/>
      <c r="J80" s="35"/>
    </row>
    <row r="81" spans="9:10" x14ac:dyDescent="0.25">
      <c r="I81" s="37"/>
      <c r="J81" s="35"/>
    </row>
    <row r="82" spans="9:10" x14ac:dyDescent="0.25">
      <c r="I82" s="37"/>
      <c r="J82" s="35"/>
    </row>
    <row r="83" spans="9:10" x14ac:dyDescent="0.25">
      <c r="I83" s="37"/>
      <c r="J83" s="35"/>
    </row>
    <row r="84" spans="9:10" x14ac:dyDescent="0.25">
      <c r="I84" s="37"/>
      <c r="J84" s="35"/>
    </row>
    <row r="85" spans="9:10" x14ac:dyDescent="0.25">
      <c r="I85" s="37"/>
      <c r="J85" s="35"/>
    </row>
    <row r="86" spans="9:10" x14ac:dyDescent="0.25">
      <c r="I86" s="37"/>
      <c r="J86" s="35"/>
    </row>
    <row r="87" spans="9:10" x14ac:dyDescent="0.25">
      <c r="I87" s="37"/>
      <c r="J87" s="35"/>
    </row>
    <row r="88" spans="9:10" x14ac:dyDescent="0.25">
      <c r="I88" s="37"/>
      <c r="J88" s="35"/>
    </row>
    <row r="89" spans="9:10" x14ac:dyDescent="0.25">
      <c r="I89" s="37"/>
      <c r="J89" s="35"/>
    </row>
    <row r="90" spans="9:10" x14ac:dyDescent="0.25">
      <c r="I90" s="37"/>
      <c r="J90" s="35"/>
    </row>
    <row r="91" spans="9:10" x14ac:dyDescent="0.25">
      <c r="I91" s="37"/>
      <c r="J91" s="35"/>
    </row>
    <row r="92" spans="9:10" x14ac:dyDescent="0.25">
      <c r="I92" s="37"/>
      <c r="J92" s="35"/>
    </row>
    <row r="93" spans="9:10" x14ac:dyDescent="0.25">
      <c r="I93" s="37"/>
      <c r="J93" s="35"/>
    </row>
    <row r="94" spans="9:10" x14ac:dyDescent="0.25">
      <c r="I94" s="37"/>
      <c r="J94" s="35"/>
    </row>
    <row r="95" spans="9:10" x14ac:dyDescent="0.25">
      <c r="I95" s="37"/>
      <c r="J95" s="35"/>
    </row>
    <row r="96" spans="9:10" x14ac:dyDescent="0.25">
      <c r="I96" s="37"/>
      <c r="J96" s="35"/>
    </row>
    <row r="97" spans="9:10" x14ac:dyDescent="0.25">
      <c r="I97" s="37"/>
      <c r="J97" s="35"/>
    </row>
    <row r="98" spans="9:10" x14ac:dyDescent="0.25">
      <c r="I98" s="37"/>
      <c r="J98" s="35"/>
    </row>
    <row r="99" spans="9:10" x14ac:dyDescent="0.25">
      <c r="I99" s="37"/>
      <c r="J99" s="35"/>
    </row>
    <row r="100" spans="9:10" x14ac:dyDescent="0.25">
      <c r="I100" s="37"/>
      <c r="J100" s="35"/>
    </row>
    <row r="101" spans="9:10" x14ac:dyDescent="0.25">
      <c r="I101" s="37"/>
      <c r="J101" s="35"/>
    </row>
    <row r="102" spans="9:10" x14ac:dyDescent="0.25">
      <c r="I102" s="37"/>
      <c r="J102" s="35"/>
    </row>
    <row r="103" spans="9:10" x14ac:dyDescent="0.25">
      <c r="I103" s="37"/>
      <c r="J103" s="35"/>
    </row>
    <row r="104" spans="9:10" x14ac:dyDescent="0.25">
      <c r="I104" s="37"/>
      <c r="J104" s="35"/>
    </row>
    <row r="105" spans="9:10" x14ac:dyDescent="0.25">
      <c r="I105" s="37"/>
      <c r="J105" s="35"/>
    </row>
    <row r="106" spans="9:10" x14ac:dyDescent="0.25">
      <c r="I106" s="37"/>
      <c r="J106" s="35"/>
    </row>
    <row r="107" spans="9:10" x14ac:dyDescent="0.25">
      <c r="I107" s="37"/>
      <c r="J107" s="35"/>
    </row>
    <row r="108" spans="9:10" x14ac:dyDescent="0.25">
      <c r="I108" s="37"/>
      <c r="J108" s="35"/>
    </row>
    <row r="109" spans="9:10" x14ac:dyDescent="0.25">
      <c r="I109" s="37"/>
      <c r="J109" s="35"/>
    </row>
    <row r="110" spans="9:10" x14ac:dyDescent="0.25">
      <c r="I110" s="37"/>
      <c r="J110" s="35"/>
    </row>
    <row r="111" spans="9:10" x14ac:dyDescent="0.25">
      <c r="I111" s="37"/>
      <c r="J111" s="35"/>
    </row>
    <row r="112" spans="9:10" x14ac:dyDescent="0.25">
      <c r="I112" s="37"/>
      <c r="J112" s="35"/>
    </row>
    <row r="113" spans="9:10" x14ac:dyDescent="0.25">
      <c r="I113" s="37"/>
      <c r="J113" s="35"/>
    </row>
    <row r="114" spans="9:10" x14ac:dyDescent="0.25">
      <c r="I114" s="37"/>
      <c r="J114" s="35"/>
    </row>
    <row r="115" spans="9:10" x14ac:dyDescent="0.25">
      <c r="I115" s="37"/>
      <c r="J115" s="35"/>
    </row>
    <row r="116" spans="9:10" x14ac:dyDescent="0.25">
      <c r="I116" s="37"/>
      <c r="J116" s="35"/>
    </row>
    <row r="117" spans="9:10" x14ac:dyDescent="0.25">
      <c r="I117" s="37"/>
      <c r="J117" s="35"/>
    </row>
    <row r="118" spans="9:10" x14ac:dyDescent="0.25">
      <c r="I118" s="37"/>
      <c r="J118" s="35"/>
    </row>
    <row r="119" spans="9:10" x14ac:dyDescent="0.25">
      <c r="I119" s="37"/>
      <c r="J119" s="35"/>
    </row>
    <row r="120" spans="9:10" x14ac:dyDescent="0.25">
      <c r="I120" s="37"/>
      <c r="J120" s="35"/>
    </row>
    <row r="121" spans="9:10" x14ac:dyDescent="0.25">
      <c r="I121" s="37"/>
      <c r="J121" s="35"/>
    </row>
    <row r="122" spans="9:10" x14ac:dyDescent="0.25">
      <c r="I122" s="37"/>
      <c r="J122" s="35"/>
    </row>
    <row r="123" spans="9:10" x14ac:dyDescent="0.25">
      <c r="I123" s="37"/>
      <c r="J123" s="35"/>
    </row>
    <row r="124" spans="9:10" x14ac:dyDescent="0.25">
      <c r="I124" s="37"/>
      <c r="J124" s="35"/>
    </row>
    <row r="125" spans="9:10" x14ac:dyDescent="0.25">
      <c r="I125" s="37"/>
      <c r="J125" s="35"/>
    </row>
    <row r="126" spans="9:10" x14ac:dyDescent="0.25">
      <c r="I126" s="37"/>
      <c r="J126" s="35"/>
    </row>
    <row r="127" spans="9:10" x14ac:dyDescent="0.25">
      <c r="I127" s="37"/>
      <c r="J127" s="35"/>
    </row>
    <row r="128" spans="9:10" x14ac:dyDescent="0.25">
      <c r="I128" s="37"/>
      <c r="J128" s="35"/>
    </row>
    <row r="129" spans="9:10" x14ac:dyDescent="0.25">
      <c r="I129" s="37"/>
      <c r="J129" s="35"/>
    </row>
    <row r="130" spans="9:10" x14ac:dyDescent="0.25">
      <c r="I130" s="37"/>
      <c r="J130" s="35"/>
    </row>
    <row r="131" spans="9:10" x14ac:dyDescent="0.25">
      <c r="I131" s="37"/>
      <c r="J131" s="35"/>
    </row>
    <row r="132" spans="9:10" x14ac:dyDescent="0.25">
      <c r="I132" s="37"/>
      <c r="J132" s="35"/>
    </row>
    <row r="133" spans="9:10" x14ac:dyDescent="0.25">
      <c r="I133" s="37"/>
      <c r="J133" s="35"/>
    </row>
    <row r="134" spans="9:10" x14ac:dyDescent="0.25">
      <c r="I134" s="37"/>
      <c r="J134" s="35"/>
    </row>
    <row r="135" spans="9:10" x14ac:dyDescent="0.25">
      <c r="I135" s="37"/>
      <c r="J135" s="35"/>
    </row>
    <row r="136" spans="9:10" x14ac:dyDescent="0.25">
      <c r="I136" s="37"/>
      <c r="J136" s="35"/>
    </row>
    <row r="137" spans="9:10" x14ac:dyDescent="0.25">
      <c r="I137" s="37"/>
      <c r="J137" s="35"/>
    </row>
    <row r="138" spans="9:10" x14ac:dyDescent="0.25">
      <c r="I138" s="37"/>
      <c r="J138" s="35"/>
    </row>
    <row r="139" spans="9:10" x14ac:dyDescent="0.25">
      <c r="I139" s="37"/>
      <c r="J139" s="35"/>
    </row>
    <row r="140" spans="9:10" x14ac:dyDescent="0.25">
      <c r="I140" s="37"/>
      <c r="J140" s="35"/>
    </row>
    <row r="141" spans="9:10" x14ac:dyDescent="0.25">
      <c r="I141" s="37"/>
      <c r="J141" s="35"/>
    </row>
    <row r="142" spans="9:10" x14ac:dyDescent="0.25">
      <c r="I142" s="37"/>
      <c r="J142" s="35"/>
    </row>
    <row r="143" spans="9:10" x14ac:dyDescent="0.25">
      <c r="I143" s="37"/>
      <c r="J143" s="35"/>
    </row>
    <row r="144" spans="9:10" x14ac:dyDescent="0.25">
      <c r="I144" s="37"/>
      <c r="J144" s="35"/>
    </row>
    <row r="145" spans="9:10" x14ac:dyDescent="0.25">
      <c r="I145" s="37"/>
      <c r="J145" s="35"/>
    </row>
    <row r="146" spans="9:10" x14ac:dyDescent="0.25">
      <c r="I146" s="37"/>
      <c r="J146" s="35"/>
    </row>
    <row r="147" spans="9:10" x14ac:dyDescent="0.25">
      <c r="I147" s="37"/>
      <c r="J147" s="35"/>
    </row>
    <row r="148" spans="9:10" x14ac:dyDescent="0.25">
      <c r="I148" s="37"/>
      <c r="J148" s="35"/>
    </row>
    <row r="149" spans="9:10" x14ac:dyDescent="0.25">
      <c r="I149" s="37"/>
      <c r="J149" s="35"/>
    </row>
    <row r="150" spans="9:10" x14ac:dyDescent="0.25">
      <c r="I150" s="37"/>
      <c r="J150" s="35"/>
    </row>
    <row r="151" spans="9:10" x14ac:dyDescent="0.25">
      <c r="I151" s="37"/>
      <c r="J151" s="35"/>
    </row>
    <row r="152" spans="9:10" x14ac:dyDescent="0.25">
      <c r="I152" s="37"/>
      <c r="J152" s="35"/>
    </row>
    <row r="153" spans="9:10" x14ac:dyDescent="0.25">
      <c r="I153" s="37"/>
      <c r="J153" s="35"/>
    </row>
    <row r="154" spans="9:10" x14ac:dyDescent="0.25">
      <c r="I154" s="37"/>
      <c r="J154" s="35"/>
    </row>
    <row r="155" spans="9:10" x14ac:dyDescent="0.25">
      <c r="I155" s="37"/>
      <c r="J155" s="35"/>
    </row>
    <row r="156" spans="9:10" x14ac:dyDescent="0.25">
      <c r="I156" s="37"/>
      <c r="J156" s="35"/>
    </row>
    <row r="157" spans="9:10" x14ac:dyDescent="0.25">
      <c r="I157" s="37"/>
      <c r="J157" s="35"/>
    </row>
    <row r="158" spans="9:10" x14ac:dyDescent="0.25">
      <c r="I158" s="37"/>
      <c r="J158" s="35"/>
    </row>
    <row r="159" spans="9:10" x14ac:dyDescent="0.25">
      <c r="I159" s="37"/>
      <c r="J159" s="35"/>
    </row>
    <row r="160" spans="9:10" x14ac:dyDescent="0.25">
      <c r="I160" s="37"/>
      <c r="J160" s="35"/>
    </row>
    <row r="161" spans="9:10" x14ac:dyDescent="0.25">
      <c r="I161" s="37"/>
      <c r="J161" s="35"/>
    </row>
    <row r="162" spans="9:10" x14ac:dyDescent="0.25">
      <c r="I162" s="37"/>
      <c r="J162" s="35"/>
    </row>
    <row r="163" spans="9:10" x14ac:dyDescent="0.25">
      <c r="I163" s="37"/>
      <c r="J163" s="35"/>
    </row>
    <row r="164" spans="9:10" x14ac:dyDescent="0.25">
      <c r="I164" s="37"/>
      <c r="J164" s="35"/>
    </row>
    <row r="165" spans="9:10" x14ac:dyDescent="0.25">
      <c r="I165" s="37"/>
      <c r="J165" s="35"/>
    </row>
    <row r="166" spans="9:10" x14ac:dyDescent="0.25">
      <c r="I166" s="37"/>
      <c r="J166" s="35"/>
    </row>
    <row r="167" spans="9:10" x14ac:dyDescent="0.25">
      <c r="I167" s="37"/>
      <c r="J167" s="35"/>
    </row>
    <row r="168" spans="9:10" x14ac:dyDescent="0.25">
      <c r="I168" s="37"/>
      <c r="J168" s="35"/>
    </row>
    <row r="169" spans="9:10" x14ac:dyDescent="0.25">
      <c r="I169" s="37"/>
      <c r="J169" s="35"/>
    </row>
    <row r="170" spans="9:10" x14ac:dyDescent="0.25">
      <c r="I170" s="37"/>
      <c r="J170" s="35"/>
    </row>
    <row r="171" spans="9:10" x14ac:dyDescent="0.25">
      <c r="I171" s="37"/>
      <c r="J171" s="35"/>
    </row>
    <row r="172" spans="9:10" x14ac:dyDescent="0.25">
      <c r="I172" s="37"/>
      <c r="J172" s="35"/>
    </row>
    <row r="173" spans="9:10" x14ac:dyDescent="0.25">
      <c r="I173" s="37"/>
      <c r="J173" s="35"/>
    </row>
    <row r="174" spans="9:10" x14ac:dyDescent="0.25">
      <c r="I174" s="37"/>
      <c r="J174" s="35"/>
    </row>
    <row r="175" spans="9:10" x14ac:dyDescent="0.25">
      <c r="I175" s="37"/>
      <c r="J175" s="35"/>
    </row>
    <row r="176" spans="9:10" x14ac:dyDescent="0.25">
      <c r="I176" s="37"/>
      <c r="J176" s="35"/>
    </row>
    <row r="177" spans="9:10" x14ac:dyDescent="0.25">
      <c r="I177" s="37"/>
      <c r="J177" s="35"/>
    </row>
    <row r="178" spans="9:10" x14ac:dyDescent="0.25">
      <c r="I178" s="37"/>
      <c r="J178" s="35"/>
    </row>
    <row r="179" spans="9:10" x14ac:dyDescent="0.25">
      <c r="I179" s="37"/>
      <c r="J179" s="35"/>
    </row>
    <row r="180" spans="9:10" x14ac:dyDescent="0.25">
      <c r="I180" s="37"/>
      <c r="J180" s="35"/>
    </row>
    <row r="181" spans="9:10" x14ac:dyDescent="0.25">
      <c r="I181" s="37"/>
      <c r="J181" s="35"/>
    </row>
    <row r="182" spans="9:10" x14ac:dyDescent="0.25">
      <c r="I182" s="37"/>
      <c r="J182" s="35"/>
    </row>
    <row r="183" spans="9:10" x14ac:dyDescent="0.25">
      <c r="I183" s="37"/>
      <c r="J183" s="35"/>
    </row>
    <row r="184" spans="9:10" x14ac:dyDescent="0.25">
      <c r="I184" s="37"/>
      <c r="J184" s="35"/>
    </row>
    <row r="185" spans="9:10" x14ac:dyDescent="0.25">
      <c r="I185" s="37"/>
      <c r="J185" s="35"/>
    </row>
    <row r="186" spans="9:10" x14ac:dyDescent="0.25">
      <c r="I186" s="37"/>
      <c r="J186" s="35"/>
    </row>
    <row r="187" spans="9:10" x14ac:dyDescent="0.25">
      <c r="I187" s="37"/>
      <c r="J187" s="35"/>
    </row>
    <row r="188" spans="9:10" x14ac:dyDescent="0.25">
      <c r="I188" s="37"/>
      <c r="J188" s="35"/>
    </row>
    <row r="189" spans="9:10" x14ac:dyDescent="0.25">
      <c r="I189" s="37"/>
      <c r="J189" s="35"/>
    </row>
    <row r="190" spans="9:10" x14ac:dyDescent="0.25">
      <c r="I190" s="37"/>
      <c r="J190" s="35"/>
    </row>
    <row r="191" spans="9:10" x14ac:dyDescent="0.25">
      <c r="I191" s="37"/>
      <c r="J191" s="35"/>
    </row>
    <row r="192" spans="9:10" x14ac:dyDescent="0.25">
      <c r="I192" s="37"/>
      <c r="J192" s="35"/>
    </row>
    <row r="193" spans="9:10" x14ac:dyDescent="0.25">
      <c r="I193" s="37"/>
      <c r="J193" s="35"/>
    </row>
    <row r="194" spans="9:10" x14ac:dyDescent="0.25">
      <c r="I194" s="37"/>
      <c r="J194" s="35"/>
    </row>
    <row r="195" spans="9:10" x14ac:dyDescent="0.25">
      <c r="I195" s="37"/>
      <c r="J195" s="35"/>
    </row>
    <row r="196" spans="9:10" x14ac:dyDescent="0.25">
      <c r="I196" s="37"/>
      <c r="J196" s="35"/>
    </row>
    <row r="197" spans="9:10" x14ac:dyDescent="0.25">
      <c r="I197" s="37"/>
      <c r="J197" s="35"/>
    </row>
    <row r="198" spans="9:10" x14ac:dyDescent="0.25">
      <c r="I198" s="37"/>
      <c r="J198" s="35"/>
    </row>
    <row r="199" spans="9:10" x14ac:dyDescent="0.25">
      <c r="I199" s="37"/>
      <c r="J199" s="35"/>
    </row>
    <row r="200" spans="9:10" x14ac:dyDescent="0.25">
      <c r="I200" s="37"/>
      <c r="J200" s="35"/>
    </row>
    <row r="201" spans="9:10" x14ac:dyDescent="0.25">
      <c r="I201" s="37"/>
      <c r="J201" s="35"/>
    </row>
    <row r="202" spans="9:10" x14ac:dyDescent="0.25">
      <c r="I202" s="37"/>
      <c r="J202" s="35"/>
    </row>
    <row r="203" spans="9:10" x14ac:dyDescent="0.25">
      <c r="I203" s="37"/>
      <c r="J203" s="35"/>
    </row>
    <row r="204" spans="9:10" x14ac:dyDescent="0.25">
      <c r="I204" s="37"/>
      <c r="J204" s="35"/>
    </row>
    <row r="205" spans="9:10" x14ac:dyDescent="0.25">
      <c r="I205" s="37"/>
      <c r="J205" s="35"/>
    </row>
    <row r="206" spans="9:10" x14ac:dyDescent="0.25">
      <c r="I206" s="37"/>
      <c r="J206" s="35"/>
    </row>
    <row r="207" spans="9:10" x14ac:dyDescent="0.25">
      <c r="I207" s="37"/>
      <c r="J207" s="35"/>
    </row>
    <row r="208" spans="9:10" x14ac:dyDescent="0.25">
      <c r="I208" s="37"/>
      <c r="J208" s="35"/>
    </row>
    <row r="209" spans="9:10" x14ac:dyDescent="0.25">
      <c r="I209" s="37"/>
      <c r="J209" s="35"/>
    </row>
    <row r="210" spans="9:10" x14ac:dyDescent="0.25">
      <c r="I210" s="37"/>
      <c r="J210" s="35"/>
    </row>
    <row r="211" spans="9:10" x14ac:dyDescent="0.25">
      <c r="I211" s="37"/>
      <c r="J211" s="35"/>
    </row>
    <row r="212" spans="9:10" x14ac:dyDescent="0.25">
      <c r="I212" s="37"/>
      <c r="J212" s="35"/>
    </row>
    <row r="213" spans="9:10" x14ac:dyDescent="0.25">
      <c r="I213" s="37"/>
      <c r="J213" s="35"/>
    </row>
    <row r="214" spans="9:10" x14ac:dyDescent="0.25">
      <c r="I214" s="37"/>
      <c r="J214" s="35"/>
    </row>
    <row r="215" spans="9:10" x14ac:dyDescent="0.25">
      <c r="I215" s="37"/>
      <c r="J215" s="35"/>
    </row>
    <row r="216" spans="9:10" x14ac:dyDescent="0.25">
      <c r="I216" s="37"/>
      <c r="J216" s="35"/>
    </row>
    <row r="217" spans="9:10" x14ac:dyDescent="0.25">
      <c r="I217" s="37"/>
      <c r="J217" s="35"/>
    </row>
    <row r="218" spans="9:10" x14ac:dyDescent="0.25">
      <c r="I218" s="37"/>
      <c r="J218" s="35"/>
    </row>
    <row r="219" spans="9:10" x14ac:dyDescent="0.25">
      <c r="I219" s="37"/>
      <c r="J219" s="35"/>
    </row>
    <row r="220" spans="9:10" x14ac:dyDescent="0.25">
      <c r="I220" s="37"/>
      <c r="J220" s="35"/>
    </row>
    <row r="221" spans="9:10" x14ac:dyDescent="0.25">
      <c r="I221" s="37"/>
      <c r="J221" s="35"/>
    </row>
    <row r="222" spans="9:10" x14ac:dyDescent="0.25">
      <c r="I222" s="37"/>
      <c r="J222" s="35"/>
    </row>
    <row r="223" spans="9:10" x14ac:dyDescent="0.25">
      <c r="I223" s="37"/>
      <c r="J223" s="35"/>
    </row>
    <row r="224" spans="9:10" x14ac:dyDescent="0.25">
      <c r="I224" s="37"/>
      <c r="J224" s="35"/>
    </row>
    <row r="225" spans="9:10" x14ac:dyDescent="0.25">
      <c r="I225" s="37"/>
      <c r="J225" s="35"/>
    </row>
    <row r="226" spans="9:10" x14ac:dyDescent="0.25">
      <c r="I226" s="37"/>
      <c r="J226" s="35"/>
    </row>
    <row r="227" spans="9:10" x14ac:dyDescent="0.25">
      <c r="I227" s="37"/>
      <c r="J227" s="35"/>
    </row>
    <row r="228" spans="9:10" x14ac:dyDescent="0.25">
      <c r="I228" s="37"/>
      <c r="J228" s="35"/>
    </row>
    <row r="229" spans="9:10" x14ac:dyDescent="0.25">
      <c r="I229" s="37"/>
      <c r="J229" s="35"/>
    </row>
    <row r="230" spans="9:10" x14ac:dyDescent="0.25">
      <c r="I230" s="37"/>
      <c r="J230" s="35"/>
    </row>
    <row r="231" spans="9:10" x14ac:dyDescent="0.25">
      <c r="I231" s="37"/>
      <c r="J231" s="35"/>
    </row>
    <row r="232" spans="9:10" x14ac:dyDescent="0.25">
      <c r="I232" s="37"/>
      <c r="J232" s="35"/>
    </row>
    <row r="233" spans="9:10" x14ac:dyDescent="0.25">
      <c r="I233" s="37"/>
      <c r="J233" s="35"/>
    </row>
    <row r="234" spans="9:10" x14ac:dyDescent="0.25">
      <c r="I234" s="37"/>
      <c r="J234" s="35"/>
    </row>
    <row r="235" spans="9:10" x14ac:dyDescent="0.25">
      <c r="I235" s="37"/>
      <c r="J235" s="35"/>
    </row>
    <row r="236" spans="9:10" x14ac:dyDescent="0.25">
      <c r="I236" s="37"/>
      <c r="J236" s="35"/>
    </row>
    <row r="237" spans="9:10" x14ac:dyDescent="0.25">
      <c r="I237" s="37"/>
      <c r="J237" s="35"/>
    </row>
    <row r="238" spans="9:10" x14ac:dyDescent="0.25">
      <c r="I238" s="37"/>
      <c r="J238" s="35"/>
    </row>
    <row r="239" spans="9:10" x14ac:dyDescent="0.25">
      <c r="I239" s="37"/>
      <c r="J239" s="35"/>
    </row>
    <row r="240" spans="9:10" x14ac:dyDescent="0.25">
      <c r="I240" s="37"/>
      <c r="J240" s="35"/>
    </row>
    <row r="241" spans="9:10" x14ac:dyDescent="0.25">
      <c r="I241" s="37"/>
      <c r="J241" s="35"/>
    </row>
    <row r="242" spans="9:10" x14ac:dyDescent="0.25">
      <c r="I242" s="37"/>
      <c r="J242" s="35"/>
    </row>
    <row r="243" spans="9:10" x14ac:dyDescent="0.25">
      <c r="I243" s="37"/>
      <c r="J243" s="35"/>
    </row>
    <row r="244" spans="9:10" x14ac:dyDescent="0.25">
      <c r="I244" s="37"/>
      <c r="J244" s="35"/>
    </row>
    <row r="245" spans="9:10" x14ac:dyDescent="0.25">
      <c r="I245" s="37"/>
      <c r="J245" s="35"/>
    </row>
    <row r="246" spans="9:10" x14ac:dyDescent="0.25">
      <c r="I246" s="37"/>
      <c r="J246" s="35"/>
    </row>
    <row r="247" spans="9:10" x14ac:dyDescent="0.25">
      <c r="I247" s="37"/>
      <c r="J247" s="35"/>
    </row>
    <row r="248" spans="9:10" x14ac:dyDescent="0.25">
      <c r="I248" s="37"/>
      <c r="J248" s="35"/>
    </row>
    <row r="249" spans="9:10" x14ac:dyDescent="0.25">
      <c r="I249" s="37"/>
      <c r="J249" s="35"/>
    </row>
    <row r="250" spans="9:10" x14ac:dyDescent="0.25">
      <c r="I250" s="37"/>
      <c r="J250" s="35"/>
    </row>
    <row r="251" spans="9:10" x14ac:dyDescent="0.25">
      <c r="I251" s="37"/>
      <c r="J251" s="35"/>
    </row>
    <row r="252" spans="9:10" x14ac:dyDescent="0.25">
      <c r="I252" s="37"/>
      <c r="J252" s="35"/>
    </row>
    <row r="253" spans="9:10" x14ac:dyDescent="0.25">
      <c r="I253" s="37"/>
      <c r="J253" s="35"/>
    </row>
    <row r="254" spans="9:10" x14ac:dyDescent="0.25">
      <c r="I254" s="37"/>
      <c r="J254" s="35"/>
    </row>
    <row r="255" spans="9:10" x14ac:dyDescent="0.25">
      <c r="I255" s="37"/>
      <c r="J255" s="35"/>
    </row>
    <row r="256" spans="9:10" x14ac:dyDescent="0.25">
      <c r="I256" s="37"/>
      <c r="J256" s="35"/>
    </row>
    <row r="257" spans="9:10" x14ac:dyDescent="0.25">
      <c r="I257" s="37"/>
      <c r="J257" s="35"/>
    </row>
    <row r="258" spans="9:10" x14ac:dyDescent="0.25">
      <c r="I258" s="37"/>
      <c r="J258" s="35"/>
    </row>
    <row r="259" spans="9:10" x14ac:dyDescent="0.25">
      <c r="I259" s="37"/>
      <c r="J259" s="35"/>
    </row>
    <row r="260" spans="9:10" x14ac:dyDescent="0.25">
      <c r="I260" s="37"/>
      <c r="J260" s="35"/>
    </row>
    <row r="261" spans="9:10" x14ac:dyDescent="0.25">
      <c r="I261" s="37"/>
      <c r="J261" s="35"/>
    </row>
    <row r="262" spans="9:10" x14ac:dyDescent="0.25">
      <c r="I262" s="37"/>
      <c r="J262" s="35"/>
    </row>
    <row r="263" spans="9:10" x14ac:dyDescent="0.25">
      <c r="I263" s="37"/>
      <c r="J263" s="35"/>
    </row>
    <row r="264" spans="9:10" x14ac:dyDescent="0.25">
      <c r="I264" s="37"/>
      <c r="J264" s="35"/>
    </row>
    <row r="265" spans="9:10" x14ac:dyDescent="0.25">
      <c r="I265" s="37"/>
      <c r="J265" s="35"/>
    </row>
    <row r="266" spans="9:10" x14ac:dyDescent="0.25">
      <c r="I266" s="37"/>
      <c r="J266" s="35"/>
    </row>
    <row r="267" spans="9:10" x14ac:dyDescent="0.25">
      <c r="I267" s="37"/>
      <c r="J267" s="35"/>
    </row>
    <row r="268" spans="9:10" x14ac:dyDescent="0.25">
      <c r="I268" s="37"/>
      <c r="J268" s="35"/>
    </row>
    <row r="269" spans="9:10" x14ac:dyDescent="0.25">
      <c r="I269" s="37"/>
      <c r="J269" s="35"/>
    </row>
    <row r="270" spans="9:10" x14ac:dyDescent="0.25">
      <c r="I270" s="37"/>
      <c r="J270" s="35"/>
    </row>
    <row r="271" spans="9:10" x14ac:dyDescent="0.25">
      <c r="I271" s="37"/>
      <c r="J271" s="35"/>
    </row>
    <row r="272" spans="9:10" x14ac:dyDescent="0.25">
      <c r="I272" s="37"/>
      <c r="J272" s="35"/>
    </row>
    <row r="273" spans="9:10" x14ac:dyDescent="0.25">
      <c r="I273" s="37"/>
      <c r="J273" s="35"/>
    </row>
    <row r="274" spans="9:10" x14ac:dyDescent="0.25">
      <c r="I274" s="37"/>
      <c r="J274" s="35"/>
    </row>
    <row r="275" spans="9:10" x14ac:dyDescent="0.25">
      <c r="I275" s="37"/>
      <c r="J275" s="35"/>
    </row>
    <row r="276" spans="9:10" x14ac:dyDescent="0.25">
      <c r="I276" s="37"/>
      <c r="J276" s="35"/>
    </row>
    <row r="277" spans="9:10" x14ac:dyDescent="0.25">
      <c r="I277" s="37"/>
      <c r="J277" s="35"/>
    </row>
    <row r="278" spans="9:10" x14ac:dyDescent="0.25">
      <c r="I278" s="37"/>
      <c r="J278" s="35"/>
    </row>
    <row r="279" spans="9:10" x14ac:dyDescent="0.25">
      <c r="I279" s="37"/>
      <c r="J279" s="35"/>
    </row>
    <row r="280" spans="9:10" x14ac:dyDescent="0.25">
      <c r="I280" s="37"/>
      <c r="J280" s="35"/>
    </row>
    <row r="281" spans="9:10" x14ac:dyDescent="0.25">
      <c r="I281" s="37"/>
      <c r="J281" s="35"/>
    </row>
    <row r="282" spans="9:10" x14ac:dyDescent="0.25">
      <c r="I282" s="37"/>
      <c r="J282" s="35"/>
    </row>
    <row r="283" spans="9:10" x14ac:dyDescent="0.25">
      <c r="I283" s="37"/>
      <c r="J283" s="35"/>
    </row>
    <row r="284" spans="9:10" x14ac:dyDescent="0.25">
      <c r="I284" s="37"/>
      <c r="J284" s="35"/>
    </row>
    <row r="285" spans="9:10" x14ac:dyDescent="0.25">
      <c r="I285" s="37"/>
      <c r="J285" s="35"/>
    </row>
    <row r="286" spans="9:10" x14ac:dyDescent="0.25">
      <c r="I286" s="37"/>
      <c r="J286" s="35"/>
    </row>
    <row r="287" spans="9:10" x14ac:dyDescent="0.25">
      <c r="I287" s="37"/>
      <c r="J287" s="35"/>
    </row>
    <row r="288" spans="9:10" x14ac:dyDescent="0.25">
      <c r="I288" s="37"/>
      <c r="J288" s="35"/>
    </row>
    <row r="289" spans="9:10" x14ac:dyDescent="0.25">
      <c r="I289" s="37"/>
      <c r="J289" s="35"/>
    </row>
    <row r="290" spans="9:10" x14ac:dyDescent="0.25">
      <c r="I290" s="37"/>
      <c r="J290" s="35"/>
    </row>
    <row r="291" spans="9:10" x14ac:dyDescent="0.25">
      <c r="I291" s="37"/>
      <c r="J291" s="35"/>
    </row>
    <row r="292" spans="9:10" x14ac:dyDescent="0.25">
      <c r="I292" s="37"/>
      <c r="J292" s="35"/>
    </row>
    <row r="293" spans="9:10" x14ac:dyDescent="0.25">
      <c r="I293" s="37"/>
      <c r="J293" s="35"/>
    </row>
    <row r="294" spans="9:10" x14ac:dyDescent="0.25">
      <c r="I294" s="37"/>
      <c r="J294" s="35"/>
    </row>
    <row r="295" spans="9:10" x14ac:dyDescent="0.25">
      <c r="I295" s="37"/>
      <c r="J295" s="35"/>
    </row>
    <row r="296" spans="9:10" x14ac:dyDescent="0.25">
      <c r="I296" s="37"/>
      <c r="J296" s="35"/>
    </row>
    <row r="297" spans="9:10" x14ac:dyDescent="0.25">
      <c r="I297" s="37"/>
      <c r="J297" s="35"/>
    </row>
    <row r="298" spans="9:10" x14ac:dyDescent="0.25">
      <c r="I298" s="37"/>
      <c r="J298" s="35"/>
    </row>
    <row r="299" spans="9:10" x14ac:dyDescent="0.25">
      <c r="I299" s="37"/>
      <c r="J299" s="35"/>
    </row>
    <row r="300" spans="9:10" x14ac:dyDescent="0.25">
      <c r="I300" s="37"/>
      <c r="J300" s="35"/>
    </row>
    <row r="301" spans="9:10" x14ac:dyDescent="0.25">
      <c r="I301" s="37"/>
      <c r="J301" s="35"/>
    </row>
    <row r="302" spans="9:10" x14ac:dyDescent="0.25">
      <c r="I302" s="37"/>
      <c r="J302" s="35"/>
    </row>
    <row r="303" spans="9:10" x14ac:dyDescent="0.25">
      <c r="I303" s="37"/>
      <c r="J303" s="35"/>
    </row>
    <row r="304" spans="9:10" x14ac:dyDescent="0.25">
      <c r="I304" s="37"/>
      <c r="J304" s="35"/>
    </row>
    <row r="305" spans="9:12" x14ac:dyDescent="0.25">
      <c r="I305" s="37"/>
      <c r="J305" s="35"/>
    </row>
    <row r="306" spans="9:12" x14ac:dyDescent="0.25">
      <c r="I306" s="37"/>
      <c r="J306" s="35"/>
    </row>
    <row r="307" spans="9:12" x14ac:dyDescent="0.25">
      <c r="I307" s="37"/>
      <c r="J307" s="35"/>
    </row>
    <row r="308" spans="9:12" x14ac:dyDescent="0.25">
      <c r="I308" s="37"/>
      <c r="J308" s="35"/>
    </row>
    <row r="309" spans="9:12" x14ac:dyDescent="0.25">
      <c r="I309" s="37"/>
      <c r="J309" s="35"/>
    </row>
    <row r="310" spans="9:12" x14ac:dyDescent="0.25">
      <c r="I310" s="37"/>
      <c r="J310" s="35"/>
    </row>
    <row r="311" spans="9:12" x14ac:dyDescent="0.25">
      <c r="I311" s="37"/>
      <c r="J311" s="35"/>
      <c r="L311" s="36"/>
    </row>
    <row r="312" spans="9:12" x14ac:dyDescent="0.25">
      <c r="I312" s="37"/>
      <c r="J312" s="35"/>
    </row>
    <row r="313" spans="9:12" x14ac:dyDescent="0.25">
      <c r="I313" s="37"/>
      <c r="J313" s="35"/>
    </row>
    <row r="314" spans="9:12" x14ac:dyDescent="0.25">
      <c r="I314" s="37"/>
      <c r="J314" s="35"/>
    </row>
    <row r="315" spans="9:12" x14ac:dyDescent="0.25">
      <c r="I315" s="37"/>
      <c r="J315" s="35"/>
    </row>
    <row r="316" spans="9:12" x14ac:dyDescent="0.25">
      <c r="I316" s="37"/>
      <c r="J316" s="35"/>
    </row>
    <row r="317" spans="9:12" x14ac:dyDescent="0.25">
      <c r="I317" s="37"/>
      <c r="J317" s="35"/>
    </row>
    <row r="318" spans="9:12" x14ac:dyDescent="0.25">
      <c r="I318" s="37"/>
      <c r="J318" s="35"/>
    </row>
    <row r="319" spans="9:12" x14ac:dyDescent="0.25">
      <c r="I319" s="37"/>
      <c r="J319" s="35"/>
    </row>
    <row r="320" spans="9:12" x14ac:dyDescent="0.25">
      <c r="I320" s="37"/>
      <c r="J320" s="35"/>
    </row>
    <row r="321" spans="9:10" x14ac:dyDescent="0.25">
      <c r="I321" s="37"/>
      <c r="J321" s="35"/>
    </row>
    <row r="322" spans="9:10" x14ac:dyDescent="0.25">
      <c r="I322" s="37"/>
      <c r="J322" s="35"/>
    </row>
    <row r="323" spans="9:10" x14ac:dyDescent="0.25">
      <c r="I323" s="37"/>
      <c r="J323" s="35"/>
    </row>
    <row r="324" spans="9:10" x14ac:dyDescent="0.25">
      <c r="I324" s="37"/>
      <c r="J324" s="35"/>
    </row>
    <row r="325" spans="9:10" x14ac:dyDescent="0.25">
      <c r="I325" s="37"/>
      <c r="J325" s="35"/>
    </row>
    <row r="326" spans="9:10" x14ac:dyDescent="0.25">
      <c r="I326" s="37"/>
      <c r="J326" s="35"/>
    </row>
    <row r="327" spans="9:10" x14ac:dyDescent="0.25">
      <c r="I327" s="37"/>
      <c r="J327" s="35"/>
    </row>
    <row r="328" spans="9:10" x14ac:dyDescent="0.25">
      <c r="I328" s="37"/>
      <c r="J328" s="35"/>
    </row>
    <row r="329" spans="9:10" x14ac:dyDescent="0.25">
      <c r="I329" s="37"/>
      <c r="J329" s="35"/>
    </row>
    <row r="330" spans="9:10" x14ac:dyDescent="0.25">
      <c r="I330" s="37"/>
      <c r="J330" s="35"/>
    </row>
    <row r="331" spans="9:10" x14ac:dyDescent="0.25">
      <c r="I331" s="37"/>
      <c r="J331" s="35"/>
    </row>
    <row r="332" spans="9:10" x14ac:dyDescent="0.25">
      <c r="I332" s="37"/>
      <c r="J332" s="35"/>
    </row>
    <row r="333" spans="9:10" x14ac:dyDescent="0.25">
      <c r="I333" s="37"/>
      <c r="J333" s="35"/>
    </row>
    <row r="334" spans="9:10" x14ac:dyDescent="0.25">
      <c r="I334" s="37"/>
      <c r="J334" s="35"/>
    </row>
    <row r="335" spans="9:10" x14ac:dyDescent="0.25">
      <c r="I335" s="37"/>
      <c r="J335" s="35"/>
    </row>
    <row r="336" spans="9:10" x14ac:dyDescent="0.25">
      <c r="I336" s="37"/>
      <c r="J336" s="35"/>
    </row>
    <row r="337" spans="9:10" x14ac:dyDescent="0.25">
      <c r="I337" s="37"/>
      <c r="J337" s="35"/>
    </row>
    <row r="338" spans="9:10" x14ac:dyDescent="0.25">
      <c r="I338" s="37"/>
      <c r="J338" s="35"/>
    </row>
    <row r="339" spans="9:10" x14ac:dyDescent="0.25">
      <c r="I339" s="37"/>
      <c r="J339" s="35"/>
    </row>
    <row r="340" spans="9:10" x14ac:dyDescent="0.25">
      <c r="I340" s="37"/>
      <c r="J340" s="35"/>
    </row>
    <row r="341" spans="9:10" x14ac:dyDescent="0.25">
      <c r="I341" s="37"/>
      <c r="J341" s="35"/>
    </row>
    <row r="342" spans="9:10" x14ac:dyDescent="0.25">
      <c r="I342" s="37"/>
      <c r="J342" s="35"/>
    </row>
    <row r="343" spans="9:10" x14ac:dyDescent="0.25">
      <c r="I343" s="37"/>
      <c r="J343" s="35"/>
    </row>
    <row r="344" spans="9:10" x14ac:dyDescent="0.25">
      <c r="I344" s="37"/>
      <c r="J344" s="35"/>
    </row>
    <row r="345" spans="9:10" x14ac:dyDescent="0.25">
      <c r="I345" s="37"/>
      <c r="J345" s="35"/>
    </row>
    <row r="346" spans="9:10" x14ac:dyDescent="0.25">
      <c r="I346" s="37"/>
      <c r="J346" s="35"/>
    </row>
    <row r="347" spans="9:10" x14ac:dyDescent="0.25">
      <c r="I347" s="37"/>
      <c r="J347" s="35"/>
    </row>
    <row r="348" spans="9:10" x14ac:dyDescent="0.25">
      <c r="I348" s="37"/>
      <c r="J348" s="35"/>
    </row>
    <row r="349" spans="9:10" x14ac:dyDescent="0.25">
      <c r="I349" s="37"/>
      <c r="J349" s="35"/>
    </row>
    <row r="350" spans="9:10" x14ac:dyDescent="0.25">
      <c r="I350" s="37"/>
      <c r="J350" s="35"/>
    </row>
    <row r="351" spans="9:10" x14ac:dyDescent="0.25">
      <c r="I351" s="37"/>
      <c r="J351" s="35"/>
    </row>
    <row r="352" spans="9:10" x14ac:dyDescent="0.25">
      <c r="I352" s="37"/>
      <c r="J352" s="35"/>
    </row>
    <row r="353" spans="9:10" x14ac:dyDescent="0.25">
      <c r="I353" s="37"/>
      <c r="J353" s="35"/>
    </row>
    <row r="354" spans="9:10" x14ac:dyDescent="0.25">
      <c r="I354" s="37"/>
      <c r="J354" s="35"/>
    </row>
    <row r="355" spans="9:10" x14ac:dyDescent="0.25">
      <c r="I355" s="37"/>
      <c r="J355" s="35"/>
    </row>
    <row r="356" spans="9:10" x14ac:dyDescent="0.25">
      <c r="I356" s="37"/>
      <c r="J356" s="35"/>
    </row>
    <row r="357" spans="9:10" x14ac:dyDescent="0.25">
      <c r="I357" s="37"/>
      <c r="J357" s="35"/>
    </row>
    <row r="358" spans="9:10" x14ac:dyDescent="0.25">
      <c r="I358" s="37"/>
      <c r="J358" s="35"/>
    </row>
    <row r="359" spans="9:10" x14ac:dyDescent="0.25">
      <c r="I359" s="37"/>
      <c r="J359" s="35"/>
    </row>
    <row r="360" spans="9:10" x14ac:dyDescent="0.25">
      <c r="I360" s="37"/>
      <c r="J360" s="35"/>
    </row>
    <row r="361" spans="9:10" x14ac:dyDescent="0.25">
      <c r="I361" s="37"/>
      <c r="J361" s="35"/>
    </row>
    <row r="362" spans="9:10" x14ac:dyDescent="0.25">
      <c r="I362" s="37"/>
      <c r="J362" s="35"/>
    </row>
    <row r="363" spans="9:10" x14ac:dyDescent="0.25">
      <c r="I363" s="37"/>
      <c r="J363" s="35"/>
    </row>
    <row r="364" spans="9:10" x14ac:dyDescent="0.25">
      <c r="I364" s="37"/>
      <c r="J364" s="35"/>
    </row>
    <row r="365" spans="9:10" x14ac:dyDescent="0.25">
      <c r="I365" s="37"/>
      <c r="J365" s="35"/>
    </row>
    <row r="366" spans="9:10" x14ac:dyDescent="0.25">
      <c r="I366" s="37"/>
      <c r="J366" s="35"/>
    </row>
    <row r="367" spans="9:10" x14ac:dyDescent="0.25">
      <c r="I367" s="37"/>
      <c r="J367" s="35"/>
    </row>
    <row r="368" spans="9:10" x14ac:dyDescent="0.25">
      <c r="I368" s="37"/>
      <c r="J368" s="35"/>
    </row>
    <row r="369" spans="9:10" x14ac:dyDescent="0.25">
      <c r="I369" s="37"/>
      <c r="J369" s="35"/>
    </row>
    <row r="370" spans="9:10" x14ac:dyDescent="0.25">
      <c r="I370" s="37"/>
      <c r="J370" s="35"/>
    </row>
    <row r="371" spans="9:10" x14ac:dyDescent="0.25">
      <c r="I371" s="37"/>
      <c r="J371" s="35"/>
    </row>
    <row r="372" spans="9:10" x14ac:dyDescent="0.25">
      <c r="I372" s="37"/>
      <c r="J372" s="35"/>
    </row>
    <row r="373" spans="9:10" x14ac:dyDescent="0.25">
      <c r="I373" s="37"/>
      <c r="J373" s="35"/>
    </row>
    <row r="374" spans="9:10" x14ac:dyDescent="0.25">
      <c r="I374" s="37"/>
      <c r="J374" s="35"/>
    </row>
    <row r="375" spans="9:10" x14ac:dyDescent="0.25">
      <c r="I375" s="37"/>
      <c r="J375" s="35"/>
    </row>
    <row r="376" spans="9:10" x14ac:dyDescent="0.25">
      <c r="I376" s="37"/>
      <c r="J376" s="35"/>
    </row>
    <row r="377" spans="9:10" x14ac:dyDescent="0.25">
      <c r="I377" s="37"/>
      <c r="J377" s="35"/>
    </row>
    <row r="378" spans="9:10" x14ac:dyDescent="0.25">
      <c r="I378" s="37"/>
      <c r="J378" s="35"/>
    </row>
    <row r="379" spans="9:10" x14ac:dyDescent="0.25">
      <c r="I379" s="37"/>
      <c r="J379" s="35"/>
    </row>
    <row r="380" spans="9:10" x14ac:dyDescent="0.25">
      <c r="I380" s="37"/>
      <c r="J380" s="35"/>
    </row>
    <row r="381" spans="9:10" x14ac:dyDescent="0.25">
      <c r="I381" s="37"/>
      <c r="J381" s="35"/>
    </row>
    <row r="382" spans="9:10" x14ac:dyDescent="0.25">
      <c r="I382" s="37"/>
      <c r="J382" s="35"/>
    </row>
    <row r="383" spans="9:10" x14ac:dyDescent="0.25">
      <c r="I383" s="37"/>
      <c r="J383" s="35"/>
    </row>
    <row r="384" spans="9:10" x14ac:dyDescent="0.25">
      <c r="I384" s="37"/>
      <c r="J384" s="35"/>
    </row>
    <row r="385" spans="9:10" x14ac:dyDescent="0.25">
      <c r="I385" s="37"/>
      <c r="J385" s="35"/>
    </row>
    <row r="386" spans="9:10" x14ac:dyDescent="0.25">
      <c r="I386" s="37"/>
      <c r="J386" s="35"/>
    </row>
    <row r="387" spans="9:10" x14ac:dyDescent="0.25">
      <c r="I387" s="37"/>
      <c r="J387" s="35"/>
    </row>
    <row r="388" spans="9:10" x14ac:dyDescent="0.25">
      <c r="I388" s="37"/>
      <c r="J388" s="35"/>
    </row>
    <row r="389" spans="9:10" x14ac:dyDescent="0.25">
      <c r="I389" s="37"/>
      <c r="J389" s="35"/>
    </row>
    <row r="390" spans="9:10" x14ac:dyDescent="0.25">
      <c r="I390" s="37"/>
      <c r="J390" s="35"/>
    </row>
    <row r="391" spans="9:10" x14ac:dyDescent="0.25">
      <c r="I391" s="37"/>
      <c r="J391" s="35"/>
    </row>
    <row r="392" spans="9:10" x14ac:dyDescent="0.25">
      <c r="I392" s="37"/>
      <c r="J392" s="35"/>
    </row>
    <row r="393" spans="9:10" x14ac:dyDescent="0.25">
      <c r="I393" s="37"/>
      <c r="J393" s="35"/>
    </row>
    <row r="394" spans="9:10" x14ac:dyDescent="0.25">
      <c r="I394" s="37"/>
      <c r="J394" s="35"/>
    </row>
    <row r="395" spans="9:10" x14ac:dyDescent="0.25">
      <c r="I395" s="37"/>
      <c r="J395" s="35"/>
    </row>
    <row r="396" spans="9:10" x14ac:dyDescent="0.25">
      <c r="I396" s="37"/>
      <c r="J396" s="35"/>
    </row>
    <row r="397" spans="9:10" x14ac:dyDescent="0.25">
      <c r="I397" s="37"/>
      <c r="J397" s="35"/>
    </row>
    <row r="398" spans="9:10" x14ac:dyDescent="0.25">
      <c r="I398" s="37"/>
      <c r="J398" s="35"/>
    </row>
    <row r="399" spans="9:10" x14ac:dyDescent="0.25">
      <c r="I399" s="37"/>
      <c r="J399" s="35"/>
    </row>
    <row r="400" spans="9:10" x14ac:dyDescent="0.25">
      <c r="I400" s="37"/>
      <c r="J400" s="35"/>
    </row>
    <row r="401" spans="9:10" x14ac:dyDescent="0.25">
      <c r="I401" s="37"/>
      <c r="J401" s="35"/>
    </row>
    <row r="402" spans="9:10" x14ac:dyDescent="0.25">
      <c r="I402" s="37"/>
      <c r="J402" s="35"/>
    </row>
    <row r="403" spans="9:10" x14ac:dyDescent="0.25">
      <c r="I403" s="37"/>
      <c r="J403" s="35"/>
    </row>
    <row r="404" spans="9:10" x14ac:dyDescent="0.25">
      <c r="I404" s="37"/>
      <c r="J404" s="35"/>
    </row>
    <row r="405" spans="9:10" x14ac:dyDescent="0.25">
      <c r="I405" s="37"/>
      <c r="J405" s="35"/>
    </row>
    <row r="406" spans="9:10" x14ac:dyDescent="0.25">
      <c r="I406" s="37"/>
      <c r="J406" s="35"/>
    </row>
    <row r="407" spans="9:10" x14ac:dyDescent="0.25">
      <c r="I407" s="37"/>
      <c r="J407" s="35"/>
    </row>
    <row r="408" spans="9:10" x14ac:dyDescent="0.25">
      <c r="I408" s="37"/>
      <c r="J408" s="35"/>
    </row>
    <row r="409" spans="9:10" x14ac:dyDescent="0.25">
      <c r="I409" s="37"/>
      <c r="J409" s="35"/>
    </row>
    <row r="410" spans="9:10" x14ac:dyDescent="0.25">
      <c r="I410" s="37"/>
      <c r="J410" s="35"/>
    </row>
    <row r="411" spans="9:10" x14ac:dyDescent="0.25">
      <c r="I411" s="37"/>
      <c r="J411" s="35"/>
    </row>
    <row r="412" spans="9:10" x14ac:dyDescent="0.25">
      <c r="I412" s="37"/>
      <c r="J412" s="35"/>
    </row>
    <row r="413" spans="9:10" x14ac:dyDescent="0.25">
      <c r="I413" s="37"/>
      <c r="J413" s="35"/>
    </row>
    <row r="414" spans="9:10" x14ac:dyDescent="0.25">
      <c r="I414" s="37"/>
      <c r="J414" s="35"/>
    </row>
    <row r="415" spans="9:10" x14ac:dyDescent="0.25">
      <c r="I415" s="37"/>
      <c r="J415" s="35"/>
    </row>
    <row r="416" spans="9:10" x14ac:dyDescent="0.25">
      <c r="I416" s="37"/>
      <c r="J416" s="35"/>
    </row>
    <row r="417" spans="9:10" x14ac:dyDescent="0.25">
      <c r="I417" s="37"/>
      <c r="J417" s="35"/>
    </row>
    <row r="418" spans="9:10" x14ac:dyDescent="0.25">
      <c r="I418" s="37"/>
      <c r="J418" s="35"/>
    </row>
    <row r="419" spans="9:10" x14ac:dyDescent="0.25">
      <c r="I419" s="37"/>
      <c r="J419" s="35"/>
    </row>
    <row r="420" spans="9:10" x14ac:dyDescent="0.25">
      <c r="I420" s="37"/>
      <c r="J420" s="35"/>
    </row>
    <row r="421" spans="9:10" x14ac:dyDescent="0.25">
      <c r="I421" s="37"/>
      <c r="J421" s="35"/>
    </row>
    <row r="422" spans="9:10" x14ac:dyDescent="0.25">
      <c r="I422" s="37"/>
      <c r="J422" s="35"/>
    </row>
    <row r="423" spans="9:10" x14ac:dyDescent="0.25">
      <c r="I423" s="37"/>
      <c r="J423" s="35"/>
    </row>
    <row r="424" spans="9:10" x14ac:dyDescent="0.25">
      <c r="I424" s="37"/>
      <c r="J424" s="35"/>
    </row>
    <row r="425" spans="9:10" x14ac:dyDescent="0.25">
      <c r="I425" s="37"/>
      <c r="J425" s="35"/>
    </row>
    <row r="426" spans="9:10" x14ac:dyDescent="0.25">
      <c r="I426" s="37"/>
      <c r="J426" s="35"/>
    </row>
    <row r="427" spans="9:10" x14ac:dyDescent="0.25">
      <c r="I427" s="37"/>
      <c r="J427" s="35"/>
    </row>
    <row r="428" spans="9:10" x14ac:dyDescent="0.25">
      <c r="I428" s="37"/>
      <c r="J428" s="35"/>
    </row>
    <row r="429" spans="9:10" x14ac:dyDescent="0.25">
      <c r="I429" s="37"/>
      <c r="J429" s="35"/>
    </row>
    <row r="430" spans="9:10" x14ac:dyDescent="0.25">
      <c r="I430" s="37"/>
      <c r="J430" s="35"/>
    </row>
    <row r="431" spans="9:10" x14ac:dyDescent="0.25">
      <c r="I431" s="37"/>
      <c r="J431" s="35"/>
    </row>
    <row r="432" spans="9:10" x14ac:dyDescent="0.25">
      <c r="I432" s="37"/>
      <c r="J432" s="35"/>
    </row>
    <row r="433" spans="9:10" x14ac:dyDescent="0.25">
      <c r="I433" s="37"/>
      <c r="J433" s="35"/>
    </row>
    <row r="434" spans="9:10" x14ac:dyDescent="0.25">
      <c r="I434" s="37"/>
      <c r="J434" s="35"/>
    </row>
    <row r="435" spans="9:10" x14ac:dyDescent="0.25">
      <c r="I435" s="37"/>
      <c r="J435" s="35"/>
    </row>
    <row r="436" spans="9:10" x14ac:dyDescent="0.25">
      <c r="I436" s="37"/>
      <c r="J436" s="35"/>
    </row>
    <row r="437" spans="9:10" x14ac:dyDescent="0.25">
      <c r="I437" s="37"/>
      <c r="J437" s="35"/>
    </row>
    <row r="438" spans="9:10" x14ac:dyDescent="0.25">
      <c r="I438" s="37"/>
      <c r="J438" s="35"/>
    </row>
    <row r="439" spans="9:10" x14ac:dyDescent="0.25">
      <c r="I439" s="37"/>
      <c r="J439" s="35"/>
    </row>
    <row r="440" spans="9:10" x14ac:dyDescent="0.25">
      <c r="I440" s="37"/>
      <c r="J440" s="35"/>
    </row>
    <row r="441" spans="9:10" x14ac:dyDescent="0.25">
      <c r="I441" s="37"/>
      <c r="J441" s="35"/>
    </row>
    <row r="442" spans="9:10" x14ac:dyDescent="0.25">
      <c r="I442" s="37"/>
      <c r="J442" s="35"/>
    </row>
    <row r="443" spans="9:10" x14ac:dyDescent="0.25">
      <c r="I443" s="37"/>
      <c r="J443" s="35"/>
    </row>
    <row r="444" spans="9:10" x14ac:dyDescent="0.25">
      <c r="I444" s="37"/>
      <c r="J444" s="35"/>
    </row>
    <row r="445" spans="9:10" x14ac:dyDescent="0.25">
      <c r="I445" s="37"/>
      <c r="J445" s="35"/>
    </row>
    <row r="446" spans="9:10" x14ac:dyDescent="0.25">
      <c r="I446" s="37"/>
      <c r="J446" s="35"/>
    </row>
    <row r="447" spans="9:10" x14ac:dyDescent="0.25">
      <c r="I447" s="37"/>
      <c r="J447" s="35"/>
    </row>
    <row r="448" spans="9:10" x14ac:dyDescent="0.25">
      <c r="I448" s="37"/>
      <c r="J448" s="35"/>
    </row>
    <row r="449" spans="9:10" x14ac:dyDescent="0.25">
      <c r="I449" s="37"/>
      <c r="J449" s="35"/>
    </row>
    <row r="450" spans="9:10" x14ac:dyDescent="0.25">
      <c r="I450" s="37"/>
      <c r="J450" s="35"/>
    </row>
    <row r="451" spans="9:10" x14ac:dyDescent="0.25">
      <c r="I451" s="37"/>
      <c r="J451" s="35"/>
    </row>
    <row r="452" spans="9:10" x14ac:dyDescent="0.25">
      <c r="I452" s="37"/>
      <c r="J452" s="35"/>
    </row>
    <row r="453" spans="9:10" x14ac:dyDescent="0.25">
      <c r="I453" s="37"/>
      <c r="J453" s="35"/>
    </row>
    <row r="454" spans="9:10" x14ac:dyDescent="0.25">
      <c r="I454" s="37"/>
      <c r="J454" s="35"/>
    </row>
    <row r="455" spans="9:10" x14ac:dyDescent="0.25">
      <c r="I455" s="37"/>
      <c r="J455" s="35"/>
    </row>
    <row r="456" spans="9:10" x14ac:dyDescent="0.25">
      <c r="I456" s="37"/>
      <c r="J456" s="35"/>
    </row>
    <row r="457" spans="9:10" x14ac:dyDescent="0.25">
      <c r="I457" s="37"/>
      <c r="J457" s="35"/>
    </row>
    <row r="458" spans="9:10" x14ac:dyDescent="0.25">
      <c r="I458" s="37"/>
      <c r="J458" s="35"/>
    </row>
    <row r="459" spans="9:10" x14ac:dyDescent="0.25">
      <c r="I459" s="37"/>
      <c r="J459" s="35"/>
    </row>
    <row r="460" spans="9:10" x14ac:dyDescent="0.25">
      <c r="I460" s="37"/>
      <c r="J460" s="35"/>
    </row>
    <row r="461" spans="9:10" x14ac:dyDescent="0.25">
      <c r="I461" s="37"/>
      <c r="J461" s="35"/>
    </row>
    <row r="462" spans="9:10" x14ac:dyDescent="0.25">
      <c r="I462" s="37"/>
      <c r="J462" s="35"/>
    </row>
    <row r="463" spans="9:10" x14ac:dyDescent="0.25">
      <c r="I463" s="37"/>
      <c r="J463" s="35"/>
    </row>
    <row r="464" spans="9:10" x14ac:dyDescent="0.25">
      <c r="I464" s="37"/>
      <c r="J464" s="35"/>
    </row>
    <row r="465" spans="9:10" x14ac:dyDescent="0.25">
      <c r="I465" s="37"/>
      <c r="J465" s="35"/>
    </row>
    <row r="466" spans="9:10" x14ac:dyDescent="0.25">
      <c r="I466" s="37"/>
      <c r="J466" s="35"/>
    </row>
    <row r="467" spans="9:10" x14ac:dyDescent="0.25">
      <c r="I467" s="37"/>
      <c r="J467" s="35"/>
    </row>
    <row r="468" spans="9:10" x14ac:dyDescent="0.25">
      <c r="I468" s="37"/>
      <c r="J468" s="35"/>
    </row>
    <row r="469" spans="9:10" x14ac:dyDescent="0.25">
      <c r="I469" s="37"/>
      <c r="J469" s="35"/>
    </row>
    <row r="470" spans="9:10" x14ac:dyDescent="0.25">
      <c r="I470" s="37"/>
      <c r="J470" s="35"/>
    </row>
    <row r="471" spans="9:10" x14ac:dyDescent="0.25">
      <c r="I471" s="37"/>
      <c r="J471" s="35"/>
    </row>
    <row r="472" spans="9:10" x14ac:dyDescent="0.25">
      <c r="I472" s="37"/>
      <c r="J472" s="35"/>
    </row>
    <row r="473" spans="9:10" x14ac:dyDescent="0.25">
      <c r="I473" s="37"/>
      <c r="J473" s="35"/>
    </row>
    <row r="474" spans="9:10" x14ac:dyDescent="0.25">
      <c r="I474" s="37"/>
      <c r="J474" s="35"/>
    </row>
    <row r="475" spans="9:10" x14ac:dyDescent="0.25">
      <c r="I475" s="37"/>
      <c r="J475" s="35"/>
    </row>
    <row r="476" spans="9:10" x14ac:dyDescent="0.25">
      <c r="I476" s="37"/>
      <c r="J476" s="35"/>
    </row>
    <row r="477" spans="9:10" x14ac:dyDescent="0.25">
      <c r="I477" s="37"/>
      <c r="J477" s="35"/>
    </row>
    <row r="478" spans="9:10" x14ac:dyDescent="0.25">
      <c r="I478" s="37"/>
      <c r="J478" s="35"/>
    </row>
    <row r="479" spans="9:10" x14ac:dyDescent="0.25">
      <c r="I479" s="37"/>
      <c r="J479" s="35"/>
    </row>
    <row r="480" spans="9:10" x14ac:dyDescent="0.25">
      <c r="I480" s="37"/>
      <c r="J480" s="35"/>
    </row>
    <row r="481" spans="9:10" x14ac:dyDescent="0.25">
      <c r="I481" s="37"/>
      <c r="J481" s="35"/>
    </row>
    <row r="482" spans="9:10" x14ac:dyDescent="0.25">
      <c r="I482" s="37"/>
      <c r="J482" s="35"/>
    </row>
    <row r="483" spans="9:10" x14ac:dyDescent="0.25">
      <c r="I483" s="37"/>
      <c r="J483" s="35"/>
    </row>
    <row r="484" spans="9:10" x14ac:dyDescent="0.25">
      <c r="I484" s="37"/>
      <c r="J484" s="35"/>
    </row>
    <row r="485" spans="9:10" x14ac:dyDescent="0.25">
      <c r="I485" s="37"/>
      <c r="J485" s="35"/>
    </row>
    <row r="486" spans="9:10" x14ac:dyDescent="0.25">
      <c r="I486" s="37"/>
      <c r="J486" s="35"/>
    </row>
    <row r="487" spans="9:10" x14ac:dyDescent="0.25">
      <c r="I487" s="37"/>
      <c r="J487" s="35"/>
    </row>
    <row r="488" spans="9:10" x14ac:dyDescent="0.25">
      <c r="I488" s="37"/>
      <c r="J488" s="35"/>
    </row>
    <row r="489" spans="9:10" x14ac:dyDescent="0.25">
      <c r="I489" s="37"/>
      <c r="J489" s="35"/>
    </row>
    <row r="490" spans="9:10" x14ac:dyDescent="0.25">
      <c r="I490" s="37"/>
      <c r="J490" s="35"/>
    </row>
    <row r="491" spans="9:10" x14ac:dyDescent="0.25">
      <c r="I491" s="37"/>
      <c r="J491" s="35"/>
    </row>
    <row r="492" spans="9:10" x14ac:dyDescent="0.25">
      <c r="I492" s="37"/>
      <c r="J492" s="35"/>
    </row>
    <row r="493" spans="9:10" x14ac:dyDescent="0.25">
      <c r="I493" s="37"/>
      <c r="J493" s="35"/>
    </row>
    <row r="494" spans="9:10" x14ac:dyDescent="0.25">
      <c r="I494" s="37"/>
      <c r="J494" s="35"/>
    </row>
    <row r="495" spans="9:10" x14ac:dyDescent="0.25">
      <c r="I495" s="37"/>
      <c r="J495" s="35"/>
    </row>
    <row r="496" spans="9:10" x14ac:dyDescent="0.25">
      <c r="I496" s="37"/>
      <c r="J496" s="35"/>
    </row>
    <row r="497" spans="9:10" x14ac:dyDescent="0.25">
      <c r="I497" s="37"/>
      <c r="J497" s="35"/>
    </row>
    <row r="498" spans="9:10" x14ac:dyDescent="0.25">
      <c r="I498" s="37"/>
      <c r="J498" s="35"/>
    </row>
    <row r="499" spans="9:10" x14ac:dyDescent="0.25">
      <c r="I499" s="37"/>
      <c r="J499" s="35"/>
    </row>
    <row r="500" spans="9:10" x14ac:dyDescent="0.25">
      <c r="I500" s="37"/>
      <c r="J500" s="35"/>
    </row>
    <row r="501" spans="9:10" x14ac:dyDescent="0.25">
      <c r="I501" s="37"/>
      <c r="J501" s="35"/>
    </row>
    <row r="502" spans="9:10" x14ac:dyDescent="0.25">
      <c r="I502" s="37"/>
      <c r="J502" s="35"/>
    </row>
    <row r="503" spans="9:10" x14ac:dyDescent="0.25">
      <c r="I503" s="37"/>
      <c r="J503" s="35"/>
    </row>
    <row r="504" spans="9:10" x14ac:dyDescent="0.25">
      <c r="I504" s="37"/>
      <c r="J504" s="35"/>
    </row>
    <row r="505" spans="9:10" x14ac:dyDescent="0.25">
      <c r="I505" s="37"/>
      <c r="J505" s="35"/>
    </row>
    <row r="506" spans="9:10" x14ac:dyDescent="0.25">
      <c r="I506" s="37"/>
      <c r="J506" s="35"/>
    </row>
    <row r="507" spans="9:10" x14ac:dyDescent="0.25">
      <c r="I507" s="37"/>
      <c r="J507" s="35"/>
    </row>
    <row r="508" spans="9:10" x14ac:dyDescent="0.25">
      <c r="I508" s="37"/>
      <c r="J508" s="35"/>
    </row>
    <row r="509" spans="9:10" x14ac:dyDescent="0.25">
      <c r="I509" s="37"/>
      <c r="J509" s="35"/>
    </row>
    <row r="510" spans="9:10" x14ac:dyDescent="0.25">
      <c r="I510" s="37"/>
      <c r="J510" s="35"/>
    </row>
    <row r="511" spans="9:10" x14ac:dyDescent="0.25">
      <c r="I511" s="37"/>
      <c r="J511" s="35"/>
    </row>
    <row r="512" spans="9:10" x14ac:dyDescent="0.25">
      <c r="I512" s="37"/>
      <c r="J512" s="35"/>
    </row>
    <row r="513" spans="9:10" x14ac:dyDescent="0.25">
      <c r="I513" s="37"/>
      <c r="J513" s="35"/>
    </row>
    <row r="514" spans="9:10" x14ac:dyDescent="0.25">
      <c r="I514" s="37"/>
      <c r="J514" s="35"/>
    </row>
    <row r="515" spans="9:10" x14ac:dyDescent="0.25">
      <c r="I515" s="37"/>
      <c r="J515" s="35"/>
    </row>
    <row r="516" spans="9:10" x14ac:dyDescent="0.25">
      <c r="I516" s="37"/>
      <c r="J516" s="35"/>
    </row>
    <row r="517" spans="9:10" x14ac:dyDescent="0.25">
      <c r="I517" s="37"/>
      <c r="J517" s="35"/>
    </row>
    <row r="518" spans="9:10" x14ac:dyDescent="0.25">
      <c r="I518" s="37"/>
      <c r="J518" s="35"/>
    </row>
    <row r="519" spans="9:10" x14ac:dyDescent="0.25">
      <c r="I519" s="37"/>
      <c r="J519" s="35"/>
    </row>
    <row r="520" spans="9:10" x14ac:dyDescent="0.25">
      <c r="I520" s="37"/>
      <c r="J520" s="35"/>
    </row>
    <row r="521" spans="9:10" x14ac:dyDescent="0.25">
      <c r="I521" s="37"/>
      <c r="J521" s="35"/>
    </row>
    <row r="522" spans="9:10" x14ac:dyDescent="0.25">
      <c r="I522" s="37"/>
      <c r="J522" s="35"/>
    </row>
    <row r="523" spans="9:10" x14ac:dyDescent="0.25">
      <c r="I523" s="37"/>
      <c r="J523" s="35"/>
    </row>
    <row r="524" spans="9:10" x14ac:dyDescent="0.25">
      <c r="I524" s="37"/>
      <c r="J524" s="35"/>
    </row>
    <row r="525" spans="9:10" x14ac:dyDescent="0.25">
      <c r="I525" s="37"/>
      <c r="J525" s="35"/>
    </row>
    <row r="526" spans="9:10" x14ac:dyDescent="0.25">
      <c r="I526" s="37"/>
      <c r="J526" s="35"/>
    </row>
    <row r="527" spans="9:10" x14ac:dyDescent="0.25">
      <c r="I527" s="37"/>
      <c r="J527" s="35"/>
    </row>
    <row r="528" spans="9:10" x14ac:dyDescent="0.25">
      <c r="I528" s="37"/>
      <c r="J528" s="35"/>
    </row>
    <row r="529" spans="9:10" x14ac:dyDescent="0.25">
      <c r="I529" s="37"/>
      <c r="J529" s="35"/>
    </row>
    <row r="530" spans="9:10" x14ac:dyDescent="0.25">
      <c r="I530" s="37"/>
      <c r="J530" s="35"/>
    </row>
    <row r="531" spans="9:10" x14ac:dyDescent="0.25">
      <c r="I531" s="37"/>
      <c r="J531" s="35"/>
    </row>
    <row r="532" spans="9:10" x14ac:dyDescent="0.25">
      <c r="I532" s="37"/>
      <c r="J532" s="35"/>
    </row>
    <row r="533" spans="9:10" x14ac:dyDescent="0.25">
      <c r="I533" s="37"/>
      <c r="J533" s="35"/>
    </row>
    <row r="534" spans="9:10" x14ac:dyDescent="0.25">
      <c r="I534" s="37"/>
      <c r="J534" s="35"/>
    </row>
    <row r="535" spans="9:10" x14ac:dyDescent="0.25">
      <c r="I535" s="37"/>
      <c r="J535" s="35"/>
    </row>
    <row r="536" spans="9:10" x14ac:dyDescent="0.25">
      <c r="I536" s="37"/>
      <c r="J536" s="35"/>
    </row>
    <row r="537" spans="9:10" x14ac:dyDescent="0.25">
      <c r="I537" s="37"/>
      <c r="J537" s="35"/>
    </row>
    <row r="538" spans="9:10" x14ac:dyDescent="0.25">
      <c r="I538" s="37"/>
      <c r="J538" s="35"/>
    </row>
    <row r="539" spans="9:10" x14ac:dyDescent="0.25">
      <c r="I539" s="37"/>
      <c r="J539" s="35"/>
    </row>
    <row r="540" spans="9:10" x14ac:dyDescent="0.25">
      <c r="I540" s="37"/>
      <c r="J540" s="35"/>
    </row>
    <row r="541" spans="9:10" x14ac:dyDescent="0.25">
      <c r="I541" s="37"/>
      <c r="J541" s="35"/>
    </row>
    <row r="542" spans="9:10" x14ac:dyDescent="0.25">
      <c r="I542" s="37"/>
      <c r="J542" s="35"/>
    </row>
    <row r="543" spans="9:10" x14ac:dyDescent="0.25">
      <c r="I543" s="37"/>
      <c r="J543" s="35"/>
    </row>
    <row r="544" spans="9:10" x14ac:dyDescent="0.25">
      <c r="I544" s="37"/>
      <c r="J544" s="35"/>
    </row>
    <row r="545" spans="9:10" x14ac:dyDescent="0.25">
      <c r="I545" s="37"/>
      <c r="J545" s="35"/>
    </row>
    <row r="546" spans="9:10" x14ac:dyDescent="0.25">
      <c r="I546" s="37"/>
      <c r="J546" s="35"/>
    </row>
    <row r="547" spans="9:10" x14ac:dyDescent="0.25">
      <c r="I547" s="37"/>
      <c r="J547" s="35"/>
    </row>
    <row r="548" spans="9:10" x14ac:dyDescent="0.25">
      <c r="I548" s="37"/>
      <c r="J548" s="35"/>
    </row>
    <row r="549" spans="9:10" x14ac:dyDescent="0.25">
      <c r="I549" s="37"/>
      <c r="J549" s="35"/>
    </row>
    <row r="550" spans="9:10" x14ac:dyDescent="0.25">
      <c r="I550" s="37"/>
      <c r="J550" s="35"/>
    </row>
    <row r="551" spans="9:10" x14ac:dyDescent="0.25">
      <c r="I551" s="37"/>
      <c r="J551" s="35"/>
    </row>
    <row r="552" spans="9:10" x14ac:dyDescent="0.25">
      <c r="I552" s="37"/>
      <c r="J552" s="35"/>
    </row>
    <row r="553" spans="9:10" x14ac:dyDescent="0.25">
      <c r="I553" s="37"/>
      <c r="J553" s="35"/>
    </row>
    <row r="554" spans="9:10" x14ac:dyDescent="0.25">
      <c r="I554" s="37"/>
      <c r="J554" s="35"/>
    </row>
    <row r="555" spans="9:10" x14ac:dyDescent="0.25">
      <c r="I555" s="37"/>
      <c r="J555" s="35"/>
    </row>
    <row r="556" spans="9:10" x14ac:dyDescent="0.25">
      <c r="I556" s="37"/>
      <c r="J556" s="35"/>
    </row>
    <row r="557" spans="9:10" x14ac:dyDescent="0.25">
      <c r="I557" s="37"/>
      <c r="J557" s="35"/>
    </row>
    <row r="558" spans="9:10" x14ac:dyDescent="0.25">
      <c r="I558" s="37"/>
      <c r="J558" s="35"/>
    </row>
    <row r="559" spans="9:10" x14ac:dyDescent="0.25">
      <c r="I559" s="37"/>
      <c r="J559" s="35"/>
    </row>
    <row r="560" spans="9:10" x14ac:dyDescent="0.25">
      <c r="I560" s="37"/>
      <c r="J560" s="35"/>
    </row>
    <row r="561" spans="9:10" x14ac:dyDescent="0.25">
      <c r="I561" s="37"/>
      <c r="J561" s="35"/>
    </row>
    <row r="562" spans="9:10" x14ac:dyDescent="0.25">
      <c r="I562" s="37"/>
      <c r="J562" s="35"/>
    </row>
    <row r="563" spans="9:10" x14ac:dyDescent="0.25">
      <c r="I563" s="37"/>
      <c r="J563" s="35"/>
    </row>
    <row r="564" spans="9:10" x14ac:dyDescent="0.25">
      <c r="I564" s="37"/>
      <c r="J564" s="35"/>
    </row>
    <row r="565" spans="9:10" x14ac:dyDescent="0.25">
      <c r="I565" s="37"/>
      <c r="J565" s="35"/>
    </row>
    <row r="566" spans="9:10" x14ac:dyDescent="0.25">
      <c r="I566" s="37"/>
      <c r="J566" s="35"/>
    </row>
    <row r="567" spans="9:10" x14ac:dyDescent="0.25">
      <c r="I567" s="37"/>
      <c r="J567" s="35"/>
    </row>
    <row r="568" spans="9:10" x14ac:dyDescent="0.25">
      <c r="I568" s="37"/>
      <c r="J568" s="35"/>
    </row>
    <row r="569" spans="9:10" x14ac:dyDescent="0.25">
      <c r="I569" s="37"/>
      <c r="J569" s="35"/>
    </row>
    <row r="570" spans="9:10" x14ac:dyDescent="0.25">
      <c r="I570" s="37"/>
      <c r="J570" s="35"/>
    </row>
    <row r="571" spans="9:10" x14ac:dyDescent="0.25">
      <c r="I571" s="37"/>
      <c r="J571" s="35"/>
    </row>
    <row r="572" spans="9:10" x14ac:dyDescent="0.25">
      <c r="I572" s="37"/>
      <c r="J572" s="35"/>
    </row>
    <row r="573" spans="9:10" x14ac:dyDescent="0.25">
      <c r="I573" s="37"/>
      <c r="J573" s="35"/>
    </row>
    <row r="574" spans="9:10" x14ac:dyDescent="0.25">
      <c r="I574" s="37"/>
      <c r="J574" s="35"/>
    </row>
    <row r="575" spans="9:10" x14ac:dyDescent="0.25">
      <c r="I575" s="37"/>
      <c r="J575" s="35"/>
    </row>
    <row r="576" spans="9:10" x14ac:dyDescent="0.25">
      <c r="I576" s="37"/>
      <c r="J576" s="35"/>
    </row>
    <row r="577" spans="9:10" x14ac:dyDescent="0.25">
      <c r="I577" s="37"/>
      <c r="J577" s="35"/>
    </row>
    <row r="578" spans="9:10" x14ac:dyDescent="0.25">
      <c r="I578" s="37"/>
      <c r="J578" s="35"/>
    </row>
    <row r="579" spans="9:10" x14ac:dyDescent="0.25">
      <c r="I579" s="37"/>
      <c r="J579" s="35"/>
    </row>
    <row r="580" spans="9:10" x14ac:dyDescent="0.25">
      <c r="I580" s="37"/>
      <c r="J580" s="35"/>
    </row>
    <row r="581" spans="9:10" x14ac:dyDescent="0.25">
      <c r="I581" s="37"/>
      <c r="J581" s="35"/>
    </row>
    <row r="582" spans="9:10" x14ac:dyDescent="0.25">
      <c r="I582" s="37"/>
      <c r="J582" s="35"/>
    </row>
    <row r="583" spans="9:10" x14ac:dyDescent="0.25">
      <c r="I583" s="37"/>
      <c r="J583" s="35"/>
    </row>
    <row r="584" spans="9:10" x14ac:dyDescent="0.25">
      <c r="I584" s="37"/>
      <c r="J584" s="35"/>
    </row>
    <row r="585" spans="9:10" x14ac:dyDescent="0.25">
      <c r="I585" s="37"/>
      <c r="J585" s="35"/>
    </row>
    <row r="586" spans="9:10" x14ac:dyDescent="0.25">
      <c r="I586" s="37"/>
      <c r="J586" s="35"/>
    </row>
    <row r="587" spans="9:10" x14ac:dyDescent="0.25">
      <c r="I587" s="37"/>
      <c r="J587" s="35"/>
    </row>
    <row r="588" spans="9:10" x14ac:dyDescent="0.25">
      <c r="I588" s="37"/>
      <c r="J588" s="35"/>
    </row>
    <row r="589" spans="9:10" x14ac:dyDescent="0.25">
      <c r="I589" s="37"/>
      <c r="J589" s="35"/>
    </row>
    <row r="590" spans="9:10" x14ac:dyDescent="0.25">
      <c r="I590" s="37"/>
      <c r="J590" s="35"/>
    </row>
    <row r="591" spans="9:10" x14ac:dyDescent="0.25">
      <c r="I591" s="37"/>
      <c r="J591" s="35"/>
    </row>
    <row r="592" spans="9:10" x14ac:dyDescent="0.25">
      <c r="I592" s="37"/>
      <c r="J592" s="35"/>
    </row>
    <row r="593" spans="9:10" x14ac:dyDescent="0.25">
      <c r="I593" s="37"/>
      <c r="J593" s="35"/>
    </row>
    <row r="594" spans="9:10" x14ac:dyDescent="0.25">
      <c r="I594" s="37"/>
      <c r="J594" s="35"/>
    </row>
    <row r="595" spans="9:10" x14ac:dyDescent="0.25">
      <c r="I595" s="37"/>
      <c r="J595" s="35"/>
    </row>
    <row r="596" spans="9:10" x14ac:dyDescent="0.25">
      <c r="I596" s="37"/>
      <c r="J596" s="35"/>
    </row>
    <row r="597" spans="9:10" x14ac:dyDescent="0.25">
      <c r="I597" s="37"/>
      <c r="J597" s="35"/>
    </row>
    <row r="598" spans="9:10" x14ac:dyDescent="0.25">
      <c r="I598" s="37"/>
      <c r="J598" s="35"/>
    </row>
    <row r="599" spans="9:10" x14ac:dyDescent="0.25">
      <c r="I599" s="37"/>
      <c r="J599" s="35"/>
    </row>
    <row r="600" spans="9:10" x14ac:dyDescent="0.25">
      <c r="I600" s="37"/>
      <c r="J600" s="35"/>
    </row>
    <row r="601" spans="9:10" x14ac:dyDescent="0.25">
      <c r="I601" s="37"/>
      <c r="J601" s="35"/>
    </row>
    <row r="602" spans="9:10" x14ac:dyDescent="0.25">
      <c r="I602" s="37"/>
      <c r="J602" s="35"/>
    </row>
    <row r="603" spans="9:10" x14ac:dyDescent="0.25">
      <c r="I603" s="37"/>
      <c r="J603" s="35"/>
    </row>
    <row r="604" spans="9:10" x14ac:dyDescent="0.25">
      <c r="I604" s="37"/>
      <c r="J604" s="35"/>
    </row>
    <row r="605" spans="9:10" x14ac:dyDescent="0.25">
      <c r="I605" s="37"/>
      <c r="J605" s="35"/>
    </row>
    <row r="606" spans="9:10" x14ac:dyDescent="0.25">
      <c r="I606" s="37"/>
      <c r="J606" s="35"/>
    </row>
    <row r="607" spans="9:10" x14ac:dyDescent="0.25">
      <c r="I607" s="37"/>
      <c r="J607" s="35"/>
    </row>
    <row r="608" spans="9:10" x14ac:dyDescent="0.25">
      <c r="I608" s="37"/>
      <c r="J608" s="35"/>
    </row>
    <row r="609" spans="9:10" x14ac:dyDescent="0.25">
      <c r="I609" s="37"/>
      <c r="J609" s="35"/>
    </row>
    <row r="610" spans="9:10" x14ac:dyDescent="0.25">
      <c r="I610" s="37"/>
      <c r="J610" s="35"/>
    </row>
    <row r="611" spans="9:10" x14ac:dyDescent="0.25">
      <c r="I611" s="37"/>
      <c r="J611" s="35"/>
    </row>
    <row r="612" spans="9:10" x14ac:dyDescent="0.25">
      <c r="I612" s="37"/>
      <c r="J612" s="35"/>
    </row>
    <row r="613" spans="9:10" x14ac:dyDescent="0.25">
      <c r="I613" s="37"/>
      <c r="J613" s="35"/>
    </row>
    <row r="614" spans="9:10" x14ac:dyDescent="0.25">
      <c r="I614" s="37"/>
      <c r="J614" s="35"/>
    </row>
    <row r="615" spans="9:10" x14ac:dyDescent="0.25">
      <c r="I615" s="37"/>
      <c r="J615" s="35"/>
    </row>
    <row r="616" spans="9:10" x14ac:dyDescent="0.25">
      <c r="I616" s="37"/>
      <c r="J616" s="35"/>
    </row>
    <row r="617" spans="9:10" x14ac:dyDescent="0.25">
      <c r="I617" s="37"/>
      <c r="J617" s="35"/>
    </row>
    <row r="618" spans="9:10" x14ac:dyDescent="0.25">
      <c r="I618" s="37"/>
      <c r="J618" s="35"/>
    </row>
    <row r="619" spans="9:10" x14ac:dyDescent="0.25">
      <c r="I619" s="37"/>
      <c r="J619" s="35"/>
    </row>
    <row r="620" spans="9:10" x14ac:dyDescent="0.25">
      <c r="I620" s="37"/>
      <c r="J620" s="35"/>
    </row>
    <row r="621" spans="9:10" x14ac:dyDescent="0.25">
      <c r="I621" s="37"/>
      <c r="J621" s="35"/>
    </row>
    <row r="622" spans="9:10" x14ac:dyDescent="0.25">
      <c r="I622" s="37"/>
      <c r="J622" s="35"/>
    </row>
    <row r="623" spans="9:10" x14ac:dyDescent="0.25">
      <c r="I623" s="37"/>
      <c r="J623" s="35"/>
    </row>
    <row r="624" spans="9:10" x14ac:dyDescent="0.25">
      <c r="I624" s="37"/>
      <c r="J624" s="35"/>
    </row>
    <row r="625" spans="9:10" x14ac:dyDescent="0.25">
      <c r="I625" s="37"/>
      <c r="J625" s="35"/>
    </row>
    <row r="626" spans="9:10" x14ac:dyDescent="0.25">
      <c r="I626" s="37"/>
      <c r="J626" s="35"/>
    </row>
    <row r="627" spans="9:10" x14ac:dyDescent="0.25">
      <c r="I627" s="37"/>
      <c r="J627" s="35"/>
    </row>
    <row r="628" spans="9:10" x14ac:dyDescent="0.25">
      <c r="I628" s="37"/>
      <c r="J628" s="35"/>
    </row>
    <row r="629" spans="9:10" x14ac:dyDescent="0.25">
      <c r="I629" s="37"/>
      <c r="J629" s="35"/>
    </row>
    <row r="630" spans="9:10" x14ac:dyDescent="0.25">
      <c r="I630" s="37"/>
      <c r="J630" s="35"/>
    </row>
    <row r="631" spans="9:10" x14ac:dyDescent="0.25">
      <c r="I631" s="37"/>
      <c r="J631" s="35"/>
    </row>
    <row r="632" spans="9:10" x14ac:dyDescent="0.25">
      <c r="I632" s="37"/>
      <c r="J632" s="35"/>
    </row>
    <row r="633" spans="9:10" x14ac:dyDescent="0.25">
      <c r="I633" s="37"/>
      <c r="J633" s="35"/>
    </row>
    <row r="634" spans="9:10" x14ac:dyDescent="0.25">
      <c r="I634" s="37"/>
      <c r="J634" s="35"/>
    </row>
    <row r="635" spans="9:10" x14ac:dyDescent="0.25">
      <c r="I635" s="37"/>
      <c r="J635" s="35"/>
    </row>
    <row r="636" spans="9:10" x14ac:dyDescent="0.25">
      <c r="I636" s="37"/>
      <c r="J636" s="35"/>
    </row>
    <row r="637" spans="9:10" x14ac:dyDescent="0.25">
      <c r="I637" s="37"/>
      <c r="J637" s="35"/>
    </row>
    <row r="638" spans="9:10" x14ac:dyDescent="0.25">
      <c r="I638" s="37"/>
      <c r="J638" s="35"/>
    </row>
    <row r="639" spans="9:10" x14ac:dyDescent="0.25">
      <c r="I639" s="37"/>
      <c r="J639" s="35"/>
    </row>
    <row r="640" spans="9:10" x14ac:dyDescent="0.25">
      <c r="I640" s="37"/>
      <c r="J640" s="35"/>
    </row>
    <row r="641" spans="9:10" x14ac:dyDescent="0.25">
      <c r="I641" s="37"/>
      <c r="J641" s="35"/>
    </row>
    <row r="642" spans="9:10" x14ac:dyDescent="0.25">
      <c r="I642" s="37"/>
      <c r="J642" s="35"/>
    </row>
    <row r="643" spans="9:10" x14ac:dyDescent="0.25">
      <c r="I643" s="37"/>
      <c r="J643" s="35"/>
    </row>
    <row r="644" spans="9:10" x14ac:dyDescent="0.25">
      <c r="I644" s="37"/>
      <c r="J644" s="35"/>
    </row>
    <row r="645" spans="9:10" x14ac:dyDescent="0.25">
      <c r="I645" s="37"/>
      <c r="J645" s="35"/>
    </row>
    <row r="646" spans="9:10" x14ac:dyDescent="0.25">
      <c r="I646" s="37"/>
      <c r="J646" s="35"/>
    </row>
    <row r="647" spans="9:10" x14ac:dyDescent="0.25">
      <c r="I647" s="37"/>
      <c r="J647" s="35"/>
    </row>
    <row r="648" spans="9:10" x14ac:dyDescent="0.25">
      <c r="I648" s="37"/>
      <c r="J648" s="35"/>
    </row>
    <row r="649" spans="9:10" x14ac:dyDescent="0.25">
      <c r="I649" s="37"/>
      <c r="J649" s="35"/>
    </row>
    <row r="650" spans="9:10" x14ac:dyDescent="0.25">
      <c r="I650" s="37"/>
      <c r="J650" s="35"/>
    </row>
    <row r="651" spans="9:10" x14ac:dyDescent="0.25">
      <c r="I651" s="37"/>
      <c r="J651" s="35"/>
    </row>
    <row r="652" spans="9:10" x14ac:dyDescent="0.25">
      <c r="I652" s="37"/>
      <c r="J652" s="35"/>
    </row>
    <row r="653" spans="9:10" x14ac:dyDescent="0.25">
      <c r="I653" s="37"/>
      <c r="J653" s="35"/>
    </row>
    <row r="654" spans="9:10" x14ac:dyDescent="0.25">
      <c r="I654" s="37"/>
      <c r="J654" s="35"/>
    </row>
    <row r="655" spans="9:10" x14ac:dyDescent="0.25">
      <c r="I655" s="37"/>
      <c r="J655" s="35"/>
    </row>
    <row r="656" spans="9:10" x14ac:dyDescent="0.25">
      <c r="I656" s="37"/>
      <c r="J656" s="35"/>
    </row>
    <row r="657" spans="9:10" x14ac:dyDescent="0.25">
      <c r="I657" s="37"/>
      <c r="J657" s="35"/>
    </row>
    <row r="658" spans="9:10" x14ac:dyDescent="0.25">
      <c r="I658" s="37"/>
      <c r="J658" s="35"/>
    </row>
    <row r="659" spans="9:10" x14ac:dyDescent="0.25">
      <c r="I659" s="37"/>
      <c r="J659" s="35"/>
    </row>
    <row r="660" spans="9:10" x14ac:dyDescent="0.25">
      <c r="I660" s="37"/>
      <c r="J660" s="35"/>
    </row>
    <row r="661" spans="9:10" x14ac:dyDescent="0.25">
      <c r="I661" s="37"/>
      <c r="J661" s="35"/>
    </row>
    <row r="662" spans="9:10" x14ac:dyDescent="0.25">
      <c r="I662" s="37"/>
      <c r="J662" s="35"/>
    </row>
    <row r="663" spans="9:10" x14ac:dyDescent="0.25">
      <c r="I663" s="37"/>
      <c r="J663" s="35"/>
    </row>
    <row r="664" spans="9:10" x14ac:dyDescent="0.25">
      <c r="I664" s="37"/>
      <c r="J664" s="35"/>
    </row>
    <row r="665" spans="9:10" x14ac:dyDescent="0.25">
      <c r="I665" s="37"/>
      <c r="J665" s="35"/>
    </row>
    <row r="666" spans="9:10" x14ac:dyDescent="0.25">
      <c r="I666" s="37"/>
      <c r="J666" s="35"/>
    </row>
    <row r="667" spans="9:10" x14ac:dyDescent="0.25">
      <c r="I667" s="37"/>
      <c r="J667" s="35"/>
    </row>
    <row r="668" spans="9:10" x14ac:dyDescent="0.25">
      <c r="I668" s="37"/>
      <c r="J668" s="35"/>
    </row>
    <row r="669" spans="9:10" x14ac:dyDescent="0.25">
      <c r="I669" s="37"/>
      <c r="J669" s="35"/>
    </row>
    <row r="670" spans="9:10" x14ac:dyDescent="0.25">
      <c r="I670" s="37"/>
      <c r="J670" s="35"/>
    </row>
    <row r="671" spans="9:10" x14ac:dyDescent="0.25">
      <c r="I671" s="37"/>
      <c r="J671" s="35"/>
    </row>
    <row r="672" spans="9:10" x14ac:dyDescent="0.25">
      <c r="I672" s="37"/>
      <c r="J672" s="35"/>
    </row>
    <row r="673" spans="9:10" x14ac:dyDescent="0.25">
      <c r="I673" s="37"/>
      <c r="J673" s="35"/>
    </row>
    <row r="674" spans="9:10" x14ac:dyDescent="0.25">
      <c r="I674" s="37"/>
      <c r="J674" s="35"/>
    </row>
    <row r="675" spans="9:10" x14ac:dyDescent="0.25">
      <c r="I675" s="37"/>
      <c r="J675" s="35"/>
    </row>
    <row r="676" spans="9:10" x14ac:dyDescent="0.25">
      <c r="I676" s="37"/>
      <c r="J676" s="35"/>
    </row>
    <row r="677" spans="9:10" x14ac:dyDescent="0.25">
      <c r="I677" s="37"/>
      <c r="J677" s="35"/>
    </row>
    <row r="678" spans="9:10" x14ac:dyDescent="0.25">
      <c r="I678" s="37"/>
      <c r="J678" s="35"/>
    </row>
    <row r="679" spans="9:10" x14ac:dyDescent="0.25">
      <c r="I679" s="37"/>
      <c r="J679" s="35"/>
    </row>
    <row r="680" spans="9:10" x14ac:dyDescent="0.25">
      <c r="I680" s="37"/>
      <c r="J680" s="35"/>
    </row>
    <row r="681" spans="9:10" x14ac:dyDescent="0.25">
      <c r="I681" s="37"/>
      <c r="J681" s="35"/>
    </row>
    <row r="682" spans="9:10" x14ac:dyDescent="0.25">
      <c r="I682" s="37"/>
      <c r="J682" s="35"/>
    </row>
    <row r="683" spans="9:10" x14ac:dyDescent="0.25">
      <c r="I683" s="37"/>
      <c r="J683" s="35"/>
    </row>
    <row r="684" spans="9:10" x14ac:dyDescent="0.25">
      <c r="I684" s="37"/>
      <c r="J684" s="35"/>
    </row>
    <row r="685" spans="9:10" x14ac:dyDescent="0.25">
      <c r="I685" s="37"/>
      <c r="J685" s="35"/>
    </row>
    <row r="686" spans="9:10" x14ac:dyDescent="0.25">
      <c r="I686" s="37"/>
      <c r="J686" s="35"/>
    </row>
    <row r="687" spans="9:10" x14ac:dyDescent="0.25">
      <c r="I687" s="37"/>
      <c r="J687" s="35"/>
    </row>
    <row r="688" spans="9:10" x14ac:dyDescent="0.25">
      <c r="I688" s="37"/>
      <c r="J688" s="35"/>
    </row>
    <row r="689" spans="9:10" x14ac:dyDescent="0.25">
      <c r="I689" s="37"/>
      <c r="J689" s="35"/>
    </row>
    <row r="690" spans="9:10" x14ac:dyDescent="0.25">
      <c r="I690" s="37"/>
      <c r="J690" s="35"/>
    </row>
    <row r="691" spans="9:10" x14ac:dyDescent="0.25">
      <c r="I691" s="37"/>
      <c r="J691" s="35"/>
    </row>
    <row r="692" spans="9:10" x14ac:dyDescent="0.25">
      <c r="I692" s="37"/>
      <c r="J692" s="35"/>
    </row>
    <row r="693" spans="9:10" x14ac:dyDescent="0.25">
      <c r="I693" s="37"/>
      <c r="J693" s="35"/>
    </row>
    <row r="694" spans="9:10" x14ac:dyDescent="0.25">
      <c r="I694" s="37"/>
      <c r="J694" s="35"/>
    </row>
    <row r="695" spans="9:10" x14ac:dyDescent="0.25">
      <c r="I695" s="37"/>
      <c r="J695" s="35"/>
    </row>
    <row r="696" spans="9:10" x14ac:dyDescent="0.25">
      <c r="I696" s="37"/>
      <c r="J696" s="35"/>
    </row>
    <row r="697" spans="9:10" x14ac:dyDescent="0.25">
      <c r="I697" s="37"/>
      <c r="J697" s="35"/>
    </row>
    <row r="698" spans="9:10" x14ac:dyDescent="0.25">
      <c r="I698" s="37"/>
      <c r="J698" s="35"/>
    </row>
    <row r="699" spans="9:10" x14ac:dyDescent="0.25">
      <c r="I699" s="37"/>
      <c r="J699" s="35"/>
    </row>
    <row r="700" spans="9:10" x14ac:dyDescent="0.25">
      <c r="I700" s="37"/>
      <c r="J700" s="35"/>
    </row>
    <row r="701" spans="9:10" x14ac:dyDescent="0.25">
      <c r="I701" s="37"/>
      <c r="J701" s="35"/>
    </row>
    <row r="702" spans="9:10" x14ac:dyDescent="0.25">
      <c r="I702" s="37"/>
      <c r="J702" s="35"/>
    </row>
    <row r="703" spans="9:10" x14ac:dyDescent="0.25">
      <c r="I703" s="37"/>
      <c r="J703" s="35"/>
    </row>
    <row r="704" spans="9:10" x14ac:dyDescent="0.25">
      <c r="I704" s="37"/>
      <c r="J704" s="35"/>
    </row>
    <row r="705" spans="9:10" x14ac:dyDescent="0.25">
      <c r="I705" s="37"/>
      <c r="J705" s="35"/>
    </row>
    <row r="706" spans="9:10" x14ac:dyDescent="0.25">
      <c r="I706" s="37"/>
      <c r="J706" s="35"/>
    </row>
    <row r="707" spans="9:10" x14ac:dyDescent="0.25">
      <c r="I707" s="37"/>
      <c r="J707" s="35"/>
    </row>
    <row r="708" spans="9:10" x14ac:dyDescent="0.25">
      <c r="I708" s="37"/>
      <c r="J708" s="35"/>
    </row>
    <row r="709" spans="9:10" x14ac:dyDescent="0.25">
      <c r="I709" s="37"/>
      <c r="J709" s="35"/>
    </row>
    <row r="710" spans="9:10" x14ac:dyDescent="0.25">
      <c r="I710" s="37"/>
      <c r="J710" s="35"/>
    </row>
    <row r="711" spans="9:10" x14ac:dyDescent="0.25">
      <c r="I711" s="37"/>
      <c r="J711" s="35"/>
    </row>
    <row r="712" spans="9:10" x14ac:dyDescent="0.25">
      <c r="I712" s="37"/>
      <c r="J712" s="35"/>
    </row>
    <row r="713" spans="9:10" x14ac:dyDescent="0.25">
      <c r="I713" s="37"/>
      <c r="J713" s="35"/>
    </row>
    <row r="714" spans="9:10" x14ac:dyDescent="0.25">
      <c r="I714" s="37"/>
      <c r="J714" s="35"/>
    </row>
    <row r="715" spans="9:10" x14ac:dyDescent="0.25">
      <c r="I715" s="37"/>
      <c r="J715" s="35"/>
    </row>
    <row r="716" spans="9:10" x14ac:dyDescent="0.25">
      <c r="I716" s="37"/>
      <c r="J716" s="35"/>
    </row>
    <row r="717" spans="9:10" x14ac:dyDescent="0.25">
      <c r="I717" s="37"/>
      <c r="J717" s="35"/>
    </row>
    <row r="718" spans="9:10" x14ac:dyDescent="0.25">
      <c r="I718" s="37"/>
      <c r="J718" s="35"/>
    </row>
    <row r="719" spans="9:10" x14ac:dyDescent="0.25">
      <c r="I719" s="37"/>
      <c r="J719" s="35"/>
    </row>
    <row r="720" spans="9:10" x14ac:dyDescent="0.25">
      <c r="I720" s="37"/>
      <c r="J720" s="35"/>
    </row>
    <row r="721" spans="9:10" x14ac:dyDescent="0.25">
      <c r="I721" s="37"/>
      <c r="J721" s="35"/>
    </row>
    <row r="722" spans="9:10" x14ac:dyDescent="0.25">
      <c r="I722" s="37"/>
      <c r="J722" s="35"/>
    </row>
    <row r="723" spans="9:10" x14ac:dyDescent="0.25">
      <c r="I723" s="37"/>
      <c r="J723" s="35"/>
    </row>
    <row r="724" spans="9:10" x14ac:dyDescent="0.25">
      <c r="I724" s="37"/>
      <c r="J724" s="35"/>
    </row>
    <row r="725" spans="9:10" x14ac:dyDescent="0.25">
      <c r="I725" s="37"/>
      <c r="J725" s="35"/>
    </row>
    <row r="726" spans="9:10" x14ac:dyDescent="0.25">
      <c r="I726" s="37"/>
      <c r="J726" s="35"/>
    </row>
    <row r="727" spans="9:10" x14ac:dyDescent="0.25">
      <c r="I727" s="37"/>
      <c r="J727" s="35"/>
    </row>
    <row r="728" spans="9:10" x14ac:dyDescent="0.25">
      <c r="I728" s="37"/>
      <c r="J728" s="35"/>
    </row>
    <row r="729" spans="9:10" x14ac:dyDescent="0.25">
      <c r="I729" s="37"/>
      <c r="J729" s="35"/>
    </row>
    <row r="730" spans="9:10" x14ac:dyDescent="0.25">
      <c r="I730" s="37"/>
      <c r="J730" s="35"/>
    </row>
    <row r="731" spans="9:10" x14ac:dyDescent="0.25">
      <c r="I731" s="37"/>
      <c r="J731" s="35"/>
    </row>
    <row r="732" spans="9:10" x14ac:dyDescent="0.25">
      <c r="I732" s="37"/>
      <c r="J732" s="35"/>
    </row>
    <row r="733" spans="9:10" x14ac:dyDescent="0.25">
      <c r="I733" s="37"/>
      <c r="J733" s="35"/>
    </row>
    <row r="734" spans="9:10" x14ac:dyDescent="0.25">
      <c r="I734" s="37"/>
      <c r="J734" s="35"/>
    </row>
    <row r="735" spans="9:10" x14ac:dyDescent="0.25">
      <c r="I735" s="37"/>
      <c r="J735" s="35"/>
    </row>
    <row r="736" spans="9:10" x14ac:dyDescent="0.25">
      <c r="I736" s="37"/>
      <c r="J736" s="35"/>
    </row>
    <row r="737" spans="9:10" x14ac:dyDescent="0.25">
      <c r="I737" s="37"/>
      <c r="J737" s="35"/>
    </row>
    <row r="738" spans="9:10" x14ac:dyDescent="0.25">
      <c r="I738" s="37"/>
      <c r="J738" s="35"/>
    </row>
    <row r="739" spans="9:10" x14ac:dyDescent="0.25">
      <c r="I739" s="37"/>
      <c r="J739" s="35"/>
    </row>
    <row r="740" spans="9:10" x14ac:dyDescent="0.25">
      <c r="I740" s="37"/>
      <c r="J740" s="35"/>
    </row>
    <row r="741" spans="9:10" x14ac:dyDescent="0.25">
      <c r="I741" s="37"/>
      <c r="J741" s="35"/>
    </row>
    <row r="742" spans="9:10" x14ac:dyDescent="0.25">
      <c r="I742" s="37"/>
      <c r="J742" s="35"/>
    </row>
    <row r="743" spans="9:10" x14ac:dyDescent="0.25">
      <c r="I743" s="37"/>
      <c r="J743" s="35"/>
    </row>
    <row r="744" spans="9:10" x14ac:dyDescent="0.25">
      <c r="I744" s="37"/>
      <c r="J744" s="35"/>
    </row>
    <row r="745" spans="9:10" x14ac:dyDescent="0.25">
      <c r="I745" s="37"/>
      <c r="J745" s="35"/>
    </row>
    <row r="746" spans="9:10" x14ac:dyDescent="0.25">
      <c r="I746" s="37"/>
      <c r="J746" s="35"/>
    </row>
    <row r="747" spans="9:10" x14ac:dyDescent="0.25">
      <c r="I747" s="37"/>
      <c r="J747" s="35"/>
    </row>
    <row r="748" spans="9:10" x14ac:dyDescent="0.25">
      <c r="I748" s="37"/>
      <c r="J748" s="35"/>
    </row>
    <row r="749" spans="9:10" x14ac:dyDescent="0.25">
      <c r="I749" s="37"/>
      <c r="J749" s="35"/>
    </row>
    <row r="750" spans="9:10" x14ac:dyDescent="0.25">
      <c r="I750" s="37"/>
      <c r="J750" s="35"/>
    </row>
    <row r="751" spans="9:10" x14ac:dyDescent="0.25">
      <c r="I751" s="37"/>
      <c r="J751" s="35"/>
    </row>
    <row r="752" spans="9:10" x14ac:dyDescent="0.25">
      <c r="I752" s="37"/>
      <c r="J752" s="35"/>
    </row>
    <row r="753" spans="9:10" x14ac:dyDescent="0.25">
      <c r="I753" s="37"/>
      <c r="J753" s="35"/>
    </row>
    <row r="754" spans="9:10" x14ac:dyDescent="0.25">
      <c r="I754" s="37"/>
      <c r="J754" s="35"/>
    </row>
    <row r="755" spans="9:10" x14ac:dyDescent="0.25">
      <c r="I755" s="37"/>
      <c r="J755" s="35"/>
    </row>
    <row r="756" spans="9:10" x14ac:dyDescent="0.25">
      <c r="I756" s="37"/>
      <c r="J756" s="35"/>
    </row>
    <row r="757" spans="9:10" x14ac:dyDescent="0.25">
      <c r="I757" s="37"/>
      <c r="J757" s="35"/>
    </row>
    <row r="758" spans="9:10" x14ac:dyDescent="0.25">
      <c r="I758" s="37"/>
      <c r="J758" s="35"/>
    </row>
    <row r="759" spans="9:10" x14ac:dyDescent="0.25">
      <c r="I759" s="37"/>
      <c r="J759" s="35"/>
    </row>
    <row r="760" spans="9:10" x14ac:dyDescent="0.25">
      <c r="I760" s="37"/>
      <c r="J760" s="35"/>
    </row>
    <row r="761" spans="9:10" x14ac:dyDescent="0.25">
      <c r="I761" s="37"/>
      <c r="J761" s="35"/>
    </row>
    <row r="762" spans="9:10" x14ac:dyDescent="0.25">
      <c r="I762" s="37"/>
      <c r="J762" s="35"/>
    </row>
    <row r="763" spans="9:10" x14ac:dyDescent="0.25">
      <c r="I763" s="37"/>
      <c r="J763" s="35"/>
    </row>
    <row r="764" spans="9:10" x14ac:dyDescent="0.25">
      <c r="I764" s="37"/>
      <c r="J764" s="35"/>
    </row>
    <row r="765" spans="9:10" x14ac:dyDescent="0.25">
      <c r="I765" s="37"/>
      <c r="J765" s="35"/>
    </row>
    <row r="766" spans="9:10" x14ac:dyDescent="0.25">
      <c r="I766" s="37"/>
      <c r="J766" s="35"/>
    </row>
    <row r="767" spans="9:10" x14ac:dyDescent="0.25">
      <c r="I767" s="37"/>
      <c r="J767" s="35"/>
    </row>
    <row r="768" spans="9:10" x14ac:dyDescent="0.25">
      <c r="I768" s="37"/>
      <c r="J768" s="35"/>
    </row>
    <row r="769" spans="9:10" x14ac:dyDescent="0.25">
      <c r="I769" s="37"/>
      <c r="J769" s="35"/>
    </row>
    <row r="770" spans="9:10" x14ac:dyDescent="0.25">
      <c r="I770" s="37"/>
      <c r="J770" s="35"/>
    </row>
    <row r="771" spans="9:10" x14ac:dyDescent="0.25">
      <c r="I771" s="37"/>
      <c r="J771" s="35"/>
    </row>
    <row r="772" spans="9:10" x14ac:dyDescent="0.25">
      <c r="I772" s="37"/>
      <c r="J772" s="35"/>
    </row>
    <row r="773" spans="9:10" x14ac:dyDescent="0.25">
      <c r="I773" s="37"/>
      <c r="J773" s="35"/>
    </row>
    <row r="774" spans="9:10" x14ac:dyDescent="0.25">
      <c r="I774" s="37"/>
      <c r="J774" s="35"/>
    </row>
    <row r="775" spans="9:10" x14ac:dyDescent="0.25">
      <c r="I775" s="37"/>
      <c r="J775" s="35"/>
    </row>
    <row r="776" spans="9:10" x14ac:dyDescent="0.25">
      <c r="I776" s="37"/>
      <c r="J776" s="35"/>
    </row>
    <row r="777" spans="9:10" x14ac:dyDescent="0.25">
      <c r="I777" s="37"/>
      <c r="J777" s="35"/>
    </row>
    <row r="778" spans="9:10" x14ac:dyDescent="0.25">
      <c r="I778" s="37"/>
      <c r="J778" s="35"/>
    </row>
    <row r="779" spans="9:10" x14ac:dyDescent="0.25">
      <c r="I779" s="37"/>
      <c r="J779" s="35"/>
    </row>
    <row r="780" spans="9:10" x14ac:dyDescent="0.25">
      <c r="I780" s="37"/>
      <c r="J780" s="35"/>
    </row>
    <row r="781" spans="9:10" x14ac:dyDescent="0.25">
      <c r="I781" s="37"/>
      <c r="J781" s="35"/>
    </row>
    <row r="782" spans="9:10" x14ac:dyDescent="0.25">
      <c r="I782" s="37"/>
      <c r="J782" s="35"/>
    </row>
    <row r="783" spans="9:10" x14ac:dyDescent="0.25">
      <c r="I783" s="37"/>
      <c r="J783" s="35"/>
    </row>
    <row r="784" spans="9:10" x14ac:dyDescent="0.25">
      <c r="I784" s="37"/>
      <c r="J784" s="35"/>
    </row>
    <row r="785" spans="9:10" x14ac:dyDescent="0.25">
      <c r="I785" s="37"/>
      <c r="J785" s="35"/>
    </row>
    <row r="786" spans="9:10" x14ac:dyDescent="0.25">
      <c r="I786" s="37"/>
      <c r="J786" s="35"/>
    </row>
    <row r="787" spans="9:10" x14ac:dyDescent="0.25">
      <c r="I787" s="37"/>
      <c r="J787" s="35"/>
    </row>
    <row r="788" spans="9:10" x14ac:dyDescent="0.25">
      <c r="I788" s="37"/>
      <c r="J788" s="35"/>
    </row>
    <row r="789" spans="9:10" x14ac:dyDescent="0.25">
      <c r="I789" s="37"/>
      <c r="J789" s="35"/>
    </row>
    <row r="790" spans="9:10" x14ac:dyDescent="0.25">
      <c r="I790" s="37"/>
      <c r="J790" s="35"/>
    </row>
    <row r="791" spans="9:10" x14ac:dyDescent="0.25">
      <c r="I791" s="37"/>
      <c r="J791" s="35"/>
    </row>
    <row r="792" spans="9:10" x14ac:dyDescent="0.25">
      <c r="I792" s="37"/>
      <c r="J792" s="35"/>
    </row>
    <row r="793" spans="9:10" x14ac:dyDescent="0.25">
      <c r="I793" s="37"/>
      <c r="J793" s="35"/>
    </row>
    <row r="794" spans="9:10" x14ac:dyDescent="0.25">
      <c r="I794" s="37"/>
      <c r="J794" s="35"/>
    </row>
    <row r="795" spans="9:10" x14ac:dyDescent="0.25">
      <c r="I795" s="37"/>
      <c r="J795" s="35"/>
    </row>
    <row r="796" spans="9:10" x14ac:dyDescent="0.25">
      <c r="I796" s="37"/>
      <c r="J796" s="35"/>
    </row>
    <row r="797" spans="9:10" x14ac:dyDescent="0.25">
      <c r="I797" s="37"/>
      <c r="J797" s="35"/>
    </row>
    <row r="798" spans="9:10" x14ac:dyDescent="0.25">
      <c r="I798" s="37"/>
      <c r="J798" s="35"/>
    </row>
    <row r="799" spans="9:10" x14ac:dyDescent="0.25">
      <c r="I799" s="37"/>
      <c r="J799" s="35"/>
    </row>
    <row r="800" spans="9:10" x14ac:dyDescent="0.25">
      <c r="I800" s="37"/>
      <c r="J800" s="35"/>
    </row>
    <row r="801" spans="9:10" x14ac:dyDescent="0.25">
      <c r="I801" s="37"/>
      <c r="J801" s="35"/>
    </row>
    <row r="802" spans="9:10" x14ac:dyDescent="0.25">
      <c r="I802" s="37"/>
      <c r="J802" s="35"/>
    </row>
    <row r="803" spans="9:10" x14ac:dyDescent="0.25">
      <c r="I803" s="37"/>
      <c r="J803" s="35"/>
    </row>
    <row r="804" spans="9:10" x14ac:dyDescent="0.25">
      <c r="I804" s="37"/>
      <c r="J804" s="35"/>
    </row>
    <row r="805" spans="9:10" x14ac:dyDescent="0.25">
      <c r="I805" s="37"/>
      <c r="J805" s="35"/>
    </row>
    <row r="806" spans="9:10" x14ac:dyDescent="0.25">
      <c r="I806" s="37"/>
      <c r="J806" s="35"/>
    </row>
    <row r="807" spans="9:10" x14ac:dyDescent="0.25">
      <c r="I807" s="37"/>
      <c r="J807" s="35"/>
    </row>
    <row r="808" spans="9:10" x14ac:dyDescent="0.25">
      <c r="I808" s="37"/>
      <c r="J808" s="35"/>
    </row>
    <row r="809" spans="9:10" x14ac:dyDescent="0.25">
      <c r="I809" s="37"/>
      <c r="J809" s="35"/>
    </row>
    <row r="810" spans="9:10" x14ac:dyDescent="0.25">
      <c r="I810" s="37"/>
      <c r="J810" s="35"/>
    </row>
    <row r="811" spans="9:10" x14ac:dyDescent="0.25">
      <c r="I811" s="37"/>
      <c r="J811" s="35"/>
    </row>
    <row r="812" spans="9:10" x14ac:dyDescent="0.25">
      <c r="I812" s="37"/>
      <c r="J812" s="35"/>
    </row>
    <row r="813" spans="9:10" x14ac:dyDescent="0.25">
      <c r="I813" s="37"/>
      <c r="J813" s="35"/>
    </row>
    <row r="814" spans="9:10" x14ac:dyDescent="0.25">
      <c r="I814" s="37"/>
      <c r="J814" s="35"/>
    </row>
    <row r="815" spans="9:10" x14ac:dyDescent="0.25">
      <c r="I815" s="37"/>
      <c r="J815" s="35"/>
    </row>
    <row r="816" spans="9:10" x14ac:dyDescent="0.25">
      <c r="I816" s="37"/>
      <c r="J816" s="35"/>
    </row>
    <row r="817" spans="9:10" x14ac:dyDescent="0.25">
      <c r="I817" s="37"/>
      <c r="J817" s="35"/>
    </row>
    <row r="818" spans="9:10" x14ac:dyDescent="0.25">
      <c r="I818" s="37"/>
      <c r="J818" s="35"/>
    </row>
    <row r="819" spans="9:10" x14ac:dyDescent="0.25">
      <c r="I819" s="37"/>
      <c r="J819" s="35"/>
    </row>
    <row r="820" spans="9:10" x14ac:dyDescent="0.25">
      <c r="I820" s="37"/>
      <c r="J820" s="35"/>
    </row>
    <row r="821" spans="9:10" x14ac:dyDescent="0.25">
      <c r="I821" s="37"/>
      <c r="J821" s="35"/>
    </row>
    <row r="822" spans="9:10" x14ac:dyDescent="0.25">
      <c r="I822" s="37"/>
      <c r="J822" s="35"/>
    </row>
    <row r="823" spans="9:10" x14ac:dyDescent="0.25">
      <c r="I823" s="37"/>
      <c r="J823" s="35"/>
    </row>
    <row r="824" spans="9:10" x14ac:dyDescent="0.25">
      <c r="I824" s="37"/>
      <c r="J824" s="35"/>
    </row>
    <row r="825" spans="9:10" x14ac:dyDescent="0.25">
      <c r="I825" s="37"/>
      <c r="J825" s="35"/>
    </row>
    <row r="826" spans="9:10" x14ac:dyDescent="0.25">
      <c r="I826" s="37"/>
      <c r="J826" s="35"/>
    </row>
    <row r="827" spans="9:10" x14ac:dyDescent="0.25">
      <c r="I827" s="37"/>
      <c r="J827" s="35"/>
    </row>
    <row r="828" spans="9:10" x14ac:dyDescent="0.25">
      <c r="I828" s="37"/>
      <c r="J828" s="35"/>
    </row>
    <row r="829" spans="9:10" x14ac:dyDescent="0.25">
      <c r="I829" s="37"/>
      <c r="J829" s="35"/>
    </row>
    <row r="830" spans="9:10" x14ac:dyDescent="0.25">
      <c r="I830" s="37"/>
      <c r="J830" s="35"/>
    </row>
    <row r="831" spans="9:10" x14ac:dyDescent="0.25">
      <c r="I831" s="37"/>
      <c r="J831" s="35"/>
    </row>
    <row r="832" spans="9:10" x14ac:dyDescent="0.25">
      <c r="I832" s="37"/>
      <c r="J832" s="35"/>
    </row>
    <row r="833" spans="9:10" x14ac:dyDescent="0.25">
      <c r="I833" s="37"/>
      <c r="J833" s="35"/>
    </row>
    <row r="834" spans="9:10" x14ac:dyDescent="0.25">
      <c r="I834" s="37"/>
      <c r="J834" s="35"/>
    </row>
    <row r="835" spans="9:10" x14ac:dyDescent="0.25">
      <c r="I835" s="37"/>
      <c r="J835" s="35"/>
    </row>
    <row r="836" spans="9:10" x14ac:dyDescent="0.25">
      <c r="I836" s="37"/>
      <c r="J836" s="35"/>
    </row>
    <row r="837" spans="9:10" x14ac:dyDescent="0.25">
      <c r="I837" s="37"/>
      <c r="J837" s="35"/>
    </row>
    <row r="838" spans="9:10" x14ac:dyDescent="0.25">
      <c r="I838" s="37"/>
      <c r="J838" s="35"/>
    </row>
    <row r="839" spans="9:10" x14ac:dyDescent="0.25">
      <c r="I839" s="37"/>
      <c r="J839" s="35"/>
    </row>
    <row r="840" spans="9:10" x14ac:dyDescent="0.25">
      <c r="I840" s="37"/>
      <c r="J840" s="35"/>
    </row>
    <row r="841" spans="9:10" x14ac:dyDescent="0.25">
      <c r="I841" s="37"/>
      <c r="J841" s="35"/>
    </row>
    <row r="842" spans="9:10" x14ac:dyDescent="0.25">
      <c r="I842" s="37"/>
      <c r="J842" s="35"/>
    </row>
    <row r="843" spans="9:10" x14ac:dyDescent="0.25">
      <c r="I843" s="37"/>
      <c r="J843" s="35"/>
    </row>
    <row r="844" spans="9:10" x14ac:dyDescent="0.25">
      <c r="I844" s="37"/>
      <c r="J844" s="35"/>
    </row>
    <row r="845" spans="9:10" x14ac:dyDescent="0.25">
      <c r="I845" s="37"/>
      <c r="J845" s="35"/>
    </row>
    <row r="846" spans="9:10" x14ac:dyDescent="0.25">
      <c r="I846" s="37"/>
      <c r="J846" s="35"/>
    </row>
    <row r="847" spans="9:10" x14ac:dyDescent="0.25">
      <c r="I847" s="37"/>
      <c r="J847" s="35"/>
    </row>
    <row r="848" spans="9:10" x14ac:dyDescent="0.25">
      <c r="I848" s="37"/>
      <c r="J848" s="35"/>
    </row>
    <row r="849" spans="9:10" x14ac:dyDescent="0.25">
      <c r="I849" s="37"/>
      <c r="J849" s="35"/>
    </row>
    <row r="850" spans="9:10" x14ac:dyDescent="0.25">
      <c r="I850" s="37"/>
      <c r="J850" s="35"/>
    </row>
    <row r="851" spans="9:10" x14ac:dyDescent="0.25">
      <c r="I851" s="37"/>
      <c r="J851" s="35"/>
    </row>
    <row r="852" spans="9:10" x14ac:dyDescent="0.25">
      <c r="I852" s="37"/>
      <c r="J852" s="35"/>
    </row>
    <row r="853" spans="9:10" x14ac:dyDescent="0.25">
      <c r="I853" s="37"/>
      <c r="J853" s="35"/>
    </row>
    <row r="854" spans="9:10" x14ac:dyDescent="0.25">
      <c r="I854" s="37"/>
      <c r="J854" s="35"/>
    </row>
    <row r="855" spans="9:10" x14ac:dyDescent="0.25">
      <c r="I855" s="37"/>
      <c r="J855" s="35"/>
    </row>
    <row r="856" spans="9:10" x14ac:dyDescent="0.25">
      <c r="I856" s="37"/>
      <c r="J856" s="35"/>
    </row>
    <row r="857" spans="9:10" x14ac:dyDescent="0.25">
      <c r="I857" s="37"/>
      <c r="J857" s="35"/>
    </row>
    <row r="858" spans="9:10" x14ac:dyDescent="0.25">
      <c r="I858" s="37"/>
      <c r="J858" s="35"/>
    </row>
    <row r="859" spans="9:10" x14ac:dyDescent="0.25">
      <c r="I859" s="37"/>
      <c r="J859" s="35"/>
    </row>
    <row r="860" spans="9:10" x14ac:dyDescent="0.25">
      <c r="I860" s="37"/>
      <c r="J860" s="35"/>
    </row>
    <row r="861" spans="9:10" x14ac:dyDescent="0.25">
      <c r="I861" s="37"/>
      <c r="J861" s="35"/>
    </row>
    <row r="862" spans="9:10" x14ac:dyDescent="0.25">
      <c r="I862" s="37"/>
      <c r="J862" s="35"/>
    </row>
    <row r="863" spans="9:10" x14ac:dyDescent="0.25">
      <c r="I863" s="37"/>
      <c r="J863" s="35"/>
    </row>
    <row r="864" spans="9:10" x14ac:dyDescent="0.25">
      <c r="I864" s="37"/>
      <c r="J864" s="35"/>
    </row>
    <row r="865" spans="9:10" x14ac:dyDescent="0.25">
      <c r="I865" s="37"/>
      <c r="J865" s="35"/>
    </row>
    <row r="866" spans="9:10" x14ac:dyDescent="0.25">
      <c r="I866" s="37"/>
      <c r="J866" s="35"/>
    </row>
    <row r="867" spans="9:10" x14ac:dyDescent="0.25">
      <c r="I867" s="37"/>
      <c r="J867" s="35"/>
    </row>
    <row r="868" spans="9:10" x14ac:dyDescent="0.25">
      <c r="I868" s="37"/>
      <c r="J868" s="35"/>
    </row>
    <row r="869" spans="9:10" x14ac:dyDescent="0.25">
      <c r="I869" s="37"/>
      <c r="J869" s="35"/>
    </row>
    <row r="870" spans="9:10" x14ac:dyDescent="0.25">
      <c r="I870" s="37"/>
      <c r="J870" s="35"/>
    </row>
    <row r="871" spans="9:10" x14ac:dyDescent="0.25">
      <c r="I871" s="37"/>
      <c r="J871" s="35"/>
    </row>
    <row r="872" spans="9:10" x14ac:dyDescent="0.25">
      <c r="I872" s="37"/>
      <c r="J872" s="35"/>
    </row>
    <row r="873" spans="9:10" x14ac:dyDescent="0.25">
      <c r="I873" s="37"/>
      <c r="J873" s="35"/>
    </row>
    <row r="874" spans="9:10" x14ac:dyDescent="0.25">
      <c r="I874" s="37"/>
      <c r="J874" s="35"/>
    </row>
    <row r="875" spans="9:10" x14ac:dyDescent="0.25">
      <c r="I875" s="37"/>
      <c r="J875" s="35"/>
    </row>
    <row r="876" spans="9:10" x14ac:dyDescent="0.25">
      <c r="I876" s="37"/>
      <c r="J876" s="35"/>
    </row>
    <row r="877" spans="9:10" x14ac:dyDescent="0.25">
      <c r="I877" s="37"/>
      <c r="J877" s="35"/>
    </row>
    <row r="878" spans="9:10" x14ac:dyDescent="0.25">
      <c r="I878" s="37"/>
      <c r="J878" s="35"/>
    </row>
    <row r="879" spans="9:10" x14ac:dyDescent="0.25">
      <c r="I879" s="37"/>
      <c r="J879" s="35"/>
    </row>
    <row r="880" spans="9:10" x14ac:dyDescent="0.25">
      <c r="I880" s="37"/>
      <c r="J880" s="35"/>
    </row>
    <row r="881" spans="9:10" x14ac:dyDescent="0.25">
      <c r="I881" s="37"/>
      <c r="J881" s="35"/>
    </row>
    <row r="882" spans="9:10" x14ac:dyDescent="0.25">
      <c r="I882" s="37"/>
      <c r="J882" s="35"/>
    </row>
    <row r="883" spans="9:10" x14ac:dyDescent="0.25">
      <c r="I883" s="37"/>
      <c r="J883" s="35"/>
    </row>
    <row r="884" spans="9:10" x14ac:dyDescent="0.25">
      <c r="I884" s="37"/>
      <c r="J884" s="35"/>
    </row>
    <row r="885" spans="9:10" x14ac:dyDescent="0.25">
      <c r="I885" s="37"/>
      <c r="J885" s="35"/>
    </row>
    <row r="886" spans="9:10" x14ac:dyDescent="0.25">
      <c r="I886" s="37"/>
      <c r="J886" s="35"/>
    </row>
    <row r="887" spans="9:10" x14ac:dyDescent="0.25">
      <c r="I887" s="37"/>
      <c r="J887" s="35"/>
    </row>
    <row r="888" spans="9:10" x14ac:dyDescent="0.25">
      <c r="I888" s="37"/>
      <c r="J888" s="35"/>
    </row>
    <row r="889" spans="9:10" x14ac:dyDescent="0.25">
      <c r="I889" s="37"/>
      <c r="J889" s="35"/>
    </row>
    <row r="890" spans="9:10" x14ac:dyDescent="0.25">
      <c r="I890" s="37"/>
      <c r="J890" s="35"/>
    </row>
    <row r="891" spans="9:10" x14ac:dyDescent="0.25">
      <c r="I891" s="37"/>
      <c r="J891" s="35"/>
    </row>
    <row r="892" spans="9:10" x14ac:dyDescent="0.25">
      <c r="I892" s="37"/>
      <c r="J892" s="35"/>
    </row>
    <row r="893" spans="9:10" x14ac:dyDescent="0.25">
      <c r="I893" s="37"/>
      <c r="J893" s="35"/>
    </row>
    <row r="894" spans="9:10" x14ac:dyDescent="0.25">
      <c r="I894" s="37"/>
      <c r="J894" s="35"/>
    </row>
    <row r="895" spans="9:10" x14ac:dyDescent="0.25">
      <c r="I895" s="37"/>
      <c r="J895" s="35"/>
    </row>
    <row r="896" spans="9:10" x14ac:dyDescent="0.25">
      <c r="I896" s="37"/>
      <c r="J896" s="35"/>
    </row>
    <row r="897" spans="9:10" x14ac:dyDescent="0.25">
      <c r="I897" s="37"/>
      <c r="J897" s="35"/>
    </row>
    <row r="898" spans="9:10" x14ac:dyDescent="0.25">
      <c r="I898" s="37"/>
      <c r="J898" s="35"/>
    </row>
    <row r="899" spans="9:10" x14ac:dyDescent="0.25">
      <c r="I899" s="37"/>
      <c r="J899" s="35"/>
    </row>
    <row r="900" spans="9:10" x14ac:dyDescent="0.25">
      <c r="I900" s="37"/>
      <c r="J900" s="35"/>
    </row>
    <row r="901" spans="9:10" x14ac:dyDescent="0.25">
      <c r="I901" s="37"/>
      <c r="J901" s="35"/>
    </row>
    <row r="902" spans="9:10" x14ac:dyDescent="0.25">
      <c r="I902" s="37"/>
      <c r="J902" s="35"/>
    </row>
    <row r="903" spans="9:10" x14ac:dyDescent="0.25">
      <c r="I903" s="37"/>
      <c r="J903" s="35"/>
    </row>
    <row r="904" spans="9:10" x14ac:dyDescent="0.25">
      <c r="I904" s="37"/>
      <c r="J904" s="35"/>
    </row>
    <row r="905" spans="9:10" x14ac:dyDescent="0.25">
      <c r="I905" s="37"/>
      <c r="J905" s="35"/>
    </row>
    <row r="906" spans="9:10" x14ac:dyDescent="0.25">
      <c r="I906" s="37"/>
      <c r="J906" s="35"/>
    </row>
    <row r="907" spans="9:10" x14ac:dyDescent="0.25">
      <c r="I907" s="37"/>
      <c r="J907" s="35"/>
    </row>
    <row r="908" spans="9:10" x14ac:dyDescent="0.25">
      <c r="I908" s="37"/>
      <c r="J908" s="35"/>
    </row>
    <row r="909" spans="9:10" x14ac:dyDescent="0.25">
      <c r="I909" s="37"/>
      <c r="J909" s="35"/>
    </row>
    <row r="910" spans="9:10" x14ac:dyDescent="0.25">
      <c r="I910" s="37"/>
      <c r="J910" s="35"/>
    </row>
    <row r="911" spans="9:10" x14ac:dyDescent="0.25">
      <c r="I911" s="37"/>
      <c r="J911" s="35"/>
    </row>
    <row r="912" spans="9:10" x14ac:dyDescent="0.25">
      <c r="I912" s="37"/>
      <c r="J912" s="35"/>
    </row>
    <row r="913" spans="9:10" x14ac:dyDescent="0.25">
      <c r="I913" s="37"/>
      <c r="J913" s="35"/>
    </row>
    <row r="914" spans="9:10" x14ac:dyDescent="0.25">
      <c r="I914" s="37"/>
      <c r="J914" s="35"/>
    </row>
    <row r="915" spans="9:10" x14ac:dyDescent="0.25">
      <c r="I915" s="37"/>
      <c r="J915" s="35"/>
    </row>
    <row r="916" spans="9:10" x14ac:dyDescent="0.25">
      <c r="I916" s="37"/>
      <c r="J916" s="35"/>
    </row>
    <row r="917" spans="9:10" x14ac:dyDescent="0.25">
      <c r="I917" s="37"/>
      <c r="J917" s="35"/>
    </row>
    <row r="918" spans="9:10" x14ac:dyDescent="0.25">
      <c r="I918" s="37"/>
      <c r="J918" s="35"/>
    </row>
    <row r="919" spans="9:10" x14ac:dyDescent="0.25">
      <c r="I919" s="37"/>
      <c r="J919" s="35"/>
    </row>
    <row r="920" spans="9:10" x14ac:dyDescent="0.25">
      <c r="I920" s="37"/>
      <c r="J920" s="35"/>
    </row>
    <row r="921" spans="9:10" x14ac:dyDescent="0.25">
      <c r="I921" s="37"/>
      <c r="J921" s="35"/>
    </row>
    <row r="922" spans="9:10" x14ac:dyDescent="0.25">
      <c r="I922" s="37"/>
      <c r="J922" s="35"/>
    </row>
    <row r="923" spans="9:10" x14ac:dyDescent="0.25">
      <c r="I923" s="37"/>
      <c r="J923" s="35"/>
    </row>
    <row r="924" spans="9:10" x14ac:dyDescent="0.25">
      <c r="I924" s="37"/>
      <c r="J924" s="35"/>
    </row>
    <row r="925" spans="9:10" x14ac:dyDescent="0.25">
      <c r="I925" s="37"/>
      <c r="J925" s="35"/>
    </row>
    <row r="926" spans="9:10" x14ac:dyDescent="0.25">
      <c r="I926" s="37"/>
      <c r="J926" s="35"/>
    </row>
    <row r="927" spans="9:10" x14ac:dyDescent="0.25">
      <c r="I927" s="37"/>
      <c r="J927" s="35"/>
    </row>
    <row r="928" spans="9:10" x14ac:dyDescent="0.25">
      <c r="I928" s="37"/>
      <c r="J928" s="35"/>
    </row>
    <row r="929" spans="9:10" x14ac:dyDescent="0.25">
      <c r="I929" s="37"/>
      <c r="J929" s="35"/>
    </row>
    <row r="930" spans="9:10" x14ac:dyDescent="0.25">
      <c r="I930" s="37"/>
      <c r="J930" s="35"/>
    </row>
    <row r="931" spans="9:10" x14ac:dyDescent="0.25">
      <c r="I931" s="37"/>
      <c r="J931" s="35"/>
    </row>
    <row r="932" spans="9:10" x14ac:dyDescent="0.25">
      <c r="I932" s="37"/>
      <c r="J932" s="35"/>
    </row>
    <row r="933" spans="9:10" x14ac:dyDescent="0.25">
      <c r="I933" s="37"/>
      <c r="J933" s="35"/>
    </row>
    <row r="934" spans="9:10" x14ac:dyDescent="0.25">
      <c r="I934" s="37"/>
      <c r="J934" s="35"/>
    </row>
    <row r="935" spans="9:10" x14ac:dyDescent="0.25">
      <c r="I935" s="37"/>
      <c r="J935" s="35"/>
    </row>
    <row r="936" spans="9:10" x14ac:dyDescent="0.25">
      <c r="I936" s="37"/>
      <c r="J936" s="35"/>
    </row>
    <row r="937" spans="9:10" x14ac:dyDescent="0.25">
      <c r="I937" s="37"/>
      <c r="J937" s="35"/>
    </row>
    <row r="938" spans="9:10" x14ac:dyDescent="0.25">
      <c r="I938" s="37"/>
      <c r="J938" s="35"/>
    </row>
    <row r="939" spans="9:10" x14ac:dyDescent="0.25">
      <c r="I939" s="37"/>
      <c r="J939" s="35"/>
    </row>
    <row r="940" spans="9:10" x14ac:dyDescent="0.25">
      <c r="I940" s="37"/>
      <c r="J940" s="35"/>
    </row>
    <row r="941" spans="9:10" x14ac:dyDescent="0.25">
      <c r="I941" s="37"/>
      <c r="J941" s="35"/>
    </row>
    <row r="942" spans="9:10" x14ac:dyDescent="0.25">
      <c r="I942" s="37"/>
      <c r="J942" s="35"/>
    </row>
    <row r="943" spans="9:10" x14ac:dyDescent="0.25">
      <c r="I943" s="37"/>
      <c r="J943" s="35"/>
    </row>
    <row r="944" spans="9:10" x14ac:dyDescent="0.25">
      <c r="I944" s="37"/>
      <c r="J944" s="35"/>
    </row>
    <row r="945" spans="9:10" x14ac:dyDescent="0.25">
      <c r="I945" s="37"/>
      <c r="J945" s="35"/>
    </row>
    <row r="946" spans="9:10" x14ac:dyDescent="0.25">
      <c r="I946" s="37"/>
      <c r="J946" s="35"/>
    </row>
    <row r="947" spans="9:10" x14ac:dyDescent="0.25">
      <c r="I947" s="37"/>
      <c r="J947" s="35"/>
    </row>
    <row r="948" spans="9:10" x14ac:dyDescent="0.25">
      <c r="I948" s="37"/>
      <c r="J948" s="35"/>
    </row>
    <row r="949" spans="9:10" x14ac:dyDescent="0.25">
      <c r="I949" s="37"/>
      <c r="J949" s="35"/>
    </row>
    <row r="950" spans="9:10" x14ac:dyDescent="0.25">
      <c r="I950" s="37"/>
      <c r="J950" s="35"/>
    </row>
    <row r="951" spans="9:10" x14ac:dyDescent="0.25">
      <c r="I951" s="37"/>
      <c r="J951" s="35"/>
    </row>
    <row r="952" spans="9:10" x14ac:dyDescent="0.25">
      <c r="I952" s="37"/>
      <c r="J952" s="35"/>
    </row>
    <row r="953" spans="9:10" x14ac:dyDescent="0.25">
      <c r="I953" s="37"/>
      <c r="J953" s="35"/>
    </row>
    <row r="954" spans="9:10" x14ac:dyDescent="0.25">
      <c r="I954" s="37"/>
      <c r="J954" s="35"/>
    </row>
    <row r="955" spans="9:10" x14ac:dyDescent="0.25">
      <c r="I955" s="37"/>
      <c r="J955" s="35"/>
    </row>
    <row r="956" spans="9:10" x14ac:dyDescent="0.25">
      <c r="I956" s="37"/>
      <c r="J956" s="35"/>
    </row>
    <row r="957" spans="9:10" x14ac:dyDescent="0.25">
      <c r="I957" s="37"/>
      <c r="J957" s="35"/>
    </row>
    <row r="958" spans="9:10" x14ac:dyDescent="0.25">
      <c r="I958" s="37"/>
      <c r="J958" s="35"/>
    </row>
    <row r="959" spans="9:10" x14ac:dyDescent="0.25">
      <c r="I959" s="37"/>
      <c r="J959" s="35"/>
    </row>
    <row r="960" spans="9:10" x14ac:dyDescent="0.25">
      <c r="I960" s="37"/>
      <c r="J960" s="35"/>
    </row>
    <row r="961" spans="9:10" x14ac:dyDescent="0.25">
      <c r="I961" s="37"/>
      <c r="J961" s="35"/>
    </row>
    <row r="962" spans="9:10" x14ac:dyDescent="0.25">
      <c r="I962" s="37"/>
      <c r="J962" s="35"/>
    </row>
    <row r="963" spans="9:10" x14ac:dyDescent="0.25">
      <c r="I963" s="37"/>
      <c r="J963" s="35"/>
    </row>
    <row r="964" spans="9:10" x14ac:dyDescent="0.25">
      <c r="I964" s="37"/>
      <c r="J964" s="35"/>
    </row>
    <row r="965" spans="9:10" x14ac:dyDescent="0.25">
      <c r="I965" s="37"/>
      <c r="J965" s="35"/>
    </row>
    <row r="966" spans="9:10" x14ac:dyDescent="0.25">
      <c r="I966" s="37"/>
      <c r="J966" s="35"/>
    </row>
    <row r="967" spans="9:10" x14ac:dyDescent="0.25">
      <c r="I967" s="37"/>
      <c r="J967" s="35"/>
    </row>
    <row r="968" spans="9:10" x14ac:dyDescent="0.25">
      <c r="I968" s="37"/>
      <c r="J968" s="35"/>
    </row>
    <row r="969" spans="9:10" x14ac:dyDescent="0.25">
      <c r="I969" s="37"/>
      <c r="J969" s="35"/>
    </row>
    <row r="970" spans="9:10" x14ac:dyDescent="0.25">
      <c r="I970" s="37"/>
      <c r="J970" s="35"/>
    </row>
    <row r="971" spans="9:10" x14ac:dyDescent="0.25">
      <c r="I971" s="37"/>
      <c r="J971" s="35"/>
    </row>
    <row r="972" spans="9:10" x14ac:dyDescent="0.25">
      <c r="I972" s="37"/>
      <c r="J972" s="35"/>
    </row>
    <row r="973" spans="9:10" x14ac:dyDescent="0.25">
      <c r="I973" s="37"/>
      <c r="J973" s="35"/>
    </row>
    <row r="974" spans="9:10" x14ac:dyDescent="0.25">
      <c r="I974" s="37"/>
      <c r="J974" s="35"/>
    </row>
    <row r="975" spans="9:10" x14ac:dyDescent="0.25">
      <c r="I975" s="37"/>
      <c r="J975" s="35"/>
    </row>
    <row r="976" spans="9:10" x14ac:dyDescent="0.25">
      <c r="I976" s="37"/>
      <c r="J976" s="35"/>
    </row>
    <row r="977" spans="9:10" x14ac:dyDescent="0.25">
      <c r="I977" s="37"/>
      <c r="J977" s="35"/>
    </row>
    <row r="978" spans="9:10" x14ac:dyDescent="0.25">
      <c r="I978" s="37"/>
      <c r="J978" s="35"/>
    </row>
    <row r="979" spans="9:10" x14ac:dyDescent="0.25">
      <c r="I979" s="37"/>
      <c r="J979" s="35"/>
    </row>
    <row r="980" spans="9:10" x14ac:dyDescent="0.25">
      <c r="I980" s="37"/>
      <c r="J980" s="35"/>
    </row>
    <row r="981" spans="9:10" x14ac:dyDescent="0.25">
      <c r="I981" s="37"/>
      <c r="J981" s="35"/>
    </row>
    <row r="982" spans="9:10" x14ac:dyDescent="0.25">
      <c r="I982" s="37"/>
      <c r="J982" s="35"/>
    </row>
    <row r="983" spans="9:10" x14ac:dyDescent="0.25">
      <c r="I983" s="37"/>
      <c r="J983" s="35"/>
    </row>
    <row r="984" spans="9:10" x14ac:dyDescent="0.25">
      <c r="I984" s="37"/>
      <c r="J984" s="35"/>
    </row>
    <row r="985" spans="9:10" x14ac:dyDescent="0.25">
      <c r="I985" s="37"/>
      <c r="J985" s="35"/>
    </row>
    <row r="986" spans="9:10" x14ac:dyDescent="0.25">
      <c r="I986" s="37"/>
      <c r="J986" s="35"/>
    </row>
    <row r="987" spans="9:10" x14ac:dyDescent="0.25">
      <c r="I987" s="37"/>
      <c r="J987" s="35"/>
    </row>
    <row r="988" spans="9:10" x14ac:dyDescent="0.25">
      <c r="I988" s="37"/>
      <c r="J988" s="35"/>
    </row>
    <row r="989" spans="9:10" x14ac:dyDescent="0.25">
      <c r="I989" s="37"/>
      <c r="J989" s="35"/>
    </row>
    <row r="990" spans="9:10" x14ac:dyDescent="0.25">
      <c r="I990" s="37"/>
      <c r="J990" s="35"/>
    </row>
    <row r="991" spans="9:10" x14ac:dyDescent="0.25">
      <c r="I991" s="37"/>
      <c r="J991" s="35"/>
    </row>
    <row r="992" spans="9:10" x14ac:dyDescent="0.25">
      <c r="I992" s="37"/>
      <c r="J992" s="35"/>
    </row>
    <row r="993" spans="9:10" x14ac:dyDescent="0.25">
      <c r="I993" s="37"/>
      <c r="J993" s="35"/>
    </row>
    <row r="994" spans="9:10" x14ac:dyDescent="0.25">
      <c r="I994" s="37"/>
      <c r="J994" s="35"/>
    </row>
    <row r="995" spans="9:10" x14ac:dyDescent="0.25">
      <c r="I995" s="37"/>
      <c r="J995" s="35"/>
    </row>
    <row r="996" spans="9:10" x14ac:dyDescent="0.25">
      <c r="I996" s="37"/>
      <c r="J996" s="35"/>
    </row>
    <row r="997" spans="9:10" x14ac:dyDescent="0.25">
      <c r="I997" s="37"/>
      <c r="J997" s="35"/>
    </row>
    <row r="998" spans="9:10" x14ac:dyDescent="0.25">
      <c r="I998" s="37"/>
      <c r="J998" s="35"/>
    </row>
    <row r="999" spans="9:10" x14ac:dyDescent="0.25">
      <c r="I999" s="37"/>
      <c r="J999" s="35"/>
    </row>
    <row r="1000" spans="9:10" x14ac:dyDescent="0.25">
      <c r="I1000" s="37"/>
      <c r="J1000" s="35"/>
    </row>
    <row r="1001" spans="9:10" x14ac:dyDescent="0.25">
      <c r="I1001" s="37"/>
      <c r="J1001" s="35"/>
    </row>
    <row r="1002" spans="9:10" x14ac:dyDescent="0.25">
      <c r="I1002" s="37"/>
      <c r="J1002" s="35"/>
    </row>
    <row r="1003" spans="9:10" x14ac:dyDescent="0.25">
      <c r="I1003" s="37"/>
      <c r="J1003" s="35"/>
    </row>
    <row r="1004" spans="9:10" x14ac:dyDescent="0.25">
      <c r="I1004" s="37"/>
      <c r="J1004" s="35"/>
    </row>
    <row r="1005" spans="9:10" x14ac:dyDescent="0.25">
      <c r="I1005" s="37"/>
      <c r="J1005" s="35"/>
    </row>
    <row r="1006" spans="9:10" x14ac:dyDescent="0.25">
      <c r="I1006" s="37"/>
      <c r="J1006" s="35"/>
    </row>
    <row r="1007" spans="9:10" x14ac:dyDescent="0.25">
      <c r="I1007" s="37"/>
      <c r="J1007" s="35"/>
    </row>
    <row r="1008" spans="9:10" x14ac:dyDescent="0.25">
      <c r="I1008" s="37"/>
      <c r="J1008" s="35"/>
    </row>
    <row r="1009" spans="9:10" x14ac:dyDescent="0.25">
      <c r="I1009" s="37"/>
      <c r="J1009" s="35"/>
    </row>
    <row r="1010" spans="9:10" x14ac:dyDescent="0.25">
      <c r="I1010" s="37"/>
      <c r="J1010" s="35"/>
    </row>
    <row r="1011" spans="9:10" x14ac:dyDescent="0.25">
      <c r="I1011" s="37"/>
      <c r="J1011" s="35"/>
    </row>
    <row r="1012" spans="9:10" x14ac:dyDescent="0.25">
      <c r="I1012" s="37"/>
      <c r="J1012" s="35"/>
    </row>
    <row r="1013" spans="9:10" x14ac:dyDescent="0.25">
      <c r="I1013" s="37"/>
      <c r="J1013" s="35"/>
    </row>
    <row r="1014" spans="9:10" x14ac:dyDescent="0.25">
      <c r="I1014" s="37"/>
      <c r="J1014" s="35"/>
    </row>
    <row r="1015" spans="9:10" x14ac:dyDescent="0.25">
      <c r="I1015" s="37"/>
      <c r="J1015" s="35"/>
    </row>
    <row r="1016" spans="9:10" x14ac:dyDescent="0.25">
      <c r="I1016" s="37"/>
      <c r="J1016" s="35"/>
    </row>
    <row r="1017" spans="9:10" x14ac:dyDescent="0.25">
      <c r="I1017" s="37"/>
      <c r="J1017" s="35"/>
    </row>
    <row r="1018" spans="9:10" x14ac:dyDescent="0.25">
      <c r="I1018" s="37"/>
      <c r="J1018" s="35"/>
    </row>
    <row r="1019" spans="9:10" x14ac:dyDescent="0.25">
      <c r="I1019" s="37"/>
      <c r="J1019" s="35"/>
    </row>
    <row r="1020" spans="9:10" x14ac:dyDescent="0.25">
      <c r="I1020" s="37"/>
      <c r="J1020" s="35"/>
    </row>
    <row r="1021" spans="9:10" x14ac:dyDescent="0.25">
      <c r="I1021" s="37"/>
      <c r="J1021" s="35"/>
    </row>
    <row r="1022" spans="9:10" x14ac:dyDescent="0.25">
      <c r="I1022" s="37"/>
      <c r="J1022" s="35"/>
    </row>
    <row r="1023" spans="9:10" x14ac:dyDescent="0.25">
      <c r="I1023" s="37"/>
      <c r="J1023" s="35"/>
    </row>
    <row r="1024" spans="9:10" x14ac:dyDescent="0.25">
      <c r="I1024" s="37"/>
      <c r="J1024" s="35"/>
    </row>
    <row r="1025" spans="9:10" x14ac:dyDescent="0.25">
      <c r="I1025" s="37"/>
      <c r="J1025" s="35"/>
    </row>
    <row r="1026" spans="9:10" x14ac:dyDescent="0.25">
      <c r="I1026" s="37"/>
      <c r="J1026" s="35"/>
    </row>
    <row r="1027" spans="9:10" x14ac:dyDescent="0.25">
      <c r="I1027" s="37"/>
      <c r="J1027" s="35"/>
    </row>
    <row r="1028" spans="9:10" x14ac:dyDescent="0.25">
      <c r="I1028" s="37"/>
      <c r="J1028" s="35"/>
    </row>
    <row r="1029" spans="9:10" x14ac:dyDescent="0.25">
      <c r="I1029" s="37"/>
      <c r="J1029" s="35"/>
    </row>
    <row r="1030" spans="9:10" x14ac:dyDescent="0.25">
      <c r="I1030" s="37"/>
      <c r="J1030" s="35"/>
    </row>
    <row r="1031" spans="9:10" x14ac:dyDescent="0.25">
      <c r="I1031" s="37"/>
      <c r="J1031" s="35"/>
    </row>
    <row r="1032" spans="9:10" x14ac:dyDescent="0.25">
      <c r="I1032" s="37"/>
      <c r="J1032" s="35"/>
    </row>
    <row r="1033" spans="9:10" x14ac:dyDescent="0.25">
      <c r="I1033" s="37"/>
      <c r="J1033" s="35"/>
    </row>
    <row r="1034" spans="9:10" x14ac:dyDescent="0.25">
      <c r="I1034" s="37"/>
      <c r="J1034" s="35"/>
    </row>
    <row r="1035" spans="9:10" x14ac:dyDescent="0.25">
      <c r="I1035" s="37"/>
      <c r="J1035" s="35"/>
    </row>
    <row r="1036" spans="9:10" x14ac:dyDescent="0.25">
      <c r="I1036" s="37"/>
      <c r="J1036" s="35"/>
    </row>
    <row r="1037" spans="9:10" x14ac:dyDescent="0.25">
      <c r="I1037" s="37"/>
      <c r="J1037" s="35"/>
    </row>
    <row r="1038" spans="9:10" x14ac:dyDescent="0.25">
      <c r="I1038" s="37"/>
      <c r="J1038" s="35"/>
    </row>
    <row r="1039" spans="9:10" x14ac:dyDescent="0.25">
      <c r="I1039" s="37"/>
      <c r="J1039" s="35"/>
    </row>
    <row r="1040" spans="9:10" x14ac:dyDescent="0.25">
      <c r="I1040" s="37"/>
      <c r="J1040" s="35"/>
    </row>
    <row r="1041" spans="9:10" x14ac:dyDescent="0.25">
      <c r="I1041" s="37"/>
      <c r="J1041" s="35"/>
    </row>
    <row r="1042" spans="9:10" x14ac:dyDescent="0.25">
      <c r="I1042" s="37"/>
      <c r="J1042" s="35"/>
    </row>
    <row r="1043" spans="9:10" x14ac:dyDescent="0.25">
      <c r="I1043" s="37"/>
      <c r="J1043" s="35"/>
    </row>
    <row r="1044" spans="9:10" x14ac:dyDescent="0.25">
      <c r="I1044" s="37"/>
      <c r="J1044" s="35"/>
    </row>
    <row r="1045" spans="9:10" x14ac:dyDescent="0.25">
      <c r="I1045" s="37"/>
      <c r="J1045" s="35"/>
    </row>
    <row r="1046" spans="9:10" x14ac:dyDescent="0.25">
      <c r="I1046" s="37"/>
      <c r="J1046" s="35"/>
    </row>
    <row r="1047" spans="9:10" x14ac:dyDescent="0.25">
      <c r="I1047" s="37"/>
      <c r="J1047" s="35"/>
    </row>
    <row r="1048" spans="9:10" x14ac:dyDescent="0.25">
      <c r="I1048" s="37"/>
      <c r="J1048" s="35"/>
    </row>
    <row r="1049" spans="9:10" x14ac:dyDescent="0.25">
      <c r="I1049" s="37"/>
      <c r="J1049" s="35"/>
    </row>
    <row r="1050" spans="9:10" x14ac:dyDescent="0.25">
      <c r="I1050" s="37"/>
      <c r="J1050" s="35"/>
    </row>
    <row r="1051" spans="9:10" x14ac:dyDescent="0.25">
      <c r="I1051" s="37"/>
      <c r="J1051" s="35"/>
    </row>
    <row r="1052" spans="9:10" x14ac:dyDescent="0.25">
      <c r="I1052" s="37"/>
      <c r="J1052" s="35"/>
    </row>
    <row r="1053" spans="9:10" x14ac:dyDescent="0.25">
      <c r="I1053" s="37"/>
      <c r="J1053" s="35"/>
    </row>
    <row r="1054" spans="9:10" x14ac:dyDescent="0.25">
      <c r="I1054" s="37"/>
      <c r="J1054" s="35"/>
    </row>
    <row r="1055" spans="9:10" x14ac:dyDescent="0.25">
      <c r="I1055" s="37"/>
      <c r="J1055" s="35"/>
    </row>
    <row r="1056" spans="9:10" x14ac:dyDescent="0.25">
      <c r="I1056" s="37"/>
      <c r="J1056" s="35"/>
    </row>
    <row r="1057" spans="9:10" x14ac:dyDescent="0.25">
      <c r="I1057" s="37"/>
      <c r="J1057" s="35"/>
    </row>
    <row r="1058" spans="9:10" x14ac:dyDescent="0.25">
      <c r="I1058" s="37"/>
      <c r="J1058" s="35"/>
    </row>
    <row r="1059" spans="9:10" x14ac:dyDescent="0.25">
      <c r="I1059" s="37"/>
      <c r="J1059" s="35"/>
    </row>
    <row r="1060" spans="9:10" x14ac:dyDescent="0.25">
      <c r="I1060" s="37"/>
      <c r="J1060" s="35"/>
    </row>
    <row r="1061" spans="9:10" x14ac:dyDescent="0.25">
      <c r="I1061" s="37"/>
      <c r="J1061" s="35"/>
    </row>
    <row r="1062" spans="9:10" x14ac:dyDescent="0.25">
      <c r="I1062" s="37"/>
      <c r="J1062" s="35"/>
    </row>
    <row r="1063" spans="9:10" x14ac:dyDescent="0.25">
      <c r="I1063" s="37"/>
      <c r="J1063" s="35"/>
    </row>
    <row r="1064" spans="9:10" x14ac:dyDescent="0.25">
      <c r="I1064" s="37"/>
      <c r="J1064" s="35"/>
    </row>
    <row r="1065" spans="9:10" x14ac:dyDescent="0.25">
      <c r="I1065" s="37"/>
      <c r="J1065" s="35"/>
    </row>
    <row r="1066" spans="9:10" x14ac:dyDescent="0.25">
      <c r="I1066" s="37"/>
      <c r="J1066" s="35"/>
    </row>
    <row r="1067" spans="9:10" x14ac:dyDescent="0.25">
      <c r="I1067" s="37"/>
      <c r="J1067" s="35"/>
    </row>
    <row r="1068" spans="9:10" x14ac:dyDescent="0.25">
      <c r="I1068" s="37"/>
      <c r="J1068" s="35"/>
    </row>
    <row r="1069" spans="9:10" x14ac:dyDescent="0.25">
      <c r="I1069" s="37"/>
      <c r="J1069" s="35"/>
    </row>
    <row r="1070" spans="9:10" x14ac:dyDescent="0.25">
      <c r="I1070" s="37"/>
      <c r="J1070" s="35"/>
    </row>
    <row r="1071" spans="9:10" x14ac:dyDescent="0.25">
      <c r="I1071" s="37"/>
      <c r="J1071" s="35"/>
    </row>
    <row r="1072" spans="9:10" x14ac:dyDescent="0.25">
      <c r="I1072" s="37"/>
      <c r="J1072" s="35"/>
    </row>
    <row r="1073" spans="9:10" x14ac:dyDescent="0.25">
      <c r="I1073" s="37"/>
      <c r="J1073" s="35"/>
    </row>
    <row r="1074" spans="9:10" x14ac:dyDescent="0.25">
      <c r="I1074" s="37"/>
      <c r="J1074" s="35"/>
    </row>
    <row r="1075" spans="9:10" x14ac:dyDescent="0.25">
      <c r="I1075" s="37"/>
      <c r="J1075" s="35"/>
    </row>
    <row r="1076" spans="9:10" x14ac:dyDescent="0.25">
      <c r="I1076" s="37"/>
      <c r="J1076" s="35"/>
    </row>
    <row r="1077" spans="9:10" x14ac:dyDescent="0.25">
      <c r="I1077" s="37"/>
      <c r="J1077" s="35"/>
    </row>
    <row r="1078" spans="9:10" x14ac:dyDescent="0.25">
      <c r="I1078" s="37"/>
      <c r="J1078" s="35"/>
    </row>
    <row r="1079" spans="9:10" x14ac:dyDescent="0.25">
      <c r="I1079" s="37"/>
      <c r="J1079" s="35"/>
    </row>
    <row r="1080" spans="9:10" x14ac:dyDescent="0.25">
      <c r="I1080" s="37"/>
      <c r="J1080" s="35"/>
    </row>
    <row r="1081" spans="9:10" x14ac:dyDescent="0.25">
      <c r="I1081" s="37"/>
      <c r="J1081" s="35"/>
    </row>
    <row r="1082" spans="9:10" x14ac:dyDescent="0.25">
      <c r="I1082" s="37"/>
      <c r="J1082" s="35"/>
    </row>
    <row r="1083" spans="9:10" x14ac:dyDescent="0.25">
      <c r="I1083" s="37"/>
      <c r="J1083" s="35"/>
    </row>
    <row r="1084" spans="9:10" x14ac:dyDescent="0.25">
      <c r="I1084" s="37"/>
      <c r="J1084" s="35"/>
    </row>
    <row r="1085" spans="9:10" x14ac:dyDescent="0.25">
      <c r="I1085" s="37"/>
      <c r="J1085" s="35"/>
    </row>
    <row r="1086" spans="9:10" x14ac:dyDescent="0.25">
      <c r="I1086" s="37"/>
      <c r="J1086" s="35"/>
    </row>
    <row r="1087" spans="9:10" x14ac:dyDescent="0.25">
      <c r="I1087" s="37"/>
      <c r="J1087" s="35"/>
    </row>
    <row r="1088" spans="9:10" x14ac:dyDescent="0.25">
      <c r="I1088" s="37"/>
      <c r="J1088" s="35"/>
    </row>
    <row r="1089" spans="9:10" x14ac:dyDescent="0.25">
      <c r="I1089" s="37"/>
      <c r="J1089" s="35"/>
    </row>
    <row r="1090" spans="9:10" x14ac:dyDescent="0.25">
      <c r="I1090" s="37"/>
      <c r="J1090" s="35"/>
    </row>
    <row r="1091" spans="9:10" x14ac:dyDescent="0.25">
      <c r="I1091" s="37"/>
      <c r="J1091" s="35"/>
    </row>
    <row r="1092" spans="9:10" x14ac:dyDescent="0.25">
      <c r="I1092" s="37"/>
      <c r="J1092" s="35"/>
    </row>
    <row r="1093" spans="9:10" x14ac:dyDescent="0.25">
      <c r="I1093" s="37"/>
      <c r="J1093" s="35"/>
    </row>
    <row r="1094" spans="9:10" x14ac:dyDescent="0.25">
      <c r="I1094" s="37"/>
      <c r="J1094" s="35"/>
    </row>
    <row r="1095" spans="9:10" x14ac:dyDescent="0.25">
      <c r="I1095" s="37"/>
      <c r="J1095" s="35"/>
    </row>
    <row r="1096" spans="9:10" x14ac:dyDescent="0.25">
      <c r="I1096" s="37"/>
      <c r="J1096" s="35"/>
    </row>
    <row r="1097" spans="9:10" x14ac:dyDescent="0.25">
      <c r="I1097" s="37"/>
      <c r="J1097" s="35"/>
    </row>
    <row r="1098" spans="9:10" x14ac:dyDescent="0.25">
      <c r="I1098" s="37"/>
      <c r="J1098" s="35"/>
    </row>
    <row r="1099" spans="9:10" x14ac:dyDescent="0.25">
      <c r="I1099" s="37"/>
      <c r="J1099" s="35"/>
    </row>
    <row r="1100" spans="9:10" x14ac:dyDescent="0.25">
      <c r="I1100" s="37"/>
      <c r="J1100" s="35"/>
    </row>
    <row r="1101" spans="9:10" x14ac:dyDescent="0.25">
      <c r="I1101" s="37"/>
      <c r="J1101" s="35"/>
    </row>
    <row r="1102" spans="9:10" x14ac:dyDescent="0.25">
      <c r="I1102" s="37"/>
      <c r="J1102" s="35"/>
    </row>
    <row r="1103" spans="9:10" x14ac:dyDescent="0.25">
      <c r="I1103" s="37"/>
      <c r="J1103" s="35"/>
    </row>
    <row r="1104" spans="9:10" x14ac:dyDescent="0.25">
      <c r="I1104" s="37"/>
      <c r="J1104" s="35"/>
    </row>
    <row r="1105" spans="9:10" x14ac:dyDescent="0.25">
      <c r="I1105" s="37"/>
      <c r="J1105" s="35"/>
    </row>
    <row r="1106" spans="9:10" x14ac:dyDescent="0.25">
      <c r="I1106" s="37"/>
      <c r="J1106" s="35"/>
    </row>
    <row r="1107" spans="9:10" x14ac:dyDescent="0.25">
      <c r="I1107" s="37"/>
      <c r="J1107" s="35"/>
    </row>
    <row r="1108" spans="9:10" x14ac:dyDescent="0.25">
      <c r="I1108" s="37"/>
      <c r="J1108" s="35"/>
    </row>
    <row r="1109" spans="9:10" x14ac:dyDescent="0.25">
      <c r="I1109" s="37"/>
      <c r="J1109" s="35"/>
    </row>
    <row r="1110" spans="9:10" x14ac:dyDescent="0.25">
      <c r="I1110" s="37"/>
      <c r="J1110" s="35"/>
    </row>
    <row r="1111" spans="9:10" x14ac:dyDescent="0.25">
      <c r="I1111" s="37"/>
      <c r="J1111" s="35"/>
    </row>
    <row r="1112" spans="9:10" x14ac:dyDescent="0.25">
      <c r="I1112" s="37"/>
      <c r="J1112" s="35"/>
    </row>
    <row r="1113" spans="9:10" x14ac:dyDescent="0.25">
      <c r="I1113" s="37"/>
      <c r="J1113" s="35"/>
    </row>
    <row r="1114" spans="9:10" x14ac:dyDescent="0.25">
      <c r="I1114" s="37"/>
      <c r="J1114" s="35"/>
    </row>
    <row r="1115" spans="9:10" x14ac:dyDescent="0.25">
      <c r="I1115" s="37"/>
      <c r="J1115" s="35"/>
    </row>
    <row r="1116" spans="9:10" x14ac:dyDescent="0.25">
      <c r="I1116" s="37"/>
      <c r="J1116" s="35"/>
    </row>
    <row r="1117" spans="9:10" x14ac:dyDescent="0.25">
      <c r="I1117" s="37"/>
      <c r="J1117" s="35"/>
    </row>
    <row r="1118" spans="9:10" x14ac:dyDescent="0.25">
      <c r="I1118" s="37"/>
      <c r="J1118" s="35"/>
    </row>
    <row r="1119" spans="9:10" x14ac:dyDescent="0.25">
      <c r="I1119" s="37"/>
      <c r="J1119" s="35"/>
    </row>
    <row r="1120" spans="9:10" x14ac:dyDescent="0.25">
      <c r="I1120" s="37"/>
      <c r="J1120" s="35"/>
    </row>
    <row r="1121" spans="9:10" x14ac:dyDescent="0.25">
      <c r="I1121" s="37"/>
      <c r="J1121" s="35"/>
    </row>
    <row r="1122" spans="9:10" x14ac:dyDescent="0.25">
      <c r="I1122" s="37"/>
      <c r="J1122" s="35"/>
    </row>
    <row r="1123" spans="9:10" x14ac:dyDescent="0.25">
      <c r="I1123" s="37"/>
      <c r="J1123" s="35"/>
    </row>
    <row r="1124" spans="9:10" x14ac:dyDescent="0.25">
      <c r="I1124" s="37"/>
      <c r="J1124" s="35"/>
    </row>
    <row r="1125" spans="9:10" x14ac:dyDescent="0.25">
      <c r="I1125" s="37"/>
      <c r="J1125" s="35"/>
    </row>
    <row r="1126" spans="9:10" x14ac:dyDescent="0.25">
      <c r="I1126" s="37"/>
      <c r="J1126" s="35"/>
    </row>
    <row r="1127" spans="9:10" x14ac:dyDescent="0.25">
      <c r="I1127" s="37"/>
      <c r="J1127" s="35"/>
    </row>
    <row r="1128" spans="9:10" x14ac:dyDescent="0.25">
      <c r="I1128" s="37"/>
      <c r="J1128" s="35"/>
    </row>
    <row r="1129" spans="9:10" x14ac:dyDescent="0.25">
      <c r="I1129" s="37"/>
      <c r="J1129" s="35"/>
    </row>
    <row r="1130" spans="9:10" x14ac:dyDescent="0.25">
      <c r="I1130" s="37"/>
      <c r="J1130" s="35"/>
    </row>
    <row r="1131" spans="9:10" x14ac:dyDescent="0.25">
      <c r="I1131" s="37"/>
      <c r="J1131" s="35"/>
    </row>
    <row r="1132" spans="9:10" x14ac:dyDescent="0.25">
      <c r="I1132" s="37"/>
      <c r="J1132" s="35"/>
    </row>
    <row r="1133" spans="9:10" x14ac:dyDescent="0.25">
      <c r="I1133" s="37"/>
      <c r="J1133" s="35"/>
    </row>
    <row r="1134" spans="9:10" x14ac:dyDescent="0.25">
      <c r="I1134" s="37"/>
      <c r="J1134" s="35"/>
    </row>
    <row r="1135" spans="9:10" x14ac:dyDescent="0.25">
      <c r="I1135" s="37"/>
      <c r="J1135" s="35"/>
    </row>
    <row r="1136" spans="9:10" x14ac:dyDescent="0.25">
      <c r="I1136" s="37"/>
      <c r="J1136" s="35"/>
    </row>
    <row r="1137" spans="9:10" x14ac:dyDescent="0.25">
      <c r="I1137" s="37"/>
      <c r="J1137" s="35"/>
    </row>
    <row r="1138" spans="9:10" x14ac:dyDescent="0.25">
      <c r="I1138" s="37"/>
      <c r="J1138" s="35"/>
    </row>
    <row r="1139" spans="9:10" x14ac:dyDescent="0.25">
      <c r="I1139" s="37"/>
      <c r="J1139" s="35"/>
    </row>
    <row r="1140" spans="9:10" x14ac:dyDescent="0.25">
      <c r="I1140" s="37"/>
      <c r="J1140" s="35"/>
    </row>
    <row r="1141" spans="9:10" x14ac:dyDescent="0.25">
      <c r="I1141" s="37"/>
      <c r="J1141" s="35"/>
    </row>
    <row r="1142" spans="9:10" x14ac:dyDescent="0.25">
      <c r="I1142" s="37"/>
      <c r="J1142" s="35"/>
    </row>
    <row r="1143" spans="9:10" x14ac:dyDescent="0.25">
      <c r="I1143" s="37"/>
      <c r="J1143" s="35"/>
    </row>
    <row r="1144" spans="9:10" x14ac:dyDescent="0.25">
      <c r="I1144" s="37"/>
      <c r="J1144" s="35"/>
    </row>
    <row r="1145" spans="9:10" x14ac:dyDescent="0.25">
      <c r="I1145" s="37"/>
      <c r="J1145" s="35"/>
    </row>
    <row r="1146" spans="9:10" x14ac:dyDescent="0.25">
      <c r="I1146" s="37"/>
      <c r="J1146" s="35"/>
    </row>
    <row r="1147" spans="9:10" x14ac:dyDescent="0.25">
      <c r="I1147" s="37"/>
      <c r="J1147" s="35"/>
    </row>
    <row r="1148" spans="9:10" x14ac:dyDescent="0.25">
      <c r="I1148" s="37"/>
      <c r="J1148" s="35"/>
    </row>
    <row r="1149" spans="9:10" x14ac:dyDescent="0.25">
      <c r="I1149" s="37"/>
      <c r="J1149" s="35"/>
    </row>
    <row r="1150" spans="9:10" x14ac:dyDescent="0.25">
      <c r="I1150" s="37"/>
      <c r="J1150" s="35"/>
    </row>
    <row r="1151" spans="9:10" x14ac:dyDescent="0.25">
      <c r="I1151" s="37"/>
      <c r="J1151" s="35"/>
    </row>
    <row r="1152" spans="9:10" x14ac:dyDescent="0.25">
      <c r="I1152" s="37"/>
      <c r="J1152" s="35"/>
    </row>
    <row r="1153" spans="9:10" x14ac:dyDescent="0.25">
      <c r="I1153" s="37"/>
      <c r="J1153" s="35"/>
    </row>
    <row r="1154" spans="9:10" x14ac:dyDescent="0.25">
      <c r="I1154" s="37"/>
      <c r="J1154" s="35"/>
    </row>
    <row r="1155" spans="9:10" x14ac:dyDescent="0.25">
      <c r="I1155" s="37"/>
      <c r="J1155" s="35"/>
    </row>
    <row r="1156" spans="9:10" x14ac:dyDescent="0.25">
      <c r="I1156" s="37"/>
      <c r="J1156" s="35"/>
    </row>
    <row r="1157" spans="9:10" x14ac:dyDescent="0.25">
      <c r="I1157" s="37"/>
      <c r="J1157" s="35"/>
    </row>
    <row r="1158" spans="9:10" x14ac:dyDescent="0.25">
      <c r="I1158" s="37"/>
      <c r="J1158" s="35"/>
    </row>
    <row r="1159" spans="9:10" x14ac:dyDescent="0.25">
      <c r="I1159" s="37"/>
      <c r="J1159" s="35"/>
    </row>
    <row r="1160" spans="9:10" x14ac:dyDescent="0.25">
      <c r="I1160" s="37"/>
      <c r="J1160" s="35"/>
    </row>
    <row r="1161" spans="9:10" x14ac:dyDescent="0.25">
      <c r="I1161" s="37"/>
      <c r="J1161" s="35"/>
    </row>
    <row r="1162" spans="9:10" x14ac:dyDescent="0.25">
      <c r="I1162" s="37"/>
      <c r="J1162" s="35"/>
    </row>
    <row r="1163" spans="9:10" x14ac:dyDescent="0.25">
      <c r="I1163" s="37"/>
      <c r="J1163" s="35"/>
    </row>
    <row r="1164" spans="9:10" x14ac:dyDescent="0.25">
      <c r="I1164" s="37"/>
      <c r="J1164" s="35"/>
    </row>
    <row r="1165" spans="9:10" x14ac:dyDescent="0.25">
      <c r="I1165" s="37"/>
      <c r="J1165" s="35"/>
    </row>
    <row r="1166" spans="9:10" x14ac:dyDescent="0.25">
      <c r="I1166" s="37"/>
      <c r="J1166" s="35"/>
    </row>
    <row r="1167" spans="9:10" x14ac:dyDescent="0.25">
      <c r="I1167" s="37"/>
      <c r="J1167" s="35"/>
    </row>
    <row r="1168" spans="9:10" x14ac:dyDescent="0.25">
      <c r="I1168" s="37"/>
      <c r="J1168" s="35"/>
    </row>
    <row r="1169" spans="9:10" x14ac:dyDescent="0.25">
      <c r="I1169" s="37"/>
      <c r="J1169" s="35"/>
    </row>
    <row r="1170" spans="9:10" x14ac:dyDescent="0.25">
      <c r="I1170" s="37"/>
      <c r="J1170" s="35"/>
    </row>
    <row r="1171" spans="9:10" x14ac:dyDescent="0.25">
      <c r="I1171" s="37"/>
      <c r="J1171" s="35"/>
    </row>
    <row r="1172" spans="9:10" x14ac:dyDescent="0.25">
      <c r="I1172" s="37"/>
      <c r="J1172" s="35"/>
    </row>
    <row r="1173" spans="9:10" x14ac:dyDescent="0.25">
      <c r="I1173" s="37"/>
      <c r="J1173" s="35"/>
    </row>
    <row r="1174" spans="9:10" x14ac:dyDescent="0.25">
      <c r="I1174" s="37"/>
      <c r="J1174" s="35"/>
    </row>
    <row r="1175" spans="9:10" x14ac:dyDescent="0.25">
      <c r="I1175" s="37"/>
      <c r="J1175" s="35"/>
    </row>
    <row r="1176" spans="9:10" x14ac:dyDescent="0.25">
      <c r="I1176" s="37"/>
      <c r="J1176" s="35"/>
    </row>
    <row r="1177" spans="9:10" x14ac:dyDescent="0.25">
      <c r="I1177" s="37"/>
      <c r="J1177" s="35"/>
    </row>
    <row r="1178" spans="9:10" x14ac:dyDescent="0.25">
      <c r="I1178" s="37"/>
      <c r="J1178" s="35"/>
    </row>
    <row r="1179" spans="9:10" x14ac:dyDescent="0.25">
      <c r="I1179" s="37"/>
      <c r="J1179" s="35"/>
    </row>
    <row r="1180" spans="9:10" x14ac:dyDescent="0.25">
      <c r="I1180" s="37"/>
      <c r="J1180" s="35"/>
    </row>
    <row r="1181" spans="9:10" x14ac:dyDescent="0.25">
      <c r="I1181" s="37"/>
      <c r="J1181" s="35"/>
    </row>
    <row r="1182" spans="9:10" x14ac:dyDescent="0.25">
      <c r="I1182" s="37"/>
      <c r="J1182" s="35"/>
    </row>
    <row r="1183" spans="9:10" x14ac:dyDescent="0.25">
      <c r="I1183" s="37"/>
      <c r="J1183" s="35"/>
    </row>
    <row r="1184" spans="9:10" x14ac:dyDescent="0.25">
      <c r="I1184" s="37"/>
      <c r="J1184" s="35"/>
    </row>
    <row r="1185" spans="9:10" x14ac:dyDescent="0.25">
      <c r="I1185" s="37"/>
      <c r="J1185" s="35"/>
    </row>
    <row r="1186" spans="9:10" x14ac:dyDescent="0.25">
      <c r="I1186" s="37"/>
      <c r="J1186" s="35"/>
    </row>
    <row r="1187" spans="9:10" x14ac:dyDescent="0.25">
      <c r="I1187" s="37"/>
      <c r="J1187" s="35"/>
    </row>
    <row r="1188" spans="9:10" x14ac:dyDescent="0.25">
      <c r="I1188" s="37"/>
      <c r="J1188" s="35"/>
    </row>
    <row r="1189" spans="9:10" x14ac:dyDescent="0.25">
      <c r="I1189" s="37"/>
      <c r="J1189" s="35"/>
    </row>
    <row r="1190" spans="9:10" x14ac:dyDescent="0.25">
      <c r="I1190" s="37"/>
      <c r="J1190" s="35"/>
    </row>
    <row r="1191" spans="9:10" x14ac:dyDescent="0.25">
      <c r="I1191" s="37"/>
      <c r="J1191" s="35"/>
    </row>
    <row r="1192" spans="9:10" x14ac:dyDescent="0.25">
      <c r="I1192" s="37"/>
      <c r="J1192" s="35"/>
    </row>
    <row r="1193" spans="9:10" x14ac:dyDescent="0.25">
      <c r="I1193" s="37"/>
      <c r="J1193" s="35"/>
    </row>
    <row r="1194" spans="9:10" x14ac:dyDescent="0.25">
      <c r="I1194" s="37"/>
      <c r="J1194" s="35"/>
    </row>
    <row r="1195" spans="9:10" x14ac:dyDescent="0.25">
      <c r="I1195" s="37"/>
      <c r="J1195" s="35"/>
    </row>
    <row r="1196" spans="9:10" x14ac:dyDescent="0.25">
      <c r="I1196" s="37"/>
      <c r="J1196" s="35"/>
    </row>
    <row r="1197" spans="9:10" x14ac:dyDescent="0.25">
      <c r="I1197" s="37"/>
      <c r="J1197" s="35"/>
    </row>
    <row r="1198" spans="9:10" x14ac:dyDescent="0.25">
      <c r="I1198" s="37"/>
      <c r="J1198" s="35"/>
    </row>
    <row r="1199" spans="9:10" x14ac:dyDescent="0.25">
      <c r="I1199" s="37"/>
      <c r="J1199" s="35"/>
    </row>
    <row r="1200" spans="9:10" x14ac:dyDescent="0.25">
      <c r="I1200" s="37"/>
      <c r="J1200" s="35"/>
    </row>
    <row r="1201" spans="9:10" x14ac:dyDescent="0.25">
      <c r="I1201" s="37"/>
      <c r="J1201" s="35"/>
    </row>
    <row r="1202" spans="9:10" x14ac:dyDescent="0.25">
      <c r="I1202" s="37"/>
      <c r="J1202" s="35"/>
    </row>
    <row r="1203" spans="9:10" x14ac:dyDescent="0.25">
      <c r="I1203" s="37"/>
      <c r="J1203" s="35"/>
    </row>
    <row r="1204" spans="9:10" x14ac:dyDescent="0.25">
      <c r="I1204" s="37"/>
      <c r="J1204" s="35"/>
    </row>
    <row r="1205" spans="9:10" x14ac:dyDescent="0.25">
      <c r="I1205" s="37"/>
      <c r="J1205" s="35"/>
    </row>
    <row r="1206" spans="9:10" x14ac:dyDescent="0.25">
      <c r="I1206" s="37"/>
      <c r="J1206" s="35"/>
    </row>
    <row r="1207" spans="9:10" x14ac:dyDescent="0.25">
      <c r="I1207" s="37"/>
      <c r="J1207" s="35"/>
    </row>
    <row r="1208" spans="9:10" x14ac:dyDescent="0.25">
      <c r="I1208" s="37"/>
      <c r="J1208" s="35"/>
    </row>
    <row r="1209" spans="9:10" x14ac:dyDescent="0.25">
      <c r="I1209" s="37"/>
      <c r="J1209" s="35"/>
    </row>
    <row r="1210" spans="9:10" x14ac:dyDescent="0.25">
      <c r="I1210" s="37"/>
      <c r="J1210" s="35"/>
    </row>
    <row r="1211" spans="9:10" x14ac:dyDescent="0.25">
      <c r="I1211" s="37"/>
      <c r="J1211" s="35"/>
    </row>
    <row r="1212" spans="9:10" x14ac:dyDescent="0.25">
      <c r="I1212" s="37"/>
      <c r="J1212" s="35"/>
    </row>
    <row r="1213" spans="9:10" x14ac:dyDescent="0.25">
      <c r="I1213" s="37"/>
      <c r="J1213" s="35"/>
    </row>
    <row r="1214" spans="9:10" x14ac:dyDescent="0.25">
      <c r="I1214" s="37"/>
      <c r="J1214" s="35"/>
    </row>
    <row r="1215" spans="9:10" x14ac:dyDescent="0.25">
      <c r="I1215" s="37"/>
      <c r="J1215" s="35"/>
    </row>
    <row r="1216" spans="9:10" x14ac:dyDescent="0.25">
      <c r="I1216" s="37"/>
      <c r="J1216" s="35"/>
    </row>
    <row r="1217" spans="9:10" x14ac:dyDescent="0.25">
      <c r="I1217" s="37"/>
      <c r="J1217" s="35"/>
    </row>
    <row r="1218" spans="9:10" x14ac:dyDescent="0.25">
      <c r="I1218" s="37"/>
      <c r="J1218" s="35"/>
    </row>
    <row r="1219" spans="9:10" x14ac:dyDescent="0.25">
      <c r="I1219" s="37"/>
      <c r="J1219" s="35"/>
    </row>
    <row r="1220" spans="9:10" x14ac:dyDescent="0.25">
      <c r="I1220" s="37"/>
      <c r="J1220" s="35"/>
    </row>
    <row r="1221" spans="9:10" x14ac:dyDescent="0.25">
      <c r="I1221" s="37"/>
      <c r="J1221" s="35"/>
    </row>
    <row r="1222" spans="9:10" x14ac:dyDescent="0.25">
      <c r="I1222" s="37"/>
      <c r="J1222" s="35"/>
    </row>
    <row r="1223" spans="9:10" x14ac:dyDescent="0.25">
      <c r="I1223" s="37"/>
      <c r="J1223" s="35"/>
    </row>
    <row r="1224" spans="9:10" x14ac:dyDescent="0.25">
      <c r="I1224" s="37"/>
      <c r="J1224" s="35"/>
    </row>
    <row r="1225" spans="9:10" x14ac:dyDescent="0.25">
      <c r="I1225" s="37"/>
      <c r="J1225" s="35"/>
    </row>
    <row r="1226" spans="9:10" x14ac:dyDescent="0.25">
      <c r="I1226" s="37"/>
      <c r="J1226" s="35"/>
    </row>
    <row r="1227" spans="9:10" x14ac:dyDescent="0.25">
      <c r="I1227" s="37"/>
      <c r="J1227" s="35"/>
    </row>
    <row r="1228" spans="9:10" x14ac:dyDescent="0.25">
      <c r="I1228" s="37"/>
      <c r="J1228" s="35"/>
    </row>
    <row r="1229" spans="9:10" x14ac:dyDescent="0.25">
      <c r="I1229" s="37"/>
      <c r="J1229" s="35"/>
    </row>
    <row r="1230" spans="9:10" x14ac:dyDescent="0.25">
      <c r="I1230" s="37"/>
      <c r="J1230" s="35"/>
    </row>
    <row r="1231" spans="9:10" x14ac:dyDescent="0.25">
      <c r="I1231" s="37"/>
      <c r="J1231" s="35"/>
    </row>
    <row r="1232" spans="9:10" x14ac:dyDescent="0.25">
      <c r="I1232" s="37"/>
      <c r="J1232" s="35"/>
    </row>
    <row r="1233" spans="9:10" x14ac:dyDescent="0.25">
      <c r="I1233" s="37"/>
      <c r="J1233" s="35"/>
    </row>
    <row r="1234" spans="9:10" x14ac:dyDescent="0.25">
      <c r="I1234" s="37"/>
      <c r="J1234" s="35"/>
    </row>
    <row r="1235" spans="9:10" x14ac:dyDescent="0.25">
      <c r="I1235" s="37"/>
      <c r="J1235" s="35"/>
    </row>
    <row r="1236" spans="9:10" x14ac:dyDescent="0.25">
      <c r="I1236" s="37"/>
      <c r="J1236" s="35"/>
    </row>
    <row r="1237" spans="9:10" x14ac:dyDescent="0.25">
      <c r="I1237" s="37"/>
      <c r="J1237" s="35"/>
    </row>
    <row r="1238" spans="9:10" x14ac:dyDescent="0.25">
      <c r="I1238" s="37"/>
      <c r="J1238" s="35"/>
    </row>
    <row r="1239" spans="9:10" x14ac:dyDescent="0.25">
      <c r="I1239" s="37"/>
      <c r="J1239" s="35"/>
    </row>
    <row r="1240" spans="9:10" x14ac:dyDescent="0.25">
      <c r="I1240" s="37"/>
      <c r="J1240" s="35"/>
    </row>
    <row r="1241" spans="9:10" x14ac:dyDescent="0.25">
      <c r="I1241" s="37"/>
      <c r="J1241" s="35"/>
    </row>
    <row r="1242" spans="9:10" x14ac:dyDescent="0.25">
      <c r="I1242" s="37"/>
      <c r="J1242" s="35"/>
    </row>
    <row r="1243" spans="9:10" x14ac:dyDescent="0.25">
      <c r="I1243" s="37"/>
      <c r="J1243" s="35"/>
    </row>
    <row r="1244" spans="9:10" x14ac:dyDescent="0.25">
      <c r="I1244" s="37"/>
      <c r="J1244" s="35"/>
    </row>
    <row r="1245" spans="9:10" x14ac:dyDescent="0.25">
      <c r="I1245" s="37"/>
      <c r="J1245" s="35"/>
    </row>
    <row r="1246" spans="9:10" x14ac:dyDescent="0.25">
      <c r="I1246" s="37"/>
      <c r="J1246" s="35"/>
    </row>
    <row r="1247" spans="9:10" x14ac:dyDescent="0.25">
      <c r="I1247" s="37"/>
      <c r="J1247" s="35"/>
    </row>
    <row r="1248" spans="9:10" x14ac:dyDescent="0.25">
      <c r="I1248" s="37"/>
      <c r="J1248" s="35"/>
    </row>
    <row r="1249" spans="9:10" x14ac:dyDescent="0.25">
      <c r="I1249" s="37"/>
      <c r="J1249" s="35"/>
    </row>
    <row r="1250" spans="9:10" x14ac:dyDescent="0.25">
      <c r="I1250" s="37"/>
      <c r="J1250" s="35"/>
    </row>
    <row r="1251" spans="9:10" x14ac:dyDescent="0.25">
      <c r="I1251" s="37"/>
      <c r="J1251" s="35"/>
    </row>
    <row r="1252" spans="9:10" x14ac:dyDescent="0.25">
      <c r="I1252" s="37"/>
      <c r="J1252" s="35"/>
    </row>
    <row r="1253" spans="9:10" x14ac:dyDescent="0.25">
      <c r="I1253" s="37"/>
      <c r="J1253" s="35"/>
    </row>
    <row r="1254" spans="9:10" x14ac:dyDescent="0.25">
      <c r="I1254" s="37"/>
      <c r="J1254" s="35"/>
    </row>
    <row r="1255" spans="9:10" x14ac:dyDescent="0.25">
      <c r="I1255" s="37"/>
      <c r="J1255" s="35"/>
    </row>
    <row r="1256" spans="9:10" x14ac:dyDescent="0.25">
      <c r="I1256" s="37"/>
      <c r="J1256" s="35"/>
    </row>
    <row r="1257" spans="9:10" x14ac:dyDescent="0.25">
      <c r="I1257" s="37"/>
      <c r="J1257" s="35"/>
    </row>
    <row r="1258" spans="9:10" x14ac:dyDescent="0.25">
      <c r="I1258" s="37"/>
      <c r="J1258" s="35"/>
    </row>
    <row r="1259" spans="9:10" x14ac:dyDescent="0.25">
      <c r="I1259" s="37"/>
      <c r="J1259" s="35"/>
    </row>
    <row r="1260" spans="9:10" x14ac:dyDescent="0.25">
      <c r="I1260" s="37"/>
      <c r="J1260" s="35"/>
    </row>
    <row r="1261" spans="9:10" x14ac:dyDescent="0.25">
      <c r="I1261" s="37"/>
      <c r="J1261" s="35"/>
    </row>
    <row r="1262" spans="9:10" x14ac:dyDescent="0.25">
      <c r="I1262" s="37"/>
      <c r="J1262" s="35"/>
    </row>
    <row r="1263" spans="9:10" x14ac:dyDescent="0.25">
      <c r="I1263" s="37"/>
      <c r="J1263" s="35"/>
    </row>
    <row r="1264" spans="9:10" x14ac:dyDescent="0.25">
      <c r="I1264" s="37"/>
      <c r="J1264" s="35"/>
    </row>
    <row r="1265" spans="9:10" x14ac:dyDescent="0.25">
      <c r="I1265" s="37"/>
      <c r="J1265" s="35"/>
    </row>
    <row r="1266" spans="9:10" x14ac:dyDescent="0.25">
      <c r="I1266" s="37"/>
      <c r="J1266" s="35"/>
    </row>
    <row r="1267" spans="9:10" x14ac:dyDescent="0.25">
      <c r="I1267" s="37"/>
      <c r="J1267" s="35"/>
    </row>
    <row r="1268" spans="9:10" x14ac:dyDescent="0.25">
      <c r="I1268" s="37"/>
      <c r="J1268" s="35"/>
    </row>
    <row r="1269" spans="9:10" x14ac:dyDescent="0.25">
      <c r="I1269" s="37"/>
      <c r="J1269" s="35"/>
    </row>
    <row r="1270" spans="9:10" x14ac:dyDescent="0.25">
      <c r="I1270" s="37"/>
      <c r="J1270" s="35"/>
    </row>
    <row r="1271" spans="9:10" x14ac:dyDescent="0.25">
      <c r="I1271" s="37"/>
      <c r="J1271" s="35"/>
    </row>
    <row r="1272" spans="9:10" x14ac:dyDescent="0.25">
      <c r="I1272" s="37"/>
      <c r="J1272" s="35"/>
    </row>
    <row r="1273" spans="9:10" x14ac:dyDescent="0.25">
      <c r="I1273" s="37"/>
      <c r="J1273" s="35"/>
    </row>
    <row r="1274" spans="9:10" x14ac:dyDescent="0.25">
      <c r="I1274" s="37"/>
      <c r="J1274" s="35"/>
    </row>
    <row r="1275" spans="9:10" x14ac:dyDescent="0.25">
      <c r="I1275" s="37"/>
      <c r="J1275" s="35"/>
    </row>
    <row r="1276" spans="9:10" x14ac:dyDescent="0.25">
      <c r="I1276" s="37"/>
      <c r="J1276" s="35"/>
    </row>
    <row r="1277" spans="9:10" x14ac:dyDescent="0.25">
      <c r="I1277" s="37"/>
      <c r="J1277" s="35"/>
    </row>
    <row r="1278" spans="9:10" x14ac:dyDescent="0.25">
      <c r="I1278" s="37"/>
      <c r="J1278" s="35"/>
    </row>
    <row r="1279" spans="9:10" x14ac:dyDescent="0.25">
      <c r="I1279" s="37"/>
      <c r="J1279" s="35"/>
    </row>
    <row r="1280" spans="9:10" x14ac:dyDescent="0.25">
      <c r="I1280" s="37"/>
      <c r="J1280" s="35"/>
    </row>
    <row r="1281" spans="9:10" x14ac:dyDescent="0.25">
      <c r="I1281" s="37"/>
      <c r="J1281" s="35"/>
    </row>
    <row r="1282" spans="9:10" x14ac:dyDescent="0.25">
      <c r="I1282" s="37"/>
      <c r="J1282" s="35"/>
    </row>
    <row r="1283" spans="9:10" x14ac:dyDescent="0.25">
      <c r="I1283" s="37"/>
      <c r="J1283" s="35"/>
    </row>
    <row r="1284" spans="9:10" x14ac:dyDescent="0.25">
      <c r="I1284" s="37"/>
      <c r="J1284" s="35"/>
    </row>
    <row r="1285" spans="9:10" x14ac:dyDescent="0.25">
      <c r="I1285" s="37"/>
      <c r="J1285" s="35"/>
    </row>
    <row r="1286" spans="9:10" x14ac:dyDescent="0.25">
      <c r="I1286" s="37"/>
      <c r="J1286" s="35"/>
    </row>
    <row r="1287" spans="9:10" x14ac:dyDescent="0.25">
      <c r="I1287" s="37"/>
      <c r="J1287" s="35"/>
    </row>
    <row r="1288" spans="9:10" x14ac:dyDescent="0.25">
      <c r="I1288" s="37"/>
      <c r="J1288" s="35"/>
    </row>
    <row r="1289" spans="9:10" x14ac:dyDescent="0.25">
      <c r="I1289" s="37"/>
      <c r="J1289" s="35"/>
    </row>
    <row r="1290" spans="9:10" x14ac:dyDescent="0.25">
      <c r="I1290" s="37"/>
      <c r="J1290" s="35"/>
    </row>
    <row r="1291" spans="9:10" x14ac:dyDescent="0.25">
      <c r="I1291" s="37"/>
      <c r="J1291" s="35"/>
    </row>
    <row r="1292" spans="9:10" x14ac:dyDescent="0.25">
      <c r="I1292" s="37"/>
      <c r="J1292" s="35"/>
    </row>
    <row r="1293" spans="9:10" x14ac:dyDescent="0.25">
      <c r="I1293" s="37"/>
      <c r="J1293" s="35"/>
    </row>
    <row r="1294" spans="9:10" x14ac:dyDescent="0.25">
      <c r="I1294" s="37"/>
      <c r="J1294" s="35"/>
    </row>
    <row r="1295" spans="9:10" x14ac:dyDescent="0.25">
      <c r="I1295" s="37"/>
      <c r="J1295" s="35"/>
    </row>
    <row r="1296" spans="9:10" x14ac:dyDescent="0.25">
      <c r="I1296" s="37"/>
      <c r="J1296" s="35"/>
    </row>
    <row r="1297" spans="9:10" x14ac:dyDescent="0.25">
      <c r="I1297" s="37"/>
      <c r="J1297" s="35"/>
    </row>
    <row r="1298" spans="9:10" x14ac:dyDescent="0.25">
      <c r="I1298" s="37"/>
      <c r="J1298" s="35"/>
    </row>
    <row r="1299" spans="9:10" x14ac:dyDescent="0.25">
      <c r="I1299" s="37"/>
      <c r="J1299" s="35"/>
    </row>
    <row r="1300" spans="9:10" x14ac:dyDescent="0.25">
      <c r="I1300" s="37"/>
      <c r="J1300" s="35"/>
    </row>
    <row r="1301" spans="9:10" x14ac:dyDescent="0.25">
      <c r="I1301" s="37"/>
      <c r="J1301" s="35"/>
    </row>
    <row r="1302" spans="9:10" x14ac:dyDescent="0.25">
      <c r="I1302" s="37"/>
      <c r="J1302" s="35"/>
    </row>
    <row r="1303" spans="9:10" x14ac:dyDescent="0.25">
      <c r="I1303" s="37"/>
      <c r="J1303" s="35"/>
    </row>
    <row r="1304" spans="9:10" x14ac:dyDescent="0.25">
      <c r="I1304" s="37"/>
      <c r="J1304" s="35"/>
    </row>
    <row r="1305" spans="9:10" x14ac:dyDescent="0.25">
      <c r="I1305" s="37"/>
      <c r="J1305" s="35"/>
    </row>
    <row r="1306" spans="9:10" x14ac:dyDescent="0.25">
      <c r="I1306" s="37"/>
      <c r="J1306" s="35"/>
    </row>
    <row r="1307" spans="9:10" x14ac:dyDescent="0.25">
      <c r="I1307" s="37"/>
      <c r="J1307" s="35"/>
    </row>
    <row r="1308" spans="9:10" x14ac:dyDescent="0.25">
      <c r="I1308" s="37"/>
      <c r="J1308" s="35"/>
    </row>
    <row r="1309" spans="9:10" x14ac:dyDescent="0.25">
      <c r="I1309" s="37"/>
      <c r="J1309" s="35"/>
    </row>
    <row r="1310" spans="9:10" x14ac:dyDescent="0.25">
      <c r="I1310" s="37"/>
      <c r="J1310" s="35"/>
    </row>
    <row r="1311" spans="9:10" x14ac:dyDescent="0.25">
      <c r="I1311" s="37"/>
      <c r="J1311" s="35"/>
    </row>
    <row r="1312" spans="9:10" x14ac:dyDescent="0.25">
      <c r="I1312" s="37"/>
      <c r="J1312" s="35"/>
    </row>
    <row r="1313" spans="9:10" x14ac:dyDescent="0.25">
      <c r="I1313" s="37"/>
      <c r="J1313" s="35"/>
    </row>
    <row r="1314" spans="9:10" x14ac:dyDescent="0.25">
      <c r="I1314" s="37"/>
      <c r="J1314" s="35"/>
    </row>
    <row r="1315" spans="9:10" x14ac:dyDescent="0.25">
      <c r="I1315" s="37"/>
      <c r="J1315" s="35"/>
    </row>
    <row r="1316" spans="9:10" x14ac:dyDescent="0.25">
      <c r="I1316" s="37"/>
      <c r="J1316" s="35"/>
    </row>
    <row r="1317" spans="9:10" x14ac:dyDescent="0.25">
      <c r="I1317" s="37"/>
      <c r="J1317" s="35"/>
    </row>
    <row r="1318" spans="9:10" x14ac:dyDescent="0.25">
      <c r="I1318" s="37"/>
      <c r="J1318" s="35"/>
    </row>
    <row r="1319" spans="9:10" x14ac:dyDescent="0.25">
      <c r="I1319" s="37"/>
      <c r="J1319" s="35"/>
    </row>
    <row r="1320" spans="9:10" x14ac:dyDescent="0.25">
      <c r="I1320" s="37"/>
      <c r="J1320" s="35"/>
    </row>
    <row r="1321" spans="9:10" x14ac:dyDescent="0.25">
      <c r="I1321" s="37"/>
      <c r="J1321" s="35"/>
    </row>
    <row r="1322" spans="9:10" x14ac:dyDescent="0.25">
      <c r="I1322" s="37"/>
      <c r="J1322" s="35"/>
    </row>
    <row r="1323" spans="9:10" x14ac:dyDescent="0.25">
      <c r="I1323" s="37"/>
      <c r="J1323" s="35"/>
    </row>
    <row r="1324" spans="9:10" x14ac:dyDescent="0.25">
      <c r="I1324" s="37"/>
      <c r="J1324" s="35"/>
    </row>
    <row r="1325" spans="9:10" x14ac:dyDescent="0.25">
      <c r="I1325" s="37"/>
      <c r="J1325" s="35"/>
    </row>
    <row r="1326" spans="9:10" x14ac:dyDescent="0.25">
      <c r="I1326" s="37"/>
      <c r="J1326" s="35"/>
    </row>
    <row r="1327" spans="9:10" x14ac:dyDescent="0.25">
      <c r="I1327" s="37"/>
      <c r="J1327" s="35"/>
    </row>
    <row r="1328" spans="9:10" x14ac:dyDescent="0.25">
      <c r="I1328" s="37"/>
      <c r="J1328" s="35"/>
    </row>
    <row r="1329" spans="9:10" x14ac:dyDescent="0.25">
      <c r="I1329" s="37"/>
      <c r="J1329" s="35"/>
    </row>
    <row r="1330" spans="9:10" x14ac:dyDescent="0.25">
      <c r="I1330" s="37"/>
      <c r="J1330" s="35"/>
    </row>
    <row r="1331" spans="9:10" x14ac:dyDescent="0.25">
      <c r="I1331" s="37"/>
      <c r="J1331" s="35"/>
    </row>
    <row r="1332" spans="9:10" x14ac:dyDescent="0.25">
      <c r="I1332" s="37"/>
      <c r="J1332" s="35"/>
    </row>
    <row r="1333" spans="9:10" x14ac:dyDescent="0.25">
      <c r="I1333" s="37"/>
      <c r="J1333" s="35"/>
    </row>
  </sheetData>
  <mergeCells count="18">
    <mergeCell ref="T2:U2"/>
    <mergeCell ref="J2:K2"/>
    <mergeCell ref="L2:M2"/>
    <mergeCell ref="N2:O2"/>
    <mergeCell ref="P2:Q2"/>
    <mergeCell ref="R2:S2"/>
    <mergeCell ref="T29:U29"/>
    <mergeCell ref="J17:K17"/>
    <mergeCell ref="L17:M17"/>
    <mergeCell ref="N17:O17"/>
    <mergeCell ref="P17:Q17"/>
    <mergeCell ref="R17:S17"/>
    <mergeCell ref="T17:U17"/>
    <mergeCell ref="J29:K29"/>
    <mergeCell ref="L29:M29"/>
    <mergeCell ref="N29:O29"/>
    <mergeCell ref="P29:Q29"/>
    <mergeCell ref="R29:S29"/>
  </mergeCells>
  <conditionalFormatting sqref="AE3:AI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8:AI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0:AI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9EA5-2ED6-4BB0-BD0F-07C902C9655C}">
  <dimension ref="B1:AJ1333"/>
  <sheetViews>
    <sheetView workbookViewId="0">
      <selection activeCell="U11" sqref="U11"/>
    </sheetView>
  </sheetViews>
  <sheetFormatPr defaultRowHeight="15" outlineLevelRow="1" outlineLevelCol="1" x14ac:dyDescent="0.25"/>
  <cols>
    <col min="1" max="1" width="2.5703125" customWidth="1"/>
    <col min="2" max="2" width="25.140625" bestFit="1" customWidth="1"/>
    <col min="3" max="3" width="24.28515625" style="11" customWidth="1" outlineLevel="1"/>
    <col min="4" max="4" width="9.42578125" style="6" customWidth="1"/>
    <col min="5" max="5" width="16.85546875" style="11" hidden="1" customWidth="1" outlineLevel="1"/>
    <col min="6" max="6" width="9.28515625" style="6" customWidth="1" collapsed="1"/>
    <col min="7" max="7" width="19.5703125" style="11" hidden="1" customWidth="1" outlineLevel="1"/>
    <col min="8" max="8" width="9.140625" style="6" collapsed="1"/>
    <col min="9" max="9" width="19.5703125" style="11" hidden="1" customWidth="1" outlineLevel="1"/>
    <col min="10" max="10" width="8.140625" style="6" bestFit="1" customWidth="1" collapsed="1"/>
    <col min="11" max="11" width="18" style="11" hidden="1" customWidth="1" outlineLevel="1"/>
    <col min="12" max="12" width="7.140625" style="5" bestFit="1" customWidth="1" collapsed="1"/>
    <col min="13" max="13" width="19.5703125" style="10" hidden="1" customWidth="1" outlineLevel="1"/>
    <col min="14" max="14" width="8.140625" style="10" bestFit="1" customWidth="1" collapsed="1"/>
    <col min="15" max="15" width="19.5703125" style="10" hidden="1" customWidth="1" outlineLevel="1"/>
    <col min="16" max="16" width="2.5703125" customWidth="1" collapsed="1"/>
    <col min="17" max="18" width="7.140625" hidden="1" customWidth="1" outlineLevel="1"/>
    <col min="19" max="19" width="17.85546875" bestFit="1" customWidth="1" collapsed="1"/>
    <col min="20" max="21" width="17.85546875" bestFit="1" customWidth="1"/>
    <col min="22" max="23" width="15.140625" bestFit="1" customWidth="1"/>
    <col min="24" max="24" width="2.5703125" customWidth="1"/>
    <col min="25" max="25" width="7.85546875" bestFit="1" customWidth="1"/>
    <col min="26" max="26" width="11.140625" bestFit="1" customWidth="1"/>
    <col min="27" max="27" width="13.28515625" bestFit="1" customWidth="1"/>
    <col min="28" max="28" width="7.85546875" bestFit="1" customWidth="1"/>
    <col min="29" max="29" width="8.140625" bestFit="1" customWidth="1"/>
    <col min="30" max="30" width="2.5703125" customWidth="1"/>
    <col min="31" max="31" width="16.85546875" bestFit="1" customWidth="1"/>
    <col min="32" max="32" width="7.7109375" bestFit="1" customWidth="1"/>
    <col min="33" max="33" width="2.5703125" customWidth="1"/>
    <col min="35" max="35" width="16.28515625" bestFit="1" customWidth="1"/>
  </cols>
  <sheetData>
    <row r="1" spans="2:36" ht="9" customHeight="1" x14ac:dyDescent="0.25"/>
    <row r="2" spans="2:36" x14ac:dyDescent="0.25">
      <c r="B2" s="4" t="s">
        <v>1</v>
      </c>
      <c r="C2" s="9" t="s">
        <v>4</v>
      </c>
      <c r="D2" s="112" t="s">
        <v>7</v>
      </c>
      <c r="E2" s="112"/>
      <c r="F2" s="112" t="s">
        <v>8</v>
      </c>
      <c r="G2" s="112"/>
      <c r="H2" s="112" t="s">
        <v>10</v>
      </c>
      <c r="I2" s="112"/>
      <c r="J2" s="112" t="s">
        <v>9</v>
      </c>
      <c r="K2" s="112"/>
      <c r="L2" s="112" t="s">
        <v>21</v>
      </c>
      <c r="M2" s="112"/>
      <c r="N2" s="112" t="s">
        <v>55</v>
      </c>
      <c r="O2" s="112"/>
      <c r="Q2" s="1" t="s">
        <v>46</v>
      </c>
      <c r="S2" s="27" t="s">
        <v>49</v>
      </c>
      <c r="T2" s="27" t="s">
        <v>50</v>
      </c>
      <c r="U2" s="27" t="s">
        <v>51</v>
      </c>
      <c r="V2" s="27" t="s">
        <v>52</v>
      </c>
      <c r="W2" s="27" t="s">
        <v>53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75" t="s">
        <v>60</v>
      </c>
      <c r="AF2" s="75" t="s">
        <v>61</v>
      </c>
      <c r="AH2" s="1"/>
      <c r="AI2" s="1" t="s">
        <v>20</v>
      </c>
      <c r="AJ2" s="1"/>
    </row>
    <row r="3" spans="2:36" x14ac:dyDescent="0.25">
      <c r="B3" s="21" t="s">
        <v>5</v>
      </c>
      <c r="C3" s="80">
        <v>395501132.95999998</v>
      </c>
      <c r="D3" s="81">
        <f>42.1%+1.2%</f>
        <v>0.43300000000000005</v>
      </c>
      <c r="E3" s="80">
        <f>$C3*D3</f>
        <v>171251990.57168001</v>
      </c>
      <c r="F3" s="81">
        <f>9.9%+9.3%+4%+0.8%+0.6%</f>
        <v>0.24600000000000002</v>
      </c>
      <c r="G3" s="80">
        <f>$C3*F3</f>
        <v>97293278.708159998</v>
      </c>
      <c r="H3" s="81">
        <v>0.29499999999999998</v>
      </c>
      <c r="I3" s="80">
        <f>$C3*H3</f>
        <v>116672834.22319999</v>
      </c>
      <c r="J3" s="81">
        <v>3.5000000000000003E-2</v>
      </c>
      <c r="K3" s="80">
        <f>$C3*J3</f>
        <v>13842539.6536</v>
      </c>
      <c r="L3" s="82"/>
      <c r="M3" s="80">
        <f>$C3*L3</f>
        <v>0</v>
      </c>
      <c r="N3" s="81">
        <v>-8.9999999999999993E-3</v>
      </c>
      <c r="O3" s="65">
        <f>$C3*N3</f>
        <v>-3559510.1966399997</v>
      </c>
      <c r="S3" s="12">
        <f>E3-'Abr24'!E3</f>
        <v>9503918.6514900029</v>
      </c>
      <c r="T3" s="12">
        <f>G3-'Abr24'!G3</f>
        <v>6040734.5013699979</v>
      </c>
      <c r="U3" s="12">
        <f>I3-'Abr24'!I3</f>
        <v>-8652548.3784000129</v>
      </c>
      <c r="V3" s="12">
        <f>K3-'Abr24'!K3</f>
        <v>135075.931549998</v>
      </c>
      <c r="W3" s="12">
        <f>+M3-'Abr24'!M3</f>
        <v>0</v>
      </c>
      <c r="Y3" s="28">
        <f>D3-'Abr24'!D3</f>
        <v>2.0000000000000018E-2</v>
      </c>
      <c r="Z3" s="28">
        <f>F3-'Abr24'!F3</f>
        <v>1.3000000000000039E-2</v>
      </c>
      <c r="AA3" s="28">
        <f>H3-'Abr24'!H3</f>
        <v>-2.5000000000000022E-2</v>
      </c>
      <c r="AB3" s="28">
        <f>J3-'Abr24'!J3</f>
        <v>0</v>
      </c>
      <c r="AC3" s="28">
        <f>L3-'Abr24'!L3</f>
        <v>0</v>
      </c>
      <c r="AE3" s="10">
        <f>C3-'Abr24'!C3</f>
        <v>3859312.3299999833</v>
      </c>
      <c r="AF3" s="76">
        <f>C3/'Abr24'!C3-1</f>
        <v>9.8541885128402562E-3</v>
      </c>
      <c r="AH3" t="s">
        <v>11</v>
      </c>
      <c r="AI3" s="2" t="s">
        <v>10</v>
      </c>
      <c r="AJ3" t="s">
        <v>7</v>
      </c>
    </row>
    <row r="4" spans="2:36" x14ac:dyDescent="0.25">
      <c r="B4" s="3" t="s">
        <v>0</v>
      </c>
      <c r="C4" s="78">
        <v>1382562204</v>
      </c>
      <c r="D4" s="77">
        <v>0.38</v>
      </c>
      <c r="E4" s="57">
        <f>$C4*D4</f>
        <v>525373637.51999998</v>
      </c>
      <c r="F4" s="77">
        <f>7%+3%+2%+2%</f>
        <v>0.14000000000000001</v>
      </c>
      <c r="G4" s="57">
        <f>$C4*F4</f>
        <v>193558708.56000003</v>
      </c>
      <c r="H4" s="77">
        <f>40%+1%</f>
        <v>0.41000000000000003</v>
      </c>
      <c r="I4" s="57">
        <f>$C4*H4</f>
        <v>566850503.63999999</v>
      </c>
      <c r="J4" s="77">
        <f>7%</f>
        <v>7.0000000000000007E-2</v>
      </c>
      <c r="K4" s="57">
        <f>$C4*J4</f>
        <v>96779354.280000016</v>
      </c>
      <c r="L4" s="77"/>
      <c r="M4" s="57">
        <f>$C4*L4</f>
        <v>0</v>
      </c>
      <c r="N4" s="77"/>
      <c r="O4" s="57">
        <f>$C4*N4</f>
        <v>0</v>
      </c>
      <c r="S4" s="12">
        <f>E4-'Abr24'!E4</f>
        <v>-49106840.080000043</v>
      </c>
      <c r="T4" s="12">
        <f>G4-'Abr24'!G4</f>
        <v>-7509458.599999994</v>
      </c>
      <c r="U4" s="12">
        <f>I4-'Abr24'!I4</f>
        <v>-7629973.9600000381</v>
      </c>
      <c r="V4" s="12">
        <f>K4-'Abr24'!K4</f>
        <v>10607282.640000015</v>
      </c>
      <c r="W4" s="12">
        <f>+M4-'Abr24'!M4</f>
        <v>0</v>
      </c>
      <c r="Y4" s="28">
        <f>D4-'Abr24'!D4</f>
        <v>-2.0000000000000018E-2</v>
      </c>
      <c r="Z4" s="28">
        <f>F4-'Abr24'!F4</f>
        <v>0</v>
      </c>
      <c r="AA4" s="28">
        <f>H4-'Abr24'!H4</f>
        <v>1.0000000000000009E-2</v>
      </c>
      <c r="AB4" s="28">
        <f>J4-'Abr24'!J4</f>
        <v>1.0000000000000009E-2</v>
      </c>
      <c r="AC4" s="28">
        <f>L4-'Abr24'!L4</f>
        <v>0</v>
      </c>
      <c r="AE4" s="10">
        <f>C4-'Abr24'!C4</f>
        <v>-53638990</v>
      </c>
      <c r="AF4" s="76">
        <f>C4/'Abr24'!C4-1</f>
        <v>-3.7347824402379604E-2</v>
      </c>
      <c r="AH4" t="s">
        <v>12</v>
      </c>
      <c r="AI4" s="2" t="s">
        <v>16</v>
      </c>
      <c r="AJ4" t="s">
        <v>58</v>
      </c>
    </row>
    <row r="5" spans="2:36" x14ac:dyDescent="0.25">
      <c r="B5" s="3" t="s">
        <v>3</v>
      </c>
      <c r="C5" s="78">
        <v>817133692.07000005</v>
      </c>
      <c r="D5" s="77">
        <v>0.54</v>
      </c>
      <c r="E5" s="78">
        <f t="shared" ref="E5:G14" si="0">$C5*D5</f>
        <v>441252193.71780008</v>
      </c>
      <c r="F5" s="77">
        <v>0.03</v>
      </c>
      <c r="G5" s="78">
        <f t="shared" si="0"/>
        <v>24514010.7621</v>
      </c>
      <c r="H5" s="77">
        <v>0.25</v>
      </c>
      <c r="I5" s="78">
        <f t="shared" ref="I5:I14" si="1">$C5*H5</f>
        <v>204283423.01750001</v>
      </c>
      <c r="J5" s="77">
        <v>0.05</v>
      </c>
      <c r="K5" s="78">
        <f t="shared" ref="K5:K13" si="2">$C5*J5</f>
        <v>40856684.603500009</v>
      </c>
      <c r="L5" s="77">
        <v>0.13</v>
      </c>
      <c r="M5" s="78">
        <f t="shared" ref="M5:M13" si="3">$C5*L5</f>
        <v>106227379.96910001</v>
      </c>
      <c r="N5" s="77"/>
      <c r="O5" s="57">
        <f t="shared" ref="O5:O13" si="4">$C5*N5</f>
        <v>0</v>
      </c>
      <c r="S5" s="12">
        <f>E5-'Abr24'!E5</f>
        <v>4017095.3702000976</v>
      </c>
      <c r="T5" s="12">
        <f>G5-'Abr24'!G5</f>
        <v>-11178650.327500004</v>
      </c>
      <c r="U5" s="12">
        <f>I5-'Abr24'!I5</f>
        <v>-72334700.426899999</v>
      </c>
      <c r="V5" s="12">
        <f>K5-'Abr24'!K5</f>
        <v>-12682307.030899987</v>
      </c>
      <c r="W5" s="12">
        <f>+M5-'Abr24'!M5</f>
        <v>16995727.245100006</v>
      </c>
      <c r="Y5" s="28">
        <f>D5-'Abr24'!D5</f>
        <v>5.0000000000000044E-2</v>
      </c>
      <c r="Z5" s="28">
        <f>F5-'Abr24'!F5</f>
        <v>-1.0000000000000002E-2</v>
      </c>
      <c r="AA5" s="28">
        <f>H5-'Abr24'!H5</f>
        <v>-0.06</v>
      </c>
      <c r="AB5" s="28">
        <f>J5-'Abr24'!J5</f>
        <v>-9.999999999999995E-3</v>
      </c>
      <c r="AC5" s="28">
        <f>L5-'Abr24'!L5</f>
        <v>0.03</v>
      </c>
      <c r="AE5" s="10">
        <f>C5-'Abr24'!C5</f>
        <v>-75182835.169999957</v>
      </c>
      <c r="AF5" s="76">
        <f>C5/'Abr24'!C5-1</f>
        <v>-8.4255791386657286E-2</v>
      </c>
      <c r="AH5" t="s">
        <v>13</v>
      </c>
      <c r="AI5" s="2" t="s">
        <v>17</v>
      </c>
      <c r="AJ5" t="s">
        <v>59</v>
      </c>
    </row>
    <row r="6" spans="2:36" x14ac:dyDescent="0.25">
      <c r="B6" s="3" t="s">
        <v>62</v>
      </c>
      <c r="C6" s="78">
        <v>3047482582</v>
      </c>
      <c r="D6" s="77">
        <v>0.27060000000000001</v>
      </c>
      <c r="E6" s="78">
        <f t="shared" si="0"/>
        <v>824648786.68920004</v>
      </c>
      <c r="F6" s="77">
        <v>0.18540000000000001</v>
      </c>
      <c r="G6" s="78">
        <f t="shared" si="0"/>
        <v>565003270.70280004</v>
      </c>
      <c r="H6" s="77">
        <f>48.31%+1.88%+1.69%</f>
        <v>0.51880000000000004</v>
      </c>
      <c r="I6" s="78">
        <f t="shared" si="1"/>
        <v>1581033963.5416002</v>
      </c>
      <c r="J6" s="77"/>
      <c r="K6" s="78">
        <f t="shared" si="2"/>
        <v>0</v>
      </c>
      <c r="L6" s="77"/>
      <c r="M6" s="78">
        <f t="shared" si="3"/>
        <v>0</v>
      </c>
      <c r="N6" s="77">
        <v>2.52E-2</v>
      </c>
      <c r="O6" s="57">
        <f>$C6*N6</f>
        <v>76796561.066400006</v>
      </c>
      <c r="S6" s="12">
        <f>E6-'Abr24'!E6</f>
        <v>-56622642.147899985</v>
      </c>
      <c r="T6" s="12">
        <f>G6-'Abr24'!G6</f>
        <v>6780205.2010000944</v>
      </c>
      <c r="U6" s="12">
        <f>I6-'Abr24'!I6</f>
        <v>280672766.05330014</v>
      </c>
      <c r="V6" s="12">
        <f>K6-'Abr24'!K6</f>
        <v>0</v>
      </c>
      <c r="W6" s="12">
        <f>+M6-'Abr24'!M6</f>
        <v>0</v>
      </c>
      <c r="Y6" s="28">
        <f>D6-'Abr24'!D6</f>
        <v>-4.2300000000000004E-2</v>
      </c>
      <c r="Z6" s="28">
        <f>F6-'Abr24'!F6</f>
        <v>-1.2799999999999978E-2</v>
      </c>
      <c r="AA6" s="28">
        <f>H6-'Abr24'!H6</f>
        <v>5.710000000000004E-2</v>
      </c>
      <c r="AB6" s="28">
        <f>J6-'Abr24'!J6</f>
        <v>0</v>
      </c>
      <c r="AC6" s="28">
        <f>L6-'Abr24'!L6</f>
        <v>0</v>
      </c>
      <c r="AE6" s="10">
        <f>C6-'Abr24'!C6</f>
        <v>231019083</v>
      </c>
      <c r="AF6" s="76">
        <f>C6/'Abr24'!C6-1</f>
        <v>8.2024525821841721E-2</v>
      </c>
      <c r="AH6" t="s">
        <v>14</v>
      </c>
      <c r="AI6" s="2" t="s">
        <v>18</v>
      </c>
    </row>
    <row r="7" spans="2:36" x14ac:dyDescent="0.25">
      <c r="B7" s="3" t="s">
        <v>22</v>
      </c>
      <c r="C7" s="78">
        <v>969870000</v>
      </c>
      <c r="D7" s="77">
        <v>0.14599999999999999</v>
      </c>
      <c r="E7" s="78">
        <f t="shared" si="0"/>
        <v>141601020</v>
      </c>
      <c r="F7" s="77">
        <v>0.13300000000000001</v>
      </c>
      <c r="G7" s="78">
        <f t="shared" si="0"/>
        <v>128992710</v>
      </c>
      <c r="H7" s="77">
        <f>58.9%+8.3%</f>
        <v>0.67199999999999993</v>
      </c>
      <c r="I7" s="78">
        <f t="shared" si="1"/>
        <v>651752639.99999988</v>
      </c>
      <c r="J7" s="77">
        <v>4.9000000000000002E-2</v>
      </c>
      <c r="K7" s="78">
        <f t="shared" si="2"/>
        <v>47523630</v>
      </c>
      <c r="L7" s="77"/>
      <c r="M7" s="78">
        <f t="shared" si="3"/>
        <v>0</v>
      </c>
      <c r="N7" s="77"/>
      <c r="O7" s="57">
        <f t="shared" si="4"/>
        <v>0</v>
      </c>
      <c r="S7" s="12">
        <f>E7-'Abr24'!E7</f>
        <v>-44076380</v>
      </c>
      <c r="T7" s="12">
        <f>G7-'Abr24'!G7</f>
        <v>1698410</v>
      </c>
      <c r="U7" s="12">
        <f>I7-'Abr24'!I7</f>
        <v>48779639.999999881</v>
      </c>
      <c r="V7" s="12">
        <f>K7-'Abr24'!K7</f>
        <v>6368330</v>
      </c>
      <c r="W7" s="12">
        <f>+M7-'Abr24'!M7</f>
        <v>0</v>
      </c>
      <c r="Y7" s="28">
        <f>D7-'Abr24'!D7</f>
        <v>-4.8000000000000015E-2</v>
      </c>
      <c r="Z7" s="28">
        <f>F7-'Abr24'!F7</f>
        <v>0</v>
      </c>
      <c r="AA7" s="28">
        <f>H7-'Abr24'!H7</f>
        <v>4.1999999999999926E-2</v>
      </c>
      <c r="AB7" s="28">
        <f>J7-'Abr24'!J7</f>
        <v>6.0000000000000053E-3</v>
      </c>
      <c r="AC7" s="28">
        <f>L7-'Abr24'!L7</f>
        <v>0</v>
      </c>
      <c r="AE7" s="10">
        <f>C7-'Abr24'!C7</f>
        <v>12770000</v>
      </c>
      <c r="AF7" s="76">
        <f>C7/'Abr24'!C7-1</f>
        <v>1.3342388465155119E-2</v>
      </c>
      <c r="AH7" t="s">
        <v>15</v>
      </c>
      <c r="AI7" s="2" t="s">
        <v>19</v>
      </c>
    </row>
    <row r="8" spans="2:36" x14ac:dyDescent="0.25">
      <c r="B8" s="3" t="s">
        <v>23</v>
      </c>
      <c r="C8" s="78">
        <v>1972557819.96</v>
      </c>
      <c r="D8" s="77">
        <v>0.39</v>
      </c>
      <c r="E8" s="78">
        <f t="shared" si="0"/>
        <v>769297549.78439999</v>
      </c>
      <c r="F8" s="77">
        <f>1%+22%+4%</f>
        <v>0.27</v>
      </c>
      <c r="G8" s="78">
        <f t="shared" si="0"/>
        <v>532590611.38920003</v>
      </c>
      <c r="H8" s="77">
        <v>0.26</v>
      </c>
      <c r="I8" s="78">
        <f t="shared" si="1"/>
        <v>512865033.18960005</v>
      </c>
      <c r="J8" s="77">
        <v>0.04</v>
      </c>
      <c r="K8" s="78">
        <f t="shared" si="2"/>
        <v>78902312.7984</v>
      </c>
      <c r="L8" s="77">
        <v>0.04</v>
      </c>
      <c r="M8" s="78">
        <f t="shared" si="3"/>
        <v>78902312.7984</v>
      </c>
      <c r="N8" s="77"/>
      <c r="O8" s="57">
        <f t="shared" si="4"/>
        <v>0</v>
      </c>
      <c r="S8" s="12">
        <f>E8-'Abr24'!E8</f>
        <v>181645433.38339996</v>
      </c>
      <c r="T8" s="12">
        <f>G8-'Abr24'!G8</f>
        <v>39999866.758949935</v>
      </c>
      <c r="U8" s="12">
        <f>I8-'Abr24'!I8</f>
        <v>-5651540.1053999662</v>
      </c>
      <c r="V8" s="12">
        <f>K8-'Abr24'!K8</f>
        <v>-7517116.084100008</v>
      </c>
      <c r="W8" s="12">
        <f>+M8-'Abr24'!M8</f>
        <v>35692598.357149996</v>
      </c>
      <c r="Y8" s="28">
        <f>D8-'Abr24'!D8</f>
        <v>4.9999999999999989E-2</v>
      </c>
      <c r="Z8" s="28">
        <f>F8-'Abr24'!F8</f>
        <v>-1.5000000000000013E-2</v>
      </c>
      <c r="AA8" s="28">
        <f>H8-'Abr24'!H8</f>
        <v>-3.999999999999998E-2</v>
      </c>
      <c r="AB8" s="28">
        <f>J8-'Abr24'!J8</f>
        <v>-1.0000000000000002E-2</v>
      </c>
      <c r="AC8" s="28">
        <f>L8-'Abr24'!L8</f>
        <v>1.4999999999999999E-2</v>
      </c>
      <c r="AE8" s="10">
        <f>C8-'Abr24'!C8</f>
        <v>244169242.30999994</v>
      </c>
      <c r="AF8" s="76">
        <f>C8/'Abr24'!C8-1</f>
        <v>0.14126987731079788</v>
      </c>
      <c r="AH8" t="s">
        <v>57</v>
      </c>
    </row>
    <row r="9" spans="2:36" x14ac:dyDescent="0.25">
      <c r="B9" s="3" t="s">
        <v>24</v>
      </c>
      <c r="C9" s="78">
        <v>1765918107</v>
      </c>
      <c r="D9" s="77">
        <v>0.32429999999999998</v>
      </c>
      <c r="E9" s="78">
        <f t="shared" si="0"/>
        <v>572687242.10009992</v>
      </c>
      <c r="F9" s="77">
        <v>0.21049999999999999</v>
      </c>
      <c r="G9" s="78">
        <f t="shared" si="0"/>
        <v>371725761.52349997</v>
      </c>
      <c r="H9" s="77">
        <v>0.41660000000000003</v>
      </c>
      <c r="I9" s="78">
        <f t="shared" si="1"/>
        <v>735681483.37620008</v>
      </c>
      <c r="J9" s="77">
        <v>4.8599999999999997E-2</v>
      </c>
      <c r="K9" s="78">
        <f t="shared" si="2"/>
        <v>85823620.000199988</v>
      </c>
      <c r="L9" s="77"/>
      <c r="M9" s="78">
        <f t="shared" si="3"/>
        <v>0</v>
      </c>
      <c r="N9" s="77"/>
      <c r="O9" s="57">
        <f t="shared" si="4"/>
        <v>0</v>
      </c>
      <c r="S9" s="12">
        <f>E9-'Abr24'!E9</f>
        <v>-25058384.993100047</v>
      </c>
      <c r="T9" s="12">
        <f>G9-'Abr24'!G9</f>
        <v>-6810503.5279999971</v>
      </c>
      <c r="U9" s="12">
        <f>I9-'Abr24'!I9</f>
        <v>5942688.326800108</v>
      </c>
      <c r="V9" s="12">
        <f>K9-'Abr24'!K9</f>
        <v>-6427735.8057000041</v>
      </c>
      <c r="W9" s="12">
        <f>+M9-'Abr24'!M9</f>
        <v>0</v>
      </c>
      <c r="Y9" s="28">
        <f>D9-'Abr24'!D9</f>
        <v>-8.0999999999999961E-3</v>
      </c>
      <c r="Z9" s="28">
        <f>F9-'Abr24'!F9</f>
        <v>0</v>
      </c>
      <c r="AA9" s="28">
        <f>H9-'Abr24'!H9</f>
        <v>1.0800000000000032E-2</v>
      </c>
      <c r="AB9" s="28">
        <f>J9-'Abr24'!J9</f>
        <v>-2.700000000000001E-3</v>
      </c>
      <c r="AC9" s="28">
        <f>L9-'Abr24'!L9</f>
        <v>0</v>
      </c>
      <c r="AE9" s="10">
        <f>C9-'Abr24'!C9</f>
        <v>-32353936</v>
      </c>
      <c r="AF9" s="76">
        <f>C9/'Abr24'!C9-1</f>
        <v>-1.7991680472341121E-2</v>
      </c>
    </row>
    <row r="10" spans="2:36" x14ac:dyDescent="0.25">
      <c r="B10" s="3" t="s">
        <v>25</v>
      </c>
      <c r="C10" s="78">
        <v>105330332</v>
      </c>
      <c r="D10" s="77">
        <v>0.75</v>
      </c>
      <c r="E10" s="78">
        <f t="shared" si="0"/>
        <v>78997749</v>
      </c>
      <c r="F10" s="77">
        <f>3%+1%</f>
        <v>0.04</v>
      </c>
      <c r="G10" s="78">
        <f t="shared" si="0"/>
        <v>4213213.28</v>
      </c>
      <c r="H10" s="77">
        <v>0.18</v>
      </c>
      <c r="I10" s="78">
        <f t="shared" si="1"/>
        <v>18959459.759999998</v>
      </c>
      <c r="J10" s="77">
        <v>0.03</v>
      </c>
      <c r="K10" s="78">
        <f t="shared" si="2"/>
        <v>3159909.96</v>
      </c>
      <c r="L10" s="77"/>
      <c r="M10" s="78">
        <f t="shared" si="3"/>
        <v>0</v>
      </c>
      <c r="N10" s="77"/>
      <c r="O10" s="57">
        <f t="shared" si="4"/>
        <v>0</v>
      </c>
      <c r="S10" s="12">
        <f>E10-'Abr24'!E10</f>
        <v>2160783.200000003</v>
      </c>
      <c r="T10" s="12">
        <f>G10-'Abr24'!G10</f>
        <v>-2372812.3599999994</v>
      </c>
      <c r="U10" s="12">
        <f>I10-'Abr24'!I10</f>
        <v>-4091629.9800000004</v>
      </c>
      <c r="V10" s="12">
        <f>K10-'Abr24'!K10</f>
        <v>-133102.85999999987</v>
      </c>
      <c r="W10" s="12">
        <f>+M10-'Abr24'!M10</f>
        <v>0</v>
      </c>
      <c r="Y10" s="28">
        <f>D10-'Abr24'!D10</f>
        <v>5.0000000000000044E-2</v>
      </c>
      <c r="Z10" s="28">
        <f>F10-'Abr24'!F10</f>
        <v>-1.9999999999999997E-2</v>
      </c>
      <c r="AA10" s="28">
        <f>H10-'Abr24'!H10</f>
        <v>-0.03</v>
      </c>
      <c r="AB10" s="28">
        <f>J10-'Abr24'!J10</f>
        <v>0</v>
      </c>
      <c r="AC10" s="28">
        <f>L10-'Abr24'!L10</f>
        <v>0</v>
      </c>
      <c r="AE10" s="10">
        <f>C10-'Abr24'!C10</f>
        <v>-4436762</v>
      </c>
      <c r="AF10" s="76">
        <f>C10/'Abr24'!C10-1</f>
        <v>-4.0419781906588459E-2</v>
      </c>
    </row>
    <row r="11" spans="2:36" x14ac:dyDescent="0.25">
      <c r="B11" s="3" t="s">
        <v>29</v>
      </c>
      <c r="C11" s="78">
        <v>6647847051</v>
      </c>
      <c r="D11" s="77">
        <v>0.41199999999999998</v>
      </c>
      <c r="E11" s="78">
        <f t="shared" si="0"/>
        <v>2738912985.0120001</v>
      </c>
      <c r="F11" s="77">
        <f>30.2%+5.3%+0.7%</f>
        <v>0.36199999999999999</v>
      </c>
      <c r="G11" s="78">
        <f t="shared" si="0"/>
        <v>2406520632.4619999</v>
      </c>
      <c r="H11" s="77">
        <v>0.21299999999999999</v>
      </c>
      <c r="I11" s="78">
        <f t="shared" si="1"/>
        <v>1415991421.8629999</v>
      </c>
      <c r="J11" s="77">
        <v>1.2999999999999999E-2</v>
      </c>
      <c r="K11" s="78">
        <f t="shared" si="2"/>
        <v>86422011.663000003</v>
      </c>
      <c r="L11" s="77"/>
      <c r="M11" s="78">
        <f t="shared" si="3"/>
        <v>0</v>
      </c>
      <c r="N11" s="77"/>
      <c r="O11" s="57">
        <f t="shared" si="4"/>
        <v>0</v>
      </c>
      <c r="S11" s="12">
        <f>E11-'Abr24'!E11</f>
        <v>-38974292.156640053</v>
      </c>
      <c r="T11" s="12">
        <f>G11-'Abr24'!G11</f>
        <v>262298886.26040006</v>
      </c>
      <c r="U11" s="12">
        <f>I11-'Abr24'!I11</f>
        <v>91054402.568279982</v>
      </c>
      <c r="V11" s="12">
        <f>K11-'Abr24'!K11</f>
        <v>-9587917.2713999897</v>
      </c>
      <c r="W11" s="12">
        <f>+M11-'Abr24'!M11</f>
        <v>-57605957.360639997</v>
      </c>
      <c r="Y11" s="28">
        <f>D11-'Abr24'!D11</f>
        <v>-2.200000000000002E-2</v>
      </c>
      <c r="Z11" s="28">
        <f>F11-'Abr24'!F11</f>
        <v>2.7000000000000024E-2</v>
      </c>
      <c r="AA11" s="28">
        <f>H11-'Abr24'!H11</f>
        <v>6.0000000000000053E-3</v>
      </c>
      <c r="AB11" s="28">
        <f>J11-'Abr24'!J11</f>
        <v>-2E-3</v>
      </c>
      <c r="AC11" s="28">
        <f>L11-'Abr24'!L11</f>
        <v>-8.9999999999999993E-3</v>
      </c>
      <c r="AE11" s="10">
        <f>C11-'Abr24'!C11</f>
        <v>247185122.03999996</v>
      </c>
      <c r="AF11" s="76">
        <f>C11/'Abr24'!C11-1</f>
        <v>3.861868112758815E-2</v>
      </c>
    </row>
    <row r="12" spans="2:36" x14ac:dyDescent="0.25">
      <c r="B12" s="3" t="s">
        <v>47</v>
      </c>
      <c r="C12" s="78">
        <v>1685490939.79</v>
      </c>
      <c r="D12" s="77">
        <v>0.69</v>
      </c>
      <c r="E12" s="78">
        <f t="shared" si="0"/>
        <v>1162988748.4550998</v>
      </c>
      <c r="F12" s="77">
        <v>0.1</v>
      </c>
      <c r="G12" s="78">
        <f t="shared" si="0"/>
        <v>168549093.979</v>
      </c>
      <c r="H12" s="77">
        <v>0.21</v>
      </c>
      <c r="I12" s="78">
        <f t="shared" si="1"/>
        <v>353953097.35589999</v>
      </c>
      <c r="J12" s="77"/>
      <c r="K12" s="78">
        <f t="shared" si="2"/>
        <v>0</v>
      </c>
      <c r="L12" s="86"/>
      <c r="M12" s="78">
        <f t="shared" si="3"/>
        <v>0</v>
      </c>
      <c r="N12" s="77"/>
      <c r="O12" s="57">
        <f t="shared" si="4"/>
        <v>0</v>
      </c>
      <c r="S12" s="12">
        <f>E12-'Abr24'!E12</f>
        <v>125715500.20549977</v>
      </c>
      <c r="T12" s="12">
        <f>G12-'Abr24'!G12</f>
        <v>-42147034.571700007</v>
      </c>
      <c r="U12" s="12">
        <f>I12-'Abr24'!I12</f>
        <v>-18816976.233800054</v>
      </c>
      <c r="V12" s="12">
        <f>K12-'Abr24'!K12</f>
        <v>0</v>
      </c>
      <c r="W12" s="12">
        <f>+M12-'Abr24'!M12</f>
        <v>0</v>
      </c>
      <c r="Y12" s="28">
        <f>D12-'Abr24'!D12</f>
        <v>4.9999999999999933E-2</v>
      </c>
      <c r="Z12" s="28">
        <f>F12-'Abr24'!F12</f>
        <v>-0.03</v>
      </c>
      <c r="AA12" s="28">
        <f>H12-'Abr24'!H12</f>
        <v>-2.0000000000000018E-2</v>
      </c>
      <c r="AB12" s="28">
        <f>J12-'Abr24'!J12</f>
        <v>0</v>
      </c>
      <c r="AC12" s="28">
        <f>L12-'Abr24'!L12</f>
        <v>0</v>
      </c>
      <c r="AE12" s="10">
        <f>C12-'Abr24'!C12</f>
        <v>64751489.399999857</v>
      </c>
      <c r="AF12" s="76">
        <f>C12/'Abr24'!C12-1</f>
        <v>3.9951819143057676E-2</v>
      </c>
    </row>
    <row r="13" spans="2:36" x14ac:dyDescent="0.25">
      <c r="B13" s="3" t="s">
        <v>30</v>
      </c>
      <c r="C13" s="78">
        <v>889730000</v>
      </c>
      <c r="D13" s="77">
        <v>0.36199999999999999</v>
      </c>
      <c r="E13" s="78">
        <f t="shared" si="0"/>
        <v>322082260</v>
      </c>
      <c r="F13" s="77">
        <f>15.5%+4%</f>
        <v>0.19500000000000001</v>
      </c>
      <c r="G13" s="78">
        <f t="shared" si="0"/>
        <v>173497350</v>
      </c>
      <c r="H13" s="77">
        <v>0.43099999999999999</v>
      </c>
      <c r="I13" s="78">
        <f t="shared" si="1"/>
        <v>383473630</v>
      </c>
      <c r="J13" s="77">
        <v>1.2E-2</v>
      </c>
      <c r="K13" s="78">
        <f t="shared" si="2"/>
        <v>10676760</v>
      </c>
      <c r="L13" s="77"/>
      <c r="M13" s="78">
        <f t="shared" si="3"/>
        <v>0</v>
      </c>
      <c r="N13" s="77"/>
      <c r="O13" s="57">
        <f t="shared" si="4"/>
        <v>0</v>
      </c>
      <c r="S13" s="12">
        <f>E13-'Abr24'!E13</f>
        <v>22945100</v>
      </c>
      <c r="T13" s="12">
        <f>G13-'Abr24'!G13</f>
        <v>-3543010</v>
      </c>
      <c r="U13" s="12">
        <f>I13-'Abr24'!I13</f>
        <v>-1131290</v>
      </c>
      <c r="V13" s="12">
        <f>K13-'Abr24'!K13</f>
        <v>-660800</v>
      </c>
      <c r="W13" s="12">
        <f>+M13-'Abr24'!M13</f>
        <v>0</v>
      </c>
      <c r="Y13" s="28">
        <f>D13-'Abr24'!D13</f>
        <v>1.8999999999999961E-2</v>
      </c>
      <c r="Z13" s="28">
        <f>F13-'Abr24'!F13</f>
        <v>-7.9999999999999793E-3</v>
      </c>
      <c r="AA13" s="28">
        <f>H13-'Abr24'!H13</f>
        <v>-1.0000000000000009E-2</v>
      </c>
      <c r="AB13" s="28">
        <f>J13-'Abr24'!J13</f>
        <v>-9.9999999999999915E-4</v>
      </c>
      <c r="AC13" s="28">
        <f>L13-'Abr24'!L13</f>
        <v>0</v>
      </c>
      <c r="AE13" s="10">
        <f>C13-'Abr24'!C13</f>
        <v>17610000</v>
      </c>
      <c r="AF13" s="76">
        <f>C13/'Abr24'!C13-1</f>
        <v>2.0192175388707989E-2</v>
      </c>
    </row>
    <row r="14" spans="2:36" x14ac:dyDescent="0.25">
      <c r="B14" s="3" t="s">
        <v>63</v>
      </c>
      <c r="C14" s="78">
        <v>50871200.530000001</v>
      </c>
      <c r="D14" s="77">
        <v>0.51200000000000001</v>
      </c>
      <c r="E14" s="78">
        <f t="shared" si="0"/>
        <v>26046054.671360001</v>
      </c>
      <c r="F14" s="77">
        <v>9.0999999999999998E-2</v>
      </c>
      <c r="G14" s="78"/>
      <c r="H14" s="77">
        <v>0.39700000000000002</v>
      </c>
      <c r="I14" s="78">
        <f t="shared" si="1"/>
        <v>20195866.610410001</v>
      </c>
      <c r="J14" s="77"/>
      <c r="K14" s="78"/>
      <c r="L14" s="77"/>
      <c r="M14" s="78"/>
      <c r="N14" s="77"/>
      <c r="O14" s="57"/>
      <c r="S14" s="12">
        <f>E14-'Abr24'!E14</f>
        <v>-604730.70078999922</v>
      </c>
      <c r="T14" s="12">
        <f>G14-'Abr24'!G14</f>
        <v>-4502171.5094699999</v>
      </c>
      <c r="U14" s="12">
        <f>I14-'Abr24'!I14</f>
        <v>-400274.31797000021</v>
      </c>
      <c r="V14" s="12">
        <f>K14-'Abr24'!K14</f>
        <v>0</v>
      </c>
      <c r="W14" s="12">
        <f>+M14-'Abr24'!M14</f>
        <v>0</v>
      </c>
      <c r="Y14" s="28">
        <f>D14-'Abr24'!D14</f>
        <v>-3.0000000000000027E-3</v>
      </c>
      <c r="Z14" s="28">
        <f>F14-'Abr24'!F14</f>
        <v>4.0000000000000036E-3</v>
      </c>
      <c r="AA14" s="28">
        <f>H14-'Abr24'!H14</f>
        <v>-1.0000000000000009E-3</v>
      </c>
      <c r="AB14" s="28">
        <f>J14-'Abr24'!J14</f>
        <v>0</v>
      </c>
      <c r="AC14" s="28">
        <f>L14-'Abr24'!L14</f>
        <v>0</v>
      </c>
      <c r="AE14" s="10">
        <f>C14-'Abr24'!C14</f>
        <v>-877897.28000000119</v>
      </c>
      <c r="AF14" s="76">
        <f>C14/'Abr24'!C14-1</f>
        <v>-1.6964494399945962E-2</v>
      </c>
    </row>
    <row r="15" spans="2:36" s="8" customFormat="1" x14ac:dyDescent="0.25">
      <c r="B15" s="21" t="s">
        <v>45</v>
      </c>
      <c r="C15" s="20">
        <f>SUM(C3:C14)</f>
        <v>19730295061.310001</v>
      </c>
      <c r="D15" s="15">
        <f>E15/$C$15</f>
        <v>0.3940711577480791</v>
      </c>
      <c r="E15" s="17">
        <f>SUM(E3:E14)</f>
        <v>7775140217.5216398</v>
      </c>
      <c r="F15" s="15">
        <f>G15/$C$15</f>
        <v>0.23651235964116032</v>
      </c>
      <c r="G15" s="20">
        <f>SUM(G3:G14)</f>
        <v>4666458641.3667603</v>
      </c>
      <c r="H15" s="15">
        <f>I15/$C$15</f>
        <v>0.33257046264070123</v>
      </c>
      <c r="I15" s="17">
        <f>SUM(I3:I14)</f>
        <v>6561713356.5774097</v>
      </c>
      <c r="J15" s="15">
        <f>K15/$C$15</f>
        <v>2.3516466505792505E-2</v>
      </c>
      <c r="K15" s="17">
        <f>SUM(K3:K14)</f>
        <v>463986822.95869994</v>
      </c>
      <c r="L15" s="15">
        <f>M15/$C$15</f>
        <v>9.3830169387851131E-3</v>
      </c>
      <c r="M15" s="17">
        <f>SUM(M3:M14)</f>
        <v>185129692.76750001</v>
      </c>
      <c r="N15" s="15">
        <f>O15/$C$15</f>
        <v>3.7119085468404244E-3</v>
      </c>
      <c r="O15" s="63">
        <f>SUM(O3:O14)</f>
        <v>73237050.869760007</v>
      </c>
      <c r="S15" s="12">
        <f>E15-'Abr24'!E15</f>
        <v>131544560.73215866</v>
      </c>
      <c r="T15" s="12">
        <f>G15-'Abr24'!G15</f>
        <v>238754461.82505035</v>
      </c>
      <c r="U15" s="12">
        <f>I15-'Abr24'!I15</f>
        <v>307740563.54590988</v>
      </c>
      <c r="V15" s="12">
        <f>K15-'Abr24'!K15</f>
        <v>-19898290.480550051</v>
      </c>
      <c r="W15" s="12">
        <f>+M15-'Abr24'!M15</f>
        <v>-4917631.7583899796</v>
      </c>
      <c r="Y15" s="28">
        <f>D15-'Abr24'!D15</f>
        <v>-6.632740926225289E-3</v>
      </c>
      <c r="Z15" s="28">
        <f>F15-'Abr24'!F15</f>
        <v>4.3966896628654384E-3</v>
      </c>
      <c r="AA15" s="28">
        <f>H15-'Abr24'!H15</f>
        <v>4.7154330323800342E-3</v>
      </c>
      <c r="AB15" s="28">
        <f>J15-'Abr24'!J15</f>
        <v>-1.8504759872130135E-3</v>
      </c>
      <c r="AC15" s="28">
        <f>L15-'Abr24'!L15</f>
        <v>-5.7992554136840693E-4</v>
      </c>
      <c r="AE15" s="10">
        <f>C15-'Abr24'!C15</f>
        <v>654873828.63000107</v>
      </c>
      <c r="AF15" s="76">
        <f>C15/'Abr24'!C15-1</f>
        <v>3.4330766311365668E-2</v>
      </c>
    </row>
    <row r="16" spans="2:36" x14ac:dyDescent="0.25">
      <c r="C16" s="10"/>
      <c r="D16" s="10"/>
      <c r="E16" s="10"/>
      <c r="F16" s="5"/>
      <c r="G16" s="10"/>
      <c r="H16" s="10"/>
      <c r="I16" s="10"/>
      <c r="J16" s="5"/>
      <c r="K16" s="10"/>
    </row>
    <row r="17" spans="2:32" x14ac:dyDescent="0.25">
      <c r="B17" s="4" t="s">
        <v>2</v>
      </c>
      <c r="C17" s="9" t="s">
        <v>4</v>
      </c>
      <c r="D17" s="112" t="s">
        <v>7</v>
      </c>
      <c r="E17" s="112"/>
      <c r="F17" s="112" t="s">
        <v>8</v>
      </c>
      <c r="G17" s="112"/>
      <c r="H17" s="112" t="s">
        <v>10</v>
      </c>
      <c r="I17" s="112"/>
      <c r="J17" s="112" t="s">
        <v>9</v>
      </c>
      <c r="K17" s="112"/>
      <c r="L17" s="112" t="s">
        <v>21</v>
      </c>
      <c r="M17" s="112"/>
      <c r="N17" s="112" t="s">
        <v>55</v>
      </c>
      <c r="O17" s="112"/>
      <c r="S17" s="27" t="s">
        <v>49</v>
      </c>
      <c r="T17" s="27" t="s">
        <v>50</v>
      </c>
      <c r="U17" s="27" t="s">
        <v>51</v>
      </c>
      <c r="V17" s="27" t="s">
        <v>52</v>
      </c>
      <c r="W17" s="27" t="s">
        <v>53</v>
      </c>
      <c r="Y17" s="27" t="s">
        <v>49</v>
      </c>
      <c r="Z17" s="27" t="s">
        <v>50</v>
      </c>
      <c r="AA17" s="27" t="s">
        <v>51</v>
      </c>
      <c r="AB17" s="27" t="s">
        <v>52</v>
      </c>
      <c r="AC17" s="27" t="s">
        <v>53</v>
      </c>
    </row>
    <row r="18" spans="2:32" x14ac:dyDescent="0.25">
      <c r="B18" s="21" t="s">
        <v>6</v>
      </c>
      <c r="C18" s="83">
        <v>250176624.75</v>
      </c>
      <c r="D18" s="81">
        <f>22.58%+0.7%</f>
        <v>0.23279999999999998</v>
      </c>
      <c r="E18" s="58">
        <f>D18*$C18</f>
        <v>58241118.241799995</v>
      </c>
      <c r="F18" s="81">
        <f>9.28%+8.27%+6.03%+6.41%</f>
        <v>0.2999</v>
      </c>
      <c r="G18" s="58">
        <f>F18*$C18</f>
        <v>75027969.762525007</v>
      </c>
      <c r="H18" s="81">
        <f>42.1%+1.09%</f>
        <v>0.43190000000000006</v>
      </c>
      <c r="I18" s="58">
        <f>H18*$C18</f>
        <v>108051284.22952501</v>
      </c>
      <c r="J18" s="81">
        <v>6.3200000000000006E-2</v>
      </c>
      <c r="K18" s="58">
        <f>J18*$C18</f>
        <v>15811162.684200002</v>
      </c>
      <c r="L18" s="81"/>
      <c r="M18" s="58">
        <f>L18*$C18</f>
        <v>0</v>
      </c>
      <c r="N18" s="81">
        <v>-2.8000000000000001E-2</v>
      </c>
      <c r="O18" s="79">
        <f>N18*$C18</f>
        <v>-7004945.4929999998</v>
      </c>
      <c r="S18" s="12">
        <f>E18-'Abr24'!E18</f>
        <v>25451385.675901998</v>
      </c>
      <c r="T18" s="12">
        <f>G18-'Abr24'!G18</f>
        <v>-2171386.249868989</v>
      </c>
      <c r="U18" s="12">
        <f>I18-'Abr24'!I18</f>
        <v>-267739.06025998294</v>
      </c>
      <c r="V18" s="12">
        <f>K18-'Abr24'!K18</f>
        <v>-1148232.7103569973</v>
      </c>
      <c r="W18" s="12">
        <f>+M18-'Abr24'!M18</f>
        <v>0</v>
      </c>
      <c r="Y18" s="28">
        <f>D18-'Abr24'!D18</f>
        <v>9.3399999999999983E-2</v>
      </c>
      <c r="Z18" s="28">
        <f>F18-'Abr24'!F18</f>
        <v>-2.8299999999999992E-2</v>
      </c>
      <c r="AA18" s="28">
        <f>H18-'Abr24'!H18</f>
        <v>-2.8599999999999959E-2</v>
      </c>
      <c r="AB18" s="28">
        <f>J18-'Abr24'!J18</f>
        <v>-8.8999999999999913E-3</v>
      </c>
      <c r="AC18" s="28">
        <f>L18-'Abr24'!L18</f>
        <v>0</v>
      </c>
      <c r="AE18" s="10">
        <f>C18-'Abr24'!C18</f>
        <v>14956161.580000013</v>
      </c>
      <c r="AF18" s="76">
        <f>C18/'Abr24'!C18-1</f>
        <v>6.3583590383421651E-2</v>
      </c>
    </row>
    <row r="19" spans="2:32" x14ac:dyDescent="0.25">
      <c r="B19" s="3" t="s">
        <v>26</v>
      </c>
      <c r="C19" s="78">
        <v>516314768.54000002</v>
      </c>
      <c r="D19" s="77">
        <v>0.28000000000000003</v>
      </c>
      <c r="E19" s="57">
        <f>D19*$C19</f>
        <v>144568135.19120002</v>
      </c>
      <c r="F19" s="77">
        <f>1%+12%</f>
        <v>0.13</v>
      </c>
      <c r="G19" s="57">
        <f>F19*$C19</f>
        <v>67120919.9102</v>
      </c>
      <c r="H19" s="77">
        <v>0.35</v>
      </c>
      <c r="I19" s="57">
        <f>H19*$C19</f>
        <v>180710168.98899999</v>
      </c>
      <c r="J19" s="77">
        <v>0.15</v>
      </c>
      <c r="K19" s="57">
        <f>J19*$C19</f>
        <v>77447215.281000003</v>
      </c>
      <c r="L19" s="77">
        <v>0.09</v>
      </c>
      <c r="M19" s="57">
        <f>L19*$C19</f>
        <v>46468329.1686</v>
      </c>
      <c r="N19" s="77"/>
      <c r="O19" s="57">
        <f>N19*$C19</f>
        <v>0</v>
      </c>
      <c r="S19" s="12">
        <f>E19-'Abr24'!E19</f>
        <v>33740035.025600016</v>
      </c>
      <c r="T19" s="12">
        <f>G19-'Abr24'!G19</f>
        <v>2471194.8136000037</v>
      </c>
      <c r="U19" s="12">
        <f>I19-'Abr24'!I19</f>
        <v>614506.21989998221</v>
      </c>
      <c r="V19" s="12">
        <f>K19-'Abr24'!K19</f>
        <v>12797490.1844</v>
      </c>
      <c r="W19" s="12">
        <f>+M19-'Abr24'!M19</f>
        <v>4907791.6064999998</v>
      </c>
      <c r="Y19" s="28">
        <f>D19-'Abr24'!D19</f>
        <v>4.0000000000000036E-2</v>
      </c>
      <c r="Z19" s="28">
        <f>F19-'Abr24'!F19</f>
        <v>-9.9999999999999811E-3</v>
      </c>
      <c r="AA19" s="28">
        <f>H19-'Abr24'!H19</f>
        <v>-4.0000000000000036E-2</v>
      </c>
      <c r="AB19" s="28">
        <f>J19-'Abr24'!J19</f>
        <v>9.9999999999999811E-3</v>
      </c>
      <c r="AC19" s="28">
        <f>L19-'Abr24'!L19</f>
        <v>0</v>
      </c>
      <c r="AE19" s="10">
        <f>C19-'Abr24'!C19</f>
        <v>54531017.850000024</v>
      </c>
      <c r="AF19" s="76">
        <f>C19/'Abr24'!C19-1</f>
        <v>0.11808777976383844</v>
      </c>
    </row>
    <row r="20" spans="2:32" x14ac:dyDescent="0.25">
      <c r="B20" s="3" t="s">
        <v>27</v>
      </c>
      <c r="C20" s="84">
        <f>355380249+365028652</f>
        <v>720408901</v>
      </c>
      <c r="D20" s="77">
        <v>2.2800000000000001E-2</v>
      </c>
      <c r="E20" s="57">
        <f t="shared" ref="E20:G26" si="5">D20*$C20</f>
        <v>16425322.9428</v>
      </c>
      <c r="F20" s="77">
        <v>0.25059999999999999</v>
      </c>
      <c r="G20" s="57">
        <f t="shared" si="5"/>
        <v>180534470.59059998</v>
      </c>
      <c r="H20" s="77">
        <f>63.56%+2.24%</f>
        <v>0.65800000000000003</v>
      </c>
      <c r="I20" s="57">
        <f t="shared" ref="I20:I26" si="6">H20*$C20</f>
        <v>474029056.85800004</v>
      </c>
      <c r="J20" s="77">
        <v>4.1399999999999999E-2</v>
      </c>
      <c r="K20" s="57">
        <f t="shared" ref="K20:K26" si="7">J20*$C20</f>
        <v>29824928.501400001</v>
      </c>
      <c r="L20" s="77"/>
      <c r="M20" s="57">
        <f t="shared" ref="M20:M26" si="8">L20*$C20</f>
        <v>0</v>
      </c>
      <c r="N20" s="77">
        <v>2.7199999999999998E-2</v>
      </c>
      <c r="O20" s="57">
        <f t="shared" ref="O20:O26" si="9">N20*$C20</f>
        <v>19595122.1072</v>
      </c>
      <c r="S20" s="12">
        <f>E20-'Abr24'!E20</f>
        <v>-54847106.971599996</v>
      </c>
      <c r="T20" s="12">
        <f>G20-'Abr24'!G20</f>
        <v>-9912429.7102000415</v>
      </c>
      <c r="U20" s="12">
        <f>I20-'Abr24'!I20</f>
        <v>66498818.600000024</v>
      </c>
      <c r="V20" s="12">
        <f>K20-'Abr24'!K20</f>
        <v>-7190284.5905999988</v>
      </c>
      <c r="W20" s="12">
        <f>+M20-'Abr24'!M20</f>
        <v>0</v>
      </c>
      <c r="Y20" s="28">
        <f>D20-'Abr24'!D20</f>
        <v>-7.5399999999999995E-2</v>
      </c>
      <c r="Z20" s="28">
        <f>F20-'Abr24'!F20</f>
        <v>-1.1800000000000033E-2</v>
      </c>
      <c r="AA20" s="28">
        <f>H20-'Abr24'!H20</f>
        <v>9.650000000000003E-2</v>
      </c>
      <c r="AB20" s="28">
        <f>J20-'Abr24'!J20</f>
        <v>-9.5999999999999974E-3</v>
      </c>
      <c r="AC20" s="28">
        <f>L20-'Abr24'!L20</f>
        <v>0</v>
      </c>
      <c r="AE20" s="10">
        <f>C20-'Abr24'!C20</f>
        <v>-5379591</v>
      </c>
      <c r="AF20" s="76">
        <f>C20/'Abr24'!C20-1</f>
        <v>-7.4120643400887865E-3</v>
      </c>
    </row>
    <row r="21" spans="2:32" x14ac:dyDescent="0.25">
      <c r="B21" s="3" t="s">
        <v>28</v>
      </c>
      <c r="C21" s="84">
        <v>1066839242</v>
      </c>
      <c r="D21" s="77">
        <v>0.13</v>
      </c>
      <c r="E21" s="57">
        <f t="shared" si="5"/>
        <v>138689101.46000001</v>
      </c>
      <c r="F21" s="77">
        <f>8%+7%+2%+1%</f>
        <v>0.18000000000000002</v>
      </c>
      <c r="G21" s="57">
        <f t="shared" si="5"/>
        <v>192031063.56000003</v>
      </c>
      <c r="H21" s="77">
        <v>0.56000000000000005</v>
      </c>
      <c r="I21" s="57">
        <f t="shared" si="6"/>
        <v>597429975.5200001</v>
      </c>
      <c r="J21" s="77">
        <v>0.13</v>
      </c>
      <c r="K21" s="57">
        <f t="shared" si="7"/>
        <v>138689101.46000001</v>
      </c>
      <c r="L21" s="77"/>
      <c r="M21" s="57">
        <f t="shared" si="8"/>
        <v>0</v>
      </c>
      <c r="N21" s="77"/>
      <c r="O21" s="57">
        <f t="shared" si="9"/>
        <v>0</v>
      </c>
      <c r="S21" s="12">
        <f>E21-'Abr24'!E21</f>
        <v>311500.02000001073</v>
      </c>
      <c r="T21" s="12">
        <f>G21-'Abr24'!G21</f>
        <v>-10213123.159999967</v>
      </c>
      <c r="U21" s="12">
        <f>I21-'Abr24'!I21</f>
        <v>11986277.120000005</v>
      </c>
      <c r="V21" s="12">
        <f>K21-'Abr24'!K21</f>
        <v>311500.02000001073</v>
      </c>
      <c r="W21" s="12">
        <f>+M21-'Abr24'!M21</f>
        <v>0</v>
      </c>
      <c r="Y21" s="28">
        <f>D21-'Abr24'!D21</f>
        <v>0</v>
      </c>
      <c r="Z21" s="28">
        <f>F21-'Abr24'!F21</f>
        <v>-9.9999999999999811E-3</v>
      </c>
      <c r="AA21" s="28">
        <f>H21-'Abr24'!H21</f>
        <v>1.0000000000000009E-2</v>
      </c>
      <c r="AB21" s="28">
        <f>J21-'Abr24'!J21</f>
        <v>0</v>
      </c>
      <c r="AC21" s="28">
        <f>L21-'Abr24'!L21</f>
        <v>0</v>
      </c>
      <c r="AE21" s="10">
        <f>C21-'Abr24'!C21</f>
        <v>2396154</v>
      </c>
      <c r="AF21" s="76">
        <f>C21/'Abr24'!C21-1</f>
        <v>2.25108700222032E-3</v>
      </c>
    </row>
    <row r="22" spans="2:32" x14ac:dyDescent="0.25">
      <c r="B22" s="3" t="s">
        <v>32</v>
      </c>
      <c r="C22" s="84">
        <v>250650000</v>
      </c>
      <c r="D22" s="77">
        <v>0.17</v>
      </c>
      <c r="E22" s="57">
        <f t="shared" si="5"/>
        <v>42610500</v>
      </c>
      <c r="F22" s="77">
        <f>5%+13%</f>
        <v>0.18</v>
      </c>
      <c r="G22" s="57">
        <f t="shared" si="5"/>
        <v>45117000</v>
      </c>
      <c r="H22" s="77">
        <v>0.53</v>
      </c>
      <c r="I22" s="57">
        <f t="shared" si="6"/>
        <v>132844500</v>
      </c>
      <c r="J22" s="77">
        <v>0.12</v>
      </c>
      <c r="K22" s="57">
        <f t="shared" si="7"/>
        <v>30078000</v>
      </c>
      <c r="L22" s="77"/>
      <c r="M22" s="57">
        <f t="shared" si="8"/>
        <v>0</v>
      </c>
      <c r="N22" s="77"/>
      <c r="O22" s="57">
        <f t="shared" si="9"/>
        <v>0</v>
      </c>
      <c r="S22" s="12">
        <f>E22-'Abr24'!E22</f>
        <v>11648100</v>
      </c>
      <c r="T22" s="12">
        <f>G22-'Abr24'!G22</f>
        <v>-1326600</v>
      </c>
      <c r="U22" s="12">
        <f>I22-'Abr24'!I22</f>
        <v>-14226900</v>
      </c>
      <c r="V22" s="12">
        <f>K22-'Abr24'!K22</f>
        <v>-3464600</v>
      </c>
      <c r="W22" s="12">
        <f>+M22-'Abr24'!M22</f>
        <v>0</v>
      </c>
      <c r="Y22" s="28">
        <f>D22-'Abr24'!D22</f>
        <v>5.0000000000000017E-2</v>
      </c>
      <c r="Z22" s="28">
        <f>F22-'Abr24'!F22</f>
        <v>0</v>
      </c>
      <c r="AA22" s="28">
        <f>H22-'Abr24'!H22</f>
        <v>-3.9999999999999925E-2</v>
      </c>
      <c r="AB22" s="28">
        <f>J22-'Abr24'!J22</f>
        <v>-1.0000000000000009E-2</v>
      </c>
      <c r="AC22" s="28">
        <f>L22-'Abr24'!L22</f>
        <v>0</v>
      </c>
      <c r="AE22" s="10">
        <f>C22-'Abr24'!C22</f>
        <v>-7370000</v>
      </c>
      <c r="AF22" s="76">
        <f>C22/'Abr24'!C22-1</f>
        <v>-2.8563677234322959E-2</v>
      </c>
    </row>
    <row r="23" spans="2:32" x14ac:dyDescent="0.25">
      <c r="B23" s="3" t="s">
        <v>33</v>
      </c>
      <c r="C23" s="84">
        <v>800000000</v>
      </c>
      <c r="D23" s="77">
        <v>0.37</v>
      </c>
      <c r="E23" s="57">
        <f t="shared" si="5"/>
        <v>296000000</v>
      </c>
      <c r="F23" s="77">
        <v>0.18</v>
      </c>
      <c r="G23" s="57">
        <f t="shared" si="5"/>
        <v>144000000</v>
      </c>
      <c r="H23" s="77">
        <v>0.44</v>
      </c>
      <c r="I23" s="57">
        <f t="shared" si="6"/>
        <v>352000000</v>
      </c>
      <c r="J23" s="77">
        <v>0.01</v>
      </c>
      <c r="K23" s="57">
        <f t="shared" si="7"/>
        <v>8000000</v>
      </c>
      <c r="L23" s="77"/>
      <c r="M23" s="57">
        <f t="shared" si="8"/>
        <v>0</v>
      </c>
      <c r="N23" s="77"/>
      <c r="O23" s="57">
        <f t="shared" si="9"/>
        <v>0</v>
      </c>
      <c r="S23" s="12">
        <f>E23-'Abr24'!E23</f>
        <v>58334000</v>
      </c>
      <c r="T23" s="12">
        <f>G23-'Abr24'!G23</f>
        <v>14364000</v>
      </c>
      <c r="U23" s="12">
        <f>I23-'Abr24'!I23</f>
        <v>6304000</v>
      </c>
      <c r="V23" s="12">
        <f>K23-'Abr24'!K23</f>
        <v>798000</v>
      </c>
      <c r="W23" s="12">
        <f>+M23-'Abr24'!M23</f>
        <v>0</v>
      </c>
      <c r="Y23" s="28">
        <f>D23-'Abr24'!D23</f>
        <v>3.999999999999998E-2</v>
      </c>
      <c r="Z23" s="28">
        <f>F23-'Abr24'!F23</f>
        <v>0</v>
      </c>
      <c r="AA23" s="28">
        <f>H23-'Abr24'!H23</f>
        <v>-3.999999999999998E-2</v>
      </c>
      <c r="AB23" s="28">
        <f>J23-'Abr24'!J23</f>
        <v>0</v>
      </c>
      <c r="AC23" s="28">
        <f>L23-'Abr24'!L23</f>
        <v>0</v>
      </c>
      <c r="AE23" s="10">
        <f>C23-'Abr24'!C23</f>
        <v>79800000</v>
      </c>
      <c r="AF23" s="76">
        <f>C23/'Abr24'!C23-1</f>
        <v>0.1108025548458762</v>
      </c>
    </row>
    <row r="24" spans="2:32" x14ac:dyDescent="0.25">
      <c r="B24" s="3" t="s">
        <v>34</v>
      </c>
      <c r="C24" s="84">
        <v>221228979</v>
      </c>
      <c r="D24" s="77">
        <v>0.21909999999999999</v>
      </c>
      <c r="E24" s="57">
        <f t="shared" si="5"/>
        <v>48471269.298900001</v>
      </c>
      <c r="F24" s="77">
        <v>0.161</v>
      </c>
      <c r="G24" s="57">
        <f t="shared" si="5"/>
        <v>35617865.619000003</v>
      </c>
      <c r="H24" s="77">
        <v>0.51839999999999997</v>
      </c>
      <c r="I24" s="57">
        <f t="shared" si="6"/>
        <v>114685102.71359999</v>
      </c>
      <c r="J24" s="77">
        <v>0.1012</v>
      </c>
      <c r="K24" s="57">
        <f t="shared" si="7"/>
        <v>22388372.674800001</v>
      </c>
      <c r="L24" s="77"/>
      <c r="M24" s="57">
        <f t="shared" si="8"/>
        <v>0</v>
      </c>
      <c r="N24" s="77"/>
      <c r="O24" s="57">
        <f t="shared" si="9"/>
        <v>0</v>
      </c>
      <c r="S24" s="12">
        <f>E24-'Abr24'!E24</f>
        <v>215974.1229000017</v>
      </c>
      <c r="T24" s="12">
        <f>G24-'Abr24'!G24</f>
        <v>531221.76300000399</v>
      </c>
      <c r="U24" s="12">
        <f>I24-'Abr24'!I24</f>
        <v>1568619.8495999873</v>
      </c>
      <c r="V24" s="12">
        <f>K24-'Abr24'!K24</f>
        <v>-4239086.689199999</v>
      </c>
      <c r="W24" s="12">
        <f>+M24-'Abr24'!M24</f>
        <v>0</v>
      </c>
      <c r="Y24" s="28">
        <f>D24-'Abr24'!D24</f>
        <v>2.8999999999999859E-3</v>
      </c>
      <c r="Z24" s="28">
        <f>F24-'Abr24'!F24</f>
        <v>3.7999999999999978E-3</v>
      </c>
      <c r="AA24" s="28">
        <f>H24-'Abr24'!H24</f>
        <v>1.1599999999999944E-2</v>
      </c>
      <c r="AB24" s="28">
        <f>J24-'Abr24'!J24</f>
        <v>-1.8100000000000005E-2</v>
      </c>
      <c r="AC24" s="28">
        <f>L24-'Abr24'!L24</f>
        <v>0</v>
      </c>
      <c r="AE24" s="10">
        <f>C24-'Abr24'!C24</f>
        <v>-1968501</v>
      </c>
      <c r="AF24" s="76">
        <f>C24/'Abr24'!C24-1</f>
        <v>-8.8195485002787732E-3</v>
      </c>
    </row>
    <row r="25" spans="2:32" x14ac:dyDescent="0.25">
      <c r="B25" s="3" t="s">
        <v>35</v>
      </c>
      <c r="C25" s="84">
        <v>332311903</v>
      </c>
      <c r="D25" s="77">
        <v>0.124</v>
      </c>
      <c r="E25" s="57">
        <f t="shared" si="5"/>
        <v>41206675.972000003</v>
      </c>
      <c r="F25" s="77">
        <f>39.6%+7%</f>
        <v>0.46600000000000003</v>
      </c>
      <c r="G25" s="57">
        <f t="shared" si="5"/>
        <v>154857346.79800001</v>
      </c>
      <c r="H25" s="77">
        <f>37.2%+2.3%</f>
        <v>0.39500000000000007</v>
      </c>
      <c r="I25" s="57">
        <f t="shared" si="6"/>
        <v>131263201.68500002</v>
      </c>
      <c r="J25" s="77">
        <v>1.4999999999999999E-2</v>
      </c>
      <c r="K25" s="57">
        <f t="shared" si="7"/>
        <v>4984678.5449999999</v>
      </c>
      <c r="L25" s="77"/>
      <c r="M25" s="57">
        <f t="shared" si="8"/>
        <v>0</v>
      </c>
      <c r="N25" s="77"/>
      <c r="O25" s="57">
        <f t="shared" si="9"/>
        <v>0</v>
      </c>
      <c r="S25" s="12">
        <f>E25-'Abr24'!E25</f>
        <v>-16114992.317999996</v>
      </c>
      <c r="T25" s="12">
        <f>G25-'Abr24'!G25</f>
        <v>14871798.974000007</v>
      </c>
      <c r="U25" s="12">
        <f>I25-'Abr24'!I25</f>
        <v>37436681.484000012</v>
      </c>
      <c r="V25" s="12">
        <f>K25-'Abr24'!K25</f>
        <v>-5876269.1309999991</v>
      </c>
      <c r="W25" s="12">
        <f>+M25-'Abr24'!M25</f>
        <v>0</v>
      </c>
      <c r="Y25" s="28">
        <f>D25-'Abr24'!D25</f>
        <v>-6.6000000000000003E-2</v>
      </c>
      <c r="Z25" s="28">
        <f>F25-'Abr24'!F25</f>
        <v>2.0000000000000018E-3</v>
      </c>
      <c r="AA25" s="28">
        <f>H25-'Abr24'!H25</f>
        <v>8.4000000000000075E-2</v>
      </c>
      <c r="AB25" s="28">
        <f>J25-'Abr24'!J25</f>
        <v>-2.0999999999999998E-2</v>
      </c>
      <c r="AC25" s="28">
        <f>L25-'Abr24'!L25</f>
        <v>0</v>
      </c>
      <c r="AE25" s="10">
        <f>C25-'Abr24'!C25</f>
        <v>30618912</v>
      </c>
      <c r="AF25" s="76">
        <f>C25/'Abr24'!C25-1</f>
        <v>0.10149029945478572</v>
      </c>
    </row>
    <row r="26" spans="2:32" x14ac:dyDescent="0.25">
      <c r="B26" s="3" t="s">
        <v>36</v>
      </c>
      <c r="C26" s="84">
        <v>560280000</v>
      </c>
      <c r="D26" s="85">
        <v>0.15</v>
      </c>
      <c r="E26" s="57">
        <f t="shared" si="5"/>
        <v>84042000</v>
      </c>
      <c r="F26" s="85">
        <f>19%+5%</f>
        <v>0.24</v>
      </c>
      <c r="G26" s="57">
        <f t="shared" si="5"/>
        <v>134467200</v>
      </c>
      <c r="H26" s="85">
        <v>0.55000000000000004</v>
      </c>
      <c r="I26" s="57">
        <f t="shared" si="6"/>
        <v>308154000</v>
      </c>
      <c r="J26" s="85">
        <v>7.0000000000000007E-2</v>
      </c>
      <c r="K26" s="57">
        <f t="shared" si="7"/>
        <v>39219600.000000007</v>
      </c>
      <c r="L26" s="85"/>
      <c r="M26" s="57">
        <f t="shared" si="8"/>
        <v>0</v>
      </c>
      <c r="N26" s="85"/>
      <c r="O26" s="57">
        <f t="shared" si="9"/>
        <v>0</v>
      </c>
      <c r="S26" s="12">
        <f>E26-'Abr24'!E26</f>
        <v>2347500</v>
      </c>
      <c r="T26" s="12">
        <f>G26-'Abr24'!G26</f>
        <v>14648600</v>
      </c>
      <c r="U26" s="12">
        <f>I26-'Abr24'!I26</f>
        <v>3161200</v>
      </c>
      <c r="V26" s="12">
        <f>K26-'Abr24'!K26</f>
        <v>1095500.0000000075</v>
      </c>
      <c r="W26" s="12">
        <f>+M26-'Abr24'!M26</f>
        <v>0</v>
      </c>
      <c r="Y26" s="28">
        <f>D26-'Abr24'!D26</f>
        <v>0</v>
      </c>
      <c r="Z26" s="28">
        <f>F26-'Abr24'!F26</f>
        <v>1.999999999999999E-2</v>
      </c>
      <c r="AA26" s="28">
        <f>H26-'Abr24'!H26</f>
        <v>-1.0000000000000009E-2</v>
      </c>
      <c r="AB26" s="28">
        <f>J26-'Abr24'!J26</f>
        <v>0</v>
      </c>
      <c r="AC26" s="28">
        <f>L26-'Abr24'!L26</f>
        <v>0</v>
      </c>
      <c r="AE26" s="10">
        <f>C26-'Abr24'!C26</f>
        <v>15650000</v>
      </c>
      <c r="AF26" s="76">
        <f>C26/'Abr24'!C26-1</f>
        <v>2.8735104566402825E-2</v>
      </c>
    </row>
    <row r="27" spans="2:32" s="8" customFormat="1" x14ac:dyDescent="0.25">
      <c r="B27" s="21" t="s">
        <v>45</v>
      </c>
      <c r="C27" s="20">
        <f>SUM(C18:C26)</f>
        <v>4718210418.29</v>
      </c>
      <c r="D27" s="15"/>
      <c r="E27" s="63">
        <f>SUM(E18:E26)</f>
        <v>870254123.10670006</v>
      </c>
      <c r="F27" s="15"/>
      <c r="G27" s="62">
        <f>SUM(G18:G26)</f>
        <v>1028773836.240325</v>
      </c>
      <c r="H27" s="15"/>
      <c r="I27" s="63">
        <f>SUM(I18:I26)</f>
        <v>2399167289.9951248</v>
      </c>
      <c r="J27" s="15"/>
      <c r="K27" s="63">
        <f>SUM(K18:K26)</f>
        <v>366443059.14639997</v>
      </c>
      <c r="L27" s="15"/>
      <c r="M27" s="63">
        <f>SUM(M18:M26)</f>
        <v>46468329.1686</v>
      </c>
      <c r="N27" s="15"/>
      <c r="O27" s="17">
        <f>SUM(O18:O26)</f>
        <v>12590176.6142</v>
      </c>
      <c r="S27" s="12">
        <f>E27-'Abr24'!E27</f>
        <v>61086395.554802179</v>
      </c>
      <c r="T27" s="12">
        <f>G27-'Abr24'!G27</f>
        <v>23263276.430531025</v>
      </c>
      <c r="U27" s="12">
        <f>I27-'Abr24'!I27</f>
        <v>113075464.21323967</v>
      </c>
      <c r="V27" s="12">
        <f>K27-'Abr24'!K27</f>
        <v>-6915982.9167570472</v>
      </c>
      <c r="W27" s="12">
        <f>+M27-'Abr24'!M27</f>
        <v>4907791.6064999998</v>
      </c>
      <c r="Y27" s="28">
        <f>D27-'Abr24'!D27</f>
        <v>-0.17842821666385894</v>
      </c>
      <c r="Z27" s="28">
        <f>F27-'Abr24'!F27</f>
        <v>-0.22172344486147716</v>
      </c>
      <c r="AA27" s="28">
        <f>H27-'Abr24'!H27</f>
        <v>-0.50410226917746814</v>
      </c>
      <c r="AB27" s="28">
        <f>J27-'Abr24'!J27</f>
        <v>-8.2328775335868937E-2</v>
      </c>
      <c r="AC27" s="28">
        <f>L27-'Abr24'!L27</f>
        <v>-9.1644443399050545E-3</v>
      </c>
      <c r="AE27" s="10">
        <f>C27-'Abr24'!C27</f>
        <v>183234153.42999935</v>
      </c>
      <c r="AF27" s="76">
        <f>C27/'Abr24'!C27-1</f>
        <v>4.0404655444355564E-2</v>
      </c>
    </row>
    <row r="28" spans="2:32" x14ac:dyDescent="0.25">
      <c r="C28" s="10"/>
      <c r="D28" s="10"/>
      <c r="E28" s="10"/>
      <c r="F28" s="5"/>
      <c r="G28" s="10"/>
      <c r="H28" s="10"/>
      <c r="I28" s="10"/>
      <c r="J28" s="5"/>
      <c r="K28" s="10"/>
    </row>
    <row r="29" spans="2:32" x14ac:dyDescent="0.25">
      <c r="B29" s="4" t="s">
        <v>38</v>
      </c>
      <c r="C29" s="9" t="s">
        <v>4</v>
      </c>
      <c r="D29" s="113" t="s">
        <v>7</v>
      </c>
      <c r="E29" s="113"/>
      <c r="F29" s="112" t="s">
        <v>8</v>
      </c>
      <c r="G29" s="112"/>
      <c r="H29" s="112" t="s">
        <v>10</v>
      </c>
      <c r="I29" s="112"/>
      <c r="J29" s="112" t="s">
        <v>9</v>
      </c>
      <c r="K29" s="112"/>
      <c r="L29" s="112" t="s">
        <v>40</v>
      </c>
      <c r="M29" s="112"/>
      <c r="N29" s="112" t="s">
        <v>55</v>
      </c>
      <c r="O29" s="112"/>
      <c r="S29" s="27" t="s">
        <v>49</v>
      </c>
      <c r="T29" s="27" t="s">
        <v>50</v>
      </c>
      <c r="U29" s="27" t="s">
        <v>51</v>
      </c>
      <c r="V29" s="27" t="s">
        <v>52</v>
      </c>
      <c r="W29" s="27" t="s">
        <v>54</v>
      </c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</row>
    <row r="30" spans="2:32" x14ac:dyDescent="0.25">
      <c r="B30" s="21" t="s">
        <v>39</v>
      </c>
      <c r="C30" s="87">
        <v>220966240.58000001</v>
      </c>
      <c r="D30" s="81">
        <f>7.4%+2.7%</f>
        <v>0.10100000000000001</v>
      </c>
      <c r="E30" s="80">
        <f>$C30*D30</f>
        <v>22317590.298580002</v>
      </c>
      <c r="F30" s="81">
        <f>10.2%+7.1%+6.2%+2.1%+1.1%</f>
        <v>0.26700000000000002</v>
      </c>
      <c r="G30" s="80">
        <f>$C30*F30</f>
        <v>58997986.23486001</v>
      </c>
      <c r="H30" s="81">
        <f>54.5%+2.1%</f>
        <v>0.56600000000000006</v>
      </c>
      <c r="I30" s="80">
        <f>$C30*H30</f>
        <v>125066892.16828002</v>
      </c>
      <c r="J30" s="81">
        <v>0.10199999999999999</v>
      </c>
      <c r="K30" s="80">
        <f>$C30*J30</f>
        <v>22538556.539159998</v>
      </c>
      <c r="L30" s="88">
        <v>0.05</v>
      </c>
      <c r="M30" s="80">
        <f>$C30*L30</f>
        <v>11048312.029000001</v>
      </c>
      <c r="N30" s="81">
        <f>-11.6%+2.9%</f>
        <v>-8.6999999999999994E-2</v>
      </c>
      <c r="O30" s="65">
        <f>$C30*N30</f>
        <v>-19224062.930459999</v>
      </c>
      <c r="S30" s="12">
        <f>E30-'Abr24'!E30</f>
        <v>2942959.4124200046</v>
      </c>
      <c r="T30" s="12">
        <f>G30-'Abr24'!G30</f>
        <v>13203404.140300006</v>
      </c>
      <c r="U30" s="12">
        <f>I30-'Abr24'!I30</f>
        <v>-11656355.335189983</v>
      </c>
      <c r="V30" s="12">
        <f>K30-'Abr24'!K30</f>
        <v>-3441062.1490999982</v>
      </c>
      <c r="W30" s="12">
        <f>+M30-'Abr24'!M30</f>
        <v>39999.025500001386</v>
      </c>
      <c r="Y30" s="28">
        <f>D30-'Abr24'!D30</f>
        <v>1.3000000000000012E-2</v>
      </c>
      <c r="Z30" s="28">
        <f>F30-'Abr24'!F30</f>
        <v>5.8999999999999997E-2</v>
      </c>
      <c r="AA30" s="28">
        <f>H30-'Abr24'!H30</f>
        <v>-5.4999999999999938E-2</v>
      </c>
      <c r="AB30" s="28">
        <f>J30-'Abr24'!J30</f>
        <v>-1.6E-2</v>
      </c>
      <c r="AC30" s="28">
        <f>L30-'Abr24'!L30</f>
        <v>0</v>
      </c>
      <c r="AE30" s="10">
        <f>C30-'Abr24'!C30</f>
        <v>799980.51000002027</v>
      </c>
      <c r="AF30" s="76">
        <f>C30/'Abr24'!C30-1</f>
        <v>3.6335290872711035E-3</v>
      </c>
    </row>
    <row r="31" spans="2:32" hidden="1" outlineLevel="1" x14ac:dyDescent="0.25">
      <c r="B31" s="3" t="s">
        <v>56</v>
      </c>
      <c r="C31" s="78"/>
      <c r="D31" s="77"/>
      <c r="E31" s="78"/>
      <c r="F31" s="77"/>
      <c r="G31" s="78"/>
      <c r="H31" s="77"/>
      <c r="I31" s="78"/>
      <c r="J31" s="77"/>
      <c r="K31" s="78"/>
      <c r="L31" s="77"/>
      <c r="M31" s="78"/>
      <c r="N31" s="77"/>
      <c r="O31" s="72"/>
      <c r="S31" s="12">
        <f>E31-'Abr24'!E31</f>
        <v>0</v>
      </c>
      <c r="T31" s="12">
        <f>G31-'Abr24'!G31</f>
        <v>0</v>
      </c>
      <c r="U31" s="12">
        <f>I31-'Abr24'!I31</f>
        <v>0</v>
      </c>
      <c r="V31" s="12">
        <f>K31-'Abr24'!K31</f>
        <v>0</v>
      </c>
      <c r="W31" s="12">
        <f>+M31-'Abr24'!M31</f>
        <v>0</v>
      </c>
      <c r="Y31" s="28">
        <f>D31-'Abr24'!D31</f>
        <v>0</v>
      </c>
      <c r="Z31" s="28">
        <f>F31-'Abr24'!F31</f>
        <v>0</v>
      </c>
      <c r="AA31" s="28">
        <f>H31-'Abr24'!H31</f>
        <v>0</v>
      </c>
      <c r="AB31" s="28">
        <f>J31-'Abr24'!J31</f>
        <v>0</v>
      </c>
      <c r="AC31" s="28">
        <f>L31-'Abr24'!L31</f>
        <v>0</v>
      </c>
      <c r="AE31" s="10">
        <f>C31-'Abr24'!C31</f>
        <v>0</v>
      </c>
      <c r="AF31" s="76" t="e">
        <f>C31/'Abr24'!C31-1</f>
        <v>#DIV/0!</v>
      </c>
    </row>
    <row r="32" spans="2:32" collapsed="1" x14ac:dyDescent="0.25">
      <c r="B32" s="3" t="s">
        <v>42</v>
      </c>
      <c r="C32" s="84">
        <v>235887105</v>
      </c>
      <c r="D32" s="77">
        <v>0.05</v>
      </c>
      <c r="E32" s="78">
        <f>$C32*D32</f>
        <v>11794355.25</v>
      </c>
      <c r="F32" s="77">
        <v>0.11</v>
      </c>
      <c r="G32" s="78">
        <f>$C32*F32</f>
        <v>25947581.550000001</v>
      </c>
      <c r="H32" s="77">
        <f>47%+12%</f>
        <v>0.59</v>
      </c>
      <c r="I32" s="78">
        <f>$C32*H32</f>
        <v>139173391.94999999</v>
      </c>
      <c r="J32" s="77">
        <v>0.04</v>
      </c>
      <c r="K32" s="78">
        <f>$C32*J32</f>
        <v>9435484.2000000011</v>
      </c>
      <c r="L32" s="77">
        <v>0.15</v>
      </c>
      <c r="M32" s="78">
        <f>$C32*L32</f>
        <v>35383065.75</v>
      </c>
      <c r="N32" s="77">
        <v>0.06</v>
      </c>
      <c r="O32" s="72">
        <f>$C32*N32</f>
        <v>14153226.299999999</v>
      </c>
      <c r="S32" s="12">
        <f>E32-'Abr24'!E32</f>
        <v>-913495.60000000149</v>
      </c>
      <c r="T32" s="12">
        <f>G32-'Abr24'!G32</f>
        <v>-2009690.3200000003</v>
      </c>
      <c r="U32" s="12">
        <f>I32-'Abr24'!I32</f>
        <v>-15862388.420000017</v>
      </c>
      <c r="V32" s="12">
        <f>K32-'Abr24'!K32</f>
        <v>-3272366.6500000004</v>
      </c>
      <c r="W32" s="12">
        <f>+M32-'Abr24'!M32</f>
        <v>4884223.7100000009</v>
      </c>
      <c r="Y32" s="28">
        <f>D32-'Abr24'!D32</f>
        <v>0</v>
      </c>
      <c r="Z32" s="28">
        <f>F32-'Abr24'!F32</f>
        <v>0</v>
      </c>
      <c r="AA32" s="28">
        <f>H32-'Abr24'!H32</f>
        <v>-2.0000000000000018E-2</v>
      </c>
      <c r="AB32" s="28">
        <f>J32-'Abr24'!J32</f>
        <v>-1.0000000000000002E-2</v>
      </c>
      <c r="AC32" s="28">
        <f>L32-'Abr24'!L32</f>
        <v>0.03</v>
      </c>
      <c r="AE32" s="10">
        <f>C32-'Abr24'!C32</f>
        <v>-18269912</v>
      </c>
      <c r="AF32" s="76">
        <f>C32/'Abr24'!C32-1</f>
        <v>-7.1884350137773279E-2</v>
      </c>
    </row>
    <row r="33" spans="2:32" x14ac:dyDescent="0.25">
      <c r="B33" s="3" t="s">
        <v>43</v>
      </c>
      <c r="C33" s="84">
        <v>244561619</v>
      </c>
      <c r="D33" s="77">
        <v>0.08</v>
      </c>
      <c r="E33" s="78">
        <f t="shared" ref="E33:E34" si="10">$C33*D33</f>
        <v>19564929.52</v>
      </c>
      <c r="F33" s="77">
        <f>11%+2%+1%+1%</f>
        <v>0.15000000000000002</v>
      </c>
      <c r="G33" s="78">
        <f t="shared" ref="G33:G34" si="11">$C33*F33</f>
        <v>36684242.850000009</v>
      </c>
      <c r="H33" s="77">
        <v>0.6</v>
      </c>
      <c r="I33" s="78">
        <f>$C33*H33</f>
        <v>146736971.40000001</v>
      </c>
      <c r="J33" s="77">
        <v>0.16</v>
      </c>
      <c r="K33" s="78">
        <f t="shared" ref="K33:K34" si="12">$C33*J33</f>
        <v>39129859.039999999</v>
      </c>
      <c r="L33" s="77">
        <v>0.01</v>
      </c>
      <c r="M33" s="78">
        <f t="shared" ref="M33:M34" si="13">$C33*L33</f>
        <v>2445616.19</v>
      </c>
      <c r="N33" s="77"/>
      <c r="O33" s="57"/>
      <c r="S33" s="12">
        <f>E33-'Abr24'!E33</f>
        <v>-25777160.84</v>
      </c>
      <c r="T33" s="12">
        <f>G33-'Abr24'!G33</f>
        <v>-28809887.669999994</v>
      </c>
      <c r="U33" s="12">
        <f>I33-'Abr24'!I33</f>
        <v>-155543630.99999997</v>
      </c>
      <c r="V33" s="12">
        <f>K33-'Abr24'!K33</f>
        <v>-46516311.640000008</v>
      </c>
      <c r="W33" s="12">
        <f>+M33-'Abr24'!M33</f>
        <v>2445616.19</v>
      </c>
      <c r="Y33" s="28">
        <f>D33-'Abr24'!D33</f>
        <v>-9.999999999999995E-3</v>
      </c>
      <c r="Z33" s="28">
        <f>F33-'Abr24'!F33</f>
        <v>2.0000000000000018E-2</v>
      </c>
      <c r="AA33" s="28">
        <f>H33-'Abr24'!H33</f>
        <v>0</v>
      </c>
      <c r="AB33" s="28">
        <f>J33-'Abr24'!J33</f>
        <v>-1.0000000000000009E-2</v>
      </c>
      <c r="AC33" s="28">
        <f>L33-'Abr24'!L33</f>
        <v>0.01</v>
      </c>
      <c r="AE33" s="10">
        <f>C33-'Abr24'!C33</f>
        <v>-259239385</v>
      </c>
      <c r="AF33" s="76">
        <f>C33/'Abr24'!C33-1</f>
        <v>-0.51456702734161286</v>
      </c>
    </row>
    <row r="34" spans="2:32" x14ac:dyDescent="0.25">
      <c r="B34" s="3" t="s">
        <v>44</v>
      </c>
      <c r="C34" s="84">
        <v>20600000</v>
      </c>
      <c r="D34" s="77">
        <v>0.3</v>
      </c>
      <c r="E34" s="78">
        <f t="shared" si="10"/>
        <v>6180000</v>
      </c>
      <c r="F34" s="77"/>
      <c r="G34" s="78">
        <f t="shared" si="11"/>
        <v>0</v>
      </c>
      <c r="H34" s="77">
        <v>0.47</v>
      </c>
      <c r="I34" s="78">
        <f>$C34*H34</f>
        <v>9682000</v>
      </c>
      <c r="J34" s="77"/>
      <c r="K34" s="78">
        <f t="shared" si="12"/>
        <v>0</v>
      </c>
      <c r="L34" s="77">
        <v>0.23</v>
      </c>
      <c r="M34" s="78">
        <f t="shared" si="13"/>
        <v>4738000</v>
      </c>
      <c r="N34" s="77"/>
      <c r="O34" s="57"/>
      <c r="S34" s="12">
        <f>E34-'Abr24'!E34</f>
        <v>42000</v>
      </c>
      <c r="T34" s="12">
        <f>G34-'Abr24'!G34</f>
        <v>0</v>
      </c>
      <c r="U34" s="12">
        <f>I34-'Abr24'!I34</f>
        <v>376000</v>
      </c>
      <c r="V34" s="12">
        <f>K34-'Abr24'!K34</f>
        <v>-396000</v>
      </c>
      <c r="W34" s="12">
        <f>+M34-'Abr24'!M34</f>
        <v>778000</v>
      </c>
      <c r="Y34" s="28">
        <f>D34-'Abr24'!D34</f>
        <v>-1.0000000000000009E-2</v>
      </c>
      <c r="Z34" s="28">
        <f>F34-'Abr24'!F34</f>
        <v>0</v>
      </c>
      <c r="AA34" s="28">
        <f>H34-'Abr24'!H34</f>
        <v>0</v>
      </c>
      <c r="AB34" s="28">
        <f>J34-'Abr24'!J34</f>
        <v>-0.02</v>
      </c>
      <c r="AC34" s="28">
        <f>L34-'Abr24'!L34</f>
        <v>0.03</v>
      </c>
      <c r="AE34" s="10">
        <f>C34-'Abr24'!C34</f>
        <v>800000</v>
      </c>
      <c r="AF34" s="76">
        <f>C34/'Abr24'!C34-1</f>
        <v>4.0404040404040442E-2</v>
      </c>
    </row>
    <row r="35" spans="2:32" s="8" customFormat="1" x14ac:dyDescent="0.25">
      <c r="B35" s="3" t="s">
        <v>45</v>
      </c>
      <c r="C35" s="17">
        <f>SUM(C30:C34)</f>
        <v>722014964.58000004</v>
      </c>
      <c r="D35" s="15"/>
      <c r="E35" s="17">
        <f>SUM(E30:E34)</f>
        <v>59856875.068580002</v>
      </c>
      <c r="F35" s="15"/>
      <c r="G35" s="17">
        <f>SUM(G30:G34)</f>
        <v>121629810.63486002</v>
      </c>
      <c r="H35" s="15"/>
      <c r="I35" s="17">
        <f>SUM(I30:I34)</f>
        <v>420659255.51828003</v>
      </c>
      <c r="J35" s="15"/>
      <c r="K35" s="17">
        <f>SUM(K30:K34)</f>
        <v>71103899.779159993</v>
      </c>
      <c r="L35" s="15"/>
      <c r="M35" s="17">
        <f>SUM(M30:M34)</f>
        <v>53614993.968999997</v>
      </c>
      <c r="N35" s="15"/>
      <c r="O35" s="63">
        <f>SUM(O30:O34)</f>
        <v>-5070836.6304599997</v>
      </c>
      <c r="S35" s="12">
        <f>E35-'Abr24'!E35</f>
        <v>-23705697.027579993</v>
      </c>
      <c r="T35" s="12">
        <f>G35-'Abr24'!G35</f>
        <v>-17616173.849699989</v>
      </c>
      <c r="U35" s="12">
        <f>I35-'Abr24'!I35</f>
        <v>-182686374.7551899</v>
      </c>
      <c r="V35" s="12">
        <f>K35-'Abr24'!K35</f>
        <v>-53625740.439100012</v>
      </c>
      <c r="W35" s="12">
        <f>+M35-'Abr24'!M35</f>
        <v>8147838.925499998</v>
      </c>
      <c r="Y35" s="28">
        <f>D35-'Abr24'!D35</f>
        <v>-8.3736385296249202E-2</v>
      </c>
      <c r="Z35" s="28">
        <f>F35-'Abr24'!F35</f>
        <v>-0.13953562121492516</v>
      </c>
      <c r="AA35" s="28">
        <f>H35-'Abr24'!H35</f>
        <v>-0.6046006112072424</v>
      </c>
      <c r="AB35" s="28">
        <f>J35-'Abr24'!J35</f>
        <v>-0.12498908242268812</v>
      </c>
      <c r="AC35" s="28">
        <f>L35-'Abr24'!L35</f>
        <v>-4.5561728385593497E-2</v>
      </c>
      <c r="AE35" s="10">
        <f>C35-'Abr24'!C35</f>
        <v>-275909316.48999989</v>
      </c>
      <c r="AF35" s="76">
        <f>C35/'Abr24'!C35-1</f>
        <v>-0.27648321793930386</v>
      </c>
    </row>
    <row r="37" spans="2:32" x14ac:dyDescent="0.25">
      <c r="E37"/>
    </row>
    <row r="38" spans="2:32" x14ac:dyDescent="0.25">
      <c r="D38" s="38"/>
    </row>
    <row r="39" spans="2:32" x14ac:dyDescent="0.25">
      <c r="C39" s="30"/>
      <c r="D39" s="35"/>
    </row>
    <row r="40" spans="2:32" x14ac:dyDescent="0.25">
      <c r="C40" s="37"/>
      <c r="D40" s="35"/>
    </row>
    <row r="41" spans="2:32" x14ac:dyDescent="0.25">
      <c r="C41" s="37"/>
      <c r="D41" s="35"/>
    </row>
    <row r="42" spans="2:32" x14ac:dyDescent="0.25">
      <c r="C42" s="37"/>
      <c r="D42" s="35"/>
    </row>
    <row r="43" spans="2:32" x14ac:dyDescent="0.25">
      <c r="C43" s="37"/>
      <c r="D43" s="35"/>
    </row>
    <row r="44" spans="2:32" x14ac:dyDescent="0.25">
      <c r="C44" s="37"/>
      <c r="D44" s="35"/>
      <c r="E44" s="37"/>
    </row>
    <row r="45" spans="2:32" x14ac:dyDescent="0.25">
      <c r="C45" s="37"/>
      <c r="D45" s="35"/>
    </row>
    <row r="46" spans="2:32" x14ac:dyDescent="0.25">
      <c r="C46" s="37"/>
      <c r="D46" s="35"/>
    </row>
    <row r="47" spans="2:32" x14ac:dyDescent="0.25">
      <c r="C47" s="37"/>
      <c r="D47" s="35"/>
    </row>
    <row r="48" spans="2:32" x14ac:dyDescent="0.25">
      <c r="C48" s="37"/>
      <c r="D48" s="35"/>
    </row>
    <row r="49" spans="3:4" x14ac:dyDescent="0.25">
      <c r="C49" s="37"/>
      <c r="D49" s="35"/>
    </row>
    <row r="50" spans="3:4" x14ac:dyDescent="0.25">
      <c r="C50" s="37"/>
      <c r="D50" s="35"/>
    </row>
    <row r="51" spans="3:4" x14ac:dyDescent="0.25">
      <c r="C51" s="37"/>
      <c r="D51" s="35"/>
    </row>
    <row r="52" spans="3:4" x14ac:dyDescent="0.25">
      <c r="C52" s="37"/>
      <c r="D52" s="35"/>
    </row>
    <row r="53" spans="3:4" x14ac:dyDescent="0.25">
      <c r="C53" s="37"/>
      <c r="D53" s="35"/>
    </row>
    <row r="54" spans="3:4" x14ac:dyDescent="0.25">
      <c r="C54" s="37"/>
      <c r="D54" s="35"/>
    </row>
    <row r="55" spans="3:4" x14ac:dyDescent="0.25">
      <c r="C55" s="37"/>
      <c r="D55" s="35"/>
    </row>
    <row r="56" spans="3:4" x14ac:dyDescent="0.25">
      <c r="C56" s="37"/>
      <c r="D56" s="35"/>
    </row>
    <row r="57" spans="3:4" x14ac:dyDescent="0.25">
      <c r="C57" s="37"/>
      <c r="D57" s="35"/>
    </row>
    <row r="58" spans="3:4" x14ac:dyDescent="0.25">
      <c r="C58" s="37"/>
      <c r="D58" s="35"/>
    </row>
    <row r="59" spans="3:4" x14ac:dyDescent="0.25">
      <c r="C59" s="37"/>
      <c r="D59" s="35"/>
    </row>
    <row r="60" spans="3:4" x14ac:dyDescent="0.25">
      <c r="C60" s="37"/>
      <c r="D60" s="35"/>
    </row>
    <row r="61" spans="3:4" x14ac:dyDescent="0.25">
      <c r="C61" s="37"/>
      <c r="D61" s="35"/>
    </row>
    <row r="62" spans="3:4" x14ac:dyDescent="0.25">
      <c r="C62" s="37"/>
      <c r="D62" s="35"/>
    </row>
    <row r="63" spans="3:4" x14ac:dyDescent="0.25">
      <c r="C63" s="37"/>
      <c r="D63" s="35"/>
    </row>
    <row r="64" spans="3:4" x14ac:dyDescent="0.25">
      <c r="C64" s="37"/>
      <c r="D64" s="35"/>
    </row>
    <row r="65" spans="3:4" x14ac:dyDescent="0.25">
      <c r="C65" s="37"/>
      <c r="D65" s="35"/>
    </row>
    <row r="66" spans="3:4" x14ac:dyDescent="0.25">
      <c r="C66" s="37"/>
      <c r="D66" s="35"/>
    </row>
    <row r="67" spans="3:4" x14ac:dyDescent="0.25">
      <c r="C67" s="37"/>
      <c r="D67" s="35"/>
    </row>
    <row r="68" spans="3:4" x14ac:dyDescent="0.25">
      <c r="C68" s="37"/>
      <c r="D68" s="35"/>
    </row>
    <row r="69" spans="3:4" x14ac:dyDescent="0.25">
      <c r="C69" s="37"/>
      <c r="D69" s="35"/>
    </row>
    <row r="70" spans="3:4" x14ac:dyDescent="0.25">
      <c r="C70" s="37"/>
      <c r="D70" s="35"/>
    </row>
    <row r="71" spans="3:4" x14ac:dyDescent="0.25">
      <c r="C71" s="37"/>
      <c r="D71" s="35"/>
    </row>
    <row r="72" spans="3:4" x14ac:dyDescent="0.25">
      <c r="C72" s="37"/>
      <c r="D72" s="35"/>
    </row>
    <row r="73" spans="3:4" x14ac:dyDescent="0.25">
      <c r="C73" s="37"/>
      <c r="D73" s="35"/>
    </row>
    <row r="74" spans="3:4" x14ac:dyDescent="0.25">
      <c r="C74" s="37"/>
      <c r="D74" s="35"/>
    </row>
    <row r="75" spans="3:4" x14ac:dyDescent="0.25">
      <c r="C75" s="37"/>
      <c r="D75" s="35"/>
    </row>
    <row r="76" spans="3:4" x14ac:dyDescent="0.25">
      <c r="C76" s="37"/>
      <c r="D76" s="35"/>
    </row>
    <row r="77" spans="3:4" x14ac:dyDescent="0.25">
      <c r="C77" s="37"/>
      <c r="D77" s="35"/>
    </row>
    <row r="78" spans="3:4" x14ac:dyDescent="0.25">
      <c r="C78" s="37"/>
      <c r="D78" s="35"/>
    </row>
    <row r="79" spans="3:4" x14ac:dyDescent="0.25">
      <c r="C79" s="37"/>
      <c r="D79" s="35"/>
    </row>
    <row r="80" spans="3:4" x14ac:dyDescent="0.25">
      <c r="C80" s="37"/>
      <c r="D80" s="35"/>
    </row>
    <row r="81" spans="3:4" x14ac:dyDescent="0.25">
      <c r="C81" s="37"/>
      <c r="D81" s="35"/>
    </row>
    <row r="82" spans="3:4" x14ac:dyDescent="0.25">
      <c r="C82" s="37"/>
      <c r="D82" s="35"/>
    </row>
    <row r="83" spans="3:4" x14ac:dyDescent="0.25">
      <c r="C83" s="37"/>
      <c r="D83" s="35"/>
    </row>
    <row r="84" spans="3:4" x14ac:dyDescent="0.25">
      <c r="C84" s="37"/>
      <c r="D84" s="35"/>
    </row>
    <row r="85" spans="3:4" x14ac:dyDescent="0.25">
      <c r="C85" s="37"/>
      <c r="D85" s="35"/>
    </row>
    <row r="86" spans="3:4" x14ac:dyDescent="0.25">
      <c r="C86" s="37"/>
      <c r="D86" s="35"/>
    </row>
    <row r="87" spans="3:4" x14ac:dyDescent="0.25">
      <c r="C87" s="37"/>
      <c r="D87" s="35"/>
    </row>
    <row r="88" spans="3:4" x14ac:dyDescent="0.25">
      <c r="C88" s="37"/>
      <c r="D88" s="35"/>
    </row>
    <row r="89" spans="3:4" x14ac:dyDescent="0.25">
      <c r="C89" s="37"/>
      <c r="D89" s="35"/>
    </row>
    <row r="90" spans="3:4" x14ac:dyDescent="0.25">
      <c r="C90" s="37"/>
      <c r="D90" s="35"/>
    </row>
    <row r="91" spans="3:4" x14ac:dyDescent="0.25">
      <c r="C91" s="37"/>
      <c r="D91" s="35"/>
    </row>
    <row r="92" spans="3:4" x14ac:dyDescent="0.25">
      <c r="C92" s="37"/>
      <c r="D92" s="35"/>
    </row>
    <row r="93" spans="3:4" x14ac:dyDescent="0.25">
      <c r="C93" s="37"/>
      <c r="D93" s="35"/>
    </row>
    <row r="94" spans="3:4" x14ac:dyDescent="0.25">
      <c r="C94" s="37"/>
      <c r="D94" s="35"/>
    </row>
    <row r="95" spans="3:4" x14ac:dyDescent="0.25">
      <c r="C95" s="37"/>
      <c r="D95" s="35"/>
    </row>
    <row r="96" spans="3:4" x14ac:dyDescent="0.25">
      <c r="C96" s="37"/>
      <c r="D96" s="35"/>
    </row>
    <row r="97" spans="3:4" x14ac:dyDescent="0.25">
      <c r="C97" s="37"/>
      <c r="D97" s="35"/>
    </row>
    <row r="98" spans="3:4" x14ac:dyDescent="0.25">
      <c r="C98" s="37"/>
      <c r="D98" s="35"/>
    </row>
    <row r="99" spans="3:4" x14ac:dyDescent="0.25">
      <c r="C99" s="37"/>
      <c r="D99" s="35"/>
    </row>
    <row r="100" spans="3:4" x14ac:dyDescent="0.25">
      <c r="C100" s="37"/>
      <c r="D100" s="35"/>
    </row>
    <row r="101" spans="3:4" x14ac:dyDescent="0.25">
      <c r="C101" s="37"/>
      <c r="D101" s="35"/>
    </row>
    <row r="102" spans="3:4" x14ac:dyDescent="0.25">
      <c r="C102" s="37"/>
      <c r="D102" s="35"/>
    </row>
    <row r="103" spans="3:4" x14ac:dyDescent="0.25">
      <c r="C103" s="37"/>
      <c r="D103" s="35"/>
    </row>
    <row r="104" spans="3:4" x14ac:dyDescent="0.25">
      <c r="C104" s="37"/>
      <c r="D104" s="35"/>
    </row>
    <row r="105" spans="3:4" x14ac:dyDescent="0.25">
      <c r="C105" s="37"/>
      <c r="D105" s="35"/>
    </row>
    <row r="106" spans="3:4" x14ac:dyDescent="0.25">
      <c r="C106" s="37"/>
      <c r="D106" s="35"/>
    </row>
    <row r="107" spans="3:4" x14ac:dyDescent="0.25">
      <c r="C107" s="37"/>
      <c r="D107" s="35"/>
    </row>
    <row r="108" spans="3:4" x14ac:dyDescent="0.25">
      <c r="C108" s="37"/>
      <c r="D108" s="35"/>
    </row>
    <row r="109" spans="3:4" x14ac:dyDescent="0.25">
      <c r="C109" s="37"/>
      <c r="D109" s="35"/>
    </row>
    <row r="110" spans="3:4" x14ac:dyDescent="0.25">
      <c r="C110" s="37"/>
      <c r="D110" s="35"/>
    </row>
    <row r="111" spans="3:4" x14ac:dyDescent="0.25">
      <c r="C111" s="37"/>
      <c r="D111" s="35"/>
    </row>
    <row r="112" spans="3:4" x14ac:dyDescent="0.25">
      <c r="C112" s="37"/>
      <c r="D112" s="35"/>
    </row>
    <row r="113" spans="3:4" x14ac:dyDescent="0.25">
      <c r="C113" s="37"/>
      <c r="D113" s="35"/>
    </row>
    <row r="114" spans="3:4" x14ac:dyDescent="0.25">
      <c r="C114" s="37"/>
      <c r="D114" s="35"/>
    </row>
    <row r="115" spans="3:4" x14ac:dyDescent="0.25">
      <c r="C115" s="37"/>
      <c r="D115" s="35"/>
    </row>
    <row r="116" spans="3:4" x14ac:dyDescent="0.25">
      <c r="C116" s="37"/>
      <c r="D116" s="35"/>
    </row>
    <row r="117" spans="3:4" x14ac:dyDescent="0.25">
      <c r="C117" s="37"/>
      <c r="D117" s="35"/>
    </row>
    <row r="118" spans="3:4" x14ac:dyDescent="0.25">
      <c r="C118" s="37"/>
      <c r="D118" s="35"/>
    </row>
    <row r="119" spans="3:4" x14ac:dyDescent="0.25">
      <c r="C119" s="37"/>
      <c r="D119" s="35"/>
    </row>
    <row r="120" spans="3:4" x14ac:dyDescent="0.25">
      <c r="C120" s="37"/>
      <c r="D120" s="35"/>
    </row>
    <row r="121" spans="3:4" x14ac:dyDescent="0.25">
      <c r="C121" s="37"/>
      <c r="D121" s="35"/>
    </row>
    <row r="122" spans="3:4" x14ac:dyDescent="0.25">
      <c r="C122" s="37"/>
      <c r="D122" s="35"/>
    </row>
    <row r="123" spans="3:4" x14ac:dyDescent="0.25">
      <c r="C123" s="37"/>
      <c r="D123" s="35"/>
    </row>
    <row r="124" spans="3:4" x14ac:dyDescent="0.25">
      <c r="C124" s="37"/>
      <c r="D124" s="35"/>
    </row>
    <row r="125" spans="3:4" x14ac:dyDescent="0.25">
      <c r="C125" s="37"/>
      <c r="D125" s="35"/>
    </row>
    <row r="126" spans="3:4" x14ac:dyDescent="0.25">
      <c r="C126" s="37"/>
      <c r="D126" s="35"/>
    </row>
    <row r="127" spans="3:4" x14ac:dyDescent="0.25">
      <c r="C127" s="37"/>
      <c r="D127" s="35"/>
    </row>
    <row r="128" spans="3:4" x14ac:dyDescent="0.25">
      <c r="C128" s="37"/>
      <c r="D128" s="35"/>
    </row>
    <row r="129" spans="3:4" x14ac:dyDescent="0.25">
      <c r="C129" s="37"/>
      <c r="D129" s="35"/>
    </row>
    <row r="130" spans="3:4" x14ac:dyDescent="0.25">
      <c r="C130" s="37"/>
      <c r="D130" s="35"/>
    </row>
    <row r="131" spans="3:4" x14ac:dyDescent="0.25">
      <c r="C131" s="37"/>
      <c r="D131" s="35"/>
    </row>
    <row r="132" spans="3:4" x14ac:dyDescent="0.25">
      <c r="C132" s="37"/>
      <c r="D132" s="35"/>
    </row>
    <row r="133" spans="3:4" x14ac:dyDescent="0.25">
      <c r="C133" s="37"/>
      <c r="D133" s="35"/>
    </row>
    <row r="134" spans="3:4" x14ac:dyDescent="0.25">
      <c r="C134" s="37"/>
      <c r="D134" s="35"/>
    </row>
    <row r="135" spans="3:4" x14ac:dyDescent="0.25">
      <c r="C135" s="37"/>
      <c r="D135" s="35"/>
    </row>
    <row r="136" spans="3:4" x14ac:dyDescent="0.25">
      <c r="C136" s="37"/>
      <c r="D136" s="35"/>
    </row>
    <row r="137" spans="3:4" x14ac:dyDescent="0.25">
      <c r="C137" s="37"/>
      <c r="D137" s="35"/>
    </row>
    <row r="138" spans="3:4" x14ac:dyDescent="0.25">
      <c r="C138" s="37"/>
      <c r="D138" s="35"/>
    </row>
    <row r="139" spans="3:4" x14ac:dyDescent="0.25">
      <c r="C139" s="37"/>
      <c r="D139" s="35"/>
    </row>
    <row r="140" spans="3:4" x14ac:dyDescent="0.25">
      <c r="C140" s="37"/>
      <c r="D140" s="35"/>
    </row>
    <row r="141" spans="3:4" x14ac:dyDescent="0.25">
      <c r="C141" s="37"/>
      <c r="D141" s="35"/>
    </row>
    <row r="142" spans="3:4" x14ac:dyDescent="0.25">
      <c r="C142" s="37"/>
      <c r="D142" s="35"/>
    </row>
    <row r="143" spans="3:4" x14ac:dyDescent="0.25">
      <c r="C143" s="37"/>
      <c r="D143" s="35"/>
    </row>
    <row r="144" spans="3:4" x14ac:dyDescent="0.25">
      <c r="C144" s="37"/>
      <c r="D144" s="35"/>
    </row>
    <row r="145" spans="3:4" x14ac:dyDescent="0.25">
      <c r="C145" s="37"/>
      <c r="D145" s="35"/>
    </row>
    <row r="146" spans="3:4" x14ac:dyDescent="0.25">
      <c r="C146" s="37"/>
      <c r="D146" s="35"/>
    </row>
    <row r="147" spans="3:4" x14ac:dyDescent="0.25">
      <c r="C147" s="37"/>
      <c r="D147" s="35"/>
    </row>
    <row r="148" spans="3:4" x14ac:dyDescent="0.25">
      <c r="C148" s="37"/>
      <c r="D148" s="35"/>
    </row>
    <row r="149" spans="3:4" x14ac:dyDescent="0.25">
      <c r="C149" s="37"/>
      <c r="D149" s="35"/>
    </row>
    <row r="150" spans="3:4" x14ac:dyDescent="0.25">
      <c r="C150" s="37"/>
      <c r="D150" s="35"/>
    </row>
    <row r="151" spans="3:4" x14ac:dyDescent="0.25">
      <c r="C151" s="37"/>
      <c r="D151" s="35"/>
    </row>
    <row r="152" spans="3:4" x14ac:dyDescent="0.25">
      <c r="C152" s="37"/>
      <c r="D152" s="35"/>
    </row>
    <row r="153" spans="3:4" x14ac:dyDescent="0.25">
      <c r="C153" s="37"/>
      <c r="D153" s="35"/>
    </row>
    <row r="154" spans="3:4" x14ac:dyDescent="0.25">
      <c r="C154" s="37"/>
      <c r="D154" s="35"/>
    </row>
    <row r="155" spans="3:4" x14ac:dyDescent="0.25">
      <c r="C155" s="37"/>
      <c r="D155" s="35"/>
    </row>
    <row r="156" spans="3:4" x14ac:dyDescent="0.25">
      <c r="C156" s="37"/>
      <c r="D156" s="35"/>
    </row>
    <row r="157" spans="3:4" x14ac:dyDescent="0.25">
      <c r="C157" s="37"/>
      <c r="D157" s="35"/>
    </row>
    <row r="158" spans="3:4" x14ac:dyDescent="0.25">
      <c r="C158" s="37"/>
      <c r="D158" s="35"/>
    </row>
    <row r="159" spans="3:4" x14ac:dyDescent="0.25">
      <c r="C159" s="37"/>
      <c r="D159" s="35"/>
    </row>
    <row r="160" spans="3:4" x14ac:dyDescent="0.25">
      <c r="C160" s="37"/>
      <c r="D160" s="35"/>
    </row>
    <row r="161" spans="3:4" x14ac:dyDescent="0.25">
      <c r="C161" s="37"/>
      <c r="D161" s="35"/>
    </row>
    <row r="162" spans="3:4" x14ac:dyDescent="0.25">
      <c r="C162" s="37"/>
      <c r="D162" s="35"/>
    </row>
    <row r="163" spans="3:4" x14ac:dyDescent="0.25">
      <c r="C163" s="37"/>
      <c r="D163" s="35"/>
    </row>
    <row r="164" spans="3:4" x14ac:dyDescent="0.25">
      <c r="C164" s="37"/>
      <c r="D164" s="35"/>
    </row>
    <row r="165" spans="3:4" x14ac:dyDescent="0.25">
      <c r="C165" s="37"/>
      <c r="D165" s="35"/>
    </row>
    <row r="166" spans="3:4" x14ac:dyDescent="0.25">
      <c r="C166" s="37"/>
      <c r="D166" s="35"/>
    </row>
    <row r="167" spans="3:4" x14ac:dyDescent="0.25">
      <c r="C167" s="37"/>
      <c r="D167" s="35"/>
    </row>
    <row r="168" spans="3:4" x14ac:dyDescent="0.25">
      <c r="C168" s="37"/>
      <c r="D168" s="35"/>
    </row>
    <row r="169" spans="3:4" x14ac:dyDescent="0.25">
      <c r="C169" s="37"/>
      <c r="D169" s="35"/>
    </row>
    <row r="170" spans="3:4" x14ac:dyDescent="0.25">
      <c r="C170" s="37"/>
      <c r="D170" s="35"/>
    </row>
    <row r="171" spans="3:4" x14ac:dyDescent="0.25">
      <c r="C171" s="37"/>
      <c r="D171" s="35"/>
    </row>
    <row r="172" spans="3:4" x14ac:dyDescent="0.25">
      <c r="C172" s="37"/>
      <c r="D172" s="35"/>
    </row>
    <row r="173" spans="3:4" x14ac:dyDescent="0.25">
      <c r="C173" s="37"/>
      <c r="D173" s="35"/>
    </row>
    <row r="174" spans="3:4" x14ac:dyDescent="0.25">
      <c r="C174" s="37"/>
      <c r="D174" s="35"/>
    </row>
    <row r="175" spans="3:4" x14ac:dyDescent="0.25">
      <c r="C175" s="37"/>
      <c r="D175" s="35"/>
    </row>
    <row r="176" spans="3:4" x14ac:dyDescent="0.25">
      <c r="C176" s="37"/>
      <c r="D176" s="35"/>
    </row>
    <row r="177" spans="3:4" x14ac:dyDescent="0.25">
      <c r="C177" s="37"/>
      <c r="D177" s="35"/>
    </row>
    <row r="178" spans="3:4" x14ac:dyDescent="0.25">
      <c r="C178" s="37"/>
      <c r="D178" s="35"/>
    </row>
    <row r="179" spans="3:4" x14ac:dyDescent="0.25">
      <c r="C179" s="37"/>
      <c r="D179" s="35"/>
    </row>
    <row r="180" spans="3:4" x14ac:dyDescent="0.25">
      <c r="C180" s="37"/>
      <c r="D180" s="35"/>
    </row>
    <row r="181" spans="3:4" x14ac:dyDescent="0.25">
      <c r="C181" s="37"/>
      <c r="D181" s="35"/>
    </row>
    <row r="182" spans="3:4" x14ac:dyDescent="0.25">
      <c r="C182" s="37"/>
      <c r="D182" s="35"/>
    </row>
    <row r="183" spans="3:4" x14ac:dyDescent="0.25">
      <c r="C183" s="37"/>
      <c r="D183" s="35"/>
    </row>
    <row r="184" spans="3:4" x14ac:dyDescent="0.25">
      <c r="C184" s="37"/>
      <c r="D184" s="35"/>
    </row>
    <row r="185" spans="3:4" x14ac:dyDescent="0.25">
      <c r="C185" s="37"/>
      <c r="D185" s="35"/>
    </row>
    <row r="186" spans="3:4" x14ac:dyDescent="0.25">
      <c r="C186" s="37"/>
      <c r="D186" s="35"/>
    </row>
    <row r="187" spans="3:4" x14ac:dyDescent="0.25">
      <c r="C187" s="37"/>
      <c r="D187" s="35"/>
    </row>
    <row r="188" spans="3:4" x14ac:dyDescent="0.25">
      <c r="C188" s="37"/>
      <c r="D188" s="35"/>
    </row>
    <row r="189" spans="3:4" x14ac:dyDescent="0.25">
      <c r="C189" s="37"/>
      <c r="D189" s="35"/>
    </row>
    <row r="190" spans="3:4" x14ac:dyDescent="0.25">
      <c r="C190" s="37"/>
      <c r="D190" s="35"/>
    </row>
    <row r="191" spans="3:4" x14ac:dyDescent="0.25">
      <c r="C191" s="37"/>
      <c r="D191" s="35"/>
    </row>
    <row r="192" spans="3:4" x14ac:dyDescent="0.25">
      <c r="C192" s="37"/>
      <c r="D192" s="35"/>
    </row>
    <row r="193" spans="3:4" x14ac:dyDescent="0.25">
      <c r="C193" s="37"/>
      <c r="D193" s="35"/>
    </row>
    <row r="194" spans="3:4" x14ac:dyDescent="0.25">
      <c r="C194" s="37"/>
      <c r="D194" s="35"/>
    </row>
    <row r="195" spans="3:4" x14ac:dyDescent="0.25">
      <c r="C195" s="37"/>
      <c r="D195" s="35"/>
    </row>
    <row r="196" spans="3:4" x14ac:dyDescent="0.25">
      <c r="C196" s="37"/>
      <c r="D196" s="35"/>
    </row>
    <row r="197" spans="3:4" x14ac:dyDescent="0.25">
      <c r="C197" s="37"/>
      <c r="D197" s="35"/>
    </row>
    <row r="198" spans="3:4" x14ac:dyDescent="0.25">
      <c r="C198" s="37"/>
      <c r="D198" s="35"/>
    </row>
    <row r="199" spans="3:4" x14ac:dyDescent="0.25">
      <c r="C199" s="37"/>
      <c r="D199" s="35"/>
    </row>
    <row r="200" spans="3:4" x14ac:dyDescent="0.25">
      <c r="C200" s="37"/>
      <c r="D200" s="35"/>
    </row>
    <row r="201" spans="3:4" x14ac:dyDescent="0.25">
      <c r="C201" s="37"/>
      <c r="D201" s="35"/>
    </row>
    <row r="202" spans="3:4" x14ac:dyDescent="0.25">
      <c r="C202" s="37"/>
      <c r="D202" s="35"/>
    </row>
    <row r="203" spans="3:4" x14ac:dyDescent="0.25">
      <c r="C203" s="37"/>
      <c r="D203" s="35"/>
    </row>
    <row r="204" spans="3:4" x14ac:dyDescent="0.25">
      <c r="C204" s="37"/>
      <c r="D204" s="35"/>
    </row>
    <row r="205" spans="3:4" x14ac:dyDescent="0.25">
      <c r="C205" s="37"/>
      <c r="D205" s="35"/>
    </row>
    <row r="206" spans="3:4" x14ac:dyDescent="0.25">
      <c r="C206" s="37"/>
      <c r="D206" s="35"/>
    </row>
    <row r="207" spans="3:4" x14ac:dyDescent="0.25">
      <c r="C207" s="37"/>
      <c r="D207" s="35"/>
    </row>
    <row r="208" spans="3:4" x14ac:dyDescent="0.25">
      <c r="C208" s="37"/>
      <c r="D208" s="35"/>
    </row>
    <row r="209" spans="3:4" x14ac:dyDescent="0.25">
      <c r="C209" s="37"/>
      <c r="D209" s="35"/>
    </row>
    <row r="210" spans="3:4" x14ac:dyDescent="0.25">
      <c r="C210" s="37"/>
      <c r="D210" s="35"/>
    </row>
    <row r="211" spans="3:4" x14ac:dyDescent="0.25">
      <c r="C211" s="37"/>
      <c r="D211" s="35"/>
    </row>
    <row r="212" spans="3:4" x14ac:dyDescent="0.25">
      <c r="C212" s="37"/>
      <c r="D212" s="35"/>
    </row>
    <row r="213" spans="3:4" x14ac:dyDescent="0.25">
      <c r="C213" s="37"/>
      <c r="D213" s="35"/>
    </row>
    <row r="214" spans="3:4" x14ac:dyDescent="0.25">
      <c r="C214" s="37"/>
      <c r="D214" s="35"/>
    </row>
    <row r="215" spans="3:4" x14ac:dyDescent="0.25">
      <c r="C215" s="37"/>
      <c r="D215" s="35"/>
    </row>
    <row r="216" spans="3:4" x14ac:dyDescent="0.25">
      <c r="C216" s="37"/>
      <c r="D216" s="35"/>
    </row>
    <row r="217" spans="3:4" x14ac:dyDescent="0.25">
      <c r="C217" s="37"/>
      <c r="D217" s="35"/>
    </row>
    <row r="218" spans="3:4" x14ac:dyDescent="0.25">
      <c r="C218" s="37"/>
      <c r="D218" s="35"/>
    </row>
    <row r="219" spans="3:4" x14ac:dyDescent="0.25">
      <c r="C219" s="37"/>
      <c r="D219" s="35"/>
    </row>
    <row r="220" spans="3:4" x14ac:dyDescent="0.25">
      <c r="C220" s="37"/>
      <c r="D220" s="35"/>
    </row>
    <row r="221" spans="3:4" x14ac:dyDescent="0.25">
      <c r="C221" s="37"/>
      <c r="D221" s="35"/>
    </row>
    <row r="222" spans="3:4" x14ac:dyDescent="0.25">
      <c r="C222" s="37"/>
      <c r="D222" s="35"/>
    </row>
    <row r="223" spans="3:4" x14ac:dyDescent="0.25">
      <c r="C223" s="37"/>
      <c r="D223" s="35"/>
    </row>
    <row r="224" spans="3:4" x14ac:dyDescent="0.25">
      <c r="C224" s="37"/>
      <c r="D224" s="35"/>
    </row>
    <row r="225" spans="3:4" x14ac:dyDescent="0.25">
      <c r="C225" s="37"/>
      <c r="D225" s="35"/>
    </row>
    <row r="226" spans="3:4" x14ac:dyDescent="0.25">
      <c r="C226" s="37"/>
      <c r="D226" s="35"/>
    </row>
    <row r="227" spans="3:4" x14ac:dyDescent="0.25">
      <c r="C227" s="37"/>
      <c r="D227" s="35"/>
    </row>
    <row r="228" spans="3:4" x14ac:dyDescent="0.25">
      <c r="C228" s="37"/>
      <c r="D228" s="35"/>
    </row>
    <row r="229" spans="3:4" x14ac:dyDescent="0.25">
      <c r="C229" s="37"/>
      <c r="D229" s="35"/>
    </row>
    <row r="230" spans="3:4" x14ac:dyDescent="0.25">
      <c r="C230" s="37"/>
      <c r="D230" s="35"/>
    </row>
    <row r="231" spans="3:4" x14ac:dyDescent="0.25">
      <c r="C231" s="37"/>
      <c r="D231" s="35"/>
    </row>
    <row r="232" spans="3:4" x14ac:dyDescent="0.25">
      <c r="C232" s="37"/>
      <c r="D232" s="35"/>
    </row>
    <row r="233" spans="3:4" x14ac:dyDescent="0.25">
      <c r="C233" s="37"/>
      <c r="D233" s="35"/>
    </row>
    <row r="234" spans="3:4" x14ac:dyDescent="0.25">
      <c r="C234" s="37"/>
      <c r="D234" s="35"/>
    </row>
    <row r="235" spans="3:4" x14ac:dyDescent="0.25">
      <c r="C235" s="37"/>
      <c r="D235" s="35"/>
    </row>
    <row r="236" spans="3:4" x14ac:dyDescent="0.25">
      <c r="C236" s="37"/>
      <c r="D236" s="35"/>
    </row>
    <row r="237" spans="3:4" x14ac:dyDescent="0.25">
      <c r="C237" s="37"/>
      <c r="D237" s="35"/>
    </row>
    <row r="238" spans="3:4" x14ac:dyDescent="0.25">
      <c r="C238" s="37"/>
      <c r="D238" s="35"/>
    </row>
    <row r="239" spans="3:4" x14ac:dyDescent="0.25">
      <c r="C239" s="37"/>
      <c r="D239" s="35"/>
    </row>
    <row r="240" spans="3:4" x14ac:dyDescent="0.25">
      <c r="C240" s="37"/>
      <c r="D240" s="35"/>
    </row>
    <row r="241" spans="3:4" x14ac:dyDescent="0.25">
      <c r="C241" s="37"/>
      <c r="D241" s="35"/>
    </row>
    <row r="242" spans="3:4" x14ac:dyDescent="0.25">
      <c r="C242" s="37"/>
      <c r="D242" s="35"/>
    </row>
    <row r="243" spans="3:4" x14ac:dyDescent="0.25">
      <c r="C243" s="37"/>
      <c r="D243" s="35"/>
    </row>
    <row r="244" spans="3:4" x14ac:dyDescent="0.25">
      <c r="C244" s="37"/>
      <c r="D244" s="35"/>
    </row>
    <row r="245" spans="3:4" x14ac:dyDescent="0.25">
      <c r="C245" s="37"/>
      <c r="D245" s="35"/>
    </row>
    <row r="246" spans="3:4" x14ac:dyDescent="0.25">
      <c r="C246" s="37"/>
      <c r="D246" s="35"/>
    </row>
    <row r="247" spans="3:4" x14ac:dyDescent="0.25">
      <c r="C247" s="37"/>
      <c r="D247" s="35"/>
    </row>
    <row r="248" spans="3:4" x14ac:dyDescent="0.25">
      <c r="C248" s="37"/>
      <c r="D248" s="35"/>
    </row>
    <row r="249" spans="3:4" x14ac:dyDescent="0.25">
      <c r="C249" s="37"/>
      <c r="D249" s="35"/>
    </row>
    <row r="250" spans="3:4" x14ac:dyDescent="0.25">
      <c r="C250" s="37"/>
      <c r="D250" s="35"/>
    </row>
    <row r="251" spans="3:4" x14ac:dyDescent="0.25">
      <c r="C251" s="37"/>
      <c r="D251" s="35"/>
    </row>
    <row r="252" spans="3:4" x14ac:dyDescent="0.25">
      <c r="C252" s="37"/>
      <c r="D252" s="35"/>
    </row>
    <row r="253" spans="3:4" x14ac:dyDescent="0.25">
      <c r="C253" s="37"/>
      <c r="D253" s="35"/>
    </row>
    <row r="254" spans="3:4" x14ac:dyDescent="0.25">
      <c r="C254" s="37"/>
      <c r="D254" s="35"/>
    </row>
    <row r="255" spans="3:4" x14ac:dyDescent="0.25">
      <c r="C255" s="37"/>
      <c r="D255" s="35"/>
    </row>
    <row r="256" spans="3:4" x14ac:dyDescent="0.25">
      <c r="C256" s="37"/>
      <c r="D256" s="35"/>
    </row>
    <row r="257" spans="3:4" x14ac:dyDescent="0.25">
      <c r="C257" s="37"/>
      <c r="D257" s="35"/>
    </row>
    <row r="258" spans="3:4" x14ac:dyDescent="0.25">
      <c r="C258" s="37"/>
      <c r="D258" s="35"/>
    </row>
    <row r="259" spans="3:4" x14ac:dyDescent="0.25">
      <c r="C259" s="37"/>
      <c r="D259" s="35"/>
    </row>
    <row r="260" spans="3:4" x14ac:dyDescent="0.25">
      <c r="C260" s="37"/>
      <c r="D260" s="35"/>
    </row>
    <row r="261" spans="3:4" x14ac:dyDescent="0.25">
      <c r="C261" s="37"/>
      <c r="D261" s="35"/>
    </row>
    <row r="262" spans="3:4" x14ac:dyDescent="0.25">
      <c r="C262" s="37"/>
      <c r="D262" s="35"/>
    </row>
    <row r="263" spans="3:4" x14ac:dyDescent="0.25">
      <c r="C263" s="37"/>
      <c r="D263" s="35"/>
    </row>
    <row r="264" spans="3:4" x14ac:dyDescent="0.25">
      <c r="C264" s="37"/>
      <c r="D264" s="35"/>
    </row>
    <row r="265" spans="3:4" x14ac:dyDescent="0.25">
      <c r="C265" s="37"/>
      <c r="D265" s="35"/>
    </row>
    <row r="266" spans="3:4" x14ac:dyDescent="0.25">
      <c r="C266" s="37"/>
      <c r="D266" s="35"/>
    </row>
    <row r="267" spans="3:4" x14ac:dyDescent="0.25">
      <c r="C267" s="37"/>
      <c r="D267" s="35"/>
    </row>
    <row r="268" spans="3:4" x14ac:dyDescent="0.25">
      <c r="C268" s="37"/>
      <c r="D268" s="35"/>
    </row>
    <row r="269" spans="3:4" x14ac:dyDescent="0.25">
      <c r="C269" s="37"/>
      <c r="D269" s="35"/>
    </row>
    <row r="270" spans="3:4" x14ac:dyDescent="0.25">
      <c r="C270" s="37"/>
      <c r="D270" s="35"/>
    </row>
    <row r="271" spans="3:4" x14ac:dyDescent="0.25">
      <c r="C271" s="37"/>
      <c r="D271" s="35"/>
    </row>
    <row r="272" spans="3:4" x14ac:dyDescent="0.25">
      <c r="C272" s="37"/>
      <c r="D272" s="35"/>
    </row>
    <row r="273" spans="3:4" x14ac:dyDescent="0.25">
      <c r="C273" s="37"/>
      <c r="D273" s="35"/>
    </row>
    <row r="274" spans="3:4" x14ac:dyDescent="0.25">
      <c r="C274" s="37"/>
      <c r="D274" s="35"/>
    </row>
    <row r="275" spans="3:4" x14ac:dyDescent="0.25">
      <c r="C275" s="37"/>
      <c r="D275" s="35"/>
    </row>
    <row r="276" spans="3:4" x14ac:dyDescent="0.25">
      <c r="C276" s="37"/>
      <c r="D276" s="35"/>
    </row>
    <row r="277" spans="3:4" x14ac:dyDescent="0.25">
      <c r="C277" s="37"/>
      <c r="D277" s="35"/>
    </row>
    <row r="278" spans="3:4" x14ac:dyDescent="0.25">
      <c r="C278" s="37"/>
      <c r="D278" s="35"/>
    </row>
    <row r="279" spans="3:4" x14ac:dyDescent="0.25">
      <c r="C279" s="37"/>
      <c r="D279" s="35"/>
    </row>
    <row r="280" spans="3:4" x14ac:dyDescent="0.25">
      <c r="C280" s="37"/>
      <c r="D280" s="35"/>
    </row>
    <row r="281" spans="3:4" x14ac:dyDescent="0.25">
      <c r="C281" s="37"/>
      <c r="D281" s="35"/>
    </row>
    <row r="282" spans="3:4" x14ac:dyDescent="0.25">
      <c r="C282" s="37"/>
      <c r="D282" s="35"/>
    </row>
    <row r="283" spans="3:4" x14ac:dyDescent="0.25">
      <c r="C283" s="37"/>
      <c r="D283" s="35"/>
    </row>
    <row r="284" spans="3:4" x14ac:dyDescent="0.25">
      <c r="C284" s="37"/>
      <c r="D284" s="35"/>
    </row>
    <row r="285" spans="3:4" x14ac:dyDescent="0.25">
      <c r="C285" s="37"/>
      <c r="D285" s="35"/>
    </row>
    <row r="286" spans="3:4" x14ac:dyDescent="0.25">
      <c r="C286" s="37"/>
      <c r="D286" s="35"/>
    </row>
    <row r="287" spans="3:4" x14ac:dyDescent="0.25">
      <c r="C287" s="37"/>
      <c r="D287" s="35"/>
    </row>
    <row r="288" spans="3:4" x14ac:dyDescent="0.25">
      <c r="C288" s="37"/>
      <c r="D288" s="35"/>
    </row>
    <row r="289" spans="3:4" x14ac:dyDescent="0.25">
      <c r="C289" s="37"/>
      <c r="D289" s="35"/>
    </row>
    <row r="290" spans="3:4" x14ac:dyDescent="0.25">
      <c r="C290" s="37"/>
      <c r="D290" s="35"/>
    </row>
    <row r="291" spans="3:4" x14ac:dyDescent="0.25">
      <c r="C291" s="37"/>
      <c r="D291" s="35"/>
    </row>
    <row r="292" spans="3:4" x14ac:dyDescent="0.25">
      <c r="C292" s="37"/>
      <c r="D292" s="35"/>
    </row>
    <row r="293" spans="3:4" x14ac:dyDescent="0.25">
      <c r="C293" s="37"/>
      <c r="D293" s="35"/>
    </row>
    <row r="294" spans="3:4" x14ac:dyDescent="0.25">
      <c r="C294" s="37"/>
      <c r="D294" s="35"/>
    </row>
    <row r="295" spans="3:4" x14ac:dyDescent="0.25">
      <c r="C295" s="37"/>
      <c r="D295" s="35"/>
    </row>
    <row r="296" spans="3:4" x14ac:dyDescent="0.25">
      <c r="C296" s="37"/>
      <c r="D296" s="35"/>
    </row>
    <row r="297" spans="3:4" x14ac:dyDescent="0.25">
      <c r="C297" s="37"/>
      <c r="D297" s="35"/>
    </row>
    <row r="298" spans="3:4" x14ac:dyDescent="0.25">
      <c r="C298" s="37"/>
      <c r="D298" s="35"/>
    </row>
    <row r="299" spans="3:4" x14ac:dyDescent="0.25">
      <c r="C299" s="37"/>
      <c r="D299" s="35"/>
    </row>
    <row r="300" spans="3:4" x14ac:dyDescent="0.25">
      <c r="C300" s="37"/>
      <c r="D300" s="35"/>
    </row>
    <row r="301" spans="3:4" x14ac:dyDescent="0.25">
      <c r="C301" s="37"/>
      <c r="D301" s="35"/>
    </row>
    <row r="302" spans="3:4" x14ac:dyDescent="0.25">
      <c r="C302" s="37"/>
      <c r="D302" s="35"/>
    </row>
    <row r="303" spans="3:4" x14ac:dyDescent="0.25">
      <c r="C303" s="37"/>
      <c r="D303" s="35"/>
    </row>
    <row r="304" spans="3:4" x14ac:dyDescent="0.25">
      <c r="C304" s="37"/>
      <c r="D304" s="35"/>
    </row>
    <row r="305" spans="3:6" x14ac:dyDescent="0.25">
      <c r="C305" s="37"/>
      <c r="D305" s="35"/>
    </row>
    <row r="306" spans="3:6" x14ac:dyDescent="0.25">
      <c r="C306" s="37"/>
      <c r="D306" s="35"/>
    </row>
    <row r="307" spans="3:6" x14ac:dyDescent="0.25">
      <c r="C307" s="37"/>
      <c r="D307" s="35"/>
    </row>
    <row r="308" spans="3:6" x14ac:dyDescent="0.25">
      <c r="C308" s="37"/>
      <c r="D308" s="35"/>
    </row>
    <row r="309" spans="3:6" x14ac:dyDescent="0.25">
      <c r="C309" s="37"/>
      <c r="D309" s="35"/>
    </row>
    <row r="310" spans="3:6" x14ac:dyDescent="0.25">
      <c r="C310" s="37"/>
      <c r="D310" s="35"/>
    </row>
    <row r="311" spans="3:6" x14ac:dyDescent="0.25">
      <c r="C311" s="37"/>
      <c r="D311" s="35"/>
      <c r="F311" s="36"/>
    </row>
    <row r="312" spans="3:6" x14ac:dyDescent="0.25">
      <c r="C312" s="37"/>
      <c r="D312" s="35"/>
    </row>
    <row r="313" spans="3:6" x14ac:dyDescent="0.25">
      <c r="C313" s="37"/>
      <c r="D313" s="35"/>
    </row>
    <row r="314" spans="3:6" x14ac:dyDescent="0.25">
      <c r="C314" s="37"/>
      <c r="D314" s="35"/>
    </row>
    <row r="315" spans="3:6" x14ac:dyDescent="0.25">
      <c r="C315" s="37"/>
      <c r="D315" s="35"/>
    </row>
    <row r="316" spans="3:6" x14ac:dyDescent="0.25">
      <c r="C316" s="37"/>
      <c r="D316" s="35"/>
    </row>
    <row r="317" spans="3:6" x14ac:dyDescent="0.25">
      <c r="C317" s="37"/>
      <c r="D317" s="35"/>
    </row>
    <row r="318" spans="3:6" x14ac:dyDescent="0.25">
      <c r="C318" s="37"/>
      <c r="D318" s="35"/>
    </row>
    <row r="319" spans="3:6" x14ac:dyDescent="0.25">
      <c r="C319" s="37"/>
      <c r="D319" s="35"/>
    </row>
    <row r="320" spans="3:6" x14ac:dyDescent="0.25">
      <c r="C320" s="37"/>
      <c r="D320" s="35"/>
    </row>
    <row r="321" spans="3:4" x14ac:dyDescent="0.25">
      <c r="C321" s="37"/>
      <c r="D321" s="35"/>
    </row>
    <row r="322" spans="3:4" x14ac:dyDescent="0.25">
      <c r="C322" s="37"/>
      <c r="D322" s="35"/>
    </row>
    <row r="323" spans="3:4" x14ac:dyDescent="0.25">
      <c r="C323" s="37"/>
      <c r="D323" s="35"/>
    </row>
    <row r="324" spans="3:4" x14ac:dyDescent="0.25">
      <c r="C324" s="37"/>
      <c r="D324" s="35"/>
    </row>
    <row r="325" spans="3:4" x14ac:dyDescent="0.25">
      <c r="C325" s="37"/>
      <c r="D325" s="35"/>
    </row>
    <row r="326" spans="3:4" x14ac:dyDescent="0.25">
      <c r="C326" s="37"/>
      <c r="D326" s="35"/>
    </row>
    <row r="327" spans="3:4" x14ac:dyDescent="0.25">
      <c r="C327" s="37"/>
      <c r="D327" s="35"/>
    </row>
    <row r="328" spans="3:4" x14ac:dyDescent="0.25">
      <c r="C328" s="37"/>
      <c r="D328" s="35"/>
    </row>
    <row r="329" spans="3:4" x14ac:dyDescent="0.25">
      <c r="C329" s="37"/>
      <c r="D329" s="35"/>
    </row>
    <row r="330" spans="3:4" x14ac:dyDescent="0.25">
      <c r="C330" s="37"/>
      <c r="D330" s="35"/>
    </row>
    <row r="331" spans="3:4" x14ac:dyDescent="0.25">
      <c r="C331" s="37"/>
      <c r="D331" s="35"/>
    </row>
    <row r="332" spans="3:4" x14ac:dyDescent="0.25">
      <c r="C332" s="37"/>
      <c r="D332" s="35"/>
    </row>
    <row r="333" spans="3:4" x14ac:dyDescent="0.25">
      <c r="C333" s="37"/>
      <c r="D333" s="35"/>
    </row>
    <row r="334" spans="3:4" x14ac:dyDescent="0.25">
      <c r="C334" s="37"/>
      <c r="D334" s="35"/>
    </row>
    <row r="335" spans="3:4" x14ac:dyDescent="0.25">
      <c r="C335" s="37"/>
      <c r="D335" s="35"/>
    </row>
    <row r="336" spans="3:4" x14ac:dyDescent="0.25">
      <c r="C336" s="37"/>
      <c r="D336" s="35"/>
    </row>
    <row r="337" spans="3:4" x14ac:dyDescent="0.25">
      <c r="C337" s="37"/>
      <c r="D337" s="35"/>
    </row>
    <row r="338" spans="3:4" x14ac:dyDescent="0.25">
      <c r="C338" s="37"/>
      <c r="D338" s="35"/>
    </row>
    <row r="339" spans="3:4" x14ac:dyDescent="0.25">
      <c r="C339" s="37"/>
      <c r="D339" s="35"/>
    </row>
    <row r="340" spans="3:4" x14ac:dyDescent="0.25">
      <c r="C340" s="37"/>
      <c r="D340" s="35"/>
    </row>
    <row r="341" spans="3:4" x14ac:dyDescent="0.25">
      <c r="C341" s="37"/>
      <c r="D341" s="35"/>
    </row>
    <row r="342" spans="3:4" x14ac:dyDescent="0.25">
      <c r="C342" s="37"/>
      <c r="D342" s="35"/>
    </row>
    <row r="343" spans="3:4" x14ac:dyDescent="0.25">
      <c r="C343" s="37"/>
      <c r="D343" s="35"/>
    </row>
    <row r="344" spans="3:4" x14ac:dyDescent="0.25">
      <c r="C344" s="37"/>
      <c r="D344" s="35"/>
    </row>
    <row r="345" spans="3:4" x14ac:dyDescent="0.25">
      <c r="C345" s="37"/>
      <c r="D345" s="35"/>
    </row>
    <row r="346" spans="3:4" x14ac:dyDescent="0.25">
      <c r="C346" s="37"/>
      <c r="D346" s="35"/>
    </row>
    <row r="347" spans="3:4" x14ac:dyDescent="0.25">
      <c r="C347" s="37"/>
      <c r="D347" s="35"/>
    </row>
    <row r="348" spans="3:4" x14ac:dyDescent="0.25">
      <c r="C348" s="37"/>
      <c r="D348" s="35"/>
    </row>
    <row r="349" spans="3:4" x14ac:dyDescent="0.25">
      <c r="C349" s="37"/>
      <c r="D349" s="35"/>
    </row>
    <row r="350" spans="3:4" x14ac:dyDescent="0.25">
      <c r="C350" s="37"/>
      <c r="D350" s="35"/>
    </row>
    <row r="351" spans="3:4" x14ac:dyDescent="0.25">
      <c r="C351" s="37"/>
      <c r="D351" s="35"/>
    </row>
    <row r="352" spans="3:4" x14ac:dyDescent="0.25">
      <c r="C352" s="37"/>
      <c r="D352" s="35"/>
    </row>
    <row r="353" spans="3:4" x14ac:dyDescent="0.25">
      <c r="C353" s="37"/>
      <c r="D353" s="35"/>
    </row>
    <row r="354" spans="3:4" x14ac:dyDescent="0.25">
      <c r="C354" s="37"/>
      <c r="D354" s="35"/>
    </row>
    <row r="355" spans="3:4" x14ac:dyDescent="0.25">
      <c r="C355" s="37"/>
      <c r="D355" s="35"/>
    </row>
    <row r="356" spans="3:4" x14ac:dyDescent="0.25">
      <c r="C356" s="37"/>
      <c r="D356" s="35"/>
    </row>
    <row r="357" spans="3:4" x14ac:dyDescent="0.25">
      <c r="C357" s="37"/>
      <c r="D357" s="35"/>
    </row>
    <row r="358" spans="3:4" x14ac:dyDescent="0.25">
      <c r="C358" s="37"/>
      <c r="D358" s="35"/>
    </row>
    <row r="359" spans="3:4" x14ac:dyDescent="0.25">
      <c r="C359" s="37"/>
      <c r="D359" s="35"/>
    </row>
    <row r="360" spans="3:4" x14ac:dyDescent="0.25">
      <c r="C360" s="37"/>
      <c r="D360" s="35"/>
    </row>
    <row r="361" spans="3:4" x14ac:dyDescent="0.25">
      <c r="C361" s="37"/>
      <c r="D361" s="35"/>
    </row>
    <row r="362" spans="3:4" x14ac:dyDescent="0.25">
      <c r="C362" s="37"/>
      <c r="D362" s="35"/>
    </row>
    <row r="363" spans="3:4" x14ac:dyDescent="0.25">
      <c r="C363" s="37"/>
      <c r="D363" s="35"/>
    </row>
    <row r="364" spans="3:4" x14ac:dyDescent="0.25">
      <c r="C364" s="37"/>
      <c r="D364" s="35"/>
    </row>
    <row r="365" spans="3:4" x14ac:dyDescent="0.25">
      <c r="C365" s="37"/>
      <c r="D365" s="35"/>
    </row>
    <row r="366" spans="3:4" x14ac:dyDescent="0.25">
      <c r="C366" s="37"/>
      <c r="D366" s="35"/>
    </row>
    <row r="367" spans="3:4" x14ac:dyDescent="0.25">
      <c r="C367" s="37"/>
      <c r="D367" s="35"/>
    </row>
    <row r="368" spans="3:4" x14ac:dyDescent="0.25">
      <c r="C368" s="37"/>
      <c r="D368" s="35"/>
    </row>
    <row r="369" spans="3:4" x14ac:dyDescent="0.25">
      <c r="C369" s="37"/>
      <c r="D369" s="35"/>
    </row>
    <row r="370" spans="3:4" x14ac:dyDescent="0.25">
      <c r="C370" s="37"/>
      <c r="D370" s="35"/>
    </row>
    <row r="371" spans="3:4" x14ac:dyDescent="0.25">
      <c r="C371" s="37"/>
      <c r="D371" s="35"/>
    </row>
    <row r="372" spans="3:4" x14ac:dyDescent="0.25">
      <c r="C372" s="37"/>
      <c r="D372" s="35"/>
    </row>
    <row r="373" spans="3:4" x14ac:dyDescent="0.25">
      <c r="C373" s="37"/>
      <c r="D373" s="35"/>
    </row>
    <row r="374" spans="3:4" x14ac:dyDescent="0.25">
      <c r="C374" s="37"/>
      <c r="D374" s="35"/>
    </row>
    <row r="375" spans="3:4" x14ac:dyDescent="0.25">
      <c r="C375" s="37"/>
      <c r="D375" s="35"/>
    </row>
    <row r="376" spans="3:4" x14ac:dyDescent="0.25">
      <c r="C376" s="37"/>
      <c r="D376" s="35"/>
    </row>
    <row r="377" spans="3:4" x14ac:dyDescent="0.25">
      <c r="C377" s="37"/>
      <c r="D377" s="35"/>
    </row>
    <row r="378" spans="3:4" x14ac:dyDescent="0.25">
      <c r="C378" s="37"/>
      <c r="D378" s="35"/>
    </row>
    <row r="379" spans="3:4" x14ac:dyDescent="0.25">
      <c r="C379" s="37"/>
      <c r="D379" s="35"/>
    </row>
    <row r="380" spans="3:4" x14ac:dyDescent="0.25">
      <c r="C380" s="37"/>
      <c r="D380" s="35"/>
    </row>
    <row r="381" spans="3:4" x14ac:dyDescent="0.25">
      <c r="C381" s="37"/>
      <c r="D381" s="35"/>
    </row>
    <row r="382" spans="3:4" x14ac:dyDescent="0.25">
      <c r="C382" s="37"/>
      <c r="D382" s="35"/>
    </row>
    <row r="383" spans="3:4" x14ac:dyDescent="0.25">
      <c r="C383" s="37"/>
      <c r="D383" s="35"/>
    </row>
    <row r="384" spans="3:4" x14ac:dyDescent="0.25">
      <c r="C384" s="37"/>
      <c r="D384" s="35"/>
    </row>
    <row r="385" spans="3:4" x14ac:dyDescent="0.25">
      <c r="C385" s="37"/>
      <c r="D385" s="35"/>
    </row>
    <row r="386" spans="3:4" x14ac:dyDescent="0.25">
      <c r="C386" s="37"/>
      <c r="D386" s="35"/>
    </row>
    <row r="387" spans="3:4" x14ac:dyDescent="0.25">
      <c r="C387" s="37"/>
      <c r="D387" s="35"/>
    </row>
    <row r="388" spans="3:4" x14ac:dyDescent="0.25">
      <c r="C388" s="37"/>
      <c r="D388" s="35"/>
    </row>
    <row r="389" spans="3:4" x14ac:dyDescent="0.25">
      <c r="C389" s="37"/>
      <c r="D389" s="35"/>
    </row>
    <row r="390" spans="3:4" x14ac:dyDescent="0.25">
      <c r="C390" s="37"/>
      <c r="D390" s="35"/>
    </row>
    <row r="391" spans="3:4" x14ac:dyDescent="0.25">
      <c r="C391" s="37"/>
      <c r="D391" s="35"/>
    </row>
    <row r="392" spans="3:4" x14ac:dyDescent="0.25">
      <c r="C392" s="37"/>
      <c r="D392" s="35"/>
    </row>
    <row r="393" spans="3:4" x14ac:dyDescent="0.25">
      <c r="C393" s="37"/>
      <c r="D393" s="35"/>
    </row>
    <row r="394" spans="3:4" x14ac:dyDescent="0.25">
      <c r="C394" s="37"/>
      <c r="D394" s="35"/>
    </row>
    <row r="395" spans="3:4" x14ac:dyDescent="0.25">
      <c r="C395" s="37"/>
      <c r="D395" s="35"/>
    </row>
    <row r="396" spans="3:4" x14ac:dyDescent="0.25">
      <c r="C396" s="37"/>
      <c r="D396" s="35"/>
    </row>
    <row r="397" spans="3:4" x14ac:dyDescent="0.25">
      <c r="C397" s="37"/>
      <c r="D397" s="35"/>
    </row>
    <row r="398" spans="3:4" x14ac:dyDescent="0.25">
      <c r="C398" s="37"/>
      <c r="D398" s="35"/>
    </row>
    <row r="399" spans="3:4" x14ac:dyDescent="0.25">
      <c r="C399" s="37"/>
      <c r="D399" s="35"/>
    </row>
    <row r="400" spans="3:4" x14ac:dyDescent="0.25">
      <c r="C400" s="37"/>
      <c r="D400" s="35"/>
    </row>
    <row r="401" spans="3:4" x14ac:dyDescent="0.25">
      <c r="C401" s="37"/>
      <c r="D401" s="35"/>
    </row>
    <row r="402" spans="3:4" x14ac:dyDescent="0.25">
      <c r="C402" s="37"/>
      <c r="D402" s="35"/>
    </row>
    <row r="403" spans="3:4" x14ac:dyDescent="0.25">
      <c r="C403" s="37"/>
      <c r="D403" s="35"/>
    </row>
    <row r="404" spans="3:4" x14ac:dyDescent="0.25">
      <c r="C404" s="37"/>
      <c r="D404" s="35"/>
    </row>
    <row r="405" spans="3:4" x14ac:dyDescent="0.25">
      <c r="C405" s="37"/>
      <c r="D405" s="35"/>
    </row>
    <row r="406" spans="3:4" x14ac:dyDescent="0.25">
      <c r="C406" s="37"/>
      <c r="D406" s="35"/>
    </row>
    <row r="407" spans="3:4" x14ac:dyDescent="0.25">
      <c r="C407" s="37"/>
      <c r="D407" s="35"/>
    </row>
    <row r="408" spans="3:4" x14ac:dyDescent="0.25">
      <c r="C408" s="37"/>
      <c r="D408" s="35"/>
    </row>
    <row r="409" spans="3:4" x14ac:dyDescent="0.25">
      <c r="C409" s="37"/>
      <c r="D409" s="35"/>
    </row>
    <row r="410" spans="3:4" x14ac:dyDescent="0.25">
      <c r="C410" s="37"/>
      <c r="D410" s="35"/>
    </row>
    <row r="411" spans="3:4" x14ac:dyDescent="0.25">
      <c r="C411" s="37"/>
      <c r="D411" s="35"/>
    </row>
    <row r="412" spans="3:4" x14ac:dyDescent="0.25">
      <c r="C412" s="37"/>
      <c r="D412" s="35"/>
    </row>
    <row r="413" spans="3:4" x14ac:dyDescent="0.25">
      <c r="C413" s="37"/>
      <c r="D413" s="35"/>
    </row>
    <row r="414" spans="3:4" x14ac:dyDescent="0.25">
      <c r="C414" s="37"/>
      <c r="D414" s="35"/>
    </row>
    <row r="415" spans="3:4" x14ac:dyDescent="0.25">
      <c r="C415" s="37"/>
      <c r="D415" s="35"/>
    </row>
    <row r="416" spans="3:4" x14ac:dyDescent="0.25">
      <c r="C416" s="37"/>
      <c r="D416" s="35"/>
    </row>
    <row r="417" spans="3:4" x14ac:dyDescent="0.25">
      <c r="C417" s="37"/>
      <c r="D417" s="35"/>
    </row>
    <row r="418" spans="3:4" x14ac:dyDescent="0.25">
      <c r="C418" s="37"/>
      <c r="D418" s="35"/>
    </row>
    <row r="419" spans="3:4" x14ac:dyDescent="0.25">
      <c r="C419" s="37"/>
      <c r="D419" s="35"/>
    </row>
    <row r="420" spans="3:4" x14ac:dyDescent="0.25">
      <c r="C420" s="37"/>
      <c r="D420" s="35"/>
    </row>
    <row r="421" spans="3:4" x14ac:dyDescent="0.25">
      <c r="C421" s="37"/>
      <c r="D421" s="35"/>
    </row>
    <row r="422" spans="3:4" x14ac:dyDescent="0.25">
      <c r="C422" s="37"/>
      <c r="D422" s="35"/>
    </row>
    <row r="423" spans="3:4" x14ac:dyDescent="0.25">
      <c r="C423" s="37"/>
      <c r="D423" s="35"/>
    </row>
    <row r="424" spans="3:4" x14ac:dyDescent="0.25">
      <c r="C424" s="37"/>
      <c r="D424" s="35"/>
    </row>
    <row r="425" spans="3:4" x14ac:dyDescent="0.25">
      <c r="C425" s="37"/>
      <c r="D425" s="35"/>
    </row>
    <row r="426" spans="3:4" x14ac:dyDescent="0.25">
      <c r="C426" s="37"/>
      <c r="D426" s="35"/>
    </row>
    <row r="427" spans="3:4" x14ac:dyDescent="0.25">
      <c r="C427" s="37"/>
      <c r="D427" s="35"/>
    </row>
    <row r="428" spans="3:4" x14ac:dyDescent="0.25">
      <c r="C428" s="37"/>
      <c r="D428" s="35"/>
    </row>
    <row r="429" spans="3:4" x14ac:dyDescent="0.25">
      <c r="C429" s="37"/>
      <c r="D429" s="35"/>
    </row>
    <row r="430" spans="3:4" x14ac:dyDescent="0.25">
      <c r="C430" s="37"/>
      <c r="D430" s="35"/>
    </row>
    <row r="431" spans="3:4" x14ac:dyDescent="0.25">
      <c r="C431" s="37"/>
      <c r="D431" s="35"/>
    </row>
    <row r="432" spans="3:4" x14ac:dyDescent="0.25">
      <c r="C432" s="37"/>
      <c r="D432" s="35"/>
    </row>
    <row r="433" spans="3:4" x14ac:dyDescent="0.25">
      <c r="C433" s="37"/>
      <c r="D433" s="35"/>
    </row>
    <row r="434" spans="3:4" x14ac:dyDescent="0.25">
      <c r="C434" s="37"/>
      <c r="D434" s="35"/>
    </row>
    <row r="435" spans="3:4" x14ac:dyDescent="0.25">
      <c r="C435" s="37"/>
      <c r="D435" s="35"/>
    </row>
    <row r="436" spans="3:4" x14ac:dyDescent="0.25">
      <c r="C436" s="37"/>
      <c r="D436" s="35"/>
    </row>
    <row r="437" spans="3:4" x14ac:dyDescent="0.25">
      <c r="C437" s="37"/>
      <c r="D437" s="35"/>
    </row>
    <row r="438" spans="3:4" x14ac:dyDescent="0.25">
      <c r="C438" s="37"/>
      <c r="D438" s="35"/>
    </row>
    <row r="439" spans="3:4" x14ac:dyDescent="0.25">
      <c r="C439" s="37"/>
      <c r="D439" s="35"/>
    </row>
    <row r="440" spans="3:4" x14ac:dyDescent="0.25">
      <c r="C440" s="37"/>
      <c r="D440" s="35"/>
    </row>
    <row r="441" spans="3:4" x14ac:dyDescent="0.25">
      <c r="C441" s="37"/>
      <c r="D441" s="35"/>
    </row>
    <row r="442" spans="3:4" x14ac:dyDescent="0.25">
      <c r="C442" s="37"/>
      <c r="D442" s="35"/>
    </row>
    <row r="443" spans="3:4" x14ac:dyDescent="0.25">
      <c r="C443" s="37"/>
      <c r="D443" s="35"/>
    </row>
    <row r="444" spans="3:4" x14ac:dyDescent="0.25">
      <c r="C444" s="37"/>
      <c r="D444" s="35"/>
    </row>
    <row r="445" spans="3:4" x14ac:dyDescent="0.25">
      <c r="C445" s="37"/>
      <c r="D445" s="35"/>
    </row>
    <row r="446" spans="3:4" x14ac:dyDescent="0.25">
      <c r="C446" s="37"/>
      <c r="D446" s="35"/>
    </row>
    <row r="447" spans="3:4" x14ac:dyDescent="0.25">
      <c r="C447" s="37"/>
      <c r="D447" s="35"/>
    </row>
    <row r="448" spans="3:4" x14ac:dyDescent="0.25">
      <c r="C448" s="37"/>
      <c r="D448" s="35"/>
    </row>
    <row r="449" spans="3:4" x14ac:dyDescent="0.25">
      <c r="C449" s="37"/>
      <c r="D449" s="35"/>
    </row>
    <row r="450" spans="3:4" x14ac:dyDescent="0.25">
      <c r="C450" s="37"/>
      <c r="D450" s="35"/>
    </row>
    <row r="451" spans="3:4" x14ac:dyDescent="0.25">
      <c r="C451" s="37"/>
      <c r="D451" s="35"/>
    </row>
    <row r="452" spans="3:4" x14ac:dyDescent="0.25">
      <c r="C452" s="37"/>
      <c r="D452" s="35"/>
    </row>
    <row r="453" spans="3:4" x14ac:dyDescent="0.25">
      <c r="C453" s="37"/>
      <c r="D453" s="35"/>
    </row>
    <row r="454" spans="3:4" x14ac:dyDescent="0.25">
      <c r="C454" s="37"/>
      <c r="D454" s="35"/>
    </row>
    <row r="455" spans="3:4" x14ac:dyDescent="0.25">
      <c r="C455" s="37"/>
      <c r="D455" s="35"/>
    </row>
    <row r="456" spans="3:4" x14ac:dyDescent="0.25">
      <c r="C456" s="37"/>
      <c r="D456" s="35"/>
    </row>
    <row r="457" spans="3:4" x14ac:dyDescent="0.25">
      <c r="C457" s="37"/>
      <c r="D457" s="35"/>
    </row>
    <row r="458" spans="3:4" x14ac:dyDescent="0.25">
      <c r="C458" s="37"/>
      <c r="D458" s="35"/>
    </row>
    <row r="459" spans="3:4" x14ac:dyDescent="0.25">
      <c r="C459" s="37"/>
      <c r="D459" s="35"/>
    </row>
    <row r="460" spans="3:4" x14ac:dyDescent="0.25">
      <c r="C460" s="37"/>
      <c r="D460" s="35"/>
    </row>
    <row r="461" spans="3:4" x14ac:dyDescent="0.25">
      <c r="C461" s="37"/>
      <c r="D461" s="35"/>
    </row>
    <row r="462" spans="3:4" x14ac:dyDescent="0.25">
      <c r="C462" s="37"/>
      <c r="D462" s="35"/>
    </row>
    <row r="463" spans="3:4" x14ac:dyDescent="0.25">
      <c r="C463" s="37"/>
      <c r="D463" s="35"/>
    </row>
    <row r="464" spans="3:4" x14ac:dyDescent="0.25">
      <c r="C464" s="37"/>
      <c r="D464" s="35"/>
    </row>
    <row r="465" spans="3:4" x14ac:dyDescent="0.25">
      <c r="C465" s="37"/>
      <c r="D465" s="35"/>
    </row>
    <row r="466" spans="3:4" x14ac:dyDescent="0.25">
      <c r="C466" s="37"/>
      <c r="D466" s="35"/>
    </row>
    <row r="467" spans="3:4" x14ac:dyDescent="0.25">
      <c r="C467" s="37"/>
      <c r="D467" s="35"/>
    </row>
    <row r="468" spans="3:4" x14ac:dyDescent="0.25">
      <c r="C468" s="37"/>
      <c r="D468" s="35"/>
    </row>
    <row r="469" spans="3:4" x14ac:dyDescent="0.25">
      <c r="C469" s="37"/>
      <c r="D469" s="35"/>
    </row>
    <row r="470" spans="3:4" x14ac:dyDescent="0.25">
      <c r="C470" s="37"/>
      <c r="D470" s="35"/>
    </row>
    <row r="471" spans="3:4" x14ac:dyDescent="0.25">
      <c r="C471" s="37"/>
      <c r="D471" s="35"/>
    </row>
    <row r="472" spans="3:4" x14ac:dyDescent="0.25">
      <c r="C472" s="37"/>
      <c r="D472" s="35"/>
    </row>
    <row r="473" spans="3:4" x14ac:dyDescent="0.25">
      <c r="C473" s="37"/>
      <c r="D473" s="35"/>
    </row>
    <row r="474" spans="3:4" x14ac:dyDescent="0.25">
      <c r="C474" s="37"/>
      <c r="D474" s="35"/>
    </row>
    <row r="475" spans="3:4" x14ac:dyDescent="0.25">
      <c r="C475" s="37"/>
      <c r="D475" s="35"/>
    </row>
    <row r="476" spans="3:4" x14ac:dyDescent="0.25">
      <c r="C476" s="37"/>
      <c r="D476" s="35"/>
    </row>
    <row r="477" spans="3:4" x14ac:dyDescent="0.25">
      <c r="C477" s="37"/>
      <c r="D477" s="35"/>
    </row>
    <row r="478" spans="3:4" x14ac:dyDescent="0.25">
      <c r="C478" s="37"/>
      <c r="D478" s="35"/>
    </row>
    <row r="479" spans="3:4" x14ac:dyDescent="0.25">
      <c r="C479" s="37"/>
      <c r="D479" s="35"/>
    </row>
    <row r="480" spans="3:4" x14ac:dyDescent="0.25">
      <c r="C480" s="37"/>
      <c r="D480" s="35"/>
    </row>
    <row r="481" spans="3:4" x14ac:dyDescent="0.25">
      <c r="C481" s="37"/>
      <c r="D481" s="35"/>
    </row>
    <row r="482" spans="3:4" x14ac:dyDescent="0.25">
      <c r="C482" s="37"/>
      <c r="D482" s="35"/>
    </row>
    <row r="483" spans="3:4" x14ac:dyDescent="0.25">
      <c r="C483" s="37"/>
      <c r="D483" s="35"/>
    </row>
    <row r="484" spans="3:4" x14ac:dyDescent="0.25">
      <c r="C484" s="37"/>
      <c r="D484" s="35"/>
    </row>
    <row r="485" spans="3:4" x14ac:dyDescent="0.25">
      <c r="C485" s="37"/>
      <c r="D485" s="35"/>
    </row>
    <row r="486" spans="3:4" x14ac:dyDescent="0.25">
      <c r="C486" s="37"/>
      <c r="D486" s="35"/>
    </row>
    <row r="487" spans="3:4" x14ac:dyDescent="0.25">
      <c r="C487" s="37"/>
      <c r="D487" s="35"/>
    </row>
    <row r="488" spans="3:4" x14ac:dyDescent="0.25">
      <c r="C488" s="37"/>
      <c r="D488" s="35"/>
    </row>
    <row r="489" spans="3:4" x14ac:dyDescent="0.25">
      <c r="C489" s="37"/>
      <c r="D489" s="35"/>
    </row>
    <row r="490" spans="3:4" x14ac:dyDescent="0.25">
      <c r="C490" s="37"/>
      <c r="D490" s="35"/>
    </row>
    <row r="491" spans="3:4" x14ac:dyDescent="0.25">
      <c r="C491" s="37"/>
      <c r="D491" s="35"/>
    </row>
    <row r="492" spans="3:4" x14ac:dyDescent="0.25">
      <c r="C492" s="37"/>
      <c r="D492" s="35"/>
    </row>
    <row r="493" spans="3:4" x14ac:dyDescent="0.25">
      <c r="C493" s="37"/>
      <c r="D493" s="35"/>
    </row>
    <row r="494" spans="3:4" x14ac:dyDescent="0.25">
      <c r="C494" s="37"/>
      <c r="D494" s="35"/>
    </row>
    <row r="495" spans="3:4" x14ac:dyDescent="0.25">
      <c r="C495" s="37"/>
      <c r="D495" s="35"/>
    </row>
    <row r="496" spans="3:4" x14ac:dyDescent="0.25">
      <c r="C496" s="37"/>
      <c r="D496" s="35"/>
    </row>
    <row r="497" spans="3:4" x14ac:dyDescent="0.25">
      <c r="C497" s="37"/>
      <c r="D497" s="35"/>
    </row>
    <row r="498" spans="3:4" x14ac:dyDescent="0.25">
      <c r="C498" s="37"/>
      <c r="D498" s="35"/>
    </row>
    <row r="499" spans="3:4" x14ac:dyDescent="0.25">
      <c r="C499" s="37"/>
      <c r="D499" s="35"/>
    </row>
    <row r="500" spans="3:4" x14ac:dyDescent="0.25">
      <c r="C500" s="37"/>
      <c r="D500" s="35"/>
    </row>
    <row r="501" spans="3:4" x14ac:dyDescent="0.25">
      <c r="C501" s="37"/>
      <c r="D501" s="35"/>
    </row>
    <row r="502" spans="3:4" x14ac:dyDescent="0.25">
      <c r="C502" s="37"/>
      <c r="D502" s="35"/>
    </row>
    <row r="503" spans="3:4" x14ac:dyDescent="0.25">
      <c r="C503" s="37"/>
      <c r="D503" s="35"/>
    </row>
    <row r="504" spans="3:4" x14ac:dyDescent="0.25">
      <c r="C504" s="37"/>
      <c r="D504" s="35"/>
    </row>
    <row r="505" spans="3:4" x14ac:dyDescent="0.25">
      <c r="C505" s="37"/>
      <c r="D505" s="35"/>
    </row>
    <row r="506" spans="3:4" x14ac:dyDescent="0.25">
      <c r="C506" s="37"/>
      <c r="D506" s="35"/>
    </row>
    <row r="507" spans="3:4" x14ac:dyDescent="0.25">
      <c r="C507" s="37"/>
      <c r="D507" s="35"/>
    </row>
    <row r="508" spans="3:4" x14ac:dyDescent="0.25">
      <c r="C508" s="37"/>
      <c r="D508" s="35"/>
    </row>
    <row r="509" spans="3:4" x14ac:dyDescent="0.25">
      <c r="C509" s="37"/>
      <c r="D509" s="35"/>
    </row>
    <row r="510" spans="3:4" x14ac:dyDescent="0.25">
      <c r="C510" s="37"/>
      <c r="D510" s="35"/>
    </row>
    <row r="511" spans="3:4" x14ac:dyDescent="0.25">
      <c r="C511" s="37"/>
      <c r="D511" s="35"/>
    </row>
    <row r="512" spans="3:4" x14ac:dyDescent="0.25">
      <c r="C512" s="37"/>
      <c r="D512" s="35"/>
    </row>
    <row r="513" spans="3:4" x14ac:dyDescent="0.25">
      <c r="C513" s="37"/>
      <c r="D513" s="35"/>
    </row>
    <row r="514" spans="3:4" x14ac:dyDescent="0.25">
      <c r="C514" s="37"/>
      <c r="D514" s="35"/>
    </row>
    <row r="515" spans="3:4" x14ac:dyDescent="0.25">
      <c r="C515" s="37"/>
      <c r="D515" s="35"/>
    </row>
    <row r="516" spans="3:4" x14ac:dyDescent="0.25">
      <c r="C516" s="37"/>
      <c r="D516" s="35"/>
    </row>
    <row r="517" spans="3:4" x14ac:dyDescent="0.25">
      <c r="C517" s="37"/>
      <c r="D517" s="35"/>
    </row>
    <row r="518" spans="3:4" x14ac:dyDescent="0.25">
      <c r="C518" s="37"/>
      <c r="D518" s="35"/>
    </row>
    <row r="519" spans="3:4" x14ac:dyDescent="0.25">
      <c r="C519" s="37"/>
      <c r="D519" s="35"/>
    </row>
    <row r="520" spans="3:4" x14ac:dyDescent="0.25">
      <c r="C520" s="37"/>
      <c r="D520" s="35"/>
    </row>
    <row r="521" spans="3:4" x14ac:dyDescent="0.25">
      <c r="C521" s="37"/>
      <c r="D521" s="35"/>
    </row>
    <row r="522" spans="3:4" x14ac:dyDescent="0.25">
      <c r="C522" s="37"/>
      <c r="D522" s="35"/>
    </row>
    <row r="523" spans="3:4" x14ac:dyDescent="0.25">
      <c r="C523" s="37"/>
      <c r="D523" s="35"/>
    </row>
    <row r="524" spans="3:4" x14ac:dyDescent="0.25">
      <c r="C524" s="37"/>
      <c r="D524" s="35"/>
    </row>
    <row r="525" spans="3:4" x14ac:dyDescent="0.25">
      <c r="C525" s="37"/>
      <c r="D525" s="35"/>
    </row>
    <row r="526" spans="3:4" x14ac:dyDescent="0.25">
      <c r="C526" s="37"/>
      <c r="D526" s="35"/>
    </row>
    <row r="527" spans="3:4" x14ac:dyDescent="0.25">
      <c r="C527" s="37"/>
      <c r="D527" s="35"/>
    </row>
    <row r="528" spans="3:4" x14ac:dyDescent="0.25">
      <c r="C528" s="37"/>
      <c r="D528" s="35"/>
    </row>
    <row r="529" spans="3:4" x14ac:dyDescent="0.25">
      <c r="C529" s="37"/>
      <c r="D529" s="35"/>
    </row>
    <row r="530" spans="3:4" x14ac:dyDescent="0.25">
      <c r="C530" s="37"/>
      <c r="D530" s="35"/>
    </row>
    <row r="531" spans="3:4" x14ac:dyDescent="0.25">
      <c r="C531" s="37"/>
      <c r="D531" s="35"/>
    </row>
    <row r="532" spans="3:4" x14ac:dyDescent="0.25">
      <c r="C532" s="37"/>
      <c r="D532" s="35"/>
    </row>
    <row r="533" spans="3:4" x14ac:dyDescent="0.25">
      <c r="C533" s="37"/>
      <c r="D533" s="35"/>
    </row>
    <row r="534" spans="3:4" x14ac:dyDescent="0.25">
      <c r="C534" s="37"/>
      <c r="D534" s="35"/>
    </row>
    <row r="535" spans="3:4" x14ac:dyDescent="0.25">
      <c r="C535" s="37"/>
      <c r="D535" s="35"/>
    </row>
    <row r="536" spans="3:4" x14ac:dyDescent="0.25">
      <c r="C536" s="37"/>
      <c r="D536" s="35"/>
    </row>
    <row r="537" spans="3:4" x14ac:dyDescent="0.25">
      <c r="C537" s="37"/>
      <c r="D537" s="35"/>
    </row>
    <row r="538" spans="3:4" x14ac:dyDescent="0.25">
      <c r="C538" s="37"/>
      <c r="D538" s="35"/>
    </row>
    <row r="539" spans="3:4" x14ac:dyDescent="0.25">
      <c r="C539" s="37"/>
      <c r="D539" s="35"/>
    </row>
    <row r="540" spans="3:4" x14ac:dyDescent="0.25">
      <c r="C540" s="37"/>
      <c r="D540" s="35"/>
    </row>
    <row r="541" spans="3:4" x14ac:dyDescent="0.25">
      <c r="C541" s="37"/>
      <c r="D541" s="35"/>
    </row>
    <row r="542" spans="3:4" x14ac:dyDescent="0.25">
      <c r="C542" s="37"/>
      <c r="D542" s="35"/>
    </row>
    <row r="543" spans="3:4" x14ac:dyDescent="0.25">
      <c r="C543" s="37"/>
      <c r="D543" s="35"/>
    </row>
    <row r="544" spans="3:4" x14ac:dyDescent="0.25">
      <c r="C544" s="37"/>
      <c r="D544" s="35"/>
    </row>
    <row r="545" spans="3:4" x14ac:dyDescent="0.25">
      <c r="C545" s="37"/>
      <c r="D545" s="35"/>
    </row>
    <row r="546" spans="3:4" x14ac:dyDescent="0.25">
      <c r="C546" s="37"/>
      <c r="D546" s="35"/>
    </row>
    <row r="547" spans="3:4" x14ac:dyDescent="0.25">
      <c r="C547" s="37"/>
      <c r="D547" s="35"/>
    </row>
    <row r="548" spans="3:4" x14ac:dyDescent="0.25">
      <c r="C548" s="37"/>
      <c r="D548" s="35"/>
    </row>
    <row r="549" spans="3:4" x14ac:dyDescent="0.25">
      <c r="C549" s="37"/>
      <c r="D549" s="35"/>
    </row>
    <row r="550" spans="3:4" x14ac:dyDescent="0.25">
      <c r="C550" s="37"/>
      <c r="D550" s="35"/>
    </row>
    <row r="551" spans="3:4" x14ac:dyDescent="0.25">
      <c r="C551" s="37"/>
      <c r="D551" s="35"/>
    </row>
    <row r="552" spans="3:4" x14ac:dyDescent="0.25">
      <c r="C552" s="37"/>
      <c r="D552" s="35"/>
    </row>
    <row r="553" spans="3:4" x14ac:dyDescent="0.25">
      <c r="C553" s="37"/>
      <c r="D553" s="35"/>
    </row>
    <row r="554" spans="3:4" x14ac:dyDescent="0.25">
      <c r="C554" s="37"/>
      <c r="D554" s="35"/>
    </row>
    <row r="555" spans="3:4" x14ac:dyDescent="0.25">
      <c r="C555" s="37"/>
      <c r="D555" s="35"/>
    </row>
    <row r="556" spans="3:4" x14ac:dyDescent="0.25">
      <c r="C556" s="37"/>
      <c r="D556" s="35"/>
    </row>
    <row r="557" spans="3:4" x14ac:dyDescent="0.25">
      <c r="C557" s="37"/>
      <c r="D557" s="35"/>
    </row>
    <row r="558" spans="3:4" x14ac:dyDescent="0.25">
      <c r="C558" s="37"/>
      <c r="D558" s="35"/>
    </row>
    <row r="559" spans="3:4" x14ac:dyDescent="0.25">
      <c r="C559" s="37"/>
      <c r="D559" s="35"/>
    </row>
    <row r="560" spans="3:4" x14ac:dyDescent="0.25">
      <c r="C560" s="37"/>
      <c r="D560" s="35"/>
    </row>
    <row r="561" spans="3:4" x14ac:dyDescent="0.25">
      <c r="C561" s="37"/>
      <c r="D561" s="35"/>
    </row>
    <row r="562" spans="3:4" x14ac:dyDescent="0.25">
      <c r="C562" s="37"/>
      <c r="D562" s="35"/>
    </row>
    <row r="563" spans="3:4" x14ac:dyDescent="0.25">
      <c r="C563" s="37"/>
      <c r="D563" s="35"/>
    </row>
    <row r="564" spans="3:4" x14ac:dyDescent="0.25">
      <c r="C564" s="37"/>
      <c r="D564" s="35"/>
    </row>
    <row r="565" spans="3:4" x14ac:dyDescent="0.25">
      <c r="C565" s="37"/>
      <c r="D565" s="35"/>
    </row>
    <row r="566" spans="3:4" x14ac:dyDescent="0.25">
      <c r="C566" s="37"/>
      <c r="D566" s="35"/>
    </row>
    <row r="567" spans="3:4" x14ac:dyDescent="0.25">
      <c r="C567" s="37"/>
      <c r="D567" s="35"/>
    </row>
    <row r="568" spans="3:4" x14ac:dyDescent="0.25">
      <c r="C568" s="37"/>
      <c r="D568" s="35"/>
    </row>
    <row r="569" spans="3:4" x14ac:dyDescent="0.25">
      <c r="C569" s="37"/>
      <c r="D569" s="35"/>
    </row>
    <row r="570" spans="3:4" x14ac:dyDescent="0.25">
      <c r="C570" s="37"/>
      <c r="D570" s="35"/>
    </row>
    <row r="571" spans="3:4" x14ac:dyDescent="0.25">
      <c r="C571" s="37"/>
      <c r="D571" s="35"/>
    </row>
    <row r="572" spans="3:4" x14ac:dyDescent="0.25">
      <c r="C572" s="37"/>
      <c r="D572" s="35"/>
    </row>
    <row r="573" spans="3:4" x14ac:dyDescent="0.25">
      <c r="C573" s="37"/>
      <c r="D573" s="35"/>
    </row>
    <row r="574" spans="3:4" x14ac:dyDescent="0.25">
      <c r="C574" s="37"/>
      <c r="D574" s="35"/>
    </row>
    <row r="575" spans="3:4" x14ac:dyDescent="0.25">
      <c r="C575" s="37"/>
      <c r="D575" s="35"/>
    </row>
    <row r="576" spans="3:4" x14ac:dyDescent="0.25">
      <c r="C576" s="37"/>
      <c r="D576" s="35"/>
    </row>
    <row r="577" spans="3:4" x14ac:dyDescent="0.25">
      <c r="C577" s="37"/>
      <c r="D577" s="35"/>
    </row>
    <row r="578" spans="3:4" x14ac:dyDescent="0.25">
      <c r="C578" s="37"/>
      <c r="D578" s="35"/>
    </row>
    <row r="579" spans="3:4" x14ac:dyDescent="0.25">
      <c r="C579" s="37"/>
      <c r="D579" s="35"/>
    </row>
    <row r="580" spans="3:4" x14ac:dyDescent="0.25">
      <c r="C580" s="37"/>
      <c r="D580" s="35"/>
    </row>
    <row r="581" spans="3:4" x14ac:dyDescent="0.25">
      <c r="C581" s="37"/>
      <c r="D581" s="35"/>
    </row>
    <row r="582" spans="3:4" x14ac:dyDescent="0.25">
      <c r="C582" s="37"/>
      <c r="D582" s="35"/>
    </row>
    <row r="583" spans="3:4" x14ac:dyDescent="0.25">
      <c r="C583" s="37"/>
      <c r="D583" s="35"/>
    </row>
    <row r="584" spans="3:4" x14ac:dyDescent="0.25">
      <c r="C584" s="37"/>
      <c r="D584" s="35"/>
    </row>
    <row r="585" spans="3:4" x14ac:dyDescent="0.25">
      <c r="C585" s="37"/>
      <c r="D585" s="35"/>
    </row>
    <row r="586" spans="3:4" x14ac:dyDescent="0.25">
      <c r="C586" s="37"/>
      <c r="D586" s="35"/>
    </row>
    <row r="587" spans="3:4" x14ac:dyDescent="0.25">
      <c r="C587" s="37"/>
      <c r="D587" s="35"/>
    </row>
    <row r="588" spans="3:4" x14ac:dyDescent="0.25">
      <c r="C588" s="37"/>
      <c r="D588" s="35"/>
    </row>
    <row r="589" spans="3:4" x14ac:dyDescent="0.25">
      <c r="C589" s="37"/>
      <c r="D589" s="35"/>
    </row>
    <row r="590" spans="3:4" x14ac:dyDescent="0.25">
      <c r="C590" s="37"/>
      <c r="D590" s="35"/>
    </row>
    <row r="591" spans="3:4" x14ac:dyDescent="0.25">
      <c r="C591" s="37"/>
      <c r="D591" s="35"/>
    </row>
    <row r="592" spans="3:4" x14ac:dyDescent="0.25">
      <c r="C592" s="37"/>
      <c r="D592" s="35"/>
    </row>
    <row r="593" spans="3:4" x14ac:dyDescent="0.25">
      <c r="C593" s="37"/>
      <c r="D593" s="35"/>
    </row>
    <row r="594" spans="3:4" x14ac:dyDescent="0.25">
      <c r="C594" s="37"/>
      <c r="D594" s="35"/>
    </row>
    <row r="595" spans="3:4" x14ac:dyDescent="0.25">
      <c r="C595" s="37"/>
      <c r="D595" s="35"/>
    </row>
    <row r="596" spans="3:4" x14ac:dyDescent="0.25">
      <c r="C596" s="37"/>
      <c r="D596" s="35"/>
    </row>
    <row r="597" spans="3:4" x14ac:dyDescent="0.25">
      <c r="C597" s="37"/>
      <c r="D597" s="35"/>
    </row>
    <row r="598" spans="3:4" x14ac:dyDescent="0.25">
      <c r="C598" s="37"/>
      <c r="D598" s="35"/>
    </row>
    <row r="599" spans="3:4" x14ac:dyDescent="0.25">
      <c r="C599" s="37"/>
      <c r="D599" s="35"/>
    </row>
    <row r="600" spans="3:4" x14ac:dyDescent="0.25">
      <c r="C600" s="37"/>
      <c r="D600" s="35"/>
    </row>
    <row r="601" spans="3:4" x14ac:dyDescent="0.25">
      <c r="C601" s="37"/>
      <c r="D601" s="35"/>
    </row>
    <row r="602" spans="3:4" x14ac:dyDescent="0.25">
      <c r="C602" s="37"/>
      <c r="D602" s="35"/>
    </row>
    <row r="603" spans="3:4" x14ac:dyDescent="0.25">
      <c r="C603" s="37"/>
      <c r="D603" s="35"/>
    </row>
    <row r="604" spans="3:4" x14ac:dyDescent="0.25">
      <c r="C604" s="37"/>
      <c r="D604" s="35"/>
    </row>
    <row r="605" spans="3:4" x14ac:dyDescent="0.25">
      <c r="C605" s="37"/>
      <c r="D605" s="35"/>
    </row>
    <row r="606" spans="3:4" x14ac:dyDescent="0.25">
      <c r="C606" s="37"/>
      <c r="D606" s="35"/>
    </row>
    <row r="607" spans="3:4" x14ac:dyDescent="0.25">
      <c r="C607" s="37"/>
      <c r="D607" s="35"/>
    </row>
    <row r="608" spans="3:4" x14ac:dyDescent="0.25">
      <c r="C608" s="37"/>
      <c r="D608" s="35"/>
    </row>
    <row r="609" spans="3:4" x14ac:dyDescent="0.25">
      <c r="C609" s="37"/>
      <c r="D609" s="35"/>
    </row>
    <row r="610" spans="3:4" x14ac:dyDescent="0.25">
      <c r="C610" s="37"/>
      <c r="D610" s="35"/>
    </row>
    <row r="611" spans="3:4" x14ac:dyDescent="0.25">
      <c r="C611" s="37"/>
      <c r="D611" s="35"/>
    </row>
    <row r="612" spans="3:4" x14ac:dyDescent="0.25">
      <c r="C612" s="37"/>
      <c r="D612" s="35"/>
    </row>
    <row r="613" spans="3:4" x14ac:dyDescent="0.25">
      <c r="C613" s="37"/>
      <c r="D613" s="35"/>
    </row>
    <row r="614" spans="3:4" x14ac:dyDescent="0.25">
      <c r="C614" s="37"/>
      <c r="D614" s="35"/>
    </row>
    <row r="615" spans="3:4" x14ac:dyDescent="0.25">
      <c r="C615" s="37"/>
      <c r="D615" s="35"/>
    </row>
    <row r="616" spans="3:4" x14ac:dyDescent="0.25">
      <c r="C616" s="37"/>
      <c r="D616" s="35"/>
    </row>
    <row r="617" spans="3:4" x14ac:dyDescent="0.25">
      <c r="C617" s="37"/>
      <c r="D617" s="35"/>
    </row>
    <row r="618" spans="3:4" x14ac:dyDescent="0.25">
      <c r="C618" s="37"/>
      <c r="D618" s="35"/>
    </row>
    <row r="619" spans="3:4" x14ac:dyDescent="0.25">
      <c r="C619" s="37"/>
      <c r="D619" s="35"/>
    </row>
    <row r="620" spans="3:4" x14ac:dyDescent="0.25">
      <c r="C620" s="37"/>
      <c r="D620" s="35"/>
    </row>
    <row r="621" spans="3:4" x14ac:dyDescent="0.25">
      <c r="C621" s="37"/>
      <c r="D621" s="35"/>
    </row>
    <row r="622" spans="3:4" x14ac:dyDescent="0.25">
      <c r="C622" s="37"/>
      <c r="D622" s="35"/>
    </row>
    <row r="623" spans="3:4" x14ac:dyDescent="0.25">
      <c r="C623" s="37"/>
      <c r="D623" s="35"/>
    </row>
    <row r="624" spans="3:4" x14ac:dyDescent="0.25">
      <c r="C624" s="37"/>
      <c r="D624" s="35"/>
    </row>
    <row r="625" spans="3:4" x14ac:dyDescent="0.25">
      <c r="C625" s="37"/>
      <c r="D625" s="35"/>
    </row>
    <row r="626" spans="3:4" x14ac:dyDescent="0.25">
      <c r="C626" s="37"/>
      <c r="D626" s="35"/>
    </row>
    <row r="627" spans="3:4" x14ac:dyDescent="0.25">
      <c r="C627" s="37"/>
      <c r="D627" s="35"/>
    </row>
    <row r="628" spans="3:4" x14ac:dyDescent="0.25">
      <c r="C628" s="37"/>
      <c r="D628" s="35"/>
    </row>
    <row r="629" spans="3:4" x14ac:dyDescent="0.25">
      <c r="C629" s="37"/>
      <c r="D629" s="35"/>
    </row>
    <row r="630" spans="3:4" x14ac:dyDescent="0.25">
      <c r="C630" s="37"/>
      <c r="D630" s="35"/>
    </row>
    <row r="631" spans="3:4" x14ac:dyDescent="0.25">
      <c r="C631" s="37"/>
      <c r="D631" s="35"/>
    </row>
    <row r="632" spans="3:4" x14ac:dyDescent="0.25">
      <c r="C632" s="37"/>
      <c r="D632" s="35"/>
    </row>
    <row r="633" spans="3:4" x14ac:dyDescent="0.25">
      <c r="C633" s="37"/>
      <c r="D633" s="35"/>
    </row>
    <row r="634" spans="3:4" x14ac:dyDescent="0.25">
      <c r="C634" s="37"/>
      <c r="D634" s="35"/>
    </row>
    <row r="635" spans="3:4" x14ac:dyDescent="0.25">
      <c r="C635" s="37"/>
      <c r="D635" s="35"/>
    </row>
    <row r="636" spans="3:4" x14ac:dyDescent="0.25">
      <c r="C636" s="37"/>
      <c r="D636" s="35"/>
    </row>
    <row r="637" spans="3:4" x14ac:dyDescent="0.25">
      <c r="C637" s="37"/>
      <c r="D637" s="35"/>
    </row>
    <row r="638" spans="3:4" x14ac:dyDescent="0.25">
      <c r="C638" s="37"/>
      <c r="D638" s="35"/>
    </row>
    <row r="639" spans="3:4" x14ac:dyDescent="0.25">
      <c r="C639" s="37"/>
      <c r="D639" s="35"/>
    </row>
    <row r="640" spans="3:4" x14ac:dyDescent="0.25">
      <c r="C640" s="37"/>
      <c r="D640" s="35"/>
    </row>
    <row r="641" spans="3:4" x14ac:dyDescent="0.25">
      <c r="C641" s="37"/>
      <c r="D641" s="35"/>
    </row>
    <row r="642" spans="3:4" x14ac:dyDescent="0.25">
      <c r="C642" s="37"/>
      <c r="D642" s="35"/>
    </row>
    <row r="643" spans="3:4" x14ac:dyDescent="0.25">
      <c r="C643" s="37"/>
      <c r="D643" s="35"/>
    </row>
    <row r="644" spans="3:4" x14ac:dyDescent="0.25">
      <c r="C644" s="37"/>
      <c r="D644" s="35"/>
    </row>
    <row r="645" spans="3:4" x14ac:dyDescent="0.25">
      <c r="C645" s="37"/>
      <c r="D645" s="35"/>
    </row>
    <row r="646" spans="3:4" x14ac:dyDescent="0.25">
      <c r="C646" s="37"/>
      <c r="D646" s="35"/>
    </row>
    <row r="647" spans="3:4" x14ac:dyDescent="0.25">
      <c r="C647" s="37"/>
      <c r="D647" s="35"/>
    </row>
    <row r="648" spans="3:4" x14ac:dyDescent="0.25">
      <c r="C648" s="37"/>
      <c r="D648" s="35"/>
    </row>
    <row r="649" spans="3:4" x14ac:dyDescent="0.25">
      <c r="C649" s="37"/>
      <c r="D649" s="35"/>
    </row>
    <row r="650" spans="3:4" x14ac:dyDescent="0.25">
      <c r="C650" s="37"/>
      <c r="D650" s="35"/>
    </row>
    <row r="651" spans="3:4" x14ac:dyDescent="0.25">
      <c r="C651" s="37"/>
      <c r="D651" s="35"/>
    </row>
    <row r="652" spans="3:4" x14ac:dyDescent="0.25">
      <c r="C652" s="37"/>
      <c r="D652" s="35"/>
    </row>
    <row r="653" spans="3:4" x14ac:dyDescent="0.25">
      <c r="C653" s="37"/>
      <c r="D653" s="35"/>
    </row>
    <row r="654" spans="3:4" x14ac:dyDescent="0.25">
      <c r="C654" s="37"/>
      <c r="D654" s="35"/>
    </row>
    <row r="655" spans="3:4" x14ac:dyDescent="0.25">
      <c r="C655" s="37"/>
      <c r="D655" s="35"/>
    </row>
    <row r="656" spans="3:4" x14ac:dyDescent="0.25">
      <c r="C656" s="37"/>
      <c r="D656" s="35"/>
    </row>
    <row r="657" spans="3:4" x14ac:dyDescent="0.25">
      <c r="C657" s="37"/>
      <c r="D657" s="35"/>
    </row>
    <row r="658" spans="3:4" x14ac:dyDescent="0.25">
      <c r="C658" s="37"/>
      <c r="D658" s="35"/>
    </row>
    <row r="659" spans="3:4" x14ac:dyDescent="0.25">
      <c r="C659" s="37"/>
      <c r="D659" s="35"/>
    </row>
    <row r="660" spans="3:4" x14ac:dyDescent="0.25">
      <c r="C660" s="37"/>
      <c r="D660" s="35"/>
    </row>
    <row r="661" spans="3:4" x14ac:dyDescent="0.25">
      <c r="C661" s="37"/>
      <c r="D661" s="35"/>
    </row>
    <row r="662" spans="3:4" x14ac:dyDescent="0.25">
      <c r="C662" s="37"/>
      <c r="D662" s="35"/>
    </row>
    <row r="663" spans="3:4" x14ac:dyDescent="0.25">
      <c r="C663" s="37"/>
      <c r="D663" s="35"/>
    </row>
    <row r="664" spans="3:4" x14ac:dyDescent="0.25">
      <c r="C664" s="37"/>
      <c r="D664" s="35"/>
    </row>
    <row r="665" spans="3:4" x14ac:dyDescent="0.25">
      <c r="C665" s="37"/>
      <c r="D665" s="35"/>
    </row>
    <row r="666" spans="3:4" x14ac:dyDescent="0.25">
      <c r="C666" s="37"/>
      <c r="D666" s="35"/>
    </row>
    <row r="667" spans="3:4" x14ac:dyDescent="0.25">
      <c r="C667" s="37"/>
      <c r="D667" s="35"/>
    </row>
    <row r="668" spans="3:4" x14ac:dyDescent="0.25">
      <c r="C668" s="37"/>
      <c r="D668" s="35"/>
    </row>
    <row r="669" spans="3:4" x14ac:dyDescent="0.25">
      <c r="C669" s="37"/>
      <c r="D669" s="35"/>
    </row>
    <row r="670" spans="3:4" x14ac:dyDescent="0.25">
      <c r="C670" s="37"/>
      <c r="D670" s="35"/>
    </row>
    <row r="671" spans="3:4" x14ac:dyDescent="0.25">
      <c r="C671" s="37"/>
      <c r="D671" s="35"/>
    </row>
    <row r="672" spans="3:4" x14ac:dyDescent="0.25">
      <c r="C672" s="37"/>
      <c r="D672" s="35"/>
    </row>
    <row r="673" spans="3:4" x14ac:dyDescent="0.25">
      <c r="C673" s="37"/>
      <c r="D673" s="35"/>
    </row>
    <row r="674" spans="3:4" x14ac:dyDescent="0.25">
      <c r="C674" s="37"/>
      <c r="D674" s="35"/>
    </row>
    <row r="675" spans="3:4" x14ac:dyDescent="0.25">
      <c r="C675" s="37"/>
      <c r="D675" s="35"/>
    </row>
    <row r="676" spans="3:4" x14ac:dyDescent="0.25">
      <c r="C676" s="37"/>
      <c r="D676" s="35"/>
    </row>
    <row r="677" spans="3:4" x14ac:dyDescent="0.25">
      <c r="C677" s="37"/>
      <c r="D677" s="35"/>
    </row>
    <row r="678" spans="3:4" x14ac:dyDescent="0.25">
      <c r="C678" s="37"/>
      <c r="D678" s="35"/>
    </row>
    <row r="679" spans="3:4" x14ac:dyDescent="0.25">
      <c r="C679" s="37"/>
      <c r="D679" s="35"/>
    </row>
    <row r="680" spans="3:4" x14ac:dyDescent="0.25">
      <c r="C680" s="37"/>
      <c r="D680" s="35"/>
    </row>
    <row r="681" spans="3:4" x14ac:dyDescent="0.25">
      <c r="C681" s="37"/>
      <c r="D681" s="35"/>
    </row>
    <row r="682" spans="3:4" x14ac:dyDescent="0.25">
      <c r="C682" s="37"/>
      <c r="D682" s="35"/>
    </row>
    <row r="683" spans="3:4" x14ac:dyDescent="0.25">
      <c r="C683" s="37"/>
      <c r="D683" s="35"/>
    </row>
    <row r="684" spans="3:4" x14ac:dyDescent="0.25">
      <c r="C684" s="37"/>
      <c r="D684" s="35"/>
    </row>
    <row r="685" spans="3:4" x14ac:dyDescent="0.25">
      <c r="C685" s="37"/>
      <c r="D685" s="35"/>
    </row>
    <row r="686" spans="3:4" x14ac:dyDescent="0.25">
      <c r="C686" s="37"/>
      <c r="D686" s="35"/>
    </row>
    <row r="687" spans="3:4" x14ac:dyDescent="0.25">
      <c r="C687" s="37"/>
      <c r="D687" s="35"/>
    </row>
    <row r="688" spans="3:4" x14ac:dyDescent="0.25">
      <c r="C688" s="37"/>
      <c r="D688" s="35"/>
    </row>
    <row r="689" spans="3:4" x14ac:dyDescent="0.25">
      <c r="C689" s="37"/>
      <c r="D689" s="35"/>
    </row>
    <row r="690" spans="3:4" x14ac:dyDescent="0.25">
      <c r="C690" s="37"/>
      <c r="D690" s="35"/>
    </row>
    <row r="691" spans="3:4" x14ac:dyDescent="0.25">
      <c r="C691" s="37"/>
      <c r="D691" s="35"/>
    </row>
    <row r="692" spans="3:4" x14ac:dyDescent="0.25">
      <c r="C692" s="37"/>
      <c r="D692" s="35"/>
    </row>
    <row r="693" spans="3:4" x14ac:dyDescent="0.25">
      <c r="C693" s="37"/>
      <c r="D693" s="35"/>
    </row>
    <row r="694" spans="3:4" x14ac:dyDescent="0.25">
      <c r="C694" s="37"/>
      <c r="D694" s="35"/>
    </row>
    <row r="695" spans="3:4" x14ac:dyDescent="0.25">
      <c r="C695" s="37"/>
      <c r="D695" s="35"/>
    </row>
    <row r="696" spans="3:4" x14ac:dyDescent="0.25">
      <c r="C696" s="37"/>
      <c r="D696" s="35"/>
    </row>
    <row r="697" spans="3:4" x14ac:dyDescent="0.25">
      <c r="C697" s="37"/>
      <c r="D697" s="35"/>
    </row>
    <row r="698" spans="3:4" x14ac:dyDescent="0.25">
      <c r="C698" s="37"/>
      <c r="D698" s="35"/>
    </row>
    <row r="699" spans="3:4" x14ac:dyDescent="0.25">
      <c r="C699" s="37"/>
      <c r="D699" s="35"/>
    </row>
    <row r="700" spans="3:4" x14ac:dyDescent="0.25">
      <c r="C700" s="37"/>
      <c r="D700" s="35"/>
    </row>
    <row r="701" spans="3:4" x14ac:dyDescent="0.25">
      <c r="C701" s="37"/>
      <c r="D701" s="35"/>
    </row>
    <row r="702" spans="3:4" x14ac:dyDescent="0.25">
      <c r="C702" s="37"/>
      <c r="D702" s="35"/>
    </row>
    <row r="703" spans="3:4" x14ac:dyDescent="0.25">
      <c r="C703" s="37"/>
      <c r="D703" s="35"/>
    </row>
    <row r="704" spans="3:4" x14ac:dyDescent="0.25">
      <c r="C704" s="37"/>
      <c r="D704" s="35"/>
    </row>
    <row r="705" spans="3:4" x14ac:dyDescent="0.25">
      <c r="C705" s="37"/>
      <c r="D705" s="35"/>
    </row>
    <row r="706" spans="3:4" x14ac:dyDescent="0.25">
      <c r="C706" s="37"/>
      <c r="D706" s="35"/>
    </row>
    <row r="707" spans="3:4" x14ac:dyDescent="0.25">
      <c r="C707" s="37"/>
      <c r="D707" s="35"/>
    </row>
    <row r="708" spans="3:4" x14ac:dyDescent="0.25">
      <c r="C708" s="37"/>
      <c r="D708" s="35"/>
    </row>
    <row r="709" spans="3:4" x14ac:dyDescent="0.25">
      <c r="C709" s="37"/>
      <c r="D709" s="35"/>
    </row>
    <row r="710" spans="3:4" x14ac:dyDescent="0.25">
      <c r="C710" s="37"/>
      <c r="D710" s="35"/>
    </row>
    <row r="711" spans="3:4" x14ac:dyDescent="0.25">
      <c r="C711" s="37"/>
      <c r="D711" s="35"/>
    </row>
    <row r="712" spans="3:4" x14ac:dyDescent="0.25">
      <c r="C712" s="37"/>
      <c r="D712" s="35"/>
    </row>
    <row r="713" spans="3:4" x14ac:dyDescent="0.25">
      <c r="C713" s="37"/>
      <c r="D713" s="35"/>
    </row>
    <row r="714" spans="3:4" x14ac:dyDescent="0.25">
      <c r="C714" s="37"/>
      <c r="D714" s="35"/>
    </row>
    <row r="715" spans="3:4" x14ac:dyDescent="0.25">
      <c r="C715" s="37"/>
      <c r="D715" s="35"/>
    </row>
    <row r="716" spans="3:4" x14ac:dyDescent="0.25">
      <c r="C716" s="37"/>
      <c r="D716" s="35"/>
    </row>
    <row r="717" spans="3:4" x14ac:dyDescent="0.25">
      <c r="C717" s="37"/>
      <c r="D717" s="35"/>
    </row>
    <row r="718" spans="3:4" x14ac:dyDescent="0.25">
      <c r="C718" s="37"/>
      <c r="D718" s="35"/>
    </row>
    <row r="719" spans="3:4" x14ac:dyDescent="0.25">
      <c r="C719" s="37"/>
      <c r="D719" s="35"/>
    </row>
    <row r="720" spans="3:4" x14ac:dyDescent="0.25">
      <c r="C720" s="37"/>
      <c r="D720" s="35"/>
    </row>
    <row r="721" spans="3:4" x14ac:dyDescent="0.25">
      <c r="C721" s="37"/>
      <c r="D721" s="35"/>
    </row>
    <row r="722" spans="3:4" x14ac:dyDescent="0.25">
      <c r="C722" s="37"/>
      <c r="D722" s="35"/>
    </row>
    <row r="723" spans="3:4" x14ac:dyDescent="0.25">
      <c r="C723" s="37"/>
      <c r="D723" s="35"/>
    </row>
    <row r="724" spans="3:4" x14ac:dyDescent="0.25">
      <c r="C724" s="37"/>
      <c r="D724" s="35"/>
    </row>
    <row r="725" spans="3:4" x14ac:dyDescent="0.25">
      <c r="C725" s="37"/>
      <c r="D725" s="35"/>
    </row>
    <row r="726" spans="3:4" x14ac:dyDescent="0.25">
      <c r="C726" s="37"/>
      <c r="D726" s="35"/>
    </row>
    <row r="727" spans="3:4" x14ac:dyDescent="0.25">
      <c r="C727" s="37"/>
      <c r="D727" s="35"/>
    </row>
    <row r="728" spans="3:4" x14ac:dyDescent="0.25">
      <c r="C728" s="37"/>
      <c r="D728" s="35"/>
    </row>
    <row r="729" spans="3:4" x14ac:dyDescent="0.25">
      <c r="C729" s="37"/>
      <c r="D729" s="35"/>
    </row>
    <row r="730" spans="3:4" x14ac:dyDescent="0.25">
      <c r="C730" s="37"/>
      <c r="D730" s="35"/>
    </row>
    <row r="731" spans="3:4" x14ac:dyDescent="0.25">
      <c r="C731" s="37"/>
      <c r="D731" s="35"/>
    </row>
    <row r="732" spans="3:4" x14ac:dyDescent="0.25">
      <c r="C732" s="37"/>
      <c r="D732" s="35"/>
    </row>
    <row r="733" spans="3:4" x14ac:dyDescent="0.25">
      <c r="C733" s="37"/>
      <c r="D733" s="35"/>
    </row>
    <row r="734" spans="3:4" x14ac:dyDescent="0.25">
      <c r="C734" s="37"/>
      <c r="D734" s="35"/>
    </row>
    <row r="735" spans="3:4" x14ac:dyDescent="0.25">
      <c r="C735" s="37"/>
      <c r="D735" s="35"/>
    </row>
    <row r="736" spans="3:4" x14ac:dyDescent="0.25">
      <c r="C736" s="37"/>
      <c r="D736" s="35"/>
    </row>
    <row r="737" spans="3:4" x14ac:dyDescent="0.25">
      <c r="C737" s="37"/>
      <c r="D737" s="35"/>
    </row>
    <row r="738" spans="3:4" x14ac:dyDescent="0.25">
      <c r="C738" s="37"/>
      <c r="D738" s="35"/>
    </row>
    <row r="739" spans="3:4" x14ac:dyDescent="0.25">
      <c r="C739" s="37"/>
      <c r="D739" s="35"/>
    </row>
    <row r="740" spans="3:4" x14ac:dyDescent="0.25">
      <c r="C740" s="37"/>
      <c r="D740" s="35"/>
    </row>
    <row r="741" spans="3:4" x14ac:dyDescent="0.25">
      <c r="C741" s="37"/>
      <c r="D741" s="35"/>
    </row>
    <row r="742" spans="3:4" x14ac:dyDescent="0.25">
      <c r="C742" s="37"/>
      <c r="D742" s="35"/>
    </row>
    <row r="743" spans="3:4" x14ac:dyDescent="0.25">
      <c r="C743" s="37"/>
      <c r="D743" s="35"/>
    </row>
    <row r="744" spans="3:4" x14ac:dyDescent="0.25">
      <c r="C744" s="37"/>
      <c r="D744" s="35"/>
    </row>
    <row r="745" spans="3:4" x14ac:dyDescent="0.25">
      <c r="C745" s="37"/>
      <c r="D745" s="35"/>
    </row>
    <row r="746" spans="3:4" x14ac:dyDescent="0.25">
      <c r="C746" s="37"/>
      <c r="D746" s="35"/>
    </row>
    <row r="747" spans="3:4" x14ac:dyDescent="0.25">
      <c r="C747" s="37"/>
      <c r="D747" s="35"/>
    </row>
    <row r="748" spans="3:4" x14ac:dyDescent="0.25">
      <c r="C748" s="37"/>
      <c r="D748" s="35"/>
    </row>
    <row r="749" spans="3:4" x14ac:dyDescent="0.25">
      <c r="C749" s="37"/>
      <c r="D749" s="35"/>
    </row>
    <row r="750" spans="3:4" x14ac:dyDescent="0.25">
      <c r="C750" s="37"/>
      <c r="D750" s="35"/>
    </row>
    <row r="751" spans="3:4" x14ac:dyDescent="0.25">
      <c r="C751" s="37"/>
      <c r="D751" s="35"/>
    </row>
    <row r="752" spans="3:4" x14ac:dyDescent="0.25">
      <c r="C752" s="37"/>
      <c r="D752" s="35"/>
    </row>
    <row r="753" spans="3:4" x14ac:dyDescent="0.25">
      <c r="C753" s="37"/>
      <c r="D753" s="35"/>
    </row>
    <row r="754" spans="3:4" x14ac:dyDescent="0.25">
      <c r="C754" s="37"/>
      <c r="D754" s="35"/>
    </row>
    <row r="755" spans="3:4" x14ac:dyDescent="0.25">
      <c r="C755" s="37"/>
      <c r="D755" s="35"/>
    </row>
    <row r="756" spans="3:4" x14ac:dyDescent="0.25">
      <c r="C756" s="37"/>
      <c r="D756" s="35"/>
    </row>
    <row r="757" spans="3:4" x14ac:dyDescent="0.25">
      <c r="C757" s="37"/>
      <c r="D757" s="35"/>
    </row>
    <row r="758" spans="3:4" x14ac:dyDescent="0.25">
      <c r="C758" s="37"/>
      <c r="D758" s="35"/>
    </row>
    <row r="759" spans="3:4" x14ac:dyDescent="0.25">
      <c r="C759" s="37"/>
      <c r="D759" s="35"/>
    </row>
    <row r="760" spans="3:4" x14ac:dyDescent="0.25">
      <c r="C760" s="37"/>
      <c r="D760" s="35"/>
    </row>
    <row r="761" spans="3:4" x14ac:dyDescent="0.25">
      <c r="C761" s="37"/>
      <c r="D761" s="35"/>
    </row>
    <row r="762" spans="3:4" x14ac:dyDescent="0.25">
      <c r="C762" s="37"/>
      <c r="D762" s="35"/>
    </row>
    <row r="763" spans="3:4" x14ac:dyDescent="0.25">
      <c r="C763" s="37"/>
      <c r="D763" s="35"/>
    </row>
    <row r="764" spans="3:4" x14ac:dyDescent="0.25">
      <c r="C764" s="37"/>
      <c r="D764" s="35"/>
    </row>
    <row r="765" spans="3:4" x14ac:dyDescent="0.25">
      <c r="C765" s="37"/>
      <c r="D765" s="35"/>
    </row>
    <row r="766" spans="3:4" x14ac:dyDescent="0.25">
      <c r="C766" s="37"/>
      <c r="D766" s="35"/>
    </row>
    <row r="767" spans="3:4" x14ac:dyDescent="0.25">
      <c r="C767" s="37"/>
      <c r="D767" s="35"/>
    </row>
    <row r="768" spans="3:4" x14ac:dyDescent="0.25">
      <c r="C768" s="37"/>
      <c r="D768" s="35"/>
    </row>
    <row r="769" spans="3:4" x14ac:dyDescent="0.25">
      <c r="C769" s="37"/>
      <c r="D769" s="35"/>
    </row>
    <row r="770" spans="3:4" x14ac:dyDescent="0.25">
      <c r="C770" s="37"/>
      <c r="D770" s="35"/>
    </row>
    <row r="771" spans="3:4" x14ac:dyDescent="0.25">
      <c r="C771" s="37"/>
      <c r="D771" s="35"/>
    </row>
    <row r="772" spans="3:4" x14ac:dyDescent="0.25">
      <c r="C772" s="37"/>
      <c r="D772" s="35"/>
    </row>
    <row r="773" spans="3:4" x14ac:dyDescent="0.25">
      <c r="C773" s="37"/>
      <c r="D773" s="35"/>
    </row>
    <row r="774" spans="3:4" x14ac:dyDescent="0.25">
      <c r="C774" s="37"/>
      <c r="D774" s="35"/>
    </row>
    <row r="775" spans="3:4" x14ac:dyDescent="0.25">
      <c r="C775" s="37"/>
      <c r="D775" s="35"/>
    </row>
    <row r="776" spans="3:4" x14ac:dyDescent="0.25">
      <c r="C776" s="37"/>
      <c r="D776" s="35"/>
    </row>
    <row r="777" spans="3:4" x14ac:dyDescent="0.25">
      <c r="C777" s="37"/>
      <c r="D777" s="35"/>
    </row>
    <row r="778" spans="3:4" x14ac:dyDescent="0.25">
      <c r="C778" s="37"/>
      <c r="D778" s="35"/>
    </row>
    <row r="779" spans="3:4" x14ac:dyDescent="0.25">
      <c r="C779" s="37"/>
      <c r="D779" s="35"/>
    </row>
    <row r="780" spans="3:4" x14ac:dyDescent="0.25">
      <c r="C780" s="37"/>
      <c r="D780" s="35"/>
    </row>
    <row r="781" spans="3:4" x14ac:dyDescent="0.25">
      <c r="C781" s="37"/>
      <c r="D781" s="35"/>
    </row>
    <row r="782" spans="3:4" x14ac:dyDescent="0.25">
      <c r="C782" s="37"/>
      <c r="D782" s="35"/>
    </row>
    <row r="783" spans="3:4" x14ac:dyDescent="0.25">
      <c r="C783" s="37"/>
      <c r="D783" s="35"/>
    </row>
    <row r="784" spans="3:4" x14ac:dyDescent="0.25">
      <c r="C784" s="37"/>
      <c r="D784" s="35"/>
    </row>
    <row r="785" spans="3:4" x14ac:dyDescent="0.25">
      <c r="C785" s="37"/>
      <c r="D785" s="35"/>
    </row>
    <row r="786" spans="3:4" x14ac:dyDescent="0.25">
      <c r="C786" s="37"/>
      <c r="D786" s="35"/>
    </row>
    <row r="787" spans="3:4" x14ac:dyDescent="0.25">
      <c r="C787" s="37"/>
      <c r="D787" s="35"/>
    </row>
    <row r="788" spans="3:4" x14ac:dyDescent="0.25">
      <c r="C788" s="37"/>
      <c r="D788" s="35"/>
    </row>
    <row r="789" spans="3:4" x14ac:dyDescent="0.25">
      <c r="C789" s="37"/>
      <c r="D789" s="35"/>
    </row>
    <row r="790" spans="3:4" x14ac:dyDescent="0.25">
      <c r="C790" s="37"/>
      <c r="D790" s="35"/>
    </row>
    <row r="791" spans="3:4" x14ac:dyDescent="0.25">
      <c r="C791" s="37"/>
      <c r="D791" s="35"/>
    </row>
    <row r="792" spans="3:4" x14ac:dyDescent="0.25">
      <c r="C792" s="37"/>
      <c r="D792" s="35"/>
    </row>
    <row r="793" spans="3:4" x14ac:dyDescent="0.25">
      <c r="C793" s="37"/>
      <c r="D793" s="35"/>
    </row>
    <row r="794" spans="3:4" x14ac:dyDescent="0.25">
      <c r="C794" s="37"/>
      <c r="D794" s="35"/>
    </row>
    <row r="795" spans="3:4" x14ac:dyDescent="0.25">
      <c r="C795" s="37"/>
      <c r="D795" s="35"/>
    </row>
    <row r="796" spans="3:4" x14ac:dyDescent="0.25">
      <c r="C796" s="37"/>
      <c r="D796" s="35"/>
    </row>
    <row r="797" spans="3:4" x14ac:dyDescent="0.25">
      <c r="C797" s="37"/>
      <c r="D797" s="35"/>
    </row>
    <row r="798" spans="3:4" x14ac:dyDescent="0.25">
      <c r="C798" s="37"/>
      <c r="D798" s="35"/>
    </row>
    <row r="799" spans="3:4" x14ac:dyDescent="0.25">
      <c r="C799" s="37"/>
      <c r="D799" s="35"/>
    </row>
    <row r="800" spans="3:4" x14ac:dyDescent="0.25">
      <c r="C800" s="37"/>
      <c r="D800" s="35"/>
    </row>
    <row r="801" spans="3:4" x14ac:dyDescent="0.25">
      <c r="C801" s="37"/>
      <c r="D801" s="35"/>
    </row>
    <row r="802" spans="3:4" x14ac:dyDescent="0.25">
      <c r="C802" s="37"/>
      <c r="D802" s="35"/>
    </row>
    <row r="803" spans="3:4" x14ac:dyDescent="0.25">
      <c r="C803" s="37"/>
      <c r="D803" s="35"/>
    </row>
    <row r="804" spans="3:4" x14ac:dyDescent="0.25">
      <c r="C804" s="37"/>
      <c r="D804" s="35"/>
    </row>
    <row r="805" spans="3:4" x14ac:dyDescent="0.25">
      <c r="C805" s="37"/>
      <c r="D805" s="35"/>
    </row>
    <row r="806" spans="3:4" x14ac:dyDescent="0.25">
      <c r="C806" s="37"/>
      <c r="D806" s="35"/>
    </row>
    <row r="807" spans="3:4" x14ac:dyDescent="0.25">
      <c r="C807" s="37"/>
      <c r="D807" s="35"/>
    </row>
    <row r="808" spans="3:4" x14ac:dyDescent="0.25">
      <c r="C808" s="37"/>
      <c r="D808" s="35"/>
    </row>
    <row r="809" spans="3:4" x14ac:dyDescent="0.25">
      <c r="C809" s="37"/>
      <c r="D809" s="35"/>
    </row>
    <row r="810" spans="3:4" x14ac:dyDescent="0.25">
      <c r="C810" s="37"/>
      <c r="D810" s="35"/>
    </row>
    <row r="811" spans="3:4" x14ac:dyDescent="0.25">
      <c r="C811" s="37"/>
      <c r="D811" s="35"/>
    </row>
    <row r="812" spans="3:4" x14ac:dyDescent="0.25">
      <c r="C812" s="37"/>
      <c r="D812" s="35"/>
    </row>
    <row r="813" spans="3:4" x14ac:dyDescent="0.25">
      <c r="C813" s="37"/>
      <c r="D813" s="35"/>
    </row>
    <row r="814" spans="3:4" x14ac:dyDescent="0.25">
      <c r="C814" s="37"/>
      <c r="D814" s="35"/>
    </row>
    <row r="815" spans="3:4" x14ac:dyDescent="0.25">
      <c r="C815" s="37"/>
      <c r="D815" s="35"/>
    </row>
    <row r="816" spans="3:4" x14ac:dyDescent="0.25">
      <c r="C816" s="37"/>
      <c r="D816" s="35"/>
    </row>
    <row r="817" spans="3:4" x14ac:dyDescent="0.25">
      <c r="C817" s="37"/>
      <c r="D817" s="35"/>
    </row>
    <row r="818" spans="3:4" x14ac:dyDescent="0.25">
      <c r="C818" s="37"/>
      <c r="D818" s="35"/>
    </row>
    <row r="819" spans="3:4" x14ac:dyDescent="0.25">
      <c r="C819" s="37"/>
      <c r="D819" s="35"/>
    </row>
    <row r="820" spans="3:4" x14ac:dyDescent="0.25">
      <c r="C820" s="37"/>
      <c r="D820" s="35"/>
    </row>
    <row r="821" spans="3:4" x14ac:dyDescent="0.25">
      <c r="C821" s="37"/>
      <c r="D821" s="35"/>
    </row>
    <row r="822" spans="3:4" x14ac:dyDescent="0.25">
      <c r="C822" s="37"/>
      <c r="D822" s="35"/>
    </row>
    <row r="823" spans="3:4" x14ac:dyDescent="0.25">
      <c r="C823" s="37"/>
      <c r="D823" s="35"/>
    </row>
    <row r="824" spans="3:4" x14ac:dyDescent="0.25">
      <c r="C824" s="37"/>
      <c r="D824" s="35"/>
    </row>
    <row r="825" spans="3:4" x14ac:dyDescent="0.25">
      <c r="C825" s="37"/>
      <c r="D825" s="35"/>
    </row>
    <row r="826" spans="3:4" x14ac:dyDescent="0.25">
      <c r="C826" s="37"/>
      <c r="D826" s="35"/>
    </row>
    <row r="827" spans="3:4" x14ac:dyDescent="0.25">
      <c r="C827" s="37"/>
      <c r="D827" s="35"/>
    </row>
    <row r="828" spans="3:4" x14ac:dyDescent="0.25">
      <c r="C828" s="37"/>
      <c r="D828" s="35"/>
    </row>
    <row r="829" spans="3:4" x14ac:dyDescent="0.25">
      <c r="C829" s="37"/>
      <c r="D829" s="35"/>
    </row>
    <row r="830" spans="3:4" x14ac:dyDescent="0.25">
      <c r="C830" s="37"/>
      <c r="D830" s="35"/>
    </row>
    <row r="831" spans="3:4" x14ac:dyDescent="0.25">
      <c r="C831" s="37"/>
      <c r="D831" s="35"/>
    </row>
    <row r="832" spans="3:4" x14ac:dyDescent="0.25">
      <c r="C832" s="37"/>
      <c r="D832" s="35"/>
    </row>
    <row r="833" spans="3:4" x14ac:dyDescent="0.25">
      <c r="C833" s="37"/>
      <c r="D833" s="35"/>
    </row>
    <row r="834" spans="3:4" x14ac:dyDescent="0.25">
      <c r="C834" s="37"/>
      <c r="D834" s="35"/>
    </row>
    <row r="835" spans="3:4" x14ac:dyDescent="0.25">
      <c r="C835" s="37"/>
      <c r="D835" s="35"/>
    </row>
    <row r="836" spans="3:4" x14ac:dyDescent="0.25">
      <c r="C836" s="37"/>
      <c r="D836" s="35"/>
    </row>
    <row r="837" spans="3:4" x14ac:dyDescent="0.25">
      <c r="C837" s="37"/>
      <c r="D837" s="35"/>
    </row>
    <row r="838" spans="3:4" x14ac:dyDescent="0.25">
      <c r="C838" s="37"/>
      <c r="D838" s="35"/>
    </row>
    <row r="839" spans="3:4" x14ac:dyDescent="0.25">
      <c r="C839" s="37"/>
      <c r="D839" s="35"/>
    </row>
    <row r="840" spans="3:4" x14ac:dyDescent="0.25">
      <c r="C840" s="37"/>
      <c r="D840" s="35"/>
    </row>
    <row r="841" spans="3:4" x14ac:dyDescent="0.25">
      <c r="C841" s="37"/>
      <c r="D841" s="35"/>
    </row>
    <row r="842" spans="3:4" x14ac:dyDescent="0.25">
      <c r="C842" s="37"/>
      <c r="D842" s="35"/>
    </row>
    <row r="843" spans="3:4" x14ac:dyDescent="0.25">
      <c r="C843" s="37"/>
      <c r="D843" s="35"/>
    </row>
    <row r="844" spans="3:4" x14ac:dyDescent="0.25">
      <c r="C844" s="37"/>
      <c r="D844" s="35"/>
    </row>
    <row r="845" spans="3:4" x14ac:dyDescent="0.25">
      <c r="C845" s="37"/>
      <c r="D845" s="35"/>
    </row>
    <row r="846" spans="3:4" x14ac:dyDescent="0.25">
      <c r="C846" s="37"/>
      <c r="D846" s="35"/>
    </row>
    <row r="847" spans="3:4" x14ac:dyDescent="0.25">
      <c r="C847" s="37"/>
      <c r="D847" s="35"/>
    </row>
    <row r="848" spans="3:4" x14ac:dyDescent="0.25">
      <c r="C848" s="37"/>
      <c r="D848" s="35"/>
    </row>
    <row r="849" spans="3:4" x14ac:dyDescent="0.25">
      <c r="C849" s="37"/>
      <c r="D849" s="35"/>
    </row>
    <row r="850" spans="3:4" x14ac:dyDescent="0.25">
      <c r="C850" s="37"/>
      <c r="D850" s="35"/>
    </row>
    <row r="851" spans="3:4" x14ac:dyDescent="0.25">
      <c r="C851" s="37"/>
      <c r="D851" s="35"/>
    </row>
    <row r="852" spans="3:4" x14ac:dyDescent="0.25">
      <c r="C852" s="37"/>
      <c r="D852" s="35"/>
    </row>
    <row r="853" spans="3:4" x14ac:dyDescent="0.25">
      <c r="C853" s="37"/>
      <c r="D853" s="35"/>
    </row>
    <row r="854" spans="3:4" x14ac:dyDescent="0.25">
      <c r="C854" s="37"/>
      <c r="D854" s="35"/>
    </row>
    <row r="855" spans="3:4" x14ac:dyDescent="0.25">
      <c r="C855" s="37"/>
      <c r="D855" s="35"/>
    </row>
    <row r="856" spans="3:4" x14ac:dyDescent="0.25">
      <c r="C856" s="37"/>
      <c r="D856" s="35"/>
    </row>
    <row r="857" spans="3:4" x14ac:dyDescent="0.25">
      <c r="C857" s="37"/>
      <c r="D857" s="35"/>
    </row>
    <row r="858" spans="3:4" x14ac:dyDescent="0.25">
      <c r="C858" s="37"/>
      <c r="D858" s="35"/>
    </row>
    <row r="859" spans="3:4" x14ac:dyDescent="0.25">
      <c r="C859" s="37"/>
      <c r="D859" s="35"/>
    </row>
    <row r="860" spans="3:4" x14ac:dyDescent="0.25">
      <c r="C860" s="37"/>
      <c r="D860" s="35"/>
    </row>
    <row r="861" spans="3:4" x14ac:dyDescent="0.25">
      <c r="C861" s="37"/>
      <c r="D861" s="35"/>
    </row>
    <row r="862" spans="3:4" x14ac:dyDescent="0.25">
      <c r="C862" s="37"/>
      <c r="D862" s="35"/>
    </row>
    <row r="863" spans="3:4" x14ac:dyDescent="0.25">
      <c r="C863" s="37"/>
      <c r="D863" s="35"/>
    </row>
    <row r="864" spans="3:4" x14ac:dyDescent="0.25">
      <c r="C864" s="37"/>
      <c r="D864" s="35"/>
    </row>
    <row r="865" spans="3:4" x14ac:dyDescent="0.25">
      <c r="C865" s="37"/>
      <c r="D865" s="35"/>
    </row>
    <row r="866" spans="3:4" x14ac:dyDescent="0.25">
      <c r="C866" s="37"/>
      <c r="D866" s="35"/>
    </row>
    <row r="867" spans="3:4" x14ac:dyDescent="0.25">
      <c r="C867" s="37"/>
      <c r="D867" s="35"/>
    </row>
    <row r="868" spans="3:4" x14ac:dyDescent="0.25">
      <c r="C868" s="37"/>
      <c r="D868" s="35"/>
    </row>
    <row r="869" spans="3:4" x14ac:dyDescent="0.25">
      <c r="C869" s="37"/>
      <c r="D869" s="35"/>
    </row>
    <row r="870" spans="3:4" x14ac:dyDescent="0.25">
      <c r="C870" s="37"/>
      <c r="D870" s="35"/>
    </row>
    <row r="871" spans="3:4" x14ac:dyDescent="0.25">
      <c r="C871" s="37"/>
      <c r="D871" s="35"/>
    </row>
    <row r="872" spans="3:4" x14ac:dyDescent="0.25">
      <c r="C872" s="37"/>
      <c r="D872" s="35"/>
    </row>
    <row r="873" spans="3:4" x14ac:dyDescent="0.25">
      <c r="C873" s="37"/>
      <c r="D873" s="35"/>
    </row>
    <row r="874" spans="3:4" x14ac:dyDescent="0.25">
      <c r="C874" s="37"/>
      <c r="D874" s="35"/>
    </row>
    <row r="875" spans="3:4" x14ac:dyDescent="0.25">
      <c r="C875" s="37"/>
      <c r="D875" s="35"/>
    </row>
    <row r="876" spans="3:4" x14ac:dyDescent="0.25">
      <c r="C876" s="37"/>
      <c r="D876" s="35"/>
    </row>
    <row r="877" spans="3:4" x14ac:dyDescent="0.25">
      <c r="C877" s="37"/>
      <c r="D877" s="35"/>
    </row>
    <row r="878" spans="3:4" x14ac:dyDescent="0.25">
      <c r="C878" s="37"/>
      <c r="D878" s="35"/>
    </row>
    <row r="879" spans="3:4" x14ac:dyDescent="0.25">
      <c r="C879" s="37"/>
      <c r="D879" s="35"/>
    </row>
    <row r="880" spans="3:4" x14ac:dyDescent="0.25">
      <c r="C880" s="37"/>
      <c r="D880" s="35"/>
    </row>
    <row r="881" spans="3:4" x14ac:dyDescent="0.25">
      <c r="C881" s="37"/>
      <c r="D881" s="35"/>
    </row>
    <row r="882" spans="3:4" x14ac:dyDescent="0.25">
      <c r="C882" s="37"/>
      <c r="D882" s="35"/>
    </row>
    <row r="883" spans="3:4" x14ac:dyDescent="0.25">
      <c r="C883" s="37"/>
      <c r="D883" s="35"/>
    </row>
    <row r="884" spans="3:4" x14ac:dyDescent="0.25">
      <c r="C884" s="37"/>
      <c r="D884" s="35"/>
    </row>
    <row r="885" spans="3:4" x14ac:dyDescent="0.25">
      <c r="C885" s="37"/>
      <c r="D885" s="35"/>
    </row>
    <row r="886" spans="3:4" x14ac:dyDescent="0.25">
      <c r="C886" s="37"/>
      <c r="D886" s="35"/>
    </row>
    <row r="887" spans="3:4" x14ac:dyDescent="0.25">
      <c r="C887" s="37"/>
      <c r="D887" s="35"/>
    </row>
    <row r="888" spans="3:4" x14ac:dyDescent="0.25">
      <c r="C888" s="37"/>
      <c r="D888" s="35"/>
    </row>
    <row r="889" spans="3:4" x14ac:dyDescent="0.25">
      <c r="C889" s="37"/>
      <c r="D889" s="35"/>
    </row>
    <row r="890" spans="3:4" x14ac:dyDescent="0.25">
      <c r="C890" s="37"/>
      <c r="D890" s="35"/>
    </row>
    <row r="891" spans="3:4" x14ac:dyDescent="0.25">
      <c r="C891" s="37"/>
      <c r="D891" s="35"/>
    </row>
    <row r="892" spans="3:4" x14ac:dyDescent="0.25">
      <c r="C892" s="37"/>
      <c r="D892" s="35"/>
    </row>
    <row r="893" spans="3:4" x14ac:dyDescent="0.25">
      <c r="C893" s="37"/>
      <c r="D893" s="35"/>
    </row>
    <row r="894" spans="3:4" x14ac:dyDescent="0.25">
      <c r="C894" s="37"/>
      <c r="D894" s="35"/>
    </row>
    <row r="895" spans="3:4" x14ac:dyDescent="0.25">
      <c r="C895" s="37"/>
      <c r="D895" s="35"/>
    </row>
    <row r="896" spans="3:4" x14ac:dyDescent="0.25">
      <c r="C896" s="37"/>
      <c r="D896" s="35"/>
    </row>
    <row r="897" spans="3:4" x14ac:dyDescent="0.25">
      <c r="C897" s="37"/>
      <c r="D897" s="35"/>
    </row>
    <row r="898" spans="3:4" x14ac:dyDescent="0.25">
      <c r="C898" s="37"/>
      <c r="D898" s="35"/>
    </row>
    <row r="899" spans="3:4" x14ac:dyDescent="0.25">
      <c r="C899" s="37"/>
      <c r="D899" s="35"/>
    </row>
    <row r="900" spans="3:4" x14ac:dyDescent="0.25">
      <c r="C900" s="37"/>
      <c r="D900" s="35"/>
    </row>
    <row r="901" spans="3:4" x14ac:dyDescent="0.25">
      <c r="C901" s="37"/>
      <c r="D901" s="35"/>
    </row>
    <row r="902" spans="3:4" x14ac:dyDescent="0.25">
      <c r="C902" s="37"/>
      <c r="D902" s="35"/>
    </row>
    <row r="903" spans="3:4" x14ac:dyDescent="0.25">
      <c r="C903" s="37"/>
      <c r="D903" s="35"/>
    </row>
    <row r="904" spans="3:4" x14ac:dyDescent="0.25">
      <c r="C904" s="37"/>
      <c r="D904" s="35"/>
    </row>
    <row r="905" spans="3:4" x14ac:dyDescent="0.25">
      <c r="C905" s="37"/>
      <c r="D905" s="35"/>
    </row>
    <row r="906" spans="3:4" x14ac:dyDescent="0.25">
      <c r="C906" s="37"/>
      <c r="D906" s="35"/>
    </row>
    <row r="907" spans="3:4" x14ac:dyDescent="0.25">
      <c r="C907" s="37"/>
      <c r="D907" s="35"/>
    </row>
    <row r="908" spans="3:4" x14ac:dyDescent="0.25">
      <c r="C908" s="37"/>
      <c r="D908" s="35"/>
    </row>
    <row r="909" spans="3:4" x14ac:dyDescent="0.25">
      <c r="C909" s="37"/>
      <c r="D909" s="35"/>
    </row>
    <row r="910" spans="3:4" x14ac:dyDescent="0.25">
      <c r="C910" s="37"/>
      <c r="D910" s="35"/>
    </row>
    <row r="911" spans="3:4" x14ac:dyDescent="0.25">
      <c r="C911" s="37"/>
      <c r="D911" s="35"/>
    </row>
    <row r="912" spans="3:4" x14ac:dyDescent="0.25">
      <c r="C912" s="37"/>
      <c r="D912" s="35"/>
    </row>
    <row r="913" spans="3:4" x14ac:dyDescent="0.25">
      <c r="C913" s="37"/>
      <c r="D913" s="35"/>
    </row>
    <row r="914" spans="3:4" x14ac:dyDescent="0.25">
      <c r="C914" s="37"/>
      <c r="D914" s="35"/>
    </row>
    <row r="915" spans="3:4" x14ac:dyDescent="0.25">
      <c r="C915" s="37"/>
      <c r="D915" s="35"/>
    </row>
    <row r="916" spans="3:4" x14ac:dyDescent="0.25">
      <c r="C916" s="37"/>
      <c r="D916" s="35"/>
    </row>
    <row r="917" spans="3:4" x14ac:dyDescent="0.25">
      <c r="C917" s="37"/>
      <c r="D917" s="35"/>
    </row>
    <row r="918" spans="3:4" x14ac:dyDescent="0.25">
      <c r="C918" s="37"/>
      <c r="D918" s="35"/>
    </row>
    <row r="919" spans="3:4" x14ac:dyDescent="0.25">
      <c r="C919" s="37"/>
      <c r="D919" s="35"/>
    </row>
    <row r="920" spans="3:4" x14ac:dyDescent="0.25">
      <c r="C920" s="37"/>
      <c r="D920" s="35"/>
    </row>
    <row r="921" spans="3:4" x14ac:dyDescent="0.25">
      <c r="C921" s="37"/>
      <c r="D921" s="35"/>
    </row>
    <row r="922" spans="3:4" x14ac:dyDescent="0.25">
      <c r="C922" s="37"/>
      <c r="D922" s="35"/>
    </row>
    <row r="923" spans="3:4" x14ac:dyDescent="0.25">
      <c r="C923" s="37"/>
      <c r="D923" s="35"/>
    </row>
    <row r="924" spans="3:4" x14ac:dyDescent="0.25">
      <c r="C924" s="37"/>
      <c r="D924" s="35"/>
    </row>
    <row r="925" spans="3:4" x14ac:dyDescent="0.25">
      <c r="C925" s="37"/>
      <c r="D925" s="35"/>
    </row>
    <row r="926" spans="3:4" x14ac:dyDescent="0.25">
      <c r="C926" s="37"/>
      <c r="D926" s="35"/>
    </row>
    <row r="927" spans="3:4" x14ac:dyDescent="0.25">
      <c r="C927" s="37"/>
      <c r="D927" s="35"/>
    </row>
    <row r="928" spans="3:4" x14ac:dyDescent="0.25">
      <c r="C928" s="37"/>
      <c r="D928" s="35"/>
    </row>
    <row r="929" spans="3:4" x14ac:dyDescent="0.25">
      <c r="C929" s="37"/>
      <c r="D929" s="35"/>
    </row>
    <row r="930" spans="3:4" x14ac:dyDescent="0.25">
      <c r="C930" s="37"/>
      <c r="D930" s="35"/>
    </row>
    <row r="931" spans="3:4" x14ac:dyDescent="0.25">
      <c r="C931" s="37"/>
      <c r="D931" s="35"/>
    </row>
    <row r="932" spans="3:4" x14ac:dyDescent="0.25">
      <c r="C932" s="37"/>
      <c r="D932" s="35"/>
    </row>
    <row r="933" spans="3:4" x14ac:dyDescent="0.25">
      <c r="C933" s="37"/>
      <c r="D933" s="35"/>
    </row>
    <row r="934" spans="3:4" x14ac:dyDescent="0.25">
      <c r="C934" s="37"/>
      <c r="D934" s="35"/>
    </row>
    <row r="935" spans="3:4" x14ac:dyDescent="0.25">
      <c r="C935" s="37"/>
      <c r="D935" s="35"/>
    </row>
    <row r="936" spans="3:4" x14ac:dyDescent="0.25">
      <c r="C936" s="37"/>
      <c r="D936" s="35"/>
    </row>
    <row r="937" spans="3:4" x14ac:dyDescent="0.25">
      <c r="C937" s="37"/>
      <c r="D937" s="35"/>
    </row>
    <row r="938" spans="3:4" x14ac:dyDescent="0.25">
      <c r="C938" s="37"/>
      <c r="D938" s="35"/>
    </row>
    <row r="939" spans="3:4" x14ac:dyDescent="0.25">
      <c r="C939" s="37"/>
      <c r="D939" s="35"/>
    </row>
    <row r="940" spans="3:4" x14ac:dyDescent="0.25">
      <c r="C940" s="37"/>
      <c r="D940" s="35"/>
    </row>
    <row r="941" spans="3:4" x14ac:dyDescent="0.25">
      <c r="C941" s="37"/>
      <c r="D941" s="35"/>
    </row>
    <row r="942" spans="3:4" x14ac:dyDescent="0.25">
      <c r="C942" s="37"/>
      <c r="D942" s="35"/>
    </row>
    <row r="943" spans="3:4" x14ac:dyDescent="0.25">
      <c r="C943" s="37"/>
      <c r="D943" s="35"/>
    </row>
    <row r="944" spans="3:4" x14ac:dyDescent="0.25">
      <c r="C944" s="37"/>
      <c r="D944" s="35"/>
    </row>
    <row r="945" spans="3:4" x14ac:dyDescent="0.25">
      <c r="C945" s="37"/>
      <c r="D945" s="35"/>
    </row>
    <row r="946" spans="3:4" x14ac:dyDescent="0.25">
      <c r="C946" s="37"/>
      <c r="D946" s="35"/>
    </row>
    <row r="947" spans="3:4" x14ac:dyDescent="0.25">
      <c r="C947" s="37"/>
      <c r="D947" s="35"/>
    </row>
    <row r="948" spans="3:4" x14ac:dyDescent="0.25">
      <c r="C948" s="37"/>
      <c r="D948" s="35"/>
    </row>
    <row r="949" spans="3:4" x14ac:dyDescent="0.25">
      <c r="C949" s="37"/>
      <c r="D949" s="35"/>
    </row>
    <row r="950" spans="3:4" x14ac:dyDescent="0.25">
      <c r="C950" s="37"/>
      <c r="D950" s="35"/>
    </row>
    <row r="951" spans="3:4" x14ac:dyDescent="0.25">
      <c r="C951" s="37"/>
      <c r="D951" s="35"/>
    </row>
    <row r="952" spans="3:4" x14ac:dyDescent="0.25">
      <c r="C952" s="37"/>
      <c r="D952" s="35"/>
    </row>
    <row r="953" spans="3:4" x14ac:dyDescent="0.25">
      <c r="C953" s="37"/>
      <c r="D953" s="35"/>
    </row>
    <row r="954" spans="3:4" x14ac:dyDescent="0.25">
      <c r="C954" s="37"/>
      <c r="D954" s="35"/>
    </row>
    <row r="955" spans="3:4" x14ac:dyDescent="0.25">
      <c r="C955" s="37"/>
      <c r="D955" s="35"/>
    </row>
    <row r="956" spans="3:4" x14ac:dyDescent="0.25">
      <c r="C956" s="37"/>
      <c r="D956" s="35"/>
    </row>
    <row r="957" spans="3:4" x14ac:dyDescent="0.25">
      <c r="C957" s="37"/>
      <c r="D957" s="35"/>
    </row>
    <row r="958" spans="3:4" x14ac:dyDescent="0.25">
      <c r="C958" s="37"/>
      <c r="D958" s="35"/>
    </row>
    <row r="959" spans="3:4" x14ac:dyDescent="0.25">
      <c r="C959" s="37"/>
      <c r="D959" s="35"/>
    </row>
    <row r="960" spans="3:4" x14ac:dyDescent="0.25">
      <c r="C960" s="37"/>
      <c r="D960" s="35"/>
    </row>
    <row r="961" spans="3:4" x14ac:dyDescent="0.25">
      <c r="C961" s="37"/>
      <c r="D961" s="35"/>
    </row>
    <row r="962" spans="3:4" x14ac:dyDescent="0.25">
      <c r="C962" s="37"/>
      <c r="D962" s="35"/>
    </row>
    <row r="963" spans="3:4" x14ac:dyDescent="0.25">
      <c r="C963" s="37"/>
      <c r="D963" s="35"/>
    </row>
    <row r="964" spans="3:4" x14ac:dyDescent="0.25">
      <c r="C964" s="37"/>
      <c r="D964" s="35"/>
    </row>
    <row r="965" spans="3:4" x14ac:dyDescent="0.25">
      <c r="C965" s="37"/>
      <c r="D965" s="35"/>
    </row>
    <row r="966" spans="3:4" x14ac:dyDescent="0.25">
      <c r="C966" s="37"/>
      <c r="D966" s="35"/>
    </row>
    <row r="967" spans="3:4" x14ac:dyDescent="0.25">
      <c r="C967" s="37"/>
      <c r="D967" s="35"/>
    </row>
    <row r="968" spans="3:4" x14ac:dyDescent="0.25">
      <c r="C968" s="37"/>
      <c r="D968" s="35"/>
    </row>
    <row r="969" spans="3:4" x14ac:dyDescent="0.25">
      <c r="C969" s="37"/>
      <c r="D969" s="35"/>
    </row>
    <row r="970" spans="3:4" x14ac:dyDescent="0.25">
      <c r="C970" s="37"/>
      <c r="D970" s="35"/>
    </row>
    <row r="971" spans="3:4" x14ac:dyDescent="0.25">
      <c r="C971" s="37"/>
      <c r="D971" s="35"/>
    </row>
    <row r="972" spans="3:4" x14ac:dyDescent="0.25">
      <c r="C972" s="37"/>
      <c r="D972" s="35"/>
    </row>
    <row r="973" spans="3:4" x14ac:dyDescent="0.25">
      <c r="C973" s="37"/>
      <c r="D973" s="35"/>
    </row>
    <row r="974" spans="3:4" x14ac:dyDescent="0.25">
      <c r="C974" s="37"/>
      <c r="D974" s="35"/>
    </row>
    <row r="975" spans="3:4" x14ac:dyDescent="0.25">
      <c r="C975" s="37"/>
      <c r="D975" s="35"/>
    </row>
    <row r="976" spans="3:4" x14ac:dyDescent="0.25">
      <c r="C976" s="37"/>
      <c r="D976" s="35"/>
    </row>
    <row r="977" spans="3:4" x14ac:dyDescent="0.25">
      <c r="C977" s="37"/>
      <c r="D977" s="35"/>
    </row>
    <row r="978" spans="3:4" x14ac:dyDescent="0.25">
      <c r="C978" s="37"/>
      <c r="D978" s="35"/>
    </row>
    <row r="979" spans="3:4" x14ac:dyDescent="0.25">
      <c r="C979" s="37"/>
      <c r="D979" s="35"/>
    </row>
    <row r="980" spans="3:4" x14ac:dyDescent="0.25">
      <c r="C980" s="37"/>
      <c r="D980" s="35"/>
    </row>
    <row r="981" spans="3:4" x14ac:dyDescent="0.25">
      <c r="C981" s="37"/>
      <c r="D981" s="35"/>
    </row>
    <row r="982" spans="3:4" x14ac:dyDescent="0.25">
      <c r="C982" s="37"/>
      <c r="D982" s="35"/>
    </row>
    <row r="983" spans="3:4" x14ac:dyDescent="0.25">
      <c r="C983" s="37"/>
      <c r="D983" s="35"/>
    </row>
    <row r="984" spans="3:4" x14ac:dyDescent="0.25">
      <c r="C984" s="37"/>
      <c r="D984" s="35"/>
    </row>
    <row r="985" spans="3:4" x14ac:dyDescent="0.25">
      <c r="C985" s="37"/>
      <c r="D985" s="35"/>
    </row>
    <row r="986" spans="3:4" x14ac:dyDescent="0.25">
      <c r="C986" s="37"/>
      <c r="D986" s="35"/>
    </row>
    <row r="987" spans="3:4" x14ac:dyDescent="0.25">
      <c r="C987" s="37"/>
      <c r="D987" s="35"/>
    </row>
    <row r="988" spans="3:4" x14ac:dyDescent="0.25">
      <c r="C988" s="37"/>
      <c r="D988" s="35"/>
    </row>
    <row r="989" spans="3:4" x14ac:dyDescent="0.25">
      <c r="C989" s="37"/>
      <c r="D989" s="35"/>
    </row>
    <row r="990" spans="3:4" x14ac:dyDescent="0.25">
      <c r="C990" s="37"/>
      <c r="D990" s="35"/>
    </row>
    <row r="991" spans="3:4" x14ac:dyDescent="0.25">
      <c r="C991" s="37"/>
      <c r="D991" s="35"/>
    </row>
    <row r="992" spans="3:4" x14ac:dyDescent="0.25">
      <c r="C992" s="37"/>
      <c r="D992" s="35"/>
    </row>
    <row r="993" spans="3:4" x14ac:dyDescent="0.25">
      <c r="C993" s="37"/>
      <c r="D993" s="35"/>
    </row>
    <row r="994" spans="3:4" x14ac:dyDescent="0.25">
      <c r="C994" s="37"/>
      <c r="D994" s="35"/>
    </row>
    <row r="995" spans="3:4" x14ac:dyDescent="0.25">
      <c r="C995" s="37"/>
      <c r="D995" s="35"/>
    </row>
    <row r="996" spans="3:4" x14ac:dyDescent="0.25">
      <c r="C996" s="37"/>
      <c r="D996" s="35"/>
    </row>
    <row r="997" spans="3:4" x14ac:dyDescent="0.25">
      <c r="C997" s="37"/>
      <c r="D997" s="35"/>
    </row>
    <row r="998" spans="3:4" x14ac:dyDescent="0.25">
      <c r="C998" s="37"/>
      <c r="D998" s="35"/>
    </row>
    <row r="999" spans="3:4" x14ac:dyDescent="0.25">
      <c r="C999" s="37"/>
      <c r="D999" s="35"/>
    </row>
    <row r="1000" spans="3:4" x14ac:dyDescent="0.25">
      <c r="C1000" s="37"/>
      <c r="D1000" s="35"/>
    </row>
    <row r="1001" spans="3:4" x14ac:dyDescent="0.25">
      <c r="C1001" s="37"/>
      <c r="D1001" s="35"/>
    </row>
    <row r="1002" spans="3:4" x14ac:dyDescent="0.25">
      <c r="C1002" s="37"/>
      <c r="D1002" s="35"/>
    </row>
    <row r="1003" spans="3:4" x14ac:dyDescent="0.25">
      <c r="C1003" s="37"/>
      <c r="D1003" s="35"/>
    </row>
    <row r="1004" spans="3:4" x14ac:dyDescent="0.25">
      <c r="C1004" s="37"/>
      <c r="D1004" s="35"/>
    </row>
    <row r="1005" spans="3:4" x14ac:dyDescent="0.25">
      <c r="C1005" s="37"/>
      <c r="D1005" s="35"/>
    </row>
    <row r="1006" spans="3:4" x14ac:dyDescent="0.25">
      <c r="C1006" s="37"/>
      <c r="D1006" s="35"/>
    </row>
    <row r="1007" spans="3:4" x14ac:dyDescent="0.25">
      <c r="C1007" s="37"/>
      <c r="D1007" s="35"/>
    </row>
    <row r="1008" spans="3:4" x14ac:dyDescent="0.25">
      <c r="C1008" s="37"/>
      <c r="D1008" s="35"/>
    </row>
    <row r="1009" spans="3:4" x14ac:dyDescent="0.25">
      <c r="C1009" s="37"/>
      <c r="D1009" s="35"/>
    </row>
    <row r="1010" spans="3:4" x14ac:dyDescent="0.25">
      <c r="C1010" s="37"/>
      <c r="D1010" s="35"/>
    </row>
    <row r="1011" spans="3:4" x14ac:dyDescent="0.25">
      <c r="C1011" s="37"/>
      <c r="D1011" s="35"/>
    </row>
    <row r="1012" spans="3:4" x14ac:dyDescent="0.25">
      <c r="C1012" s="37"/>
      <c r="D1012" s="35"/>
    </row>
    <row r="1013" spans="3:4" x14ac:dyDescent="0.25">
      <c r="C1013" s="37"/>
      <c r="D1013" s="35"/>
    </row>
    <row r="1014" spans="3:4" x14ac:dyDescent="0.25">
      <c r="C1014" s="37"/>
      <c r="D1014" s="35"/>
    </row>
    <row r="1015" spans="3:4" x14ac:dyDescent="0.25">
      <c r="C1015" s="37"/>
      <c r="D1015" s="35"/>
    </row>
    <row r="1016" spans="3:4" x14ac:dyDescent="0.25">
      <c r="C1016" s="37"/>
      <c r="D1016" s="35"/>
    </row>
    <row r="1017" spans="3:4" x14ac:dyDescent="0.25">
      <c r="C1017" s="37"/>
      <c r="D1017" s="35"/>
    </row>
    <row r="1018" spans="3:4" x14ac:dyDescent="0.25">
      <c r="C1018" s="37"/>
      <c r="D1018" s="35"/>
    </row>
    <row r="1019" spans="3:4" x14ac:dyDescent="0.25">
      <c r="C1019" s="37"/>
      <c r="D1019" s="35"/>
    </row>
    <row r="1020" spans="3:4" x14ac:dyDescent="0.25">
      <c r="C1020" s="37"/>
      <c r="D1020" s="35"/>
    </row>
    <row r="1021" spans="3:4" x14ac:dyDescent="0.25">
      <c r="C1021" s="37"/>
      <c r="D1021" s="35"/>
    </row>
    <row r="1022" spans="3:4" x14ac:dyDescent="0.25">
      <c r="C1022" s="37"/>
      <c r="D1022" s="35"/>
    </row>
    <row r="1023" spans="3:4" x14ac:dyDescent="0.25">
      <c r="C1023" s="37"/>
      <c r="D1023" s="35"/>
    </row>
    <row r="1024" spans="3:4" x14ac:dyDescent="0.25">
      <c r="C1024" s="37"/>
      <c r="D1024" s="35"/>
    </row>
    <row r="1025" spans="3:4" x14ac:dyDescent="0.25">
      <c r="C1025" s="37"/>
      <c r="D1025" s="35"/>
    </row>
    <row r="1026" spans="3:4" x14ac:dyDescent="0.25">
      <c r="C1026" s="37"/>
      <c r="D1026" s="35"/>
    </row>
    <row r="1027" spans="3:4" x14ac:dyDescent="0.25">
      <c r="C1027" s="37"/>
      <c r="D1027" s="35"/>
    </row>
    <row r="1028" spans="3:4" x14ac:dyDescent="0.25">
      <c r="C1028" s="37"/>
      <c r="D1028" s="35"/>
    </row>
    <row r="1029" spans="3:4" x14ac:dyDescent="0.25">
      <c r="C1029" s="37"/>
      <c r="D1029" s="35"/>
    </row>
    <row r="1030" spans="3:4" x14ac:dyDescent="0.25">
      <c r="C1030" s="37"/>
      <c r="D1030" s="35"/>
    </row>
    <row r="1031" spans="3:4" x14ac:dyDescent="0.25">
      <c r="C1031" s="37"/>
      <c r="D1031" s="35"/>
    </row>
    <row r="1032" spans="3:4" x14ac:dyDescent="0.25">
      <c r="C1032" s="37"/>
      <c r="D1032" s="35"/>
    </row>
    <row r="1033" spans="3:4" x14ac:dyDescent="0.25">
      <c r="C1033" s="37"/>
      <c r="D1033" s="35"/>
    </row>
    <row r="1034" spans="3:4" x14ac:dyDescent="0.25">
      <c r="C1034" s="37"/>
      <c r="D1034" s="35"/>
    </row>
    <row r="1035" spans="3:4" x14ac:dyDescent="0.25">
      <c r="C1035" s="37"/>
      <c r="D1035" s="35"/>
    </row>
    <row r="1036" spans="3:4" x14ac:dyDescent="0.25">
      <c r="C1036" s="37"/>
      <c r="D1036" s="35"/>
    </row>
    <row r="1037" spans="3:4" x14ac:dyDescent="0.25">
      <c r="C1037" s="37"/>
      <c r="D1037" s="35"/>
    </row>
    <row r="1038" spans="3:4" x14ac:dyDescent="0.25">
      <c r="C1038" s="37"/>
      <c r="D1038" s="35"/>
    </row>
    <row r="1039" spans="3:4" x14ac:dyDescent="0.25">
      <c r="C1039" s="37"/>
      <c r="D1039" s="35"/>
    </row>
    <row r="1040" spans="3:4" x14ac:dyDescent="0.25">
      <c r="C1040" s="37"/>
      <c r="D1040" s="35"/>
    </row>
    <row r="1041" spans="3:4" x14ac:dyDescent="0.25">
      <c r="C1041" s="37"/>
      <c r="D1041" s="35"/>
    </row>
    <row r="1042" spans="3:4" x14ac:dyDescent="0.25">
      <c r="C1042" s="37"/>
      <c r="D1042" s="35"/>
    </row>
    <row r="1043" spans="3:4" x14ac:dyDescent="0.25">
      <c r="C1043" s="37"/>
      <c r="D1043" s="35"/>
    </row>
    <row r="1044" spans="3:4" x14ac:dyDescent="0.25">
      <c r="C1044" s="37"/>
      <c r="D1044" s="35"/>
    </row>
    <row r="1045" spans="3:4" x14ac:dyDescent="0.25">
      <c r="C1045" s="37"/>
      <c r="D1045" s="35"/>
    </row>
    <row r="1046" spans="3:4" x14ac:dyDescent="0.25">
      <c r="C1046" s="37"/>
      <c r="D1046" s="35"/>
    </row>
    <row r="1047" spans="3:4" x14ac:dyDescent="0.25">
      <c r="C1047" s="37"/>
      <c r="D1047" s="35"/>
    </row>
    <row r="1048" spans="3:4" x14ac:dyDescent="0.25">
      <c r="C1048" s="37"/>
      <c r="D1048" s="35"/>
    </row>
    <row r="1049" spans="3:4" x14ac:dyDescent="0.25">
      <c r="C1049" s="37"/>
      <c r="D1049" s="35"/>
    </row>
    <row r="1050" spans="3:4" x14ac:dyDescent="0.25">
      <c r="C1050" s="37"/>
      <c r="D1050" s="35"/>
    </row>
    <row r="1051" spans="3:4" x14ac:dyDescent="0.25">
      <c r="C1051" s="37"/>
      <c r="D1051" s="35"/>
    </row>
    <row r="1052" spans="3:4" x14ac:dyDescent="0.25">
      <c r="C1052" s="37"/>
      <c r="D1052" s="35"/>
    </row>
    <row r="1053" spans="3:4" x14ac:dyDescent="0.25">
      <c r="C1053" s="37"/>
      <c r="D1053" s="35"/>
    </row>
    <row r="1054" spans="3:4" x14ac:dyDescent="0.25">
      <c r="C1054" s="37"/>
      <c r="D1054" s="35"/>
    </row>
    <row r="1055" spans="3:4" x14ac:dyDescent="0.25">
      <c r="C1055" s="37"/>
      <c r="D1055" s="35"/>
    </row>
    <row r="1056" spans="3:4" x14ac:dyDescent="0.25">
      <c r="C1056" s="37"/>
      <c r="D1056" s="35"/>
    </row>
    <row r="1057" spans="3:4" x14ac:dyDescent="0.25">
      <c r="C1057" s="37"/>
      <c r="D1057" s="35"/>
    </row>
    <row r="1058" spans="3:4" x14ac:dyDescent="0.25">
      <c r="C1058" s="37"/>
      <c r="D1058" s="35"/>
    </row>
    <row r="1059" spans="3:4" x14ac:dyDescent="0.25">
      <c r="C1059" s="37"/>
      <c r="D1059" s="35"/>
    </row>
    <row r="1060" spans="3:4" x14ac:dyDescent="0.25">
      <c r="C1060" s="37"/>
      <c r="D1060" s="35"/>
    </row>
    <row r="1061" spans="3:4" x14ac:dyDescent="0.25">
      <c r="C1061" s="37"/>
      <c r="D1061" s="35"/>
    </row>
    <row r="1062" spans="3:4" x14ac:dyDescent="0.25">
      <c r="C1062" s="37"/>
      <c r="D1062" s="35"/>
    </row>
    <row r="1063" spans="3:4" x14ac:dyDescent="0.25">
      <c r="C1063" s="37"/>
      <c r="D1063" s="35"/>
    </row>
    <row r="1064" spans="3:4" x14ac:dyDescent="0.25">
      <c r="C1064" s="37"/>
      <c r="D1064" s="35"/>
    </row>
    <row r="1065" spans="3:4" x14ac:dyDescent="0.25">
      <c r="C1065" s="37"/>
      <c r="D1065" s="35"/>
    </row>
    <row r="1066" spans="3:4" x14ac:dyDescent="0.25">
      <c r="C1066" s="37"/>
      <c r="D1066" s="35"/>
    </row>
    <row r="1067" spans="3:4" x14ac:dyDescent="0.25">
      <c r="C1067" s="37"/>
      <c r="D1067" s="35"/>
    </row>
    <row r="1068" spans="3:4" x14ac:dyDescent="0.25">
      <c r="C1068" s="37"/>
      <c r="D1068" s="35"/>
    </row>
    <row r="1069" spans="3:4" x14ac:dyDescent="0.25">
      <c r="C1069" s="37"/>
      <c r="D1069" s="35"/>
    </row>
    <row r="1070" spans="3:4" x14ac:dyDescent="0.25">
      <c r="C1070" s="37"/>
      <c r="D1070" s="35"/>
    </row>
    <row r="1071" spans="3:4" x14ac:dyDescent="0.25">
      <c r="C1071" s="37"/>
      <c r="D1071" s="35"/>
    </row>
    <row r="1072" spans="3:4" x14ac:dyDescent="0.25">
      <c r="C1072" s="37"/>
      <c r="D1072" s="35"/>
    </row>
    <row r="1073" spans="3:4" x14ac:dyDescent="0.25">
      <c r="C1073" s="37"/>
      <c r="D1073" s="35"/>
    </row>
    <row r="1074" spans="3:4" x14ac:dyDescent="0.25">
      <c r="C1074" s="37"/>
      <c r="D1074" s="35"/>
    </row>
    <row r="1075" spans="3:4" x14ac:dyDescent="0.25">
      <c r="C1075" s="37"/>
      <c r="D1075" s="35"/>
    </row>
    <row r="1076" spans="3:4" x14ac:dyDescent="0.25">
      <c r="C1076" s="37"/>
      <c r="D1076" s="35"/>
    </row>
    <row r="1077" spans="3:4" x14ac:dyDescent="0.25">
      <c r="C1077" s="37"/>
      <c r="D1077" s="35"/>
    </row>
    <row r="1078" spans="3:4" x14ac:dyDescent="0.25">
      <c r="C1078" s="37"/>
      <c r="D1078" s="35"/>
    </row>
    <row r="1079" spans="3:4" x14ac:dyDescent="0.25">
      <c r="C1079" s="37"/>
      <c r="D1079" s="35"/>
    </row>
    <row r="1080" spans="3:4" x14ac:dyDescent="0.25">
      <c r="C1080" s="37"/>
      <c r="D1080" s="35"/>
    </row>
    <row r="1081" spans="3:4" x14ac:dyDescent="0.25">
      <c r="C1081" s="37"/>
      <c r="D1081" s="35"/>
    </row>
    <row r="1082" spans="3:4" x14ac:dyDescent="0.25">
      <c r="C1082" s="37"/>
      <c r="D1082" s="35"/>
    </row>
    <row r="1083" spans="3:4" x14ac:dyDescent="0.25">
      <c r="C1083" s="37"/>
      <c r="D1083" s="35"/>
    </row>
    <row r="1084" spans="3:4" x14ac:dyDescent="0.25">
      <c r="C1084" s="37"/>
      <c r="D1084" s="35"/>
    </row>
    <row r="1085" spans="3:4" x14ac:dyDescent="0.25">
      <c r="C1085" s="37"/>
      <c r="D1085" s="35"/>
    </row>
    <row r="1086" spans="3:4" x14ac:dyDescent="0.25">
      <c r="C1086" s="37"/>
      <c r="D1086" s="35"/>
    </row>
    <row r="1087" spans="3:4" x14ac:dyDescent="0.25">
      <c r="C1087" s="37"/>
      <c r="D1087" s="35"/>
    </row>
    <row r="1088" spans="3:4" x14ac:dyDescent="0.25">
      <c r="C1088" s="37"/>
      <c r="D1088" s="35"/>
    </row>
    <row r="1089" spans="3:4" x14ac:dyDescent="0.25">
      <c r="C1089" s="37"/>
      <c r="D1089" s="35"/>
    </row>
    <row r="1090" spans="3:4" x14ac:dyDescent="0.25">
      <c r="C1090" s="37"/>
      <c r="D1090" s="35"/>
    </row>
    <row r="1091" spans="3:4" x14ac:dyDescent="0.25">
      <c r="C1091" s="37"/>
      <c r="D1091" s="35"/>
    </row>
    <row r="1092" spans="3:4" x14ac:dyDescent="0.25">
      <c r="C1092" s="37"/>
      <c r="D1092" s="35"/>
    </row>
    <row r="1093" spans="3:4" x14ac:dyDescent="0.25">
      <c r="C1093" s="37"/>
      <c r="D1093" s="35"/>
    </row>
    <row r="1094" spans="3:4" x14ac:dyDescent="0.25">
      <c r="C1094" s="37"/>
      <c r="D1094" s="35"/>
    </row>
    <row r="1095" spans="3:4" x14ac:dyDescent="0.25">
      <c r="C1095" s="37"/>
      <c r="D1095" s="35"/>
    </row>
    <row r="1096" spans="3:4" x14ac:dyDescent="0.25">
      <c r="C1096" s="37"/>
      <c r="D1096" s="35"/>
    </row>
    <row r="1097" spans="3:4" x14ac:dyDescent="0.25">
      <c r="C1097" s="37"/>
      <c r="D1097" s="35"/>
    </row>
    <row r="1098" spans="3:4" x14ac:dyDescent="0.25">
      <c r="C1098" s="37"/>
      <c r="D1098" s="35"/>
    </row>
    <row r="1099" spans="3:4" x14ac:dyDescent="0.25">
      <c r="C1099" s="37"/>
      <c r="D1099" s="35"/>
    </row>
    <row r="1100" spans="3:4" x14ac:dyDescent="0.25">
      <c r="C1100" s="37"/>
      <c r="D1100" s="35"/>
    </row>
    <row r="1101" spans="3:4" x14ac:dyDescent="0.25">
      <c r="C1101" s="37"/>
      <c r="D1101" s="35"/>
    </row>
    <row r="1102" spans="3:4" x14ac:dyDescent="0.25">
      <c r="C1102" s="37"/>
      <c r="D1102" s="35"/>
    </row>
    <row r="1103" spans="3:4" x14ac:dyDescent="0.25">
      <c r="C1103" s="37"/>
      <c r="D1103" s="35"/>
    </row>
    <row r="1104" spans="3:4" x14ac:dyDescent="0.25">
      <c r="C1104" s="37"/>
      <c r="D1104" s="35"/>
    </row>
    <row r="1105" spans="3:4" x14ac:dyDescent="0.25">
      <c r="C1105" s="37"/>
      <c r="D1105" s="35"/>
    </row>
    <row r="1106" spans="3:4" x14ac:dyDescent="0.25">
      <c r="C1106" s="37"/>
      <c r="D1106" s="35"/>
    </row>
    <row r="1107" spans="3:4" x14ac:dyDescent="0.25">
      <c r="C1107" s="37"/>
      <c r="D1107" s="35"/>
    </row>
    <row r="1108" spans="3:4" x14ac:dyDescent="0.25">
      <c r="C1108" s="37"/>
      <c r="D1108" s="35"/>
    </row>
    <row r="1109" spans="3:4" x14ac:dyDescent="0.25">
      <c r="C1109" s="37"/>
      <c r="D1109" s="35"/>
    </row>
    <row r="1110" spans="3:4" x14ac:dyDescent="0.25">
      <c r="C1110" s="37"/>
      <c r="D1110" s="35"/>
    </row>
    <row r="1111" spans="3:4" x14ac:dyDescent="0.25">
      <c r="C1111" s="37"/>
      <c r="D1111" s="35"/>
    </row>
    <row r="1112" spans="3:4" x14ac:dyDescent="0.25">
      <c r="C1112" s="37"/>
      <c r="D1112" s="35"/>
    </row>
    <row r="1113" spans="3:4" x14ac:dyDescent="0.25">
      <c r="C1113" s="37"/>
      <c r="D1113" s="35"/>
    </row>
    <row r="1114" spans="3:4" x14ac:dyDescent="0.25">
      <c r="C1114" s="37"/>
      <c r="D1114" s="35"/>
    </row>
    <row r="1115" spans="3:4" x14ac:dyDescent="0.25">
      <c r="C1115" s="37"/>
      <c r="D1115" s="35"/>
    </row>
    <row r="1116" spans="3:4" x14ac:dyDescent="0.25">
      <c r="C1116" s="37"/>
      <c r="D1116" s="35"/>
    </row>
    <row r="1117" spans="3:4" x14ac:dyDescent="0.25">
      <c r="C1117" s="37"/>
      <c r="D1117" s="35"/>
    </row>
    <row r="1118" spans="3:4" x14ac:dyDescent="0.25">
      <c r="C1118" s="37"/>
      <c r="D1118" s="35"/>
    </row>
    <row r="1119" spans="3:4" x14ac:dyDescent="0.25">
      <c r="C1119" s="37"/>
      <c r="D1119" s="35"/>
    </row>
    <row r="1120" spans="3:4" x14ac:dyDescent="0.25">
      <c r="C1120" s="37"/>
      <c r="D1120" s="35"/>
    </row>
    <row r="1121" spans="3:4" x14ac:dyDescent="0.25">
      <c r="C1121" s="37"/>
      <c r="D1121" s="35"/>
    </row>
    <row r="1122" spans="3:4" x14ac:dyDescent="0.25">
      <c r="C1122" s="37"/>
      <c r="D1122" s="35"/>
    </row>
    <row r="1123" spans="3:4" x14ac:dyDescent="0.25">
      <c r="C1123" s="37"/>
      <c r="D1123" s="35"/>
    </row>
    <row r="1124" spans="3:4" x14ac:dyDescent="0.25">
      <c r="C1124" s="37"/>
      <c r="D1124" s="35"/>
    </row>
    <row r="1125" spans="3:4" x14ac:dyDescent="0.25">
      <c r="C1125" s="37"/>
      <c r="D1125" s="35"/>
    </row>
    <row r="1126" spans="3:4" x14ac:dyDescent="0.25">
      <c r="C1126" s="37"/>
      <c r="D1126" s="35"/>
    </row>
    <row r="1127" spans="3:4" x14ac:dyDescent="0.25">
      <c r="C1127" s="37"/>
      <c r="D1127" s="35"/>
    </row>
    <row r="1128" spans="3:4" x14ac:dyDescent="0.25">
      <c r="C1128" s="37"/>
      <c r="D1128" s="35"/>
    </row>
    <row r="1129" spans="3:4" x14ac:dyDescent="0.25">
      <c r="C1129" s="37"/>
      <c r="D1129" s="35"/>
    </row>
    <row r="1130" spans="3:4" x14ac:dyDescent="0.25">
      <c r="C1130" s="37"/>
      <c r="D1130" s="35"/>
    </row>
    <row r="1131" spans="3:4" x14ac:dyDescent="0.25">
      <c r="C1131" s="37"/>
      <c r="D1131" s="35"/>
    </row>
    <row r="1132" spans="3:4" x14ac:dyDescent="0.25">
      <c r="C1132" s="37"/>
      <c r="D1132" s="35"/>
    </row>
    <row r="1133" spans="3:4" x14ac:dyDescent="0.25">
      <c r="C1133" s="37"/>
      <c r="D1133" s="35"/>
    </row>
    <row r="1134" spans="3:4" x14ac:dyDescent="0.25">
      <c r="C1134" s="37"/>
      <c r="D1134" s="35"/>
    </row>
    <row r="1135" spans="3:4" x14ac:dyDescent="0.25">
      <c r="C1135" s="37"/>
      <c r="D1135" s="35"/>
    </row>
    <row r="1136" spans="3:4" x14ac:dyDescent="0.25">
      <c r="C1136" s="37"/>
      <c r="D1136" s="35"/>
    </row>
    <row r="1137" spans="3:4" x14ac:dyDescent="0.25">
      <c r="C1137" s="37"/>
      <c r="D1137" s="35"/>
    </row>
    <row r="1138" spans="3:4" x14ac:dyDescent="0.25">
      <c r="C1138" s="37"/>
      <c r="D1138" s="35"/>
    </row>
    <row r="1139" spans="3:4" x14ac:dyDescent="0.25">
      <c r="C1139" s="37"/>
      <c r="D1139" s="35"/>
    </row>
    <row r="1140" spans="3:4" x14ac:dyDescent="0.25">
      <c r="C1140" s="37"/>
      <c r="D1140" s="35"/>
    </row>
    <row r="1141" spans="3:4" x14ac:dyDescent="0.25">
      <c r="C1141" s="37"/>
      <c r="D1141" s="35"/>
    </row>
    <row r="1142" spans="3:4" x14ac:dyDescent="0.25">
      <c r="C1142" s="37"/>
      <c r="D1142" s="35"/>
    </row>
    <row r="1143" spans="3:4" x14ac:dyDescent="0.25">
      <c r="C1143" s="37"/>
      <c r="D1143" s="35"/>
    </row>
    <row r="1144" spans="3:4" x14ac:dyDescent="0.25">
      <c r="C1144" s="37"/>
      <c r="D1144" s="35"/>
    </row>
    <row r="1145" spans="3:4" x14ac:dyDescent="0.25">
      <c r="C1145" s="37"/>
      <c r="D1145" s="35"/>
    </row>
    <row r="1146" spans="3:4" x14ac:dyDescent="0.25">
      <c r="C1146" s="37"/>
      <c r="D1146" s="35"/>
    </row>
    <row r="1147" spans="3:4" x14ac:dyDescent="0.25">
      <c r="C1147" s="37"/>
      <c r="D1147" s="35"/>
    </row>
    <row r="1148" spans="3:4" x14ac:dyDescent="0.25">
      <c r="C1148" s="37"/>
      <c r="D1148" s="35"/>
    </row>
    <row r="1149" spans="3:4" x14ac:dyDescent="0.25">
      <c r="C1149" s="37"/>
      <c r="D1149" s="35"/>
    </row>
    <row r="1150" spans="3:4" x14ac:dyDescent="0.25">
      <c r="C1150" s="37"/>
      <c r="D1150" s="35"/>
    </row>
    <row r="1151" spans="3:4" x14ac:dyDescent="0.25">
      <c r="C1151" s="37"/>
      <c r="D1151" s="35"/>
    </row>
    <row r="1152" spans="3:4" x14ac:dyDescent="0.25">
      <c r="C1152" s="37"/>
      <c r="D1152" s="35"/>
    </row>
    <row r="1153" spans="3:4" x14ac:dyDescent="0.25">
      <c r="C1153" s="37"/>
      <c r="D1153" s="35"/>
    </row>
    <row r="1154" spans="3:4" x14ac:dyDescent="0.25">
      <c r="C1154" s="37"/>
      <c r="D1154" s="35"/>
    </row>
    <row r="1155" spans="3:4" x14ac:dyDescent="0.25">
      <c r="C1155" s="37"/>
      <c r="D1155" s="35"/>
    </row>
    <row r="1156" spans="3:4" x14ac:dyDescent="0.25">
      <c r="C1156" s="37"/>
      <c r="D1156" s="35"/>
    </row>
    <row r="1157" spans="3:4" x14ac:dyDescent="0.25">
      <c r="C1157" s="37"/>
      <c r="D1157" s="35"/>
    </row>
    <row r="1158" spans="3:4" x14ac:dyDescent="0.25">
      <c r="C1158" s="37"/>
      <c r="D1158" s="35"/>
    </row>
    <row r="1159" spans="3:4" x14ac:dyDescent="0.25">
      <c r="C1159" s="37"/>
      <c r="D1159" s="35"/>
    </row>
    <row r="1160" spans="3:4" x14ac:dyDescent="0.25">
      <c r="C1160" s="37"/>
      <c r="D1160" s="35"/>
    </row>
    <row r="1161" spans="3:4" x14ac:dyDescent="0.25">
      <c r="C1161" s="37"/>
      <c r="D1161" s="35"/>
    </row>
    <row r="1162" spans="3:4" x14ac:dyDescent="0.25">
      <c r="C1162" s="37"/>
      <c r="D1162" s="35"/>
    </row>
    <row r="1163" spans="3:4" x14ac:dyDescent="0.25">
      <c r="C1163" s="37"/>
      <c r="D1163" s="35"/>
    </row>
    <row r="1164" spans="3:4" x14ac:dyDescent="0.25">
      <c r="C1164" s="37"/>
      <c r="D1164" s="35"/>
    </row>
    <row r="1165" spans="3:4" x14ac:dyDescent="0.25">
      <c r="C1165" s="37"/>
      <c r="D1165" s="35"/>
    </row>
    <row r="1166" spans="3:4" x14ac:dyDescent="0.25">
      <c r="C1166" s="37"/>
      <c r="D1166" s="35"/>
    </row>
    <row r="1167" spans="3:4" x14ac:dyDescent="0.25">
      <c r="C1167" s="37"/>
      <c r="D1167" s="35"/>
    </row>
    <row r="1168" spans="3:4" x14ac:dyDescent="0.25">
      <c r="C1168" s="37"/>
      <c r="D1168" s="35"/>
    </row>
    <row r="1169" spans="3:4" x14ac:dyDescent="0.25">
      <c r="C1169" s="37"/>
      <c r="D1169" s="35"/>
    </row>
    <row r="1170" spans="3:4" x14ac:dyDescent="0.25">
      <c r="C1170" s="37"/>
      <c r="D1170" s="35"/>
    </row>
    <row r="1171" spans="3:4" x14ac:dyDescent="0.25">
      <c r="C1171" s="37"/>
      <c r="D1171" s="35"/>
    </row>
    <row r="1172" spans="3:4" x14ac:dyDescent="0.25">
      <c r="C1172" s="37"/>
      <c r="D1172" s="35"/>
    </row>
    <row r="1173" spans="3:4" x14ac:dyDescent="0.25">
      <c r="C1173" s="37"/>
      <c r="D1173" s="35"/>
    </row>
    <row r="1174" spans="3:4" x14ac:dyDescent="0.25">
      <c r="C1174" s="37"/>
      <c r="D1174" s="35"/>
    </row>
    <row r="1175" spans="3:4" x14ac:dyDescent="0.25">
      <c r="C1175" s="37"/>
      <c r="D1175" s="35"/>
    </row>
    <row r="1176" spans="3:4" x14ac:dyDescent="0.25">
      <c r="C1176" s="37"/>
      <c r="D1176" s="35"/>
    </row>
    <row r="1177" spans="3:4" x14ac:dyDescent="0.25">
      <c r="C1177" s="37"/>
      <c r="D1177" s="35"/>
    </row>
    <row r="1178" spans="3:4" x14ac:dyDescent="0.25">
      <c r="C1178" s="37"/>
      <c r="D1178" s="35"/>
    </row>
    <row r="1179" spans="3:4" x14ac:dyDescent="0.25">
      <c r="C1179" s="37"/>
      <c r="D1179" s="35"/>
    </row>
    <row r="1180" spans="3:4" x14ac:dyDescent="0.25">
      <c r="C1180" s="37"/>
      <c r="D1180" s="35"/>
    </row>
    <row r="1181" spans="3:4" x14ac:dyDescent="0.25">
      <c r="C1181" s="37"/>
      <c r="D1181" s="35"/>
    </row>
    <row r="1182" spans="3:4" x14ac:dyDescent="0.25">
      <c r="C1182" s="37"/>
      <c r="D1182" s="35"/>
    </row>
    <row r="1183" spans="3:4" x14ac:dyDescent="0.25">
      <c r="C1183" s="37"/>
      <c r="D1183" s="35"/>
    </row>
    <row r="1184" spans="3:4" x14ac:dyDescent="0.25">
      <c r="C1184" s="37"/>
      <c r="D1184" s="35"/>
    </row>
    <row r="1185" spans="3:4" x14ac:dyDescent="0.25">
      <c r="C1185" s="37"/>
      <c r="D1185" s="35"/>
    </row>
    <row r="1186" spans="3:4" x14ac:dyDescent="0.25">
      <c r="C1186" s="37"/>
      <c r="D1186" s="35"/>
    </row>
    <row r="1187" spans="3:4" x14ac:dyDescent="0.25">
      <c r="C1187" s="37"/>
      <c r="D1187" s="35"/>
    </row>
    <row r="1188" spans="3:4" x14ac:dyDescent="0.25">
      <c r="C1188" s="37"/>
      <c r="D1188" s="35"/>
    </row>
    <row r="1189" spans="3:4" x14ac:dyDescent="0.25">
      <c r="C1189" s="37"/>
      <c r="D1189" s="35"/>
    </row>
    <row r="1190" spans="3:4" x14ac:dyDescent="0.25">
      <c r="C1190" s="37"/>
      <c r="D1190" s="35"/>
    </row>
    <row r="1191" spans="3:4" x14ac:dyDescent="0.25">
      <c r="C1191" s="37"/>
      <c r="D1191" s="35"/>
    </row>
    <row r="1192" spans="3:4" x14ac:dyDescent="0.25">
      <c r="C1192" s="37"/>
      <c r="D1192" s="35"/>
    </row>
    <row r="1193" spans="3:4" x14ac:dyDescent="0.25">
      <c r="C1193" s="37"/>
      <c r="D1193" s="35"/>
    </row>
    <row r="1194" spans="3:4" x14ac:dyDescent="0.25">
      <c r="C1194" s="37"/>
      <c r="D1194" s="35"/>
    </row>
    <row r="1195" spans="3:4" x14ac:dyDescent="0.25">
      <c r="C1195" s="37"/>
      <c r="D1195" s="35"/>
    </row>
    <row r="1196" spans="3:4" x14ac:dyDescent="0.25">
      <c r="C1196" s="37"/>
      <c r="D1196" s="35"/>
    </row>
    <row r="1197" spans="3:4" x14ac:dyDescent="0.25">
      <c r="C1197" s="37"/>
      <c r="D1197" s="35"/>
    </row>
    <row r="1198" spans="3:4" x14ac:dyDescent="0.25">
      <c r="C1198" s="37"/>
      <c r="D1198" s="35"/>
    </row>
    <row r="1199" spans="3:4" x14ac:dyDescent="0.25">
      <c r="C1199" s="37"/>
      <c r="D1199" s="35"/>
    </row>
    <row r="1200" spans="3:4" x14ac:dyDescent="0.25">
      <c r="C1200" s="37"/>
      <c r="D1200" s="35"/>
    </row>
    <row r="1201" spans="3:4" x14ac:dyDescent="0.25">
      <c r="C1201" s="37"/>
      <c r="D1201" s="35"/>
    </row>
    <row r="1202" spans="3:4" x14ac:dyDescent="0.25">
      <c r="C1202" s="37"/>
      <c r="D1202" s="35"/>
    </row>
    <row r="1203" spans="3:4" x14ac:dyDescent="0.25">
      <c r="C1203" s="37"/>
      <c r="D1203" s="35"/>
    </row>
    <row r="1204" spans="3:4" x14ac:dyDescent="0.25">
      <c r="C1204" s="37"/>
      <c r="D1204" s="35"/>
    </row>
    <row r="1205" spans="3:4" x14ac:dyDescent="0.25">
      <c r="C1205" s="37"/>
      <c r="D1205" s="35"/>
    </row>
    <row r="1206" spans="3:4" x14ac:dyDescent="0.25">
      <c r="C1206" s="37"/>
      <c r="D1206" s="35"/>
    </row>
    <row r="1207" spans="3:4" x14ac:dyDescent="0.25">
      <c r="C1207" s="37"/>
      <c r="D1207" s="35"/>
    </row>
    <row r="1208" spans="3:4" x14ac:dyDescent="0.25">
      <c r="C1208" s="37"/>
      <c r="D1208" s="35"/>
    </row>
    <row r="1209" spans="3:4" x14ac:dyDescent="0.25">
      <c r="C1209" s="37"/>
      <c r="D1209" s="35"/>
    </row>
    <row r="1210" spans="3:4" x14ac:dyDescent="0.25">
      <c r="C1210" s="37"/>
      <c r="D1210" s="35"/>
    </row>
    <row r="1211" spans="3:4" x14ac:dyDescent="0.25">
      <c r="C1211" s="37"/>
      <c r="D1211" s="35"/>
    </row>
    <row r="1212" spans="3:4" x14ac:dyDescent="0.25">
      <c r="C1212" s="37"/>
      <c r="D1212" s="35"/>
    </row>
    <row r="1213" spans="3:4" x14ac:dyDescent="0.25">
      <c r="C1213" s="37"/>
      <c r="D1213" s="35"/>
    </row>
    <row r="1214" spans="3:4" x14ac:dyDescent="0.25">
      <c r="C1214" s="37"/>
      <c r="D1214" s="35"/>
    </row>
    <row r="1215" spans="3:4" x14ac:dyDescent="0.25">
      <c r="C1215" s="37"/>
      <c r="D1215" s="35"/>
    </row>
    <row r="1216" spans="3:4" x14ac:dyDescent="0.25">
      <c r="C1216" s="37"/>
      <c r="D1216" s="35"/>
    </row>
    <row r="1217" spans="3:4" x14ac:dyDescent="0.25">
      <c r="C1217" s="37"/>
      <c r="D1217" s="35"/>
    </row>
    <row r="1218" spans="3:4" x14ac:dyDescent="0.25">
      <c r="C1218" s="37"/>
      <c r="D1218" s="35"/>
    </row>
    <row r="1219" spans="3:4" x14ac:dyDescent="0.25">
      <c r="C1219" s="37"/>
      <c r="D1219" s="35"/>
    </row>
    <row r="1220" spans="3:4" x14ac:dyDescent="0.25">
      <c r="C1220" s="37"/>
      <c r="D1220" s="35"/>
    </row>
    <row r="1221" spans="3:4" x14ac:dyDescent="0.25">
      <c r="C1221" s="37"/>
      <c r="D1221" s="35"/>
    </row>
    <row r="1222" spans="3:4" x14ac:dyDescent="0.25">
      <c r="C1222" s="37"/>
      <c r="D1222" s="35"/>
    </row>
    <row r="1223" spans="3:4" x14ac:dyDescent="0.25">
      <c r="C1223" s="37"/>
      <c r="D1223" s="35"/>
    </row>
    <row r="1224" spans="3:4" x14ac:dyDescent="0.25">
      <c r="C1224" s="37"/>
      <c r="D1224" s="35"/>
    </row>
    <row r="1225" spans="3:4" x14ac:dyDescent="0.25">
      <c r="C1225" s="37"/>
      <c r="D1225" s="35"/>
    </row>
    <row r="1226" spans="3:4" x14ac:dyDescent="0.25">
      <c r="C1226" s="37"/>
      <c r="D1226" s="35"/>
    </row>
    <row r="1227" spans="3:4" x14ac:dyDescent="0.25">
      <c r="C1227" s="37"/>
      <c r="D1227" s="35"/>
    </row>
    <row r="1228" spans="3:4" x14ac:dyDescent="0.25">
      <c r="C1228" s="37"/>
      <c r="D1228" s="35"/>
    </row>
    <row r="1229" spans="3:4" x14ac:dyDescent="0.25">
      <c r="C1229" s="37"/>
      <c r="D1229" s="35"/>
    </row>
    <row r="1230" spans="3:4" x14ac:dyDescent="0.25">
      <c r="C1230" s="37"/>
      <c r="D1230" s="35"/>
    </row>
    <row r="1231" spans="3:4" x14ac:dyDescent="0.25">
      <c r="C1231" s="37"/>
      <c r="D1231" s="35"/>
    </row>
    <row r="1232" spans="3:4" x14ac:dyDescent="0.25">
      <c r="C1232" s="37"/>
      <c r="D1232" s="35"/>
    </row>
    <row r="1233" spans="3:4" x14ac:dyDescent="0.25">
      <c r="C1233" s="37"/>
      <c r="D1233" s="35"/>
    </row>
    <row r="1234" spans="3:4" x14ac:dyDescent="0.25">
      <c r="C1234" s="37"/>
      <c r="D1234" s="35"/>
    </row>
    <row r="1235" spans="3:4" x14ac:dyDescent="0.25">
      <c r="C1235" s="37"/>
      <c r="D1235" s="35"/>
    </row>
    <row r="1236" spans="3:4" x14ac:dyDescent="0.25">
      <c r="C1236" s="37"/>
      <c r="D1236" s="35"/>
    </row>
    <row r="1237" spans="3:4" x14ac:dyDescent="0.25">
      <c r="C1237" s="37"/>
      <c r="D1237" s="35"/>
    </row>
    <row r="1238" spans="3:4" x14ac:dyDescent="0.25">
      <c r="C1238" s="37"/>
      <c r="D1238" s="35"/>
    </row>
    <row r="1239" spans="3:4" x14ac:dyDescent="0.25">
      <c r="C1239" s="37"/>
      <c r="D1239" s="35"/>
    </row>
    <row r="1240" spans="3:4" x14ac:dyDescent="0.25">
      <c r="C1240" s="37"/>
      <c r="D1240" s="35"/>
    </row>
    <row r="1241" spans="3:4" x14ac:dyDescent="0.25">
      <c r="C1241" s="37"/>
      <c r="D1241" s="35"/>
    </row>
    <row r="1242" spans="3:4" x14ac:dyDescent="0.25">
      <c r="C1242" s="37"/>
      <c r="D1242" s="35"/>
    </row>
    <row r="1243" spans="3:4" x14ac:dyDescent="0.25">
      <c r="C1243" s="37"/>
      <c r="D1243" s="35"/>
    </row>
    <row r="1244" spans="3:4" x14ac:dyDescent="0.25">
      <c r="C1244" s="37"/>
      <c r="D1244" s="35"/>
    </row>
    <row r="1245" spans="3:4" x14ac:dyDescent="0.25">
      <c r="C1245" s="37"/>
      <c r="D1245" s="35"/>
    </row>
    <row r="1246" spans="3:4" x14ac:dyDescent="0.25">
      <c r="C1246" s="37"/>
      <c r="D1246" s="35"/>
    </row>
    <row r="1247" spans="3:4" x14ac:dyDescent="0.25">
      <c r="C1247" s="37"/>
      <c r="D1247" s="35"/>
    </row>
    <row r="1248" spans="3:4" x14ac:dyDescent="0.25">
      <c r="C1248" s="37"/>
      <c r="D1248" s="35"/>
    </row>
    <row r="1249" spans="3:4" x14ac:dyDescent="0.25">
      <c r="C1249" s="37"/>
      <c r="D1249" s="35"/>
    </row>
    <row r="1250" spans="3:4" x14ac:dyDescent="0.25">
      <c r="C1250" s="37"/>
      <c r="D1250" s="35"/>
    </row>
    <row r="1251" spans="3:4" x14ac:dyDescent="0.25">
      <c r="C1251" s="37"/>
      <c r="D1251" s="35"/>
    </row>
    <row r="1252" spans="3:4" x14ac:dyDescent="0.25">
      <c r="C1252" s="37"/>
      <c r="D1252" s="35"/>
    </row>
    <row r="1253" spans="3:4" x14ac:dyDescent="0.25">
      <c r="C1253" s="37"/>
      <c r="D1253" s="35"/>
    </row>
    <row r="1254" spans="3:4" x14ac:dyDescent="0.25">
      <c r="C1254" s="37"/>
      <c r="D1254" s="35"/>
    </row>
    <row r="1255" spans="3:4" x14ac:dyDescent="0.25">
      <c r="C1255" s="37"/>
      <c r="D1255" s="35"/>
    </row>
    <row r="1256" spans="3:4" x14ac:dyDescent="0.25">
      <c r="C1256" s="37"/>
      <c r="D1256" s="35"/>
    </row>
    <row r="1257" spans="3:4" x14ac:dyDescent="0.25">
      <c r="C1257" s="37"/>
      <c r="D1257" s="35"/>
    </row>
    <row r="1258" spans="3:4" x14ac:dyDescent="0.25">
      <c r="C1258" s="37"/>
      <c r="D1258" s="35"/>
    </row>
    <row r="1259" spans="3:4" x14ac:dyDescent="0.25">
      <c r="C1259" s="37"/>
      <c r="D1259" s="35"/>
    </row>
    <row r="1260" spans="3:4" x14ac:dyDescent="0.25">
      <c r="C1260" s="37"/>
      <c r="D1260" s="35"/>
    </row>
    <row r="1261" spans="3:4" x14ac:dyDescent="0.25">
      <c r="C1261" s="37"/>
      <c r="D1261" s="35"/>
    </row>
    <row r="1262" spans="3:4" x14ac:dyDescent="0.25">
      <c r="C1262" s="37"/>
      <c r="D1262" s="35"/>
    </row>
    <row r="1263" spans="3:4" x14ac:dyDescent="0.25">
      <c r="C1263" s="37"/>
      <c r="D1263" s="35"/>
    </row>
    <row r="1264" spans="3:4" x14ac:dyDescent="0.25">
      <c r="C1264" s="37"/>
      <c r="D1264" s="35"/>
    </row>
    <row r="1265" spans="3:4" x14ac:dyDescent="0.25">
      <c r="C1265" s="37"/>
      <c r="D1265" s="35"/>
    </row>
    <row r="1266" spans="3:4" x14ac:dyDescent="0.25">
      <c r="C1266" s="37"/>
      <c r="D1266" s="35"/>
    </row>
    <row r="1267" spans="3:4" x14ac:dyDescent="0.25">
      <c r="C1267" s="37"/>
      <c r="D1267" s="35"/>
    </row>
    <row r="1268" spans="3:4" x14ac:dyDescent="0.25">
      <c r="C1268" s="37"/>
      <c r="D1268" s="35"/>
    </row>
    <row r="1269" spans="3:4" x14ac:dyDescent="0.25">
      <c r="C1269" s="37"/>
      <c r="D1269" s="35"/>
    </row>
    <row r="1270" spans="3:4" x14ac:dyDescent="0.25">
      <c r="C1270" s="37"/>
      <c r="D1270" s="35"/>
    </row>
    <row r="1271" spans="3:4" x14ac:dyDescent="0.25">
      <c r="C1271" s="37"/>
      <c r="D1271" s="35"/>
    </row>
    <row r="1272" spans="3:4" x14ac:dyDescent="0.25">
      <c r="C1272" s="37"/>
      <c r="D1272" s="35"/>
    </row>
    <row r="1273" spans="3:4" x14ac:dyDescent="0.25">
      <c r="C1273" s="37"/>
      <c r="D1273" s="35"/>
    </row>
    <row r="1274" spans="3:4" x14ac:dyDescent="0.25">
      <c r="C1274" s="37"/>
      <c r="D1274" s="35"/>
    </row>
    <row r="1275" spans="3:4" x14ac:dyDescent="0.25">
      <c r="C1275" s="37"/>
      <c r="D1275" s="35"/>
    </row>
    <row r="1276" spans="3:4" x14ac:dyDescent="0.25">
      <c r="C1276" s="37"/>
      <c r="D1276" s="35"/>
    </row>
    <row r="1277" spans="3:4" x14ac:dyDescent="0.25">
      <c r="C1277" s="37"/>
      <c r="D1277" s="35"/>
    </row>
    <row r="1278" spans="3:4" x14ac:dyDescent="0.25">
      <c r="C1278" s="37"/>
      <c r="D1278" s="35"/>
    </row>
    <row r="1279" spans="3:4" x14ac:dyDescent="0.25">
      <c r="C1279" s="37"/>
      <c r="D1279" s="35"/>
    </row>
    <row r="1280" spans="3:4" x14ac:dyDescent="0.25">
      <c r="C1280" s="37"/>
      <c r="D1280" s="35"/>
    </row>
    <row r="1281" spans="3:4" x14ac:dyDescent="0.25">
      <c r="C1281" s="37"/>
      <c r="D1281" s="35"/>
    </row>
    <row r="1282" spans="3:4" x14ac:dyDescent="0.25">
      <c r="C1282" s="37"/>
      <c r="D1282" s="35"/>
    </row>
    <row r="1283" spans="3:4" x14ac:dyDescent="0.25">
      <c r="C1283" s="37"/>
      <c r="D1283" s="35"/>
    </row>
    <row r="1284" spans="3:4" x14ac:dyDescent="0.25">
      <c r="C1284" s="37"/>
      <c r="D1284" s="35"/>
    </row>
    <row r="1285" spans="3:4" x14ac:dyDescent="0.25">
      <c r="C1285" s="37"/>
      <c r="D1285" s="35"/>
    </row>
    <row r="1286" spans="3:4" x14ac:dyDescent="0.25">
      <c r="C1286" s="37"/>
      <c r="D1286" s="35"/>
    </row>
    <row r="1287" spans="3:4" x14ac:dyDescent="0.25">
      <c r="C1287" s="37"/>
      <c r="D1287" s="35"/>
    </row>
    <row r="1288" spans="3:4" x14ac:dyDescent="0.25">
      <c r="C1288" s="37"/>
      <c r="D1288" s="35"/>
    </row>
    <row r="1289" spans="3:4" x14ac:dyDescent="0.25">
      <c r="C1289" s="37"/>
      <c r="D1289" s="35"/>
    </row>
    <row r="1290" spans="3:4" x14ac:dyDescent="0.25">
      <c r="C1290" s="37"/>
      <c r="D1290" s="35"/>
    </row>
    <row r="1291" spans="3:4" x14ac:dyDescent="0.25">
      <c r="C1291" s="37"/>
      <c r="D1291" s="35"/>
    </row>
    <row r="1292" spans="3:4" x14ac:dyDescent="0.25">
      <c r="C1292" s="37"/>
      <c r="D1292" s="35"/>
    </row>
    <row r="1293" spans="3:4" x14ac:dyDescent="0.25">
      <c r="C1293" s="37"/>
      <c r="D1293" s="35"/>
    </row>
    <row r="1294" spans="3:4" x14ac:dyDescent="0.25">
      <c r="C1294" s="37"/>
      <c r="D1294" s="35"/>
    </row>
    <row r="1295" spans="3:4" x14ac:dyDescent="0.25">
      <c r="C1295" s="37"/>
      <c r="D1295" s="35"/>
    </row>
    <row r="1296" spans="3:4" x14ac:dyDescent="0.25">
      <c r="C1296" s="37"/>
      <c r="D1296" s="35"/>
    </row>
    <row r="1297" spans="3:4" x14ac:dyDescent="0.25">
      <c r="C1297" s="37"/>
      <c r="D1297" s="35"/>
    </row>
    <row r="1298" spans="3:4" x14ac:dyDescent="0.25">
      <c r="C1298" s="37"/>
      <c r="D1298" s="35"/>
    </row>
    <row r="1299" spans="3:4" x14ac:dyDescent="0.25">
      <c r="C1299" s="37"/>
      <c r="D1299" s="35"/>
    </row>
    <row r="1300" spans="3:4" x14ac:dyDescent="0.25">
      <c r="C1300" s="37"/>
      <c r="D1300" s="35"/>
    </row>
    <row r="1301" spans="3:4" x14ac:dyDescent="0.25">
      <c r="C1301" s="37"/>
      <c r="D1301" s="35"/>
    </row>
    <row r="1302" spans="3:4" x14ac:dyDescent="0.25">
      <c r="C1302" s="37"/>
      <c r="D1302" s="35"/>
    </row>
    <row r="1303" spans="3:4" x14ac:dyDescent="0.25">
      <c r="C1303" s="37"/>
      <c r="D1303" s="35"/>
    </row>
    <row r="1304" spans="3:4" x14ac:dyDescent="0.25">
      <c r="C1304" s="37"/>
      <c r="D1304" s="35"/>
    </row>
    <row r="1305" spans="3:4" x14ac:dyDescent="0.25">
      <c r="C1305" s="37"/>
      <c r="D1305" s="35"/>
    </row>
    <row r="1306" spans="3:4" x14ac:dyDescent="0.25">
      <c r="C1306" s="37"/>
      <c r="D1306" s="35"/>
    </row>
    <row r="1307" spans="3:4" x14ac:dyDescent="0.25">
      <c r="C1307" s="37"/>
      <c r="D1307" s="35"/>
    </row>
    <row r="1308" spans="3:4" x14ac:dyDescent="0.25">
      <c r="C1308" s="37"/>
      <c r="D1308" s="35"/>
    </row>
    <row r="1309" spans="3:4" x14ac:dyDescent="0.25">
      <c r="C1309" s="37"/>
      <c r="D1309" s="35"/>
    </row>
    <row r="1310" spans="3:4" x14ac:dyDescent="0.25">
      <c r="C1310" s="37"/>
      <c r="D1310" s="35"/>
    </row>
    <row r="1311" spans="3:4" x14ac:dyDescent="0.25">
      <c r="C1311" s="37"/>
      <c r="D1311" s="35"/>
    </row>
    <row r="1312" spans="3:4" x14ac:dyDescent="0.25">
      <c r="C1312" s="37"/>
      <c r="D1312" s="35"/>
    </row>
    <row r="1313" spans="3:4" x14ac:dyDescent="0.25">
      <c r="C1313" s="37"/>
      <c r="D1313" s="35"/>
    </row>
    <row r="1314" spans="3:4" x14ac:dyDescent="0.25">
      <c r="C1314" s="37"/>
      <c r="D1314" s="35"/>
    </row>
    <row r="1315" spans="3:4" x14ac:dyDescent="0.25">
      <c r="C1315" s="37"/>
      <c r="D1315" s="35"/>
    </row>
    <row r="1316" spans="3:4" x14ac:dyDescent="0.25">
      <c r="C1316" s="37"/>
      <c r="D1316" s="35"/>
    </row>
    <row r="1317" spans="3:4" x14ac:dyDescent="0.25">
      <c r="C1317" s="37"/>
      <c r="D1317" s="35"/>
    </row>
    <row r="1318" spans="3:4" x14ac:dyDescent="0.25">
      <c r="C1318" s="37"/>
      <c r="D1318" s="35"/>
    </row>
    <row r="1319" spans="3:4" x14ac:dyDescent="0.25">
      <c r="C1319" s="37"/>
      <c r="D1319" s="35"/>
    </row>
    <row r="1320" spans="3:4" x14ac:dyDescent="0.25">
      <c r="C1320" s="37"/>
      <c r="D1320" s="35"/>
    </row>
    <row r="1321" spans="3:4" x14ac:dyDescent="0.25">
      <c r="C1321" s="37"/>
      <c r="D1321" s="35"/>
    </row>
    <row r="1322" spans="3:4" x14ac:dyDescent="0.25">
      <c r="C1322" s="37"/>
      <c r="D1322" s="35"/>
    </row>
    <row r="1323" spans="3:4" x14ac:dyDescent="0.25">
      <c r="C1323" s="37"/>
      <c r="D1323" s="35"/>
    </row>
    <row r="1324" spans="3:4" x14ac:dyDescent="0.25">
      <c r="C1324" s="37"/>
      <c r="D1324" s="35"/>
    </row>
    <row r="1325" spans="3:4" x14ac:dyDescent="0.25">
      <c r="C1325" s="37"/>
      <c r="D1325" s="35"/>
    </row>
    <row r="1326" spans="3:4" x14ac:dyDescent="0.25">
      <c r="C1326" s="37"/>
      <c r="D1326" s="35"/>
    </row>
    <row r="1327" spans="3:4" x14ac:dyDescent="0.25">
      <c r="C1327" s="37"/>
      <c r="D1327" s="35"/>
    </row>
    <row r="1328" spans="3:4" x14ac:dyDescent="0.25">
      <c r="C1328" s="37"/>
      <c r="D1328" s="35"/>
    </row>
    <row r="1329" spans="3:4" x14ac:dyDescent="0.25">
      <c r="C1329" s="37"/>
      <c r="D1329" s="35"/>
    </row>
    <row r="1330" spans="3:4" x14ac:dyDescent="0.25">
      <c r="C1330" s="37"/>
      <c r="D1330" s="35"/>
    </row>
    <row r="1331" spans="3:4" x14ac:dyDescent="0.25">
      <c r="C1331" s="37"/>
      <c r="D1331" s="35"/>
    </row>
    <row r="1332" spans="3:4" x14ac:dyDescent="0.25">
      <c r="C1332" s="37"/>
      <c r="D1332" s="35"/>
    </row>
    <row r="1333" spans="3:4" x14ac:dyDescent="0.25">
      <c r="C1333" s="37"/>
      <c r="D1333" s="35"/>
    </row>
  </sheetData>
  <mergeCells count="18">
    <mergeCell ref="N29:O29"/>
    <mergeCell ref="D17:E17"/>
    <mergeCell ref="F17:G17"/>
    <mergeCell ref="H17:I17"/>
    <mergeCell ref="J17:K17"/>
    <mergeCell ref="L17:M17"/>
    <mergeCell ref="N17:O17"/>
    <mergeCell ref="D29:E29"/>
    <mergeCell ref="F29:G29"/>
    <mergeCell ref="H29:I29"/>
    <mergeCell ref="J29:K29"/>
    <mergeCell ref="L29:M29"/>
    <mergeCell ref="N2:O2"/>
    <mergeCell ref="D2:E2"/>
    <mergeCell ref="F2:G2"/>
    <mergeCell ref="H2:I2"/>
    <mergeCell ref="J2:K2"/>
    <mergeCell ref="L2:M2"/>
  </mergeCells>
  <conditionalFormatting sqref="Y3:AC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8:AC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0:AC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4EE0C-ADB3-4CC8-A4A7-8560AD597FD5}">
  <dimension ref="B1:AJ1333"/>
  <sheetViews>
    <sheetView workbookViewId="0">
      <selection activeCell="U8" sqref="U8"/>
    </sheetView>
  </sheetViews>
  <sheetFormatPr defaultRowHeight="15" outlineLevelRow="1" outlineLevelCol="1" x14ac:dyDescent="0.25"/>
  <cols>
    <col min="1" max="1" width="2.5703125" customWidth="1"/>
    <col min="2" max="2" width="25.140625" bestFit="1" customWidth="1"/>
    <col min="3" max="3" width="24.28515625" style="11" customWidth="1" outlineLevel="1"/>
    <col min="4" max="4" width="9.42578125" style="6" customWidth="1"/>
    <col min="5" max="5" width="16.85546875" style="11" hidden="1" customWidth="1" outlineLevel="1"/>
    <col min="6" max="6" width="9.28515625" style="6" customWidth="1" collapsed="1"/>
    <col min="7" max="7" width="19.5703125" style="11" hidden="1" customWidth="1" outlineLevel="1"/>
    <col min="8" max="8" width="9.140625" style="6" collapsed="1"/>
    <col min="9" max="9" width="19.5703125" style="11" hidden="1" customWidth="1" outlineLevel="1"/>
    <col min="10" max="10" width="8.140625" style="6" bestFit="1" customWidth="1" collapsed="1"/>
    <col min="11" max="11" width="18" style="11" hidden="1" customWidth="1" outlineLevel="1"/>
    <col min="12" max="12" width="7.140625" style="5" bestFit="1" customWidth="1" collapsed="1"/>
    <col min="13" max="13" width="19.5703125" style="10" hidden="1" customWidth="1" outlineLevel="1"/>
    <col min="14" max="14" width="8.140625" style="10" bestFit="1" customWidth="1" collapsed="1"/>
    <col min="15" max="15" width="19.5703125" style="10" hidden="1" customWidth="1" outlineLevel="1"/>
    <col min="16" max="16" width="2.5703125" customWidth="1" collapsed="1"/>
    <col min="17" max="18" width="7.140625" hidden="1" customWidth="1" outlineLevel="1"/>
    <col min="19" max="19" width="17.85546875" bestFit="1" customWidth="1" collapsed="1"/>
    <col min="20" max="21" width="17.85546875" bestFit="1" customWidth="1"/>
    <col min="22" max="23" width="15.140625" bestFit="1" customWidth="1"/>
    <col min="24" max="24" width="2.5703125" customWidth="1"/>
    <col min="25" max="25" width="7.85546875" bestFit="1" customWidth="1"/>
    <col min="26" max="26" width="11.140625" bestFit="1" customWidth="1"/>
    <col min="27" max="27" width="13.28515625" bestFit="1" customWidth="1"/>
    <col min="28" max="28" width="7.85546875" bestFit="1" customWidth="1"/>
    <col min="29" max="29" width="8.140625" bestFit="1" customWidth="1"/>
    <col min="30" max="30" width="2.5703125" customWidth="1"/>
    <col min="31" max="31" width="16.85546875" bestFit="1" customWidth="1"/>
    <col min="32" max="32" width="7.7109375" bestFit="1" customWidth="1"/>
    <col min="33" max="33" width="2.5703125" customWidth="1"/>
    <col min="35" max="35" width="16.28515625" bestFit="1" customWidth="1"/>
  </cols>
  <sheetData>
    <row r="1" spans="2:36" ht="9" customHeight="1" x14ac:dyDescent="0.25"/>
    <row r="2" spans="2:36" x14ac:dyDescent="0.25">
      <c r="B2" s="4" t="s">
        <v>1</v>
      </c>
      <c r="C2" s="9" t="s">
        <v>4</v>
      </c>
      <c r="D2" s="112" t="s">
        <v>7</v>
      </c>
      <c r="E2" s="112"/>
      <c r="F2" s="112" t="s">
        <v>8</v>
      </c>
      <c r="G2" s="112"/>
      <c r="H2" s="112" t="s">
        <v>10</v>
      </c>
      <c r="I2" s="112"/>
      <c r="J2" s="112" t="s">
        <v>9</v>
      </c>
      <c r="K2" s="112"/>
      <c r="L2" s="112" t="s">
        <v>21</v>
      </c>
      <c r="M2" s="112"/>
      <c r="N2" s="112" t="s">
        <v>55</v>
      </c>
      <c r="O2" s="112"/>
      <c r="Q2" s="1" t="s">
        <v>46</v>
      </c>
      <c r="S2" s="27" t="s">
        <v>49</v>
      </c>
      <c r="T2" s="27" t="s">
        <v>50</v>
      </c>
      <c r="U2" s="27" t="s">
        <v>51</v>
      </c>
      <c r="V2" s="27" t="s">
        <v>52</v>
      </c>
      <c r="W2" s="27" t="s">
        <v>53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75" t="s">
        <v>60</v>
      </c>
      <c r="AF2" s="75" t="s">
        <v>61</v>
      </c>
      <c r="AH2" s="1"/>
      <c r="AI2" s="1" t="s">
        <v>20</v>
      </c>
      <c r="AJ2" s="1"/>
    </row>
    <row r="3" spans="2:36" x14ac:dyDescent="0.25">
      <c r="B3" s="21" t="s">
        <v>5</v>
      </c>
      <c r="C3" s="80">
        <v>391641820.63</v>
      </c>
      <c r="D3" s="81">
        <f>40.1%+1.2%</f>
        <v>0.41300000000000003</v>
      </c>
      <c r="E3" s="80">
        <f>$C3*D3</f>
        <v>161748071.92019001</v>
      </c>
      <c r="F3" s="81">
        <f>9.9%+9.3%+4.1%</f>
        <v>0.23299999999999998</v>
      </c>
      <c r="G3" s="80">
        <f>$C3*F3</f>
        <v>91252544.20679</v>
      </c>
      <c r="H3" s="81">
        <f>30.6%+0.8%+0.6%</f>
        <v>0.32</v>
      </c>
      <c r="I3" s="80">
        <f>$C3*H3</f>
        <v>125325382.60160001</v>
      </c>
      <c r="J3" s="81">
        <v>3.5000000000000003E-2</v>
      </c>
      <c r="K3" s="80">
        <f>$C3*J3</f>
        <v>13707463.722050002</v>
      </c>
      <c r="L3" s="82"/>
      <c r="M3" s="80">
        <f>$C3*L3</f>
        <v>0</v>
      </c>
      <c r="N3" s="77">
        <v>-1E-3</v>
      </c>
      <c r="O3" s="65">
        <f>$C3*N3</f>
        <v>-391641.82063000003</v>
      </c>
      <c r="S3" s="12">
        <f>E3-'Mar24'!E3</f>
        <v>4933461.939229995</v>
      </c>
      <c r="T3" s="12">
        <f>G3-'Mar24'!G3</f>
        <v>-3148290.657370016</v>
      </c>
      <c r="U3" s="12">
        <f>I3-'Mar24'!I3</f>
        <v>-1842684.1988800019</v>
      </c>
      <c r="V3" s="12">
        <f>K3-'Mar24'!K3</f>
        <v>444536.50973000005</v>
      </c>
      <c r="W3" s="12">
        <f>+M3-'Mar24'!M3</f>
        <v>0</v>
      </c>
      <c r="Y3" s="28">
        <f>D3-'Mar24'!D3</f>
        <v>1.100000000000001E-2</v>
      </c>
      <c r="Z3" s="28">
        <f>F3-'Mar24'!F3</f>
        <v>-9.0000000000000357E-3</v>
      </c>
      <c r="AA3" s="28">
        <f>H3-'Mar24'!H3</f>
        <v>-6.0000000000000053E-3</v>
      </c>
      <c r="AB3" s="28">
        <f>J3-'Mar24'!J3</f>
        <v>1.0000000000000009E-3</v>
      </c>
      <c r="AC3" s="28">
        <f>L3-'Mar24'!L3</f>
        <v>0</v>
      </c>
      <c r="AE3" s="10">
        <f>C3-'Mar24'!C3</f>
        <v>1555726.1499999762</v>
      </c>
      <c r="AF3" s="76">
        <f>C3/'Mar24'!C3-1</f>
        <v>3.9881610034673276E-3</v>
      </c>
      <c r="AH3" t="s">
        <v>11</v>
      </c>
      <c r="AI3" s="2" t="s">
        <v>10</v>
      </c>
      <c r="AJ3" t="s">
        <v>7</v>
      </c>
    </row>
    <row r="4" spans="2:36" x14ac:dyDescent="0.25">
      <c r="B4" s="3" t="s">
        <v>0</v>
      </c>
      <c r="C4" s="78">
        <v>1436201194</v>
      </c>
      <c r="D4" s="77">
        <v>0.4</v>
      </c>
      <c r="E4" s="57">
        <f>$C4*D4</f>
        <v>574480477.60000002</v>
      </c>
      <c r="F4" s="77">
        <f>9%+2%+2%+1%</f>
        <v>0.14000000000000001</v>
      </c>
      <c r="G4" s="57">
        <f>$C4*F4</f>
        <v>201068167.16000003</v>
      </c>
      <c r="H4" s="77">
        <f>38%+1%+1%</f>
        <v>0.4</v>
      </c>
      <c r="I4" s="57">
        <f>$C4*H4</f>
        <v>574480477.60000002</v>
      </c>
      <c r="J4" s="77">
        <v>0.06</v>
      </c>
      <c r="K4" s="57">
        <f>$C4*J4</f>
        <v>86172071.640000001</v>
      </c>
      <c r="L4" s="77"/>
      <c r="M4" s="57">
        <f>$C4*L4</f>
        <v>0</v>
      </c>
      <c r="N4" s="77"/>
      <c r="O4" s="57">
        <f>$C4*N4</f>
        <v>0</v>
      </c>
      <c r="S4" s="12">
        <f>E4-'Mar24'!E4</f>
        <v>91112281.00000006</v>
      </c>
      <c r="T4" s="12">
        <f>G4-'Mar24'!G4</f>
        <v>39945434.960000008</v>
      </c>
      <c r="U4" s="12">
        <f>I4-'Mar24'!I4</f>
        <v>-29729768.149999976</v>
      </c>
      <c r="V4" s="12">
        <f>K4-'Mar24'!K4</f>
        <v>-7816188.8100000024</v>
      </c>
      <c r="W4" s="12">
        <f>+M4-'Mar24'!M4</f>
        <v>0</v>
      </c>
      <c r="Y4" s="28">
        <f>D4-'Mar24'!D4</f>
        <v>4.0000000000000036E-2</v>
      </c>
      <c r="Z4" s="28">
        <f>F4-'Mar24'!F4</f>
        <v>2.0000000000000004E-2</v>
      </c>
      <c r="AA4" s="28">
        <f>H4-'Mar24'!H4</f>
        <v>-4.9999999999999989E-2</v>
      </c>
      <c r="AB4" s="28">
        <f>J4-'Mar24'!J4</f>
        <v>-1.0000000000000009E-2</v>
      </c>
      <c r="AC4" s="28">
        <f>L4-'Mar24'!L4</f>
        <v>0</v>
      </c>
      <c r="AE4" s="10">
        <f>C4-'Mar24'!C4</f>
        <v>93511759</v>
      </c>
      <c r="AF4" s="76">
        <f>C4/'Mar24'!C4-1</f>
        <v>6.9645114173405354E-2</v>
      </c>
      <c r="AH4" t="s">
        <v>12</v>
      </c>
      <c r="AI4" s="2" t="s">
        <v>16</v>
      </c>
      <c r="AJ4" t="s">
        <v>58</v>
      </c>
    </row>
    <row r="5" spans="2:36" x14ac:dyDescent="0.25">
      <c r="B5" s="3" t="s">
        <v>3</v>
      </c>
      <c r="C5" s="78">
        <v>892316527.24000001</v>
      </c>
      <c r="D5" s="77">
        <v>0.49</v>
      </c>
      <c r="E5" s="78">
        <f t="shared" ref="E5:G14" si="0">$C5*D5</f>
        <v>437235098.34759998</v>
      </c>
      <c r="F5" s="77">
        <f>2%+2%</f>
        <v>0.04</v>
      </c>
      <c r="G5" s="78">
        <f t="shared" si="0"/>
        <v>35692661.089600004</v>
      </c>
      <c r="H5" s="77">
        <v>0.31</v>
      </c>
      <c r="I5" s="78">
        <f t="shared" ref="I5:I14" si="1">$C5*H5</f>
        <v>276618123.44440001</v>
      </c>
      <c r="J5" s="77">
        <v>0.06</v>
      </c>
      <c r="K5" s="78">
        <f t="shared" ref="K5:K14" si="2">$C5*J5</f>
        <v>53538991.634399995</v>
      </c>
      <c r="L5" s="77">
        <v>0.1</v>
      </c>
      <c r="M5" s="78">
        <f t="shared" ref="M5:M14" si="3">$C5*L5</f>
        <v>89231652.724000007</v>
      </c>
      <c r="N5" s="77"/>
      <c r="O5" s="57">
        <f t="shared" ref="O5:O14" si="4">$C5*N5</f>
        <v>0</v>
      </c>
      <c r="S5" s="12">
        <f>E5-'Mar24'!E5</f>
        <v>-12089427.401799977</v>
      </c>
      <c r="T5" s="12">
        <f>G5-'Mar24'!G5</f>
        <v>-986892.03279999644</v>
      </c>
      <c r="U5" s="12">
        <f>I5-'Mar24'!I5</f>
        <v>1521475.0264000297</v>
      </c>
      <c r="V5" s="12">
        <f>K5-'Mar24'!K5</f>
        <v>-1480338.0491999984</v>
      </c>
      <c r="W5" s="12">
        <f>+M5-'Mar24'!M5</f>
        <v>-11637118.362599984</v>
      </c>
      <c r="Y5" s="28">
        <f>D5-'Mar24'!D5</f>
        <v>0</v>
      </c>
      <c r="Z5" s="28">
        <f>F5-'Mar24'!F5</f>
        <v>0</v>
      </c>
      <c r="AA5" s="28">
        <f>H5-'Mar24'!H5</f>
        <v>1.0000000000000009E-2</v>
      </c>
      <c r="AB5" s="28">
        <f>J5-'Mar24'!J5</f>
        <v>0</v>
      </c>
      <c r="AC5" s="28">
        <f>L5-'Mar24'!L5</f>
        <v>-9.999999999999995E-3</v>
      </c>
      <c r="AE5" s="10">
        <f>C5-'Mar24'!C5</f>
        <v>-24672300.819999933</v>
      </c>
      <c r="AF5" s="76">
        <f>C5/'Mar24'!C5-1</f>
        <v>-2.6905781253842687E-2</v>
      </c>
      <c r="AH5" t="s">
        <v>13</v>
      </c>
      <c r="AI5" s="2" t="s">
        <v>17</v>
      </c>
      <c r="AJ5" t="s">
        <v>59</v>
      </c>
    </row>
    <row r="6" spans="2:36" x14ac:dyDescent="0.25">
      <c r="B6" s="3" t="s">
        <v>62</v>
      </c>
      <c r="C6" s="78">
        <v>2816463499</v>
      </c>
      <c r="D6" s="77">
        <v>0.31290000000000001</v>
      </c>
      <c r="E6" s="78">
        <f t="shared" si="0"/>
        <v>881271428.83710003</v>
      </c>
      <c r="F6" s="77">
        <f>17.75%+2.07%</f>
        <v>0.19819999999999999</v>
      </c>
      <c r="G6" s="78">
        <f t="shared" si="0"/>
        <v>558223065.50179994</v>
      </c>
      <c r="H6" s="77">
        <f>44.35%+1.82%</f>
        <v>0.4617</v>
      </c>
      <c r="I6" s="78">
        <f t="shared" si="1"/>
        <v>1300361197.4883001</v>
      </c>
      <c r="J6" s="77"/>
      <c r="K6" s="78">
        <f t="shared" si="2"/>
        <v>0</v>
      </c>
      <c r="L6" s="77"/>
      <c r="M6" s="78">
        <f t="shared" si="3"/>
        <v>0</v>
      </c>
      <c r="N6" s="77">
        <v>2.7400000000000001E-2</v>
      </c>
      <c r="O6" s="57">
        <f t="shared" si="4"/>
        <v>77171099.872600004</v>
      </c>
      <c r="S6" s="12">
        <f>E6-'Mar24'!E6</f>
        <v>161706102.83309996</v>
      </c>
      <c r="T6" s="12">
        <f>G6-'Mar24'!G6</f>
        <v>4228387.0297999382</v>
      </c>
      <c r="U6" s="12">
        <f>I6-'Mar24'!I6</f>
        <v>35171273.140300035</v>
      </c>
      <c r="V6" s="12">
        <f>K6-'Mar24'!K6</f>
        <v>0</v>
      </c>
      <c r="W6" s="12">
        <f>+M6-'Mar24'!M6</f>
        <v>0</v>
      </c>
      <c r="Y6" s="28">
        <f>D6-'Mar24'!D6</f>
        <v>3.78E-2</v>
      </c>
      <c r="Z6" s="28">
        <f>F6-'Mar24'!F6</f>
        <v>-1.3600000000000029E-2</v>
      </c>
      <c r="AA6" s="28">
        <f>H6-'Mar24'!H6</f>
        <v>-2.200000000000002E-2</v>
      </c>
      <c r="AB6" s="28">
        <f>J6-'Mar24'!J6</f>
        <v>0</v>
      </c>
      <c r="AC6" s="28">
        <f>L6-'Mar24'!L6</f>
        <v>0</v>
      </c>
      <c r="AE6" s="10">
        <f>C6-'Mar24'!C6</f>
        <v>200813459</v>
      </c>
      <c r="AF6" s="76">
        <f>C6/'Mar24'!C6-1</f>
        <v>7.6773825217076874E-2</v>
      </c>
      <c r="AH6" t="s">
        <v>14</v>
      </c>
      <c r="AI6" s="2" t="s">
        <v>18</v>
      </c>
    </row>
    <row r="7" spans="2:36" x14ac:dyDescent="0.25">
      <c r="B7" s="3" t="s">
        <v>22</v>
      </c>
      <c r="C7" s="78">
        <v>957100000</v>
      </c>
      <c r="D7" s="77">
        <v>0.19400000000000001</v>
      </c>
      <c r="E7" s="78">
        <f t="shared" si="0"/>
        <v>185677400</v>
      </c>
      <c r="F7" s="77">
        <f>13.3%</f>
        <v>0.13300000000000001</v>
      </c>
      <c r="G7" s="78">
        <f t="shared" si="0"/>
        <v>127294300</v>
      </c>
      <c r="H7" s="77">
        <f>54.1%+8.9%</f>
        <v>0.63</v>
      </c>
      <c r="I7" s="78">
        <f t="shared" si="1"/>
        <v>602973000</v>
      </c>
      <c r="J7" s="77">
        <v>4.2999999999999997E-2</v>
      </c>
      <c r="K7" s="78">
        <f t="shared" si="2"/>
        <v>41155300</v>
      </c>
      <c r="L7" s="77"/>
      <c r="M7" s="78">
        <f t="shared" si="3"/>
        <v>0</v>
      </c>
      <c r="N7" s="77"/>
      <c r="O7" s="57">
        <f t="shared" si="4"/>
        <v>0</v>
      </c>
      <c r="S7" s="12">
        <f>E7-'Mar24'!E7</f>
        <v>36060950</v>
      </c>
      <c r="T7" s="12">
        <f>G7-'Mar24'!G7</f>
        <v>-70444400</v>
      </c>
      <c r="U7" s="12">
        <f>I7-'Mar24'!I7</f>
        <v>106876350.00000006</v>
      </c>
      <c r="V7" s="12">
        <f>K7-'Mar24'!K7</f>
        <v>9657100.0000000037</v>
      </c>
      <c r="W7" s="12">
        <f>+M7-'Mar24'!M7</f>
        <v>0</v>
      </c>
      <c r="Y7" s="28">
        <f>D7-'Mar24'!D7</f>
        <v>2.2999999999999993E-2</v>
      </c>
      <c r="Z7" s="28">
        <f>F7-'Mar24'!F7</f>
        <v>-9.2999999999999999E-2</v>
      </c>
      <c r="AA7" s="28">
        <f>H7-'Mar24'!H7</f>
        <v>6.3000000000000056E-2</v>
      </c>
      <c r="AB7" s="28">
        <f>J7-'Mar24'!J7</f>
        <v>6.9999999999999993E-3</v>
      </c>
      <c r="AC7" s="28">
        <f>L7-'Mar24'!L7</f>
        <v>0</v>
      </c>
      <c r="AE7" s="10">
        <f>C7-'Mar24'!C7</f>
        <v>82150000</v>
      </c>
      <c r="AF7" s="76">
        <f>C7/'Mar24'!C7-1</f>
        <v>9.3891079490256546E-2</v>
      </c>
      <c r="AH7" t="s">
        <v>15</v>
      </c>
      <c r="AI7" s="2" t="s">
        <v>19</v>
      </c>
    </row>
    <row r="8" spans="2:36" x14ac:dyDescent="0.25">
      <c r="B8" s="3" t="s">
        <v>23</v>
      </c>
      <c r="C8" s="78">
        <v>1728388577.6500001</v>
      </c>
      <c r="D8" s="77">
        <v>0.34</v>
      </c>
      <c r="E8" s="78">
        <f t="shared" si="0"/>
        <v>587652116.40100002</v>
      </c>
      <c r="F8" s="77">
        <f>4%+22%+1%+1.5%</f>
        <v>0.28500000000000003</v>
      </c>
      <c r="G8" s="78">
        <f t="shared" si="0"/>
        <v>492590744.6302501</v>
      </c>
      <c r="H8" s="77">
        <v>0.3</v>
      </c>
      <c r="I8" s="78">
        <f t="shared" si="1"/>
        <v>518516573.29500002</v>
      </c>
      <c r="J8" s="77">
        <v>0.05</v>
      </c>
      <c r="K8" s="78">
        <f t="shared" si="2"/>
        <v>86419428.882500008</v>
      </c>
      <c r="L8" s="77">
        <v>2.5000000000000001E-2</v>
      </c>
      <c r="M8" s="78">
        <f t="shared" si="3"/>
        <v>43209714.441250004</v>
      </c>
      <c r="N8" s="77"/>
      <c r="O8" s="57">
        <f t="shared" si="4"/>
        <v>0</v>
      </c>
      <c r="S8" s="12">
        <f>E8-'Mar24'!E8</f>
        <v>158456766.68285</v>
      </c>
      <c r="T8" s="12">
        <f>G8-'Mar24'!G8</f>
        <v>114316877.08205009</v>
      </c>
      <c r="U8" s="12">
        <f>I8-'Mar24'!I8</f>
        <v>-5247243.3101999164</v>
      </c>
      <c r="V8" s="12">
        <f>K8-'Mar24'!K8</f>
        <v>-874540.55169998109</v>
      </c>
      <c r="W8" s="12">
        <f>+M8-'Mar24'!M8</f>
        <v>6837227.1770000011</v>
      </c>
      <c r="Y8" s="28">
        <f>D8-'Mar24'!D8</f>
        <v>4.4999999999999984E-2</v>
      </c>
      <c r="Z8" s="28">
        <f>F8-'Mar24'!F8</f>
        <v>2.5000000000000022E-2</v>
      </c>
      <c r="AA8" s="28">
        <f>H8-'Mar24'!H8</f>
        <v>-0.06</v>
      </c>
      <c r="AB8" s="28">
        <f>J8-'Mar24'!J8</f>
        <v>-9.999999999999995E-3</v>
      </c>
      <c r="AC8" s="28">
        <f>L8-'Mar24'!L8</f>
        <v>0</v>
      </c>
      <c r="AE8" s="10">
        <f>C8-'Mar24'!C8</f>
        <v>273489087.08000016</v>
      </c>
      <c r="AF8" s="76">
        <f>C8/'Mar24'!C8-1</f>
        <v>0.18797799356768818</v>
      </c>
      <c r="AH8" t="s">
        <v>57</v>
      </c>
    </row>
    <row r="9" spans="2:36" x14ac:dyDescent="0.25">
      <c r="B9" s="3" t="s">
        <v>24</v>
      </c>
      <c r="C9" s="78">
        <v>1798272043</v>
      </c>
      <c r="D9" s="77">
        <v>0.33239999999999997</v>
      </c>
      <c r="E9" s="78">
        <f t="shared" si="0"/>
        <v>597745627.09319997</v>
      </c>
      <c r="F9" s="77">
        <v>0.21049999999999999</v>
      </c>
      <c r="G9" s="78">
        <f t="shared" si="0"/>
        <v>378536265.05149996</v>
      </c>
      <c r="H9" s="77">
        <v>0.40579999999999999</v>
      </c>
      <c r="I9" s="78">
        <f t="shared" si="1"/>
        <v>729738795.04939997</v>
      </c>
      <c r="J9" s="77">
        <v>5.1299999999999998E-2</v>
      </c>
      <c r="K9" s="78">
        <f t="shared" si="2"/>
        <v>92251355.805899993</v>
      </c>
      <c r="L9" s="77"/>
      <c r="M9" s="78">
        <f t="shared" si="3"/>
        <v>0</v>
      </c>
      <c r="N9" s="77"/>
      <c r="O9" s="57">
        <f t="shared" si="4"/>
        <v>0</v>
      </c>
      <c r="S9" s="12">
        <f>E9-'Mar24'!E9</f>
        <v>75638330.656099975</v>
      </c>
      <c r="T9" s="12">
        <f>G9-'Mar24'!G9</f>
        <v>-7525197.5254000425</v>
      </c>
      <c r="U9" s="12">
        <f>I9-'Mar24'!I9</f>
        <v>-54588769.553600073</v>
      </c>
      <c r="V9" s="12">
        <f>K9-'Mar24'!K9</f>
        <v>-10231719.569000006</v>
      </c>
      <c r="W9" s="12">
        <f>+M9-'Mar24'!M9</f>
        <v>0</v>
      </c>
      <c r="Y9" s="28">
        <f>D9-'Mar24'!D9</f>
        <v>4.1499999999999981E-2</v>
      </c>
      <c r="Z9" s="28">
        <f>F9-'Mar24'!F9</f>
        <v>-4.6000000000000207E-3</v>
      </c>
      <c r="AA9" s="28">
        <f>H9-'Mar24'!H9</f>
        <v>-3.1200000000000006E-2</v>
      </c>
      <c r="AB9" s="28">
        <f>J9-'Mar24'!J9</f>
        <v>-5.7999999999999996E-3</v>
      </c>
      <c r="AC9" s="28">
        <f>L9-'Mar24'!L9</f>
        <v>0</v>
      </c>
      <c r="AE9" s="10">
        <f>C9-'Mar24'!C9</f>
        <v>3472124</v>
      </c>
      <c r="AF9" s="76">
        <f>C9/'Mar24'!C9-1</f>
        <v>1.9345465548799012E-3</v>
      </c>
    </row>
    <row r="10" spans="2:36" x14ac:dyDescent="0.25">
      <c r="B10" s="3" t="s">
        <v>25</v>
      </c>
      <c r="C10" s="78">
        <v>109767094</v>
      </c>
      <c r="D10" s="77">
        <v>0.7</v>
      </c>
      <c r="E10" s="78">
        <f t="shared" si="0"/>
        <v>76836965.799999997</v>
      </c>
      <c r="F10" s="77">
        <f>2%+4%</f>
        <v>0.06</v>
      </c>
      <c r="G10" s="78">
        <f t="shared" si="0"/>
        <v>6586025.6399999997</v>
      </c>
      <c r="H10" s="77">
        <v>0.21</v>
      </c>
      <c r="I10" s="78">
        <f t="shared" si="1"/>
        <v>23051089.739999998</v>
      </c>
      <c r="J10" s="77">
        <v>0.03</v>
      </c>
      <c r="K10" s="78">
        <f t="shared" si="2"/>
        <v>3293012.82</v>
      </c>
      <c r="L10" s="77"/>
      <c r="M10" s="78">
        <f t="shared" si="3"/>
        <v>0</v>
      </c>
      <c r="N10" s="77"/>
      <c r="O10" s="57">
        <f t="shared" si="4"/>
        <v>0</v>
      </c>
      <c r="S10" s="12">
        <f>E10-'Mar24'!E10</f>
        <v>6360140.6099999994</v>
      </c>
      <c r="T10" s="12">
        <f>G10-'Mar24'!G10</f>
        <v>-2656836.6800000006</v>
      </c>
      <c r="U10" s="12">
        <f>I10-'Mar24'!I10</f>
        <v>-9298928.3800000064</v>
      </c>
      <c r="V10" s="12">
        <f>K10-'Mar24'!K10</f>
        <v>-173060.54999999981</v>
      </c>
      <c r="W10" s="12">
        <f>+M10-'Mar24'!M10</f>
        <v>0</v>
      </c>
      <c r="Y10" s="28">
        <f>D10-'Mar24'!D10</f>
        <v>8.9999999999999969E-2</v>
      </c>
      <c r="Z10" s="28">
        <f>F10-'Mar24'!F10</f>
        <v>-2.0000000000000004E-2</v>
      </c>
      <c r="AA10" s="28">
        <f>H10-'Mar24'!H10</f>
        <v>-7.0000000000000034E-2</v>
      </c>
      <c r="AB10" s="28">
        <f>J10-'Mar24'!J10</f>
        <v>0</v>
      </c>
      <c r="AC10" s="28">
        <f>L10-'Mar24'!L10</f>
        <v>0</v>
      </c>
      <c r="AE10" s="10">
        <f>C10-'Mar24'!C10</f>
        <v>-5768685</v>
      </c>
      <c r="AF10" s="76">
        <f>C10/'Mar24'!C10-1</f>
        <v>-4.9929857659071986E-2</v>
      </c>
    </row>
    <row r="11" spans="2:36" x14ac:dyDescent="0.25">
      <c r="B11" s="3" t="s">
        <v>29</v>
      </c>
      <c r="C11" s="78">
        <v>6400661928.96</v>
      </c>
      <c r="D11" s="77">
        <v>0.434</v>
      </c>
      <c r="E11" s="78">
        <f t="shared" si="0"/>
        <v>2777887277.1686401</v>
      </c>
      <c r="F11" s="77">
        <f>30.6%+2.9%</f>
        <v>0.33499999999999996</v>
      </c>
      <c r="G11" s="78">
        <f t="shared" si="0"/>
        <v>2144221746.2015998</v>
      </c>
      <c r="H11" s="77">
        <v>0.20699999999999999</v>
      </c>
      <c r="I11" s="78">
        <f t="shared" si="1"/>
        <v>1324937019.2947199</v>
      </c>
      <c r="J11" s="77">
        <v>1.4999999999999999E-2</v>
      </c>
      <c r="K11" s="78">
        <f t="shared" si="2"/>
        <v>96009928.934399992</v>
      </c>
      <c r="L11" s="77">
        <v>8.9999999999999993E-3</v>
      </c>
      <c r="M11" s="78">
        <f t="shared" si="3"/>
        <v>57605957.360639997</v>
      </c>
      <c r="N11" s="77"/>
      <c r="O11" s="57">
        <f t="shared" si="4"/>
        <v>0</v>
      </c>
      <c r="S11" s="12">
        <f>E11-'Mar24'!E11</f>
        <v>163648689.54084015</v>
      </c>
      <c r="T11" s="12">
        <f>G11-'Mar24'!G11</f>
        <v>52830876.099359989</v>
      </c>
      <c r="U11" s="12">
        <f>I11-'Mar24'!I11</f>
        <v>-100445448.72139025</v>
      </c>
      <c r="V11" s="12">
        <f>K11-'Mar24'!K11</f>
        <v>2644265.0905499905</v>
      </c>
      <c r="W11" s="12">
        <f>+M11-'Mar24'!M11</f>
        <v>57605957.360639997</v>
      </c>
      <c r="Y11" s="28">
        <f>D11-'Mar24'!D11</f>
        <v>1.4000000000000012E-2</v>
      </c>
      <c r="Z11" s="28">
        <f>F11-'Mar24'!F11</f>
        <v>-1.0000000000000009E-3</v>
      </c>
      <c r="AA11" s="28">
        <f>H11-'Mar24'!H11</f>
        <v>-2.200000000000002E-2</v>
      </c>
      <c r="AB11" s="28">
        <f>J11-'Mar24'!J11</f>
        <v>0</v>
      </c>
      <c r="AC11" s="28">
        <f>L11-'Mar24'!L11</f>
        <v>8.9999999999999993E-3</v>
      </c>
      <c r="AE11" s="10">
        <f>C11-'Mar24'!C11</f>
        <v>176284339.36999989</v>
      </c>
      <c r="AF11" s="76">
        <f>C11/'Mar24'!C11-1</f>
        <v>2.8321601129216223E-2</v>
      </c>
    </row>
    <row r="12" spans="2:36" x14ac:dyDescent="0.25">
      <c r="B12" s="3" t="s">
        <v>47</v>
      </c>
      <c r="C12" s="78">
        <v>1620739450.3900001</v>
      </c>
      <c r="D12" s="77">
        <v>0.64</v>
      </c>
      <c r="E12" s="78">
        <f t="shared" si="0"/>
        <v>1037273248.2496001</v>
      </c>
      <c r="F12" s="77">
        <v>0.13</v>
      </c>
      <c r="G12" s="78">
        <f t="shared" si="0"/>
        <v>210696128.55070001</v>
      </c>
      <c r="H12" s="77">
        <v>0.23</v>
      </c>
      <c r="I12" s="78">
        <f t="shared" si="1"/>
        <v>372770073.58970004</v>
      </c>
      <c r="J12" s="77"/>
      <c r="K12" s="78">
        <f t="shared" si="2"/>
        <v>0</v>
      </c>
      <c r="L12" s="86"/>
      <c r="M12" s="78">
        <f t="shared" si="3"/>
        <v>0</v>
      </c>
      <c r="N12" s="77"/>
      <c r="O12" s="57">
        <f t="shared" si="4"/>
        <v>0</v>
      </c>
      <c r="S12" s="12">
        <f>E12-'Mar24'!E12</f>
        <v>27420650.687999964</v>
      </c>
      <c r="T12" s="12">
        <f>G12-'Mar24'!G12</f>
        <v>5569819.6710000038</v>
      </c>
      <c r="U12" s="12">
        <f>I12-'Mar24'!I12</f>
        <v>9854296.3410000205</v>
      </c>
      <c r="V12" s="12">
        <f>K12-'Mar24'!K12</f>
        <v>0</v>
      </c>
      <c r="W12" s="12">
        <f>+M12-'Mar24'!M12</f>
        <v>0</v>
      </c>
      <c r="Y12" s="28">
        <f>D12-'Mar24'!D12</f>
        <v>0</v>
      </c>
      <c r="Z12" s="28">
        <f>F12-'Mar24'!F12</f>
        <v>0</v>
      </c>
      <c r="AA12" s="28">
        <f>H12-'Mar24'!H12</f>
        <v>0</v>
      </c>
      <c r="AB12" s="28">
        <f>J12-'Mar24'!J12</f>
        <v>0</v>
      </c>
      <c r="AC12" s="28">
        <f>L12-'Mar24'!L12</f>
        <v>0</v>
      </c>
      <c r="AE12" s="10">
        <f>C12-'Mar24'!C12</f>
        <v>42844766.700000048</v>
      </c>
      <c r="AF12" s="76">
        <f>C12/'Mar24'!C12-1</f>
        <v>2.7153121905325817E-2</v>
      </c>
    </row>
    <row r="13" spans="2:36" x14ac:dyDescent="0.25">
      <c r="B13" s="3" t="s">
        <v>30</v>
      </c>
      <c r="C13" s="78">
        <v>872120000</v>
      </c>
      <c r="D13" s="77">
        <v>0.34300000000000003</v>
      </c>
      <c r="E13" s="78">
        <f t="shared" si="0"/>
        <v>299137160</v>
      </c>
      <c r="F13" s="77">
        <f>18.2%+2.1%</f>
        <v>0.20299999999999999</v>
      </c>
      <c r="G13" s="78">
        <f t="shared" si="0"/>
        <v>177040360</v>
      </c>
      <c r="H13" s="77">
        <v>0.441</v>
      </c>
      <c r="I13" s="78">
        <f t="shared" si="1"/>
        <v>384604920</v>
      </c>
      <c r="J13" s="77">
        <v>1.2999999999999999E-2</v>
      </c>
      <c r="K13" s="78">
        <f t="shared" si="2"/>
        <v>11337560</v>
      </c>
      <c r="L13" s="77"/>
      <c r="M13" s="78">
        <f t="shared" si="3"/>
        <v>0</v>
      </c>
      <c r="N13" s="77"/>
      <c r="O13" s="57">
        <f t="shared" si="4"/>
        <v>0</v>
      </c>
      <c r="S13" s="12">
        <f>E13-'Mar24'!E13</f>
        <v>44560160</v>
      </c>
      <c r="T13" s="12">
        <f>G13-'Mar24'!G13</f>
        <v>15808260</v>
      </c>
      <c r="U13" s="12">
        <f>I13-'Mar24'!I13</f>
        <v>-39690080</v>
      </c>
      <c r="V13" s="12">
        <f>K13-'Mar24'!K13</f>
        <v>2851660</v>
      </c>
      <c r="W13" s="12">
        <f>+M13-'Mar24'!M13</f>
        <v>0</v>
      </c>
      <c r="Y13" s="28">
        <f>D13-'Mar24'!D13</f>
        <v>4.3000000000000038E-2</v>
      </c>
      <c r="Z13" s="28">
        <f>F13-'Mar24'!F13</f>
        <v>1.2999999999999984E-2</v>
      </c>
      <c r="AA13" s="28">
        <f>H13-'Mar24'!H13</f>
        <v>-5.8999999999999997E-2</v>
      </c>
      <c r="AB13" s="28">
        <f>J13-'Mar24'!J13</f>
        <v>2.9999999999999992E-3</v>
      </c>
      <c r="AC13" s="28">
        <f>L13-'Mar24'!L13</f>
        <v>0</v>
      </c>
      <c r="AE13" s="10">
        <f>C13-'Mar24'!C13</f>
        <v>23530000</v>
      </c>
      <c r="AF13" s="76">
        <f>C13/'Mar24'!C13-1</f>
        <v>2.7728349379559036E-2</v>
      </c>
    </row>
    <row r="14" spans="2:36" x14ac:dyDescent="0.25">
      <c r="B14" s="3" t="s">
        <v>63</v>
      </c>
      <c r="C14" s="78">
        <v>51749097.810000002</v>
      </c>
      <c r="D14" s="77">
        <v>0.51500000000000001</v>
      </c>
      <c r="E14" s="78">
        <f t="shared" si="0"/>
        <v>26650785.37215</v>
      </c>
      <c r="F14" s="77">
        <v>8.6999999999999994E-2</v>
      </c>
      <c r="G14" s="78">
        <f t="shared" si="0"/>
        <v>4502171.5094699999</v>
      </c>
      <c r="H14" s="77">
        <v>0.39800000000000002</v>
      </c>
      <c r="I14" s="78">
        <f t="shared" si="1"/>
        <v>20596140.928380001</v>
      </c>
      <c r="J14" s="77"/>
      <c r="K14" s="78">
        <f t="shared" si="2"/>
        <v>0</v>
      </c>
      <c r="L14" s="77"/>
      <c r="M14" s="78">
        <f t="shared" si="3"/>
        <v>0</v>
      </c>
      <c r="N14" s="77"/>
      <c r="O14" s="57">
        <f t="shared" si="4"/>
        <v>0</v>
      </c>
      <c r="S14" s="12">
        <f>E14-'Mar24'!E14</f>
        <v>140577.81560000032</v>
      </c>
      <c r="T14" s="12">
        <f>G14-'Mar24'!G14</f>
        <v>-757368.66708000097</v>
      </c>
      <c r="U14" s="12">
        <f>I14-'Mar24'!I14</f>
        <v>-813906.4569700025</v>
      </c>
      <c r="V14" s="12">
        <f>K14-'Mar24'!K14</f>
        <v>0</v>
      </c>
      <c r="W14" s="12">
        <f>+M14-'Mar24'!M14</f>
        <v>0</v>
      </c>
      <c r="Y14" s="28">
        <f>D14-'Mar24'!D14</f>
        <v>1.6000000000000014E-2</v>
      </c>
      <c r="Z14" s="28">
        <f>F14-'Mar24'!F14</f>
        <v>-1.2000000000000011E-2</v>
      </c>
      <c r="AA14" s="28">
        <f>H14-'Mar24'!H14</f>
        <v>-5.0000000000000044E-3</v>
      </c>
      <c r="AB14" s="28">
        <f>J14-'Mar24'!J14</f>
        <v>0</v>
      </c>
      <c r="AC14" s="28">
        <f>L14-'Mar24'!L14</f>
        <v>0</v>
      </c>
      <c r="AE14" s="10">
        <f>C14-'Mar24'!C14</f>
        <v>-1377570.6400000006</v>
      </c>
      <c r="AF14" s="76">
        <f>C14/'Mar24'!C14-1</f>
        <v>-2.5929927100482475E-2</v>
      </c>
    </row>
    <row r="15" spans="2:36" s="8" customFormat="1" x14ac:dyDescent="0.25">
      <c r="B15" s="21" t="s">
        <v>45</v>
      </c>
      <c r="C15" s="20">
        <f>SUM(C3:C14)</f>
        <v>19075421232.68</v>
      </c>
      <c r="D15" s="15">
        <f>E15/$C$15</f>
        <v>0.40070389867430439</v>
      </c>
      <c r="E15" s="17">
        <f>SUM(E3:E14)</f>
        <v>7643595656.7894812</v>
      </c>
      <c r="F15" s="15">
        <f>G15/$C$15</f>
        <v>0.23211566997829489</v>
      </c>
      <c r="G15" s="20">
        <f>SUM(G3:G14)</f>
        <v>4427704179.5417099</v>
      </c>
      <c r="H15" s="15">
        <f>I15/$C$15</f>
        <v>0.32785502960832119</v>
      </c>
      <c r="I15" s="17">
        <f>SUM(I3:I14)</f>
        <v>6253972793.0314999</v>
      </c>
      <c r="J15" s="15">
        <f>K15/$C$15</f>
        <v>2.5366942493005518E-2</v>
      </c>
      <c r="K15" s="17">
        <f>SUM(K3:K14)</f>
        <v>483885113.43924999</v>
      </c>
      <c r="L15" s="15">
        <f>M15/$C$15</f>
        <v>9.96294248015352E-3</v>
      </c>
      <c r="M15" s="17">
        <f>SUM(M3:M14)</f>
        <v>190047324.52588999</v>
      </c>
      <c r="N15" s="15">
        <f>O15/$C$15</f>
        <v>4.0250465305810123E-3</v>
      </c>
      <c r="O15" s="63">
        <f>SUM(O3:O14)</f>
        <v>76779458.051970005</v>
      </c>
      <c r="S15" s="12">
        <f>E15-'Mar24'!E15</f>
        <v>757948684.36392117</v>
      </c>
      <c r="T15" s="12">
        <f>G15-'Mar24'!G15</f>
        <v>147180669.27956009</v>
      </c>
      <c r="U15" s="12">
        <f>I15-'Mar24'!I15</f>
        <v>-88233434.26334095</v>
      </c>
      <c r="V15" s="12">
        <f>K15-'Mar24'!K15</f>
        <v>-4978285.9296200275</v>
      </c>
      <c r="W15" s="12">
        <f>+M15-'Mar24'!M15</f>
        <v>52806066.175040007</v>
      </c>
      <c r="Y15" s="28">
        <f>D15-'Mar24'!D15</f>
        <v>2.2570863877920289E-2</v>
      </c>
      <c r="Z15" s="28">
        <f>F15-'Mar24'!F15</f>
        <v>-2.9540848224688943E-3</v>
      </c>
      <c r="AA15" s="28">
        <f>H15-'Mar24'!H15</f>
        <v>-2.0434346485952715E-2</v>
      </c>
      <c r="AB15" s="28">
        <f>J15-'Mar24'!J15</f>
        <v>-1.479539986346718E-3</v>
      </c>
      <c r="AC15" s="28">
        <f>L15-'Mar24'!L15</f>
        <v>2.4261846813143726E-3</v>
      </c>
      <c r="AE15" s="10">
        <f>C15-'Mar24'!C15</f>
        <v>865832704.84000015</v>
      </c>
      <c r="AF15" s="76">
        <f>C15/'Mar24'!C15-1</f>
        <v>4.7548175155976757E-2</v>
      </c>
    </row>
    <row r="16" spans="2:36" x14ac:dyDescent="0.25">
      <c r="C16" s="10"/>
      <c r="D16" s="10"/>
      <c r="E16" s="10"/>
      <c r="F16" s="5"/>
      <c r="G16" s="10"/>
      <c r="H16" s="10"/>
      <c r="I16" s="10"/>
      <c r="J16" s="5"/>
      <c r="K16" s="10"/>
    </row>
    <row r="17" spans="2:32" x14ac:dyDescent="0.25">
      <c r="B17" s="4" t="s">
        <v>2</v>
      </c>
      <c r="C17" s="9" t="s">
        <v>4</v>
      </c>
      <c r="D17" s="112" t="s">
        <v>7</v>
      </c>
      <c r="E17" s="112"/>
      <c r="F17" s="112" t="s">
        <v>8</v>
      </c>
      <c r="G17" s="112"/>
      <c r="H17" s="112" t="s">
        <v>10</v>
      </c>
      <c r="I17" s="112"/>
      <c r="J17" s="112" t="s">
        <v>9</v>
      </c>
      <c r="K17" s="112"/>
      <c r="L17" s="112" t="s">
        <v>21</v>
      </c>
      <c r="M17" s="112"/>
      <c r="N17" s="112" t="s">
        <v>55</v>
      </c>
      <c r="O17" s="112"/>
      <c r="S17" s="27" t="s">
        <v>49</v>
      </c>
      <c r="T17" s="27" t="s">
        <v>50</v>
      </c>
      <c r="U17" s="27" t="s">
        <v>51</v>
      </c>
      <c r="V17" s="27" t="s">
        <v>52</v>
      </c>
      <c r="W17" s="27" t="s">
        <v>53</v>
      </c>
      <c r="Y17" s="27" t="s">
        <v>49</v>
      </c>
      <c r="Z17" s="27" t="s">
        <v>50</v>
      </c>
      <c r="AA17" s="27" t="s">
        <v>51</v>
      </c>
      <c r="AB17" s="27" t="s">
        <v>52</v>
      </c>
      <c r="AC17" s="27" t="s">
        <v>53</v>
      </c>
    </row>
    <row r="18" spans="2:32" x14ac:dyDescent="0.25">
      <c r="B18" s="21" t="s">
        <v>6</v>
      </c>
      <c r="C18" s="83">
        <v>235220463.16999999</v>
      </c>
      <c r="D18" s="81">
        <f>13.19%+0.75%</f>
        <v>0.1394</v>
      </c>
      <c r="E18" s="58">
        <f>D18*$C18</f>
        <v>32789732.565897997</v>
      </c>
      <c r="F18" s="81">
        <f>9.86%+8.71%+6.35%+1.14%+6.76%</f>
        <v>0.32819999999999999</v>
      </c>
      <c r="G18" s="58">
        <f>F18*$C18</f>
        <v>77199356.012393996</v>
      </c>
      <c r="H18" s="81">
        <v>0.46050000000000002</v>
      </c>
      <c r="I18" s="58">
        <f>H18*$C18</f>
        <v>108319023.289785</v>
      </c>
      <c r="J18" s="81">
        <v>7.2099999999999997E-2</v>
      </c>
      <c r="K18" s="58">
        <f>J18*$C18</f>
        <v>16959395.394556999</v>
      </c>
      <c r="L18" s="81"/>
      <c r="M18" s="58">
        <f>L18*$C18</f>
        <v>0</v>
      </c>
      <c r="N18" s="81">
        <v>-2.0000000000000001E-4</v>
      </c>
      <c r="O18" s="79">
        <f>N18*$C18</f>
        <v>-47044.092634000001</v>
      </c>
      <c r="S18" s="12">
        <f>E18-'Mar24'!E18</f>
        <v>6222114.2160739973</v>
      </c>
      <c r="T18" s="12">
        <f>G18-'Mar24'!G18</f>
        <v>2992443.139162004</v>
      </c>
      <c r="U18" s="12">
        <f>I18-'Mar24'!I18</f>
        <v>-12194125.791767031</v>
      </c>
      <c r="V18" s="12">
        <f>K18-'Mar24'!K18</f>
        <v>-1188907.2810270004</v>
      </c>
      <c r="W18" s="12">
        <f>+M18-'Mar24'!M18</f>
        <v>0</v>
      </c>
      <c r="Y18" s="28">
        <f>D18-'Mar24'!D18</f>
        <v>2.5800000000000003E-2</v>
      </c>
      <c r="Z18" s="28">
        <f>F18-'Mar24'!F18</f>
        <v>1.0900000000000021E-2</v>
      </c>
      <c r="AA18" s="28">
        <f>H18-'Mar24'!H18</f>
        <v>-5.4800000000000071E-2</v>
      </c>
      <c r="AB18" s="28">
        <f>J18-'Mar24'!J18</f>
        <v>-5.5000000000000049E-3</v>
      </c>
      <c r="AC18" s="28">
        <f>L18-'Mar24'!L18</f>
        <v>0</v>
      </c>
      <c r="AE18" s="10">
        <f>C18-'Mar24'!C18</f>
        <v>1350583.3299999833</v>
      </c>
      <c r="AF18" s="76">
        <f>C18/'Mar24'!C18-1</f>
        <v>5.7749348950961732E-3</v>
      </c>
    </row>
    <row r="19" spans="2:32" x14ac:dyDescent="0.25">
      <c r="B19" s="3" t="s">
        <v>26</v>
      </c>
      <c r="C19" s="78">
        <v>461783750.69</v>
      </c>
      <c r="D19" s="77">
        <v>0.24</v>
      </c>
      <c r="E19" s="57">
        <f>D19*$C19</f>
        <v>110828100.1656</v>
      </c>
      <c r="F19" s="77">
        <f>12%+2%</f>
        <v>0.13999999999999999</v>
      </c>
      <c r="G19" s="57">
        <f>F19*$C19</f>
        <v>64649725.096599996</v>
      </c>
      <c r="H19" s="77">
        <v>0.39</v>
      </c>
      <c r="I19" s="57">
        <f>H19*$C19</f>
        <v>180095662.76910001</v>
      </c>
      <c r="J19" s="77">
        <v>0.14000000000000001</v>
      </c>
      <c r="K19" s="57">
        <f>J19*$C19</f>
        <v>64649725.096600004</v>
      </c>
      <c r="L19" s="77">
        <v>0.09</v>
      </c>
      <c r="M19" s="57">
        <f>L19*$C19</f>
        <v>41560537.562100001</v>
      </c>
      <c r="N19" s="77"/>
      <c r="O19" s="57">
        <f>N19*$C19</f>
        <v>0</v>
      </c>
      <c r="S19" s="12">
        <f>E19-'Mar24'!E19</f>
        <v>29096885.441799998</v>
      </c>
      <c r="T19" s="12">
        <f>G19-'Mar24'!G19</f>
        <v>13030010.534199998</v>
      </c>
      <c r="U19" s="12">
        <f>I19-'Mar24'!I19</f>
        <v>-9176623.9596999884</v>
      </c>
      <c r="V19" s="12">
        <f>K19-'Mar24'!K19</f>
        <v>125081.89360000938</v>
      </c>
      <c r="W19" s="12">
        <f>+M19-'Mar24'!M19</f>
        <v>-1455891.2399000004</v>
      </c>
      <c r="Y19" s="28">
        <f>D19-'Mar24'!D19</f>
        <v>4.9999999999999989E-2</v>
      </c>
      <c r="Z19" s="28">
        <f>F19-'Mar24'!F19</f>
        <v>1.999999999999999E-2</v>
      </c>
      <c r="AA19" s="28">
        <f>H19-'Mar24'!H19</f>
        <v>-4.9999999999999989E-2</v>
      </c>
      <c r="AB19" s="28">
        <f>J19-'Mar24'!J19</f>
        <v>-9.9999999999999811E-3</v>
      </c>
      <c r="AC19" s="28">
        <f>L19-'Mar24'!L19</f>
        <v>-1.0000000000000009E-2</v>
      </c>
      <c r="AE19" s="10">
        <f>C19-'Mar24'!C19</f>
        <v>31619462.670000017</v>
      </c>
      <c r="AF19" s="76">
        <f>C19/'Mar24'!C19-1</f>
        <v>7.3505550206273584E-2</v>
      </c>
    </row>
    <row r="20" spans="2:32" x14ac:dyDescent="0.25">
      <c r="B20" s="3" t="s">
        <v>27</v>
      </c>
      <c r="C20" s="84">
        <f>359564591+366223901</f>
        <v>725788492</v>
      </c>
      <c r="D20" s="77">
        <v>9.8199999999999996E-2</v>
      </c>
      <c r="E20" s="57">
        <f t="shared" ref="E20:G26" si="5">D20*$C20</f>
        <v>71272429.914399996</v>
      </c>
      <c r="F20" s="77">
        <f>24.01%+2.23%</f>
        <v>0.26240000000000002</v>
      </c>
      <c r="G20" s="57">
        <f t="shared" si="5"/>
        <v>190446900.30080003</v>
      </c>
      <c r="H20" s="77">
        <v>0.5615</v>
      </c>
      <c r="I20" s="57">
        <f t="shared" ref="I20:I26" si="6">H20*$C20</f>
        <v>407530238.25800002</v>
      </c>
      <c r="J20" s="77">
        <v>5.0999999999999997E-2</v>
      </c>
      <c r="K20" s="57">
        <f t="shared" ref="K20:K26" si="7">J20*$C20</f>
        <v>37015213.092</v>
      </c>
      <c r="L20" s="77"/>
      <c r="M20" s="57">
        <f t="shared" ref="M20:M26" si="8">L20*$C20</f>
        <v>0</v>
      </c>
      <c r="N20" s="77">
        <v>2.7E-2</v>
      </c>
      <c r="O20" s="57">
        <f t="shared" ref="O20:O26" si="9">N20*$C20</f>
        <v>19596289.283999998</v>
      </c>
      <c r="S20" s="12">
        <f>E20-'Mar24'!E20</f>
        <v>31847203.815399997</v>
      </c>
      <c r="T20" s="12">
        <f>G20-'Mar24'!G20</f>
        <v>7690712.0288000405</v>
      </c>
      <c r="U20" s="12">
        <f>I20-'Mar24'!I20</f>
        <v>-46486243.977400064</v>
      </c>
      <c r="V20" s="12">
        <f>K20-'Mar24'!K20</f>
        <v>-4178621.2805999964</v>
      </c>
      <c r="W20" s="12">
        <f>+M20-'Mar24'!M20</f>
        <v>0</v>
      </c>
      <c r="Y20" s="28">
        <f>D20-'Mar24'!D20</f>
        <v>4.4699999999999997E-2</v>
      </c>
      <c r="Z20" s="28">
        <f>F20-'Mar24'!F20</f>
        <v>1.4400000000000024E-2</v>
      </c>
      <c r="AA20" s="28">
        <f>H20-'Mar24'!H20</f>
        <v>-5.4600000000000093E-2</v>
      </c>
      <c r="AB20" s="28">
        <f>J20-'Mar24'!J20</f>
        <v>-4.9000000000000016E-3</v>
      </c>
      <c r="AC20" s="28">
        <f>L20-'Mar24'!L20</f>
        <v>0</v>
      </c>
      <c r="AE20" s="10">
        <f>C20-'Mar24'!C20</f>
        <v>-11131622</v>
      </c>
      <c r="AF20" s="76">
        <f>C20/'Mar24'!C20-1</f>
        <v>-1.5105602070728641E-2</v>
      </c>
    </row>
    <row r="21" spans="2:32" x14ac:dyDescent="0.25">
      <c r="B21" s="3" t="s">
        <v>28</v>
      </c>
      <c r="C21" s="84">
        <v>1064443088</v>
      </c>
      <c r="D21" s="77">
        <v>0.13</v>
      </c>
      <c r="E21" s="57">
        <f t="shared" si="5"/>
        <v>138377601.44</v>
      </c>
      <c r="F21" s="77">
        <f>8%+8%+2%+1%</f>
        <v>0.19</v>
      </c>
      <c r="G21" s="57">
        <f t="shared" si="5"/>
        <v>202244186.72</v>
      </c>
      <c r="H21" s="77">
        <f>55%</f>
        <v>0.55000000000000004</v>
      </c>
      <c r="I21" s="57">
        <f t="shared" si="6"/>
        <v>585443698.4000001</v>
      </c>
      <c r="J21" s="77">
        <v>0.13</v>
      </c>
      <c r="K21" s="57">
        <f t="shared" si="7"/>
        <v>138377601.44</v>
      </c>
      <c r="L21" s="77"/>
      <c r="M21" s="57">
        <f t="shared" si="8"/>
        <v>0</v>
      </c>
      <c r="N21" s="77"/>
      <c r="O21" s="57">
        <f t="shared" si="9"/>
        <v>0</v>
      </c>
      <c r="S21" s="12">
        <f>E21-'Mar24'!E21</f>
        <v>905483.01999998093</v>
      </c>
      <c r="T21" s="12">
        <f>G21-'Mar24'!G21</f>
        <v>22472954.939999998</v>
      </c>
      <c r="U21" s="12">
        <f>I21-'Mar24'!I21</f>
        <v>-17318666.980000019</v>
      </c>
      <c r="V21" s="12">
        <f>K21-'Mar24'!K21</f>
        <v>905483.01999998093</v>
      </c>
      <c r="W21" s="12">
        <f>+M21-'Mar24'!M21</f>
        <v>0</v>
      </c>
      <c r="Y21" s="28">
        <f>D21-'Mar24'!D21</f>
        <v>0</v>
      </c>
      <c r="Z21" s="28">
        <f>F21-'Mar24'!F21</f>
        <v>1.999999999999999E-2</v>
      </c>
      <c r="AA21" s="28">
        <f>H21-'Mar24'!H21</f>
        <v>-2.0000000000000018E-2</v>
      </c>
      <c r="AB21" s="28">
        <f>J21-'Mar24'!J21</f>
        <v>0</v>
      </c>
      <c r="AC21" s="28">
        <f>L21-'Mar24'!L21</f>
        <v>0</v>
      </c>
      <c r="AE21" s="10">
        <f>C21-'Mar24'!C21</f>
        <v>6965254</v>
      </c>
      <c r="AF21" s="76">
        <f>C21/'Mar24'!C21-1</f>
        <v>6.5866666667171447E-3</v>
      </c>
    </row>
    <row r="22" spans="2:32" x14ac:dyDescent="0.25">
      <c r="B22" s="3" t="s">
        <v>32</v>
      </c>
      <c r="C22" s="84">
        <v>258020000</v>
      </c>
      <c r="D22" s="77">
        <v>0.12</v>
      </c>
      <c r="E22" s="57">
        <f t="shared" si="5"/>
        <v>30962400</v>
      </c>
      <c r="F22" s="77">
        <f>13%+5%</f>
        <v>0.18</v>
      </c>
      <c r="G22" s="57">
        <f t="shared" si="5"/>
        <v>46443600</v>
      </c>
      <c r="H22" s="77">
        <v>0.56999999999999995</v>
      </c>
      <c r="I22" s="57">
        <f t="shared" si="6"/>
        <v>147071400</v>
      </c>
      <c r="J22" s="77">
        <v>0.13</v>
      </c>
      <c r="K22" s="57">
        <f t="shared" si="7"/>
        <v>33542600</v>
      </c>
      <c r="L22" s="77"/>
      <c r="M22" s="57">
        <f t="shared" si="8"/>
        <v>0</v>
      </c>
      <c r="N22" s="77"/>
      <c r="O22" s="57">
        <f t="shared" si="9"/>
        <v>0</v>
      </c>
      <c r="S22" s="12">
        <f>E22-'Mar24'!E22</f>
        <v>9977255.8231999986</v>
      </c>
      <c r="T22" s="12">
        <f>G22-'Mar24'!G22</f>
        <v>12342740.712699994</v>
      </c>
      <c r="U22" s="12">
        <f>I22-'Mar24'!I22</f>
        <v>-26056039.458599985</v>
      </c>
      <c r="V22" s="12">
        <f>K22-'Mar24'!K22</f>
        <v>-558259.28730000556</v>
      </c>
      <c r="W22" s="12">
        <f>+M22-'Mar24'!M22</f>
        <v>0</v>
      </c>
      <c r="Y22" s="28">
        <f>D22-'Mar24'!D22</f>
        <v>3.9999999999999994E-2</v>
      </c>
      <c r="Z22" s="28">
        <f>F22-'Mar24'!F22</f>
        <v>4.9999999999999989E-2</v>
      </c>
      <c r="AA22" s="28">
        <f>H22-'Mar24'!H22</f>
        <v>-8.9999999999999969E-2</v>
      </c>
      <c r="AB22" s="28">
        <f>J22-'Mar24'!J22</f>
        <v>0</v>
      </c>
      <c r="AC22" s="28">
        <f>L22-'Mar24'!L22</f>
        <v>0</v>
      </c>
      <c r="AE22" s="10">
        <f>C22-'Mar24'!C22</f>
        <v>-4294302.2100000083</v>
      </c>
      <c r="AF22" s="76">
        <f>C22/'Mar24'!C22-1</f>
        <v>-1.6370827567618207E-2</v>
      </c>
    </row>
    <row r="23" spans="2:32" x14ac:dyDescent="0.25">
      <c r="B23" s="3" t="s">
        <v>33</v>
      </c>
      <c r="C23" s="84">
        <v>720200000</v>
      </c>
      <c r="D23" s="77">
        <v>0.33</v>
      </c>
      <c r="E23" s="57">
        <f t="shared" si="5"/>
        <v>237666000</v>
      </c>
      <c r="F23" s="77">
        <v>0.18</v>
      </c>
      <c r="G23" s="57">
        <f t="shared" si="5"/>
        <v>129636000</v>
      </c>
      <c r="H23" s="77">
        <v>0.48</v>
      </c>
      <c r="I23" s="57">
        <f t="shared" si="6"/>
        <v>345696000</v>
      </c>
      <c r="J23" s="77">
        <v>0.01</v>
      </c>
      <c r="K23" s="57">
        <f t="shared" si="7"/>
        <v>7202000</v>
      </c>
      <c r="L23" s="77"/>
      <c r="M23" s="57">
        <f t="shared" si="8"/>
        <v>0</v>
      </c>
      <c r="N23" s="77"/>
      <c r="O23" s="57">
        <f t="shared" si="9"/>
        <v>0</v>
      </c>
      <c r="S23" s="12">
        <f>E23-'Mar24'!E23</f>
        <v>76866000</v>
      </c>
      <c r="T23" s="12">
        <f>G23-'Mar24'!G23</f>
        <v>2336000</v>
      </c>
      <c r="U23" s="12">
        <f>I23-'Mar24'!I23</f>
        <v>-22804000</v>
      </c>
      <c r="V23" s="12">
        <f>K23-'Mar24'!K23</f>
        <v>-6198000</v>
      </c>
      <c r="W23" s="12">
        <f>+M23-'Mar24'!M23</f>
        <v>0</v>
      </c>
      <c r="Y23" s="28">
        <f>D23-'Mar24'!D23</f>
        <v>9.0000000000000024E-2</v>
      </c>
      <c r="Z23" s="28">
        <f>F23-'Mar24'!F23</f>
        <v>-1.0000000000000009E-2</v>
      </c>
      <c r="AA23" s="28">
        <f>H23-'Mar24'!H23</f>
        <v>-7.0000000000000062E-2</v>
      </c>
      <c r="AB23" s="28">
        <f>J23-'Mar24'!J23</f>
        <v>-0.01</v>
      </c>
      <c r="AC23" s="28">
        <f>L23-'Mar24'!L23</f>
        <v>0</v>
      </c>
      <c r="AE23" s="10">
        <f>C23-'Mar24'!C23</f>
        <v>50200000</v>
      </c>
      <c r="AF23" s="76">
        <f>C23/'Mar24'!C23-1</f>
        <v>7.4925373134328455E-2</v>
      </c>
    </row>
    <row r="24" spans="2:32" x14ac:dyDescent="0.25">
      <c r="B24" s="3" t="s">
        <v>34</v>
      </c>
      <c r="C24" s="84">
        <v>223197480</v>
      </c>
      <c r="D24" s="77">
        <v>0.2162</v>
      </c>
      <c r="E24" s="57">
        <f t="shared" si="5"/>
        <v>48255295.175999999</v>
      </c>
      <c r="F24" s="77">
        <v>0.15720000000000001</v>
      </c>
      <c r="G24" s="57">
        <f t="shared" si="5"/>
        <v>35086643.855999999</v>
      </c>
      <c r="H24" s="77">
        <v>0.50680000000000003</v>
      </c>
      <c r="I24" s="57">
        <f t="shared" si="6"/>
        <v>113116482.86400001</v>
      </c>
      <c r="J24" s="77">
        <v>0.1193</v>
      </c>
      <c r="K24" s="57">
        <f t="shared" si="7"/>
        <v>26627459.364</v>
      </c>
      <c r="L24" s="77"/>
      <c r="M24" s="57">
        <f t="shared" si="8"/>
        <v>0</v>
      </c>
      <c r="N24" s="77">
        <v>5.0000000000000001E-4</v>
      </c>
      <c r="O24" s="57">
        <f t="shared" si="9"/>
        <v>111598.74</v>
      </c>
      <c r="S24" s="12">
        <f>E24-'Mar24'!E24</f>
        <v>9929871.1664000005</v>
      </c>
      <c r="T24" s="12">
        <f>G24-'Mar24'!G24</f>
        <v>-1492645.1811999977</v>
      </c>
      <c r="U24" s="12">
        <f>I24-'Mar24'!I24</f>
        <v>-4210355.4737999886</v>
      </c>
      <c r="V24" s="12">
        <f>K24-'Mar24'!K24</f>
        <v>-4892515.5224000029</v>
      </c>
      <c r="W24" s="12">
        <f>+M24-'Mar24'!M24</f>
        <v>0</v>
      </c>
      <c r="Y24" s="28">
        <f>D24-'Mar24'!D24</f>
        <v>4.5000000000000012E-2</v>
      </c>
      <c r="Z24" s="28">
        <f>F24-'Mar24'!F24</f>
        <v>-6.1999999999999833E-3</v>
      </c>
      <c r="AA24" s="28">
        <f>H24-'Mar24'!H24</f>
        <v>-1.7299999999999982E-2</v>
      </c>
      <c r="AB24" s="28">
        <f>J24-'Mar24'!J24</f>
        <v>-2.1500000000000005E-2</v>
      </c>
      <c r="AC24" s="28">
        <f>L24-'Mar24'!L24</f>
        <v>0</v>
      </c>
      <c r="AE24" s="10">
        <f>C24-'Mar24'!C24</f>
        <v>-665978</v>
      </c>
      <c r="AF24" s="76">
        <f>C24/'Mar24'!C24-1</f>
        <v>-2.97492947687783E-3</v>
      </c>
    </row>
    <row r="25" spans="2:32" x14ac:dyDescent="0.25">
      <c r="B25" s="3" t="s">
        <v>35</v>
      </c>
      <c r="C25" s="84">
        <v>301692991</v>
      </c>
      <c r="D25" s="77">
        <v>0.19</v>
      </c>
      <c r="E25" s="57">
        <f t="shared" si="5"/>
        <v>57321668.289999999</v>
      </c>
      <c r="F25" s="77">
        <f>40%+5.6%+0.8%</f>
        <v>0.46400000000000002</v>
      </c>
      <c r="G25" s="57">
        <f t="shared" si="5"/>
        <v>139985547.824</v>
      </c>
      <c r="H25" s="77">
        <v>0.311</v>
      </c>
      <c r="I25" s="57">
        <f t="shared" si="6"/>
        <v>93826520.201000005</v>
      </c>
      <c r="J25" s="77">
        <v>3.5999999999999997E-2</v>
      </c>
      <c r="K25" s="57">
        <f t="shared" si="7"/>
        <v>10860947.675999999</v>
      </c>
      <c r="L25" s="77"/>
      <c r="M25" s="57">
        <f t="shared" si="8"/>
        <v>0</v>
      </c>
      <c r="N25" s="77"/>
      <c r="O25" s="57">
        <f t="shared" si="9"/>
        <v>0</v>
      </c>
      <c r="S25" s="12">
        <f>E25-'Mar24'!E25</f>
        <v>20107917.012999997</v>
      </c>
      <c r="T25" s="12">
        <f>G25-'Mar24'!G25</f>
        <v>10688134.627999991</v>
      </c>
      <c r="U25" s="12">
        <f>I25-'Mar24'!I25</f>
        <v>-2603273.2539999932</v>
      </c>
      <c r="V25" s="12">
        <f>K25-'Mar24'!K25</f>
        <v>2168684.6039999984</v>
      </c>
      <c r="W25" s="12">
        <f>+M25-'Mar24'!M25</f>
        <v>0</v>
      </c>
      <c r="Y25" s="28">
        <f>D25-'Mar24'!D25</f>
        <v>5.2999999999999992E-2</v>
      </c>
      <c r="Z25" s="28">
        <f>F25-'Mar24'!F25</f>
        <v>-1.2000000000000011E-2</v>
      </c>
      <c r="AA25" s="28">
        <f>H25-'Mar24'!H25</f>
        <v>-4.3999999999999984E-2</v>
      </c>
      <c r="AB25" s="28">
        <f>J25-'Mar24'!J25</f>
        <v>3.9999999999999966E-3</v>
      </c>
      <c r="AC25" s="28">
        <f>L25-'Mar24'!L25</f>
        <v>0</v>
      </c>
      <c r="AE25" s="10">
        <f>C25-'Mar24'!C25</f>
        <v>30059770</v>
      </c>
      <c r="AF25" s="76">
        <f>C25/'Mar24'!C25-1</f>
        <v>0.11066308417408188</v>
      </c>
    </row>
    <row r="26" spans="2:32" x14ac:dyDescent="0.25">
      <c r="B26" s="3" t="s">
        <v>36</v>
      </c>
      <c r="C26" s="84">
        <v>544630000</v>
      </c>
      <c r="D26" s="85">
        <v>0.15</v>
      </c>
      <c r="E26" s="57">
        <f t="shared" si="5"/>
        <v>81694500</v>
      </c>
      <c r="F26" s="85">
        <f>4%+18%</f>
        <v>0.22</v>
      </c>
      <c r="G26" s="57">
        <f t="shared" si="5"/>
        <v>119818600</v>
      </c>
      <c r="H26" s="85">
        <v>0.56000000000000005</v>
      </c>
      <c r="I26" s="57">
        <f t="shared" si="6"/>
        <v>304992800</v>
      </c>
      <c r="J26" s="85">
        <v>7.0000000000000007E-2</v>
      </c>
      <c r="K26" s="57">
        <f t="shared" si="7"/>
        <v>38124100</v>
      </c>
      <c r="L26" s="85"/>
      <c r="M26" s="57">
        <f t="shared" si="8"/>
        <v>0</v>
      </c>
      <c r="N26" s="85"/>
      <c r="O26" s="57">
        <f t="shared" si="9"/>
        <v>0</v>
      </c>
      <c r="S26" s="12">
        <f>E26-'Mar24'!E26</f>
        <v>10364500</v>
      </c>
      <c r="T26" s="12">
        <f>G26-'Mar24'!G26</f>
        <v>23013600</v>
      </c>
      <c r="U26" s="12">
        <f>I26-'Mar24'!I26</f>
        <v>-707200</v>
      </c>
      <c r="V26" s="12">
        <f>K26-'Mar24'!K26</f>
        <v>2459100</v>
      </c>
      <c r="W26" s="12">
        <f>+M26-'Mar24'!M26</f>
        <v>0</v>
      </c>
      <c r="Y26" s="28">
        <f>D26-'Mar24'!D26</f>
        <v>9.9999999999999811E-3</v>
      </c>
      <c r="Z26" s="28">
        <f>F26-'Mar24'!F26</f>
        <v>0.03</v>
      </c>
      <c r="AA26" s="28">
        <f>H26-'Mar24'!H26</f>
        <v>-3.9999999999999925E-2</v>
      </c>
      <c r="AB26" s="28">
        <f>J26-'Mar24'!J26</f>
        <v>0</v>
      </c>
      <c r="AC26" s="28">
        <f>L26-'Mar24'!L26</f>
        <v>0</v>
      </c>
      <c r="AE26" s="10">
        <f>C26-'Mar24'!C26</f>
        <v>35130000</v>
      </c>
      <c r="AF26" s="76">
        <f>C26/'Mar24'!C26-1</f>
        <v>6.8949950932286619E-2</v>
      </c>
    </row>
    <row r="27" spans="2:32" s="8" customFormat="1" x14ac:dyDescent="0.25">
      <c r="B27" s="21" t="s">
        <v>45</v>
      </c>
      <c r="C27" s="20">
        <f>SUM(C18:C26)</f>
        <v>4534976264.8600006</v>
      </c>
      <c r="D27" s="15">
        <f>+E27/$C27</f>
        <v>0.17842821666385894</v>
      </c>
      <c r="E27" s="63">
        <f>SUM(E18:E26)</f>
        <v>809167727.55189788</v>
      </c>
      <c r="F27" s="15">
        <f>+G27/$C27</f>
        <v>0.22172344486147716</v>
      </c>
      <c r="G27" s="62">
        <f>SUM(G18:G26)</f>
        <v>1005510559.8097939</v>
      </c>
      <c r="H27" s="15">
        <f>+I27/$C27</f>
        <v>0.50410226917746814</v>
      </c>
      <c r="I27" s="63">
        <f>SUM(I18:I26)</f>
        <v>2286091825.7818851</v>
      </c>
      <c r="J27" s="15">
        <f>+K27/$C27</f>
        <v>8.2328775335868937E-2</v>
      </c>
      <c r="K27" s="63">
        <f>SUM(K18:K26)</f>
        <v>373359042.06315702</v>
      </c>
      <c r="L27" s="15">
        <f>+M27/$C27</f>
        <v>9.1644443399050545E-3</v>
      </c>
      <c r="M27" s="63">
        <f>SUM(M18:M26)</f>
        <v>41560537.562100001</v>
      </c>
      <c r="N27" s="15">
        <f>+O27/$C27</f>
        <v>4.3353796763416904E-3</v>
      </c>
      <c r="O27" s="17">
        <f>SUM(O18:O26)</f>
        <v>19660843.931365997</v>
      </c>
      <c r="S27" s="12">
        <f>E27-'Mar24'!E27</f>
        <v>195317230.49587393</v>
      </c>
      <c r="T27" s="12">
        <f>G27-'Mar24'!G27</f>
        <v>93073950.801662087</v>
      </c>
      <c r="U27" s="12">
        <f>I27-'Mar24'!I27</f>
        <v>-141556528.89526701</v>
      </c>
      <c r="V27" s="12">
        <f>K27-'Mar24'!K27</f>
        <v>-11357953.853726983</v>
      </c>
      <c r="W27" s="12">
        <f>+M27-'Mar24'!M27</f>
        <v>-1455891.2399000004</v>
      </c>
      <c r="Y27" s="28">
        <f>D27-'Mar24'!D27</f>
        <v>3.8781635073322301E-2</v>
      </c>
      <c r="Z27" s="28">
        <f>F27-'Mar24'!F27</f>
        <v>1.4150666184688659E-2</v>
      </c>
      <c r="AA27" s="28">
        <f>H27-'Mar24'!H27</f>
        <v>-4.8170304780575712E-2</v>
      </c>
      <c r="AB27" s="28">
        <f>J27-'Mar24'!J27</f>
        <v>-5.1915795668820153E-3</v>
      </c>
      <c r="AC27" s="28">
        <f>L27-'Mar24'!L27</f>
        <v>-6.214844216444488E-4</v>
      </c>
      <c r="AE27" s="10">
        <f>C27-'Mar24'!C27</f>
        <v>139233167.79000092</v>
      </c>
      <c r="AF27" s="76">
        <f>C27/'Mar24'!C27-1</f>
        <v>3.1674546195114894E-2</v>
      </c>
    </row>
    <row r="28" spans="2:32" x14ac:dyDescent="0.25">
      <c r="C28" s="10"/>
      <c r="D28" s="10"/>
      <c r="E28" s="10"/>
      <c r="F28" s="5"/>
      <c r="G28" s="10"/>
      <c r="H28" s="10"/>
      <c r="I28" s="10"/>
      <c r="J28" s="5"/>
      <c r="K28" s="10"/>
    </row>
    <row r="29" spans="2:32" x14ac:dyDescent="0.25">
      <c r="B29" s="4" t="s">
        <v>38</v>
      </c>
      <c r="C29" s="9" t="s">
        <v>4</v>
      </c>
      <c r="D29" s="113" t="s">
        <v>7</v>
      </c>
      <c r="E29" s="113"/>
      <c r="F29" s="112" t="s">
        <v>8</v>
      </c>
      <c r="G29" s="112"/>
      <c r="H29" s="112" t="s">
        <v>10</v>
      </c>
      <c r="I29" s="112"/>
      <c r="J29" s="112" t="s">
        <v>9</v>
      </c>
      <c r="K29" s="112"/>
      <c r="L29" s="112" t="s">
        <v>40</v>
      </c>
      <c r="M29" s="112"/>
      <c r="N29" s="112" t="s">
        <v>55</v>
      </c>
      <c r="O29" s="112"/>
      <c r="S29" s="27" t="s">
        <v>49</v>
      </c>
      <c r="T29" s="27" t="s">
        <v>50</v>
      </c>
      <c r="U29" s="27" t="s">
        <v>51</v>
      </c>
      <c r="V29" s="27" t="s">
        <v>52</v>
      </c>
      <c r="W29" s="27" t="s">
        <v>54</v>
      </c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</row>
    <row r="30" spans="2:32" x14ac:dyDescent="0.25">
      <c r="B30" s="21" t="s">
        <v>39</v>
      </c>
      <c r="C30" s="87">
        <v>220166260.06999999</v>
      </c>
      <c r="D30" s="81">
        <f>6.1%+2.7%</f>
        <v>8.7999999999999995E-2</v>
      </c>
      <c r="E30" s="80">
        <f>$C30*D30</f>
        <v>19374630.886159997</v>
      </c>
      <c r="F30" s="81">
        <f>10.4%+7.2%+2.1%+1.1%</f>
        <v>0.20800000000000002</v>
      </c>
      <c r="G30" s="80">
        <f>$C30*F30</f>
        <v>45794582.094560005</v>
      </c>
      <c r="H30" s="81">
        <f>55.6%+6.5%</f>
        <v>0.621</v>
      </c>
      <c r="I30" s="80">
        <f>$C30*H30</f>
        <v>136723247.50347</v>
      </c>
      <c r="J30" s="81">
        <v>0.11799999999999999</v>
      </c>
      <c r="K30" s="80">
        <f>$C30*J30</f>
        <v>25979618.688259996</v>
      </c>
      <c r="L30" s="88">
        <v>0.05</v>
      </c>
      <c r="M30" s="80">
        <f>$C30*L30</f>
        <v>11008313.0035</v>
      </c>
      <c r="N30" s="81">
        <f>-0.6%-12.9%+3%</f>
        <v>-0.10500000000000001</v>
      </c>
      <c r="O30" s="65">
        <f>$C30*N30</f>
        <v>-23117457.307350002</v>
      </c>
      <c r="S30" s="12">
        <f>E30-'Mar24'!E30</f>
        <v>5026594.7296399977</v>
      </c>
      <c r="T30" s="12">
        <f>G30-'Mar24'!G30</f>
        <v>2533079.1377800032</v>
      </c>
      <c r="U30" s="12">
        <f>I30-'Mar24'!I30</f>
        <v>-9365847.9083699882</v>
      </c>
      <c r="V30" s="12">
        <f>K30-'Mar24'!K30</f>
        <v>-107719.778140001</v>
      </c>
      <c r="W30" s="12">
        <f>+M30-'Mar24'!M30</f>
        <v>355983.12971999869</v>
      </c>
      <c r="Y30" s="28">
        <f>D30-'Mar24'!D30</f>
        <v>2.1999999999999992E-2</v>
      </c>
      <c r="Z30" s="28">
        <f>F30-'Mar24'!F30</f>
        <v>9.000000000000008E-3</v>
      </c>
      <c r="AA30" s="28">
        <f>H30-'Mar24'!H30</f>
        <v>-5.0999999999999934E-2</v>
      </c>
      <c r="AB30" s="28">
        <f>J30-'Mar24'!J30</f>
        <v>-2.0000000000000018E-3</v>
      </c>
      <c r="AC30" s="28">
        <f>L30-'Mar24'!L30</f>
        <v>1.0000000000000009E-3</v>
      </c>
      <c r="AE30" s="10">
        <f>C30-'Mar24'!C30</f>
        <v>2771772.849999994</v>
      </c>
      <c r="AF30" s="76">
        <f>C30/'Mar24'!C30-1</f>
        <v>1.2749968435009196E-2</v>
      </c>
    </row>
    <row r="31" spans="2:32" hidden="1" outlineLevel="1" x14ac:dyDescent="0.25">
      <c r="B31" s="3" t="s">
        <v>56</v>
      </c>
      <c r="C31" s="78"/>
      <c r="D31" s="77"/>
      <c r="E31" s="78"/>
      <c r="F31" s="77"/>
      <c r="G31" s="78"/>
      <c r="H31" s="77"/>
      <c r="I31" s="78"/>
      <c r="J31" s="77"/>
      <c r="K31" s="78"/>
      <c r="L31" s="77"/>
      <c r="M31" s="78"/>
      <c r="N31" s="77"/>
      <c r="O31" s="72"/>
      <c r="S31" s="12">
        <f>E31-'Mar24'!E31</f>
        <v>0</v>
      </c>
      <c r="T31" s="12">
        <f>G31-'Mar24'!G31</f>
        <v>0</v>
      </c>
      <c r="U31" s="12">
        <f>I31-'Mar24'!I31</f>
        <v>0</v>
      </c>
      <c r="V31" s="12">
        <f>K31-'Mar24'!K31</f>
        <v>0</v>
      </c>
      <c r="W31" s="12">
        <f>+M31-'Mar24'!M31</f>
        <v>0</v>
      </c>
      <c r="Y31" s="28">
        <f>D31-'Mar24'!D31</f>
        <v>0</v>
      </c>
      <c r="Z31" s="28">
        <f>F31-'Mar24'!F31</f>
        <v>0</v>
      </c>
      <c r="AA31" s="28">
        <f>H31-'Mar24'!H31</f>
        <v>0</v>
      </c>
      <c r="AB31" s="28">
        <f>J31-'Mar24'!J31</f>
        <v>0</v>
      </c>
      <c r="AC31" s="28">
        <f>L31-'Mar24'!L31</f>
        <v>0</v>
      </c>
      <c r="AE31" s="10">
        <f>C31-'Mar24'!C31</f>
        <v>0</v>
      </c>
      <c r="AF31" s="76" t="e">
        <f>C31/'Mar24'!C31-1</f>
        <v>#DIV/0!</v>
      </c>
    </row>
    <row r="32" spans="2:32" collapsed="1" x14ac:dyDescent="0.25">
      <c r="B32" s="3" t="s">
        <v>42</v>
      </c>
      <c r="C32" s="84">
        <v>254157017</v>
      </c>
      <c r="D32" s="77">
        <v>0.05</v>
      </c>
      <c r="E32" s="78">
        <f>$C32*D32</f>
        <v>12707850.850000001</v>
      </c>
      <c r="F32" s="77">
        <v>0.11</v>
      </c>
      <c r="G32" s="78">
        <f>$C32*F32</f>
        <v>27957271.870000001</v>
      </c>
      <c r="H32" s="77">
        <f>48%+13%</f>
        <v>0.61</v>
      </c>
      <c r="I32" s="78">
        <f>$C32*H32</f>
        <v>155035780.37</v>
      </c>
      <c r="J32" s="77">
        <v>0.05</v>
      </c>
      <c r="K32" s="78">
        <f>$C32*J32</f>
        <v>12707850.850000001</v>
      </c>
      <c r="L32" s="77">
        <v>0.12</v>
      </c>
      <c r="M32" s="78">
        <f>$C32*L32</f>
        <v>30498842.039999999</v>
      </c>
      <c r="N32" s="77">
        <v>0.06</v>
      </c>
      <c r="O32" s="72">
        <f>$C32*N32</f>
        <v>15249421.02</v>
      </c>
      <c r="S32" s="12">
        <f>E32-'Mar24'!E32</f>
        <v>4966071.4300000016</v>
      </c>
      <c r="T32" s="12">
        <f>G32-'Mar24'!G32</f>
        <v>-429252.66999999806</v>
      </c>
      <c r="U32" s="12">
        <f>I32-'Mar24'!I32</f>
        <v>-4960994.3100000024</v>
      </c>
      <c r="V32" s="12">
        <f>K32-'Mar24'!K32</f>
        <v>2385478.290000001</v>
      </c>
      <c r="W32" s="12">
        <f>+M32-'Mar24'!M32</f>
        <v>-5629461.9200000018</v>
      </c>
      <c r="Y32" s="28">
        <f>D32-'Mar24'!D32</f>
        <v>2.0000000000000004E-2</v>
      </c>
      <c r="Z32" s="28">
        <f>F32-'Mar24'!F32</f>
        <v>0</v>
      </c>
      <c r="AA32" s="28">
        <f>H32-'Mar24'!H32</f>
        <v>-1.0000000000000009E-2</v>
      </c>
      <c r="AB32" s="28">
        <f>J32-'Mar24'!J32</f>
        <v>1.0000000000000002E-2</v>
      </c>
      <c r="AC32" s="28">
        <f>L32-'Mar24'!L32</f>
        <v>-2.0000000000000018E-2</v>
      </c>
      <c r="AE32" s="10">
        <f>C32-'Mar24'!C32</f>
        <v>-3902297</v>
      </c>
      <c r="AF32" s="76">
        <f>C32/'Mar24'!C32-1</f>
        <v>-1.5121705702124011E-2</v>
      </c>
    </row>
    <row r="33" spans="2:32" x14ac:dyDescent="0.25">
      <c r="B33" s="3" t="s">
        <v>43</v>
      </c>
      <c r="C33" s="84">
        <v>503801004</v>
      </c>
      <c r="D33" s="77">
        <v>0.09</v>
      </c>
      <c r="E33" s="78">
        <f t="shared" ref="E33:E34" si="10">$C33*D33</f>
        <v>45342090.359999999</v>
      </c>
      <c r="F33" s="77">
        <f>11%+1%+1%</f>
        <v>0.13</v>
      </c>
      <c r="G33" s="78">
        <f t="shared" ref="G33:G34" si="11">$C33*F33</f>
        <v>65494130.520000003</v>
      </c>
      <c r="H33" s="77">
        <f>58%+2%</f>
        <v>0.6</v>
      </c>
      <c r="I33" s="78">
        <f>$C33*H33</f>
        <v>302280602.39999998</v>
      </c>
      <c r="J33" s="77">
        <v>0.17</v>
      </c>
      <c r="K33" s="78">
        <f t="shared" ref="K33:K34" si="12">$C33*J33</f>
        <v>85646170.680000007</v>
      </c>
      <c r="L33" s="77"/>
      <c r="M33" s="78">
        <f t="shared" ref="M33:M34" si="13">$C33*L33</f>
        <v>0</v>
      </c>
      <c r="N33" s="77">
        <v>0.01</v>
      </c>
      <c r="O33" s="57"/>
      <c r="S33" s="12">
        <f>E33-'Mar24'!E33</f>
        <v>-2296072.3500000015</v>
      </c>
      <c r="T33" s="12">
        <f>G33-'Mar24'!G33</f>
        <v>-3316548.9499999955</v>
      </c>
      <c r="U33" s="12">
        <f>I33-'Mar24'!I33</f>
        <v>-20600278.189999998</v>
      </c>
      <c r="V33" s="12">
        <f>K33-'Mar24'!K33</f>
        <v>-4337025.549999997</v>
      </c>
      <c r="W33" s="12">
        <f>+M33-'Mar24'!M33</f>
        <v>0</v>
      </c>
      <c r="Y33" s="28">
        <f>D33-'Mar24'!D33</f>
        <v>0</v>
      </c>
      <c r="Z33" s="28">
        <f>F33-'Mar24'!F33</f>
        <v>0</v>
      </c>
      <c r="AA33" s="28">
        <f>H33-'Mar24'!H33</f>
        <v>-1.0000000000000009E-2</v>
      </c>
      <c r="AB33" s="28">
        <f>J33-'Mar24'!J33</f>
        <v>0</v>
      </c>
      <c r="AC33" s="28">
        <f>L33-'Mar24'!L33</f>
        <v>0</v>
      </c>
      <c r="AE33" s="10">
        <f>C33-'Mar24'!C33</f>
        <v>-25511915</v>
      </c>
      <c r="AF33" s="76">
        <f>C33/'Mar24'!C33-1</f>
        <v>-4.8198171788812916E-2</v>
      </c>
    </row>
    <row r="34" spans="2:32" x14ac:dyDescent="0.25">
      <c r="B34" s="3" t="s">
        <v>44</v>
      </c>
      <c r="C34" s="84">
        <v>19800000</v>
      </c>
      <c r="D34" s="77">
        <v>0.31</v>
      </c>
      <c r="E34" s="78">
        <f t="shared" si="10"/>
        <v>6138000</v>
      </c>
      <c r="F34" s="77"/>
      <c r="G34" s="78">
        <f t="shared" si="11"/>
        <v>0</v>
      </c>
      <c r="H34" s="77">
        <v>0.47</v>
      </c>
      <c r="I34" s="78">
        <f>$C34*H34</f>
        <v>9306000</v>
      </c>
      <c r="J34" s="77">
        <v>0.02</v>
      </c>
      <c r="K34" s="78">
        <f t="shared" si="12"/>
        <v>396000</v>
      </c>
      <c r="L34" s="77">
        <v>0.2</v>
      </c>
      <c r="M34" s="78">
        <f t="shared" si="13"/>
        <v>3960000</v>
      </c>
      <c r="N34" s="77"/>
      <c r="O34" s="57"/>
      <c r="S34" s="12">
        <f>E34-'Mar24'!E34</f>
        <v>2418000</v>
      </c>
      <c r="T34" s="12">
        <f>G34-'Mar24'!G34</f>
        <v>0</v>
      </c>
      <c r="U34" s="12">
        <f>I34-'Mar24'!I34</f>
        <v>-1296000</v>
      </c>
      <c r="V34" s="12">
        <f>K34-'Mar24'!K34</f>
        <v>-720000</v>
      </c>
      <c r="W34" s="12">
        <f>+M34-'Mar24'!M34</f>
        <v>798000</v>
      </c>
      <c r="Y34" s="28">
        <f>D34-'Mar24'!D34</f>
        <v>0.10999999999999999</v>
      </c>
      <c r="Z34" s="28">
        <f>F34-'Mar24'!F34</f>
        <v>0</v>
      </c>
      <c r="AA34" s="28">
        <f>H34-'Mar24'!H34</f>
        <v>-9.9999999999999978E-2</v>
      </c>
      <c r="AB34" s="28">
        <f>J34-'Mar24'!J34</f>
        <v>-3.9999999999999994E-2</v>
      </c>
      <c r="AC34" s="28">
        <f>L34-'Mar24'!L34</f>
        <v>0.03</v>
      </c>
      <c r="AE34" s="10">
        <f>C34-'Mar24'!C34</f>
        <v>1200000</v>
      </c>
      <c r="AF34" s="76">
        <f>C34/'Mar24'!C34-1</f>
        <v>6.4516129032258007E-2</v>
      </c>
    </row>
    <row r="35" spans="2:32" s="8" customFormat="1" x14ac:dyDescent="0.25">
      <c r="B35" s="3" t="s">
        <v>45</v>
      </c>
      <c r="C35" s="17">
        <f>SUM(C30:C34)</f>
        <v>997924281.06999993</v>
      </c>
      <c r="D35" s="15">
        <f>+E35/$C35</f>
        <v>8.3736385296249202E-2</v>
      </c>
      <c r="E35" s="17">
        <f>SUM(E30:E34)</f>
        <v>83562572.096159995</v>
      </c>
      <c r="F35" s="15">
        <f>+G35/$C35</f>
        <v>0.13953562121492516</v>
      </c>
      <c r="G35" s="17">
        <f>SUM(G30:G34)</f>
        <v>139245984.48456001</v>
      </c>
      <c r="H35" s="15">
        <f>+I35/$C35</f>
        <v>0.6046006112072424</v>
      </c>
      <c r="I35" s="17">
        <f>SUM(I30:I34)</f>
        <v>603345630.27346992</v>
      </c>
      <c r="J35" s="15">
        <f>+K35/$C35</f>
        <v>0.12498908242268812</v>
      </c>
      <c r="K35" s="17">
        <f>SUM(K30:K34)</f>
        <v>124729640.21826001</v>
      </c>
      <c r="L35" s="15">
        <f>+M35/$C35</f>
        <v>4.5561728385593497E-2</v>
      </c>
      <c r="M35" s="17">
        <f>SUM(M30:M34)</f>
        <v>45467155.043499999</v>
      </c>
      <c r="N35" s="15">
        <f>+O35/$C35</f>
        <v>-7.8844020900199884E-3</v>
      </c>
      <c r="O35" s="63">
        <f>SUM(O30:O34)</f>
        <v>-7868036.2873500027</v>
      </c>
      <c r="S35" s="12">
        <f>E35-'Mar24'!E35</f>
        <v>10114593.80963999</v>
      </c>
      <c r="T35" s="12">
        <f>G35-'Mar24'!G35</f>
        <v>-1212722.4822199941</v>
      </c>
      <c r="U35" s="12">
        <f>I35-'Mar24'!I35</f>
        <v>-36223120.408370018</v>
      </c>
      <c r="V35" s="12">
        <f>K35-'Mar24'!K35</f>
        <v>-2779267.0381399989</v>
      </c>
      <c r="W35" s="12">
        <f>+M35-'Mar24'!M35</f>
        <v>-4475478.7902800068</v>
      </c>
      <c r="Y35" s="28">
        <f>D35-'Mar24'!D35</f>
        <v>1.1965458183502753E-2</v>
      </c>
      <c r="Z35" s="28">
        <f>F35-'Mar24'!F35</f>
        <v>2.2840336935089356E-3</v>
      </c>
      <c r="AA35" s="28">
        <f>H35-'Mar24'!H35</f>
        <v>-2.036474876102734E-2</v>
      </c>
      <c r="AB35" s="28">
        <f>J35-'Mar24'!J35</f>
        <v>3.9160945719188267E-4</v>
      </c>
      <c r="AC35" s="28">
        <f>L35-'Mar24'!L35</f>
        <v>-3.2405561200463812E-3</v>
      </c>
      <c r="AE35" s="10">
        <f>C35-'Mar24'!C35</f>
        <v>-25442439.150000095</v>
      </c>
      <c r="AF35" s="76">
        <f>C35/'Mar24'!C35-1</f>
        <v>-2.4861507265480087E-2</v>
      </c>
    </row>
    <row r="37" spans="2:32" x14ac:dyDescent="0.25">
      <c r="E37"/>
    </row>
    <row r="38" spans="2:32" x14ac:dyDescent="0.25">
      <c r="D38" s="38"/>
    </row>
    <row r="39" spans="2:32" x14ac:dyDescent="0.25">
      <c r="C39" s="30"/>
      <c r="D39" s="35"/>
    </row>
    <row r="40" spans="2:32" x14ac:dyDescent="0.25">
      <c r="C40" s="37"/>
      <c r="D40" s="35"/>
    </row>
    <row r="41" spans="2:32" x14ac:dyDescent="0.25">
      <c r="C41" s="37"/>
      <c r="D41" s="35"/>
    </row>
    <row r="42" spans="2:32" x14ac:dyDescent="0.25">
      <c r="C42" s="37"/>
      <c r="D42" s="35"/>
    </row>
    <row r="43" spans="2:32" x14ac:dyDescent="0.25">
      <c r="C43" s="37"/>
      <c r="D43" s="35"/>
    </row>
    <row r="44" spans="2:32" x14ac:dyDescent="0.25">
      <c r="C44" s="37"/>
      <c r="D44" s="35"/>
      <c r="E44" s="37"/>
    </row>
    <row r="45" spans="2:32" x14ac:dyDescent="0.25">
      <c r="C45" s="37"/>
      <c r="D45" s="35"/>
    </row>
    <row r="46" spans="2:32" x14ac:dyDescent="0.25">
      <c r="C46" s="37"/>
      <c r="D46" s="35"/>
    </row>
    <row r="47" spans="2:32" x14ac:dyDescent="0.25">
      <c r="C47" s="37"/>
      <c r="D47" s="35"/>
    </row>
    <row r="48" spans="2:32" x14ac:dyDescent="0.25">
      <c r="C48" s="37"/>
      <c r="D48" s="35"/>
    </row>
    <row r="49" spans="3:4" x14ac:dyDescent="0.25">
      <c r="C49" s="37"/>
      <c r="D49" s="35"/>
    </row>
    <row r="50" spans="3:4" x14ac:dyDescent="0.25">
      <c r="C50" s="37"/>
      <c r="D50" s="35"/>
    </row>
    <row r="51" spans="3:4" x14ac:dyDescent="0.25">
      <c r="C51" s="37"/>
      <c r="D51" s="35"/>
    </row>
    <row r="52" spans="3:4" x14ac:dyDescent="0.25">
      <c r="C52" s="37"/>
      <c r="D52" s="35"/>
    </row>
    <row r="53" spans="3:4" x14ac:dyDescent="0.25">
      <c r="C53" s="37"/>
      <c r="D53" s="35"/>
    </row>
    <row r="54" spans="3:4" x14ac:dyDescent="0.25">
      <c r="C54" s="37"/>
      <c r="D54" s="35"/>
    </row>
    <row r="55" spans="3:4" x14ac:dyDescent="0.25">
      <c r="C55" s="37"/>
      <c r="D55" s="35"/>
    </row>
    <row r="56" spans="3:4" x14ac:dyDescent="0.25">
      <c r="C56" s="37"/>
      <c r="D56" s="35"/>
    </row>
    <row r="57" spans="3:4" x14ac:dyDescent="0.25">
      <c r="C57" s="37"/>
      <c r="D57" s="35"/>
    </row>
    <row r="58" spans="3:4" x14ac:dyDescent="0.25">
      <c r="C58" s="37"/>
      <c r="D58" s="35"/>
    </row>
    <row r="59" spans="3:4" x14ac:dyDescent="0.25">
      <c r="C59" s="37"/>
      <c r="D59" s="35"/>
    </row>
    <row r="60" spans="3:4" x14ac:dyDescent="0.25">
      <c r="C60" s="37"/>
      <c r="D60" s="35"/>
    </row>
    <row r="61" spans="3:4" x14ac:dyDescent="0.25">
      <c r="C61" s="37"/>
      <c r="D61" s="35"/>
    </row>
    <row r="62" spans="3:4" x14ac:dyDescent="0.25">
      <c r="C62" s="37"/>
      <c r="D62" s="35"/>
    </row>
    <row r="63" spans="3:4" x14ac:dyDescent="0.25">
      <c r="C63" s="37"/>
      <c r="D63" s="35"/>
    </row>
    <row r="64" spans="3:4" x14ac:dyDescent="0.25">
      <c r="C64" s="37"/>
      <c r="D64" s="35"/>
    </row>
    <row r="65" spans="3:4" x14ac:dyDescent="0.25">
      <c r="C65" s="37"/>
      <c r="D65" s="35"/>
    </row>
    <row r="66" spans="3:4" x14ac:dyDescent="0.25">
      <c r="C66" s="37"/>
      <c r="D66" s="35"/>
    </row>
    <row r="67" spans="3:4" x14ac:dyDescent="0.25">
      <c r="C67" s="37"/>
      <c r="D67" s="35"/>
    </row>
    <row r="68" spans="3:4" x14ac:dyDescent="0.25">
      <c r="C68" s="37"/>
      <c r="D68" s="35"/>
    </row>
    <row r="69" spans="3:4" x14ac:dyDescent="0.25">
      <c r="C69" s="37"/>
      <c r="D69" s="35"/>
    </row>
    <row r="70" spans="3:4" x14ac:dyDescent="0.25">
      <c r="C70" s="37"/>
      <c r="D70" s="35"/>
    </row>
    <row r="71" spans="3:4" x14ac:dyDescent="0.25">
      <c r="C71" s="37"/>
      <c r="D71" s="35"/>
    </row>
    <row r="72" spans="3:4" x14ac:dyDescent="0.25">
      <c r="C72" s="37"/>
      <c r="D72" s="35"/>
    </row>
    <row r="73" spans="3:4" x14ac:dyDescent="0.25">
      <c r="C73" s="37"/>
      <c r="D73" s="35"/>
    </row>
    <row r="74" spans="3:4" x14ac:dyDescent="0.25">
      <c r="C74" s="37"/>
      <c r="D74" s="35"/>
    </row>
    <row r="75" spans="3:4" x14ac:dyDescent="0.25">
      <c r="C75" s="37"/>
      <c r="D75" s="35"/>
    </row>
    <row r="76" spans="3:4" x14ac:dyDescent="0.25">
      <c r="C76" s="37"/>
      <c r="D76" s="35"/>
    </row>
    <row r="77" spans="3:4" x14ac:dyDescent="0.25">
      <c r="C77" s="37"/>
      <c r="D77" s="35"/>
    </row>
    <row r="78" spans="3:4" x14ac:dyDescent="0.25">
      <c r="C78" s="37"/>
      <c r="D78" s="35"/>
    </row>
    <row r="79" spans="3:4" x14ac:dyDescent="0.25">
      <c r="C79" s="37"/>
      <c r="D79" s="35"/>
    </row>
    <row r="80" spans="3:4" x14ac:dyDescent="0.25">
      <c r="C80" s="37"/>
      <c r="D80" s="35"/>
    </row>
    <row r="81" spans="3:4" x14ac:dyDescent="0.25">
      <c r="C81" s="37"/>
      <c r="D81" s="35"/>
    </row>
    <row r="82" spans="3:4" x14ac:dyDescent="0.25">
      <c r="C82" s="37"/>
      <c r="D82" s="35"/>
    </row>
    <row r="83" spans="3:4" x14ac:dyDescent="0.25">
      <c r="C83" s="37"/>
      <c r="D83" s="35"/>
    </row>
    <row r="84" spans="3:4" x14ac:dyDescent="0.25">
      <c r="C84" s="37"/>
      <c r="D84" s="35"/>
    </row>
    <row r="85" spans="3:4" x14ac:dyDescent="0.25">
      <c r="C85" s="37"/>
      <c r="D85" s="35"/>
    </row>
    <row r="86" spans="3:4" x14ac:dyDescent="0.25">
      <c r="C86" s="37"/>
      <c r="D86" s="35"/>
    </row>
    <row r="87" spans="3:4" x14ac:dyDescent="0.25">
      <c r="C87" s="37"/>
      <c r="D87" s="35"/>
    </row>
    <row r="88" spans="3:4" x14ac:dyDescent="0.25">
      <c r="C88" s="37"/>
      <c r="D88" s="35"/>
    </row>
    <row r="89" spans="3:4" x14ac:dyDescent="0.25">
      <c r="C89" s="37"/>
      <c r="D89" s="35"/>
    </row>
    <row r="90" spans="3:4" x14ac:dyDescent="0.25">
      <c r="C90" s="37"/>
      <c r="D90" s="35"/>
    </row>
    <row r="91" spans="3:4" x14ac:dyDescent="0.25">
      <c r="C91" s="37"/>
      <c r="D91" s="35"/>
    </row>
    <row r="92" spans="3:4" x14ac:dyDescent="0.25">
      <c r="C92" s="37"/>
      <c r="D92" s="35"/>
    </row>
    <row r="93" spans="3:4" x14ac:dyDescent="0.25">
      <c r="C93" s="37"/>
      <c r="D93" s="35"/>
    </row>
    <row r="94" spans="3:4" x14ac:dyDescent="0.25">
      <c r="C94" s="37"/>
      <c r="D94" s="35"/>
    </row>
    <row r="95" spans="3:4" x14ac:dyDescent="0.25">
      <c r="C95" s="37"/>
      <c r="D95" s="35"/>
    </row>
    <row r="96" spans="3:4" x14ac:dyDescent="0.25">
      <c r="C96" s="37"/>
      <c r="D96" s="35"/>
    </row>
    <row r="97" spans="3:4" x14ac:dyDescent="0.25">
      <c r="C97" s="37"/>
      <c r="D97" s="35"/>
    </row>
    <row r="98" spans="3:4" x14ac:dyDescent="0.25">
      <c r="C98" s="37"/>
      <c r="D98" s="35"/>
    </row>
    <row r="99" spans="3:4" x14ac:dyDescent="0.25">
      <c r="C99" s="37"/>
      <c r="D99" s="35"/>
    </row>
    <row r="100" spans="3:4" x14ac:dyDescent="0.25">
      <c r="C100" s="37"/>
      <c r="D100" s="35"/>
    </row>
    <row r="101" spans="3:4" x14ac:dyDescent="0.25">
      <c r="C101" s="37"/>
      <c r="D101" s="35"/>
    </row>
    <row r="102" spans="3:4" x14ac:dyDescent="0.25">
      <c r="C102" s="37"/>
      <c r="D102" s="35"/>
    </row>
    <row r="103" spans="3:4" x14ac:dyDescent="0.25">
      <c r="C103" s="37"/>
      <c r="D103" s="35"/>
    </row>
    <row r="104" spans="3:4" x14ac:dyDescent="0.25">
      <c r="C104" s="37"/>
      <c r="D104" s="35"/>
    </row>
    <row r="105" spans="3:4" x14ac:dyDescent="0.25">
      <c r="C105" s="37"/>
      <c r="D105" s="35"/>
    </row>
    <row r="106" spans="3:4" x14ac:dyDescent="0.25">
      <c r="C106" s="37"/>
      <c r="D106" s="35"/>
    </row>
    <row r="107" spans="3:4" x14ac:dyDescent="0.25">
      <c r="C107" s="37"/>
      <c r="D107" s="35"/>
    </row>
    <row r="108" spans="3:4" x14ac:dyDescent="0.25">
      <c r="C108" s="37"/>
      <c r="D108" s="35"/>
    </row>
    <row r="109" spans="3:4" x14ac:dyDescent="0.25">
      <c r="C109" s="37"/>
      <c r="D109" s="35"/>
    </row>
    <row r="110" spans="3:4" x14ac:dyDescent="0.25">
      <c r="C110" s="37"/>
      <c r="D110" s="35"/>
    </row>
    <row r="111" spans="3:4" x14ac:dyDescent="0.25">
      <c r="C111" s="37"/>
      <c r="D111" s="35"/>
    </row>
    <row r="112" spans="3:4" x14ac:dyDescent="0.25">
      <c r="C112" s="37"/>
      <c r="D112" s="35"/>
    </row>
    <row r="113" spans="3:4" x14ac:dyDescent="0.25">
      <c r="C113" s="37"/>
      <c r="D113" s="35"/>
    </row>
    <row r="114" spans="3:4" x14ac:dyDescent="0.25">
      <c r="C114" s="37"/>
      <c r="D114" s="35"/>
    </row>
    <row r="115" spans="3:4" x14ac:dyDescent="0.25">
      <c r="C115" s="37"/>
      <c r="D115" s="35"/>
    </row>
    <row r="116" spans="3:4" x14ac:dyDescent="0.25">
      <c r="C116" s="37"/>
      <c r="D116" s="35"/>
    </row>
    <row r="117" spans="3:4" x14ac:dyDescent="0.25">
      <c r="C117" s="37"/>
      <c r="D117" s="35"/>
    </row>
    <row r="118" spans="3:4" x14ac:dyDescent="0.25">
      <c r="C118" s="37"/>
      <c r="D118" s="35"/>
    </row>
    <row r="119" spans="3:4" x14ac:dyDescent="0.25">
      <c r="C119" s="37"/>
      <c r="D119" s="35"/>
    </row>
    <row r="120" spans="3:4" x14ac:dyDescent="0.25">
      <c r="C120" s="37"/>
      <c r="D120" s="35"/>
    </row>
    <row r="121" spans="3:4" x14ac:dyDescent="0.25">
      <c r="C121" s="37"/>
      <c r="D121" s="35"/>
    </row>
    <row r="122" spans="3:4" x14ac:dyDescent="0.25">
      <c r="C122" s="37"/>
      <c r="D122" s="35"/>
    </row>
    <row r="123" spans="3:4" x14ac:dyDescent="0.25">
      <c r="C123" s="37"/>
      <c r="D123" s="35"/>
    </row>
    <row r="124" spans="3:4" x14ac:dyDescent="0.25">
      <c r="C124" s="37"/>
      <c r="D124" s="35"/>
    </row>
    <row r="125" spans="3:4" x14ac:dyDescent="0.25">
      <c r="C125" s="37"/>
      <c r="D125" s="35"/>
    </row>
    <row r="126" spans="3:4" x14ac:dyDescent="0.25">
      <c r="C126" s="37"/>
      <c r="D126" s="35"/>
    </row>
    <row r="127" spans="3:4" x14ac:dyDescent="0.25">
      <c r="C127" s="37"/>
      <c r="D127" s="35"/>
    </row>
    <row r="128" spans="3:4" x14ac:dyDescent="0.25">
      <c r="C128" s="37"/>
      <c r="D128" s="35"/>
    </row>
    <row r="129" spans="3:4" x14ac:dyDescent="0.25">
      <c r="C129" s="37"/>
      <c r="D129" s="35"/>
    </row>
    <row r="130" spans="3:4" x14ac:dyDescent="0.25">
      <c r="C130" s="37"/>
      <c r="D130" s="35"/>
    </row>
    <row r="131" spans="3:4" x14ac:dyDescent="0.25">
      <c r="C131" s="37"/>
      <c r="D131" s="35"/>
    </row>
    <row r="132" spans="3:4" x14ac:dyDescent="0.25">
      <c r="C132" s="37"/>
      <c r="D132" s="35"/>
    </row>
    <row r="133" spans="3:4" x14ac:dyDescent="0.25">
      <c r="C133" s="37"/>
      <c r="D133" s="35"/>
    </row>
    <row r="134" spans="3:4" x14ac:dyDescent="0.25">
      <c r="C134" s="37"/>
      <c r="D134" s="35"/>
    </row>
    <row r="135" spans="3:4" x14ac:dyDescent="0.25">
      <c r="C135" s="37"/>
      <c r="D135" s="35"/>
    </row>
    <row r="136" spans="3:4" x14ac:dyDescent="0.25">
      <c r="C136" s="37"/>
      <c r="D136" s="35"/>
    </row>
    <row r="137" spans="3:4" x14ac:dyDescent="0.25">
      <c r="C137" s="37"/>
      <c r="D137" s="35"/>
    </row>
    <row r="138" spans="3:4" x14ac:dyDescent="0.25">
      <c r="C138" s="37"/>
      <c r="D138" s="35"/>
    </row>
    <row r="139" spans="3:4" x14ac:dyDescent="0.25">
      <c r="C139" s="37"/>
      <c r="D139" s="35"/>
    </row>
    <row r="140" spans="3:4" x14ac:dyDescent="0.25">
      <c r="C140" s="37"/>
      <c r="D140" s="35"/>
    </row>
    <row r="141" spans="3:4" x14ac:dyDescent="0.25">
      <c r="C141" s="37"/>
      <c r="D141" s="35"/>
    </row>
    <row r="142" spans="3:4" x14ac:dyDescent="0.25">
      <c r="C142" s="37"/>
      <c r="D142" s="35"/>
    </row>
    <row r="143" spans="3:4" x14ac:dyDescent="0.25">
      <c r="C143" s="37"/>
      <c r="D143" s="35"/>
    </row>
    <row r="144" spans="3:4" x14ac:dyDescent="0.25">
      <c r="C144" s="37"/>
      <c r="D144" s="35"/>
    </row>
    <row r="145" spans="3:4" x14ac:dyDescent="0.25">
      <c r="C145" s="37"/>
      <c r="D145" s="35"/>
    </row>
    <row r="146" spans="3:4" x14ac:dyDescent="0.25">
      <c r="C146" s="37"/>
      <c r="D146" s="35"/>
    </row>
    <row r="147" spans="3:4" x14ac:dyDescent="0.25">
      <c r="C147" s="37"/>
      <c r="D147" s="35"/>
    </row>
    <row r="148" spans="3:4" x14ac:dyDescent="0.25">
      <c r="C148" s="37"/>
      <c r="D148" s="35"/>
    </row>
    <row r="149" spans="3:4" x14ac:dyDescent="0.25">
      <c r="C149" s="37"/>
      <c r="D149" s="35"/>
    </row>
    <row r="150" spans="3:4" x14ac:dyDescent="0.25">
      <c r="C150" s="37"/>
      <c r="D150" s="35"/>
    </row>
    <row r="151" spans="3:4" x14ac:dyDescent="0.25">
      <c r="C151" s="37"/>
      <c r="D151" s="35"/>
    </row>
    <row r="152" spans="3:4" x14ac:dyDescent="0.25">
      <c r="C152" s="37"/>
      <c r="D152" s="35"/>
    </row>
    <row r="153" spans="3:4" x14ac:dyDescent="0.25">
      <c r="C153" s="37"/>
      <c r="D153" s="35"/>
    </row>
    <row r="154" spans="3:4" x14ac:dyDescent="0.25">
      <c r="C154" s="37"/>
      <c r="D154" s="35"/>
    </row>
    <row r="155" spans="3:4" x14ac:dyDescent="0.25">
      <c r="C155" s="37"/>
      <c r="D155" s="35"/>
    </row>
    <row r="156" spans="3:4" x14ac:dyDescent="0.25">
      <c r="C156" s="37"/>
      <c r="D156" s="35"/>
    </row>
    <row r="157" spans="3:4" x14ac:dyDescent="0.25">
      <c r="C157" s="37"/>
      <c r="D157" s="35"/>
    </row>
    <row r="158" spans="3:4" x14ac:dyDescent="0.25">
      <c r="C158" s="37"/>
      <c r="D158" s="35"/>
    </row>
    <row r="159" spans="3:4" x14ac:dyDescent="0.25">
      <c r="C159" s="37"/>
      <c r="D159" s="35"/>
    </row>
    <row r="160" spans="3:4" x14ac:dyDescent="0.25">
      <c r="C160" s="37"/>
      <c r="D160" s="35"/>
    </row>
    <row r="161" spans="3:4" x14ac:dyDescent="0.25">
      <c r="C161" s="37"/>
      <c r="D161" s="35"/>
    </row>
    <row r="162" spans="3:4" x14ac:dyDescent="0.25">
      <c r="C162" s="37"/>
      <c r="D162" s="35"/>
    </row>
    <row r="163" spans="3:4" x14ac:dyDescent="0.25">
      <c r="C163" s="37"/>
      <c r="D163" s="35"/>
    </row>
    <row r="164" spans="3:4" x14ac:dyDescent="0.25">
      <c r="C164" s="37"/>
      <c r="D164" s="35"/>
    </row>
    <row r="165" spans="3:4" x14ac:dyDescent="0.25">
      <c r="C165" s="37"/>
      <c r="D165" s="35"/>
    </row>
    <row r="166" spans="3:4" x14ac:dyDescent="0.25">
      <c r="C166" s="37"/>
      <c r="D166" s="35"/>
    </row>
    <row r="167" spans="3:4" x14ac:dyDescent="0.25">
      <c r="C167" s="37"/>
      <c r="D167" s="35"/>
    </row>
    <row r="168" spans="3:4" x14ac:dyDescent="0.25">
      <c r="C168" s="37"/>
      <c r="D168" s="35"/>
    </row>
    <row r="169" spans="3:4" x14ac:dyDescent="0.25">
      <c r="C169" s="37"/>
      <c r="D169" s="35"/>
    </row>
    <row r="170" spans="3:4" x14ac:dyDescent="0.25">
      <c r="C170" s="37"/>
      <c r="D170" s="35"/>
    </row>
    <row r="171" spans="3:4" x14ac:dyDescent="0.25">
      <c r="C171" s="37"/>
      <c r="D171" s="35"/>
    </row>
    <row r="172" spans="3:4" x14ac:dyDescent="0.25">
      <c r="C172" s="37"/>
      <c r="D172" s="35"/>
    </row>
    <row r="173" spans="3:4" x14ac:dyDescent="0.25">
      <c r="C173" s="37"/>
      <c r="D173" s="35"/>
    </row>
    <row r="174" spans="3:4" x14ac:dyDescent="0.25">
      <c r="C174" s="37"/>
      <c r="D174" s="35"/>
    </row>
    <row r="175" spans="3:4" x14ac:dyDescent="0.25">
      <c r="C175" s="37"/>
      <c r="D175" s="35"/>
    </row>
    <row r="176" spans="3:4" x14ac:dyDescent="0.25">
      <c r="C176" s="37"/>
      <c r="D176" s="35"/>
    </row>
    <row r="177" spans="3:4" x14ac:dyDescent="0.25">
      <c r="C177" s="37"/>
      <c r="D177" s="35"/>
    </row>
    <row r="178" spans="3:4" x14ac:dyDescent="0.25">
      <c r="C178" s="37"/>
      <c r="D178" s="35"/>
    </row>
    <row r="179" spans="3:4" x14ac:dyDescent="0.25">
      <c r="C179" s="37"/>
      <c r="D179" s="35"/>
    </row>
    <row r="180" spans="3:4" x14ac:dyDescent="0.25">
      <c r="C180" s="37"/>
      <c r="D180" s="35"/>
    </row>
    <row r="181" spans="3:4" x14ac:dyDescent="0.25">
      <c r="C181" s="37"/>
      <c r="D181" s="35"/>
    </row>
    <row r="182" spans="3:4" x14ac:dyDescent="0.25">
      <c r="C182" s="37"/>
      <c r="D182" s="35"/>
    </row>
    <row r="183" spans="3:4" x14ac:dyDescent="0.25">
      <c r="C183" s="37"/>
      <c r="D183" s="35"/>
    </row>
    <row r="184" spans="3:4" x14ac:dyDescent="0.25">
      <c r="C184" s="37"/>
      <c r="D184" s="35"/>
    </row>
    <row r="185" spans="3:4" x14ac:dyDescent="0.25">
      <c r="C185" s="37"/>
      <c r="D185" s="35"/>
    </row>
    <row r="186" spans="3:4" x14ac:dyDescent="0.25">
      <c r="C186" s="37"/>
      <c r="D186" s="35"/>
    </row>
    <row r="187" spans="3:4" x14ac:dyDescent="0.25">
      <c r="C187" s="37"/>
      <c r="D187" s="35"/>
    </row>
    <row r="188" spans="3:4" x14ac:dyDescent="0.25">
      <c r="C188" s="37"/>
      <c r="D188" s="35"/>
    </row>
    <row r="189" spans="3:4" x14ac:dyDescent="0.25">
      <c r="C189" s="37"/>
      <c r="D189" s="35"/>
    </row>
    <row r="190" spans="3:4" x14ac:dyDescent="0.25">
      <c r="C190" s="37"/>
      <c r="D190" s="35"/>
    </row>
    <row r="191" spans="3:4" x14ac:dyDescent="0.25">
      <c r="C191" s="37"/>
      <c r="D191" s="35"/>
    </row>
    <row r="192" spans="3:4" x14ac:dyDescent="0.25">
      <c r="C192" s="37"/>
      <c r="D192" s="35"/>
    </row>
    <row r="193" spans="3:4" x14ac:dyDescent="0.25">
      <c r="C193" s="37"/>
      <c r="D193" s="35"/>
    </row>
    <row r="194" spans="3:4" x14ac:dyDescent="0.25">
      <c r="C194" s="37"/>
      <c r="D194" s="35"/>
    </row>
    <row r="195" spans="3:4" x14ac:dyDescent="0.25">
      <c r="C195" s="37"/>
      <c r="D195" s="35"/>
    </row>
    <row r="196" spans="3:4" x14ac:dyDescent="0.25">
      <c r="C196" s="37"/>
      <c r="D196" s="35"/>
    </row>
    <row r="197" spans="3:4" x14ac:dyDescent="0.25">
      <c r="C197" s="37"/>
      <c r="D197" s="35"/>
    </row>
    <row r="198" spans="3:4" x14ac:dyDescent="0.25">
      <c r="C198" s="37"/>
      <c r="D198" s="35"/>
    </row>
    <row r="199" spans="3:4" x14ac:dyDescent="0.25">
      <c r="C199" s="37"/>
      <c r="D199" s="35"/>
    </row>
    <row r="200" spans="3:4" x14ac:dyDescent="0.25">
      <c r="C200" s="37"/>
      <c r="D200" s="35"/>
    </row>
    <row r="201" spans="3:4" x14ac:dyDescent="0.25">
      <c r="C201" s="37"/>
      <c r="D201" s="35"/>
    </row>
    <row r="202" spans="3:4" x14ac:dyDescent="0.25">
      <c r="C202" s="37"/>
      <c r="D202" s="35"/>
    </row>
    <row r="203" spans="3:4" x14ac:dyDescent="0.25">
      <c r="C203" s="37"/>
      <c r="D203" s="35"/>
    </row>
    <row r="204" spans="3:4" x14ac:dyDescent="0.25">
      <c r="C204" s="37"/>
      <c r="D204" s="35"/>
    </row>
    <row r="205" spans="3:4" x14ac:dyDescent="0.25">
      <c r="C205" s="37"/>
      <c r="D205" s="35"/>
    </row>
    <row r="206" spans="3:4" x14ac:dyDescent="0.25">
      <c r="C206" s="37"/>
      <c r="D206" s="35"/>
    </row>
    <row r="207" spans="3:4" x14ac:dyDescent="0.25">
      <c r="C207" s="37"/>
      <c r="D207" s="35"/>
    </row>
    <row r="208" spans="3:4" x14ac:dyDescent="0.25">
      <c r="C208" s="37"/>
      <c r="D208" s="35"/>
    </row>
    <row r="209" spans="3:4" x14ac:dyDescent="0.25">
      <c r="C209" s="37"/>
      <c r="D209" s="35"/>
    </row>
    <row r="210" spans="3:4" x14ac:dyDescent="0.25">
      <c r="C210" s="37"/>
      <c r="D210" s="35"/>
    </row>
    <row r="211" spans="3:4" x14ac:dyDescent="0.25">
      <c r="C211" s="37"/>
      <c r="D211" s="35"/>
    </row>
    <row r="212" spans="3:4" x14ac:dyDescent="0.25">
      <c r="C212" s="37"/>
      <c r="D212" s="35"/>
    </row>
    <row r="213" spans="3:4" x14ac:dyDescent="0.25">
      <c r="C213" s="37"/>
      <c r="D213" s="35"/>
    </row>
    <row r="214" spans="3:4" x14ac:dyDescent="0.25">
      <c r="C214" s="37"/>
      <c r="D214" s="35"/>
    </row>
    <row r="215" spans="3:4" x14ac:dyDescent="0.25">
      <c r="C215" s="37"/>
      <c r="D215" s="35"/>
    </row>
    <row r="216" spans="3:4" x14ac:dyDescent="0.25">
      <c r="C216" s="37"/>
      <c r="D216" s="35"/>
    </row>
    <row r="217" spans="3:4" x14ac:dyDescent="0.25">
      <c r="C217" s="37"/>
      <c r="D217" s="35"/>
    </row>
    <row r="218" spans="3:4" x14ac:dyDescent="0.25">
      <c r="C218" s="37"/>
      <c r="D218" s="35"/>
    </row>
    <row r="219" spans="3:4" x14ac:dyDescent="0.25">
      <c r="C219" s="37"/>
      <c r="D219" s="35"/>
    </row>
    <row r="220" spans="3:4" x14ac:dyDescent="0.25">
      <c r="C220" s="37"/>
      <c r="D220" s="35"/>
    </row>
    <row r="221" spans="3:4" x14ac:dyDescent="0.25">
      <c r="C221" s="37"/>
      <c r="D221" s="35"/>
    </row>
    <row r="222" spans="3:4" x14ac:dyDescent="0.25">
      <c r="C222" s="37"/>
      <c r="D222" s="35"/>
    </row>
    <row r="223" spans="3:4" x14ac:dyDescent="0.25">
      <c r="C223" s="37"/>
      <c r="D223" s="35"/>
    </row>
    <row r="224" spans="3:4" x14ac:dyDescent="0.25">
      <c r="C224" s="37"/>
      <c r="D224" s="35"/>
    </row>
    <row r="225" spans="3:4" x14ac:dyDescent="0.25">
      <c r="C225" s="37"/>
      <c r="D225" s="35"/>
    </row>
    <row r="226" spans="3:4" x14ac:dyDescent="0.25">
      <c r="C226" s="37"/>
      <c r="D226" s="35"/>
    </row>
    <row r="227" spans="3:4" x14ac:dyDescent="0.25">
      <c r="C227" s="37"/>
      <c r="D227" s="35"/>
    </row>
    <row r="228" spans="3:4" x14ac:dyDescent="0.25">
      <c r="C228" s="37"/>
      <c r="D228" s="35"/>
    </row>
    <row r="229" spans="3:4" x14ac:dyDescent="0.25">
      <c r="C229" s="37"/>
      <c r="D229" s="35"/>
    </row>
    <row r="230" spans="3:4" x14ac:dyDescent="0.25">
      <c r="C230" s="37"/>
      <c r="D230" s="35"/>
    </row>
    <row r="231" spans="3:4" x14ac:dyDescent="0.25">
      <c r="C231" s="37"/>
      <c r="D231" s="35"/>
    </row>
    <row r="232" spans="3:4" x14ac:dyDescent="0.25">
      <c r="C232" s="37"/>
      <c r="D232" s="35"/>
    </row>
    <row r="233" spans="3:4" x14ac:dyDescent="0.25">
      <c r="C233" s="37"/>
      <c r="D233" s="35"/>
    </row>
    <row r="234" spans="3:4" x14ac:dyDescent="0.25">
      <c r="C234" s="37"/>
      <c r="D234" s="35"/>
    </row>
    <row r="235" spans="3:4" x14ac:dyDescent="0.25">
      <c r="C235" s="37"/>
      <c r="D235" s="35"/>
    </row>
    <row r="236" spans="3:4" x14ac:dyDescent="0.25">
      <c r="C236" s="37"/>
      <c r="D236" s="35"/>
    </row>
    <row r="237" spans="3:4" x14ac:dyDescent="0.25">
      <c r="C237" s="37"/>
      <c r="D237" s="35"/>
    </row>
    <row r="238" spans="3:4" x14ac:dyDescent="0.25">
      <c r="C238" s="37"/>
      <c r="D238" s="35"/>
    </row>
    <row r="239" spans="3:4" x14ac:dyDescent="0.25">
      <c r="C239" s="37"/>
      <c r="D239" s="35"/>
    </row>
    <row r="240" spans="3:4" x14ac:dyDescent="0.25">
      <c r="C240" s="37"/>
      <c r="D240" s="35"/>
    </row>
    <row r="241" spans="3:4" x14ac:dyDescent="0.25">
      <c r="C241" s="37"/>
      <c r="D241" s="35"/>
    </row>
    <row r="242" spans="3:4" x14ac:dyDescent="0.25">
      <c r="C242" s="37"/>
      <c r="D242" s="35"/>
    </row>
    <row r="243" spans="3:4" x14ac:dyDescent="0.25">
      <c r="C243" s="37"/>
      <c r="D243" s="35"/>
    </row>
    <row r="244" spans="3:4" x14ac:dyDescent="0.25">
      <c r="C244" s="37"/>
      <c r="D244" s="35"/>
    </row>
    <row r="245" spans="3:4" x14ac:dyDescent="0.25">
      <c r="C245" s="37"/>
      <c r="D245" s="35"/>
    </row>
    <row r="246" spans="3:4" x14ac:dyDescent="0.25">
      <c r="C246" s="37"/>
      <c r="D246" s="35"/>
    </row>
    <row r="247" spans="3:4" x14ac:dyDescent="0.25">
      <c r="C247" s="37"/>
      <c r="D247" s="35"/>
    </row>
    <row r="248" spans="3:4" x14ac:dyDescent="0.25">
      <c r="C248" s="37"/>
      <c r="D248" s="35"/>
    </row>
    <row r="249" spans="3:4" x14ac:dyDescent="0.25">
      <c r="C249" s="37"/>
      <c r="D249" s="35"/>
    </row>
    <row r="250" spans="3:4" x14ac:dyDescent="0.25">
      <c r="C250" s="37"/>
      <c r="D250" s="35"/>
    </row>
    <row r="251" spans="3:4" x14ac:dyDescent="0.25">
      <c r="C251" s="37"/>
      <c r="D251" s="35"/>
    </row>
    <row r="252" spans="3:4" x14ac:dyDescent="0.25">
      <c r="C252" s="37"/>
      <c r="D252" s="35"/>
    </row>
    <row r="253" spans="3:4" x14ac:dyDescent="0.25">
      <c r="C253" s="37"/>
      <c r="D253" s="35"/>
    </row>
    <row r="254" spans="3:4" x14ac:dyDescent="0.25">
      <c r="C254" s="37"/>
      <c r="D254" s="35"/>
    </row>
    <row r="255" spans="3:4" x14ac:dyDescent="0.25">
      <c r="C255" s="37"/>
      <c r="D255" s="35"/>
    </row>
    <row r="256" spans="3:4" x14ac:dyDescent="0.25">
      <c r="C256" s="37"/>
      <c r="D256" s="35"/>
    </row>
    <row r="257" spans="3:4" x14ac:dyDescent="0.25">
      <c r="C257" s="37"/>
      <c r="D257" s="35"/>
    </row>
    <row r="258" spans="3:4" x14ac:dyDescent="0.25">
      <c r="C258" s="37"/>
      <c r="D258" s="35"/>
    </row>
    <row r="259" spans="3:4" x14ac:dyDescent="0.25">
      <c r="C259" s="37"/>
      <c r="D259" s="35"/>
    </row>
    <row r="260" spans="3:4" x14ac:dyDescent="0.25">
      <c r="C260" s="37"/>
      <c r="D260" s="35"/>
    </row>
    <row r="261" spans="3:4" x14ac:dyDescent="0.25">
      <c r="C261" s="37"/>
      <c r="D261" s="35"/>
    </row>
    <row r="262" spans="3:4" x14ac:dyDescent="0.25">
      <c r="C262" s="37"/>
      <c r="D262" s="35"/>
    </row>
    <row r="263" spans="3:4" x14ac:dyDescent="0.25">
      <c r="C263" s="37"/>
      <c r="D263" s="35"/>
    </row>
    <row r="264" spans="3:4" x14ac:dyDescent="0.25">
      <c r="C264" s="37"/>
      <c r="D264" s="35"/>
    </row>
    <row r="265" spans="3:4" x14ac:dyDescent="0.25">
      <c r="C265" s="37"/>
      <c r="D265" s="35"/>
    </row>
    <row r="266" spans="3:4" x14ac:dyDescent="0.25">
      <c r="C266" s="37"/>
      <c r="D266" s="35"/>
    </row>
    <row r="267" spans="3:4" x14ac:dyDescent="0.25">
      <c r="C267" s="37"/>
      <c r="D267" s="35"/>
    </row>
    <row r="268" spans="3:4" x14ac:dyDescent="0.25">
      <c r="C268" s="37"/>
      <c r="D268" s="35"/>
    </row>
    <row r="269" spans="3:4" x14ac:dyDescent="0.25">
      <c r="C269" s="37"/>
      <c r="D269" s="35"/>
    </row>
    <row r="270" spans="3:4" x14ac:dyDescent="0.25">
      <c r="C270" s="37"/>
      <c r="D270" s="35"/>
    </row>
    <row r="271" spans="3:4" x14ac:dyDescent="0.25">
      <c r="C271" s="37"/>
      <c r="D271" s="35"/>
    </row>
    <row r="272" spans="3:4" x14ac:dyDescent="0.25">
      <c r="C272" s="37"/>
      <c r="D272" s="35"/>
    </row>
    <row r="273" spans="3:4" x14ac:dyDescent="0.25">
      <c r="C273" s="37"/>
      <c r="D273" s="35"/>
    </row>
    <row r="274" spans="3:4" x14ac:dyDescent="0.25">
      <c r="C274" s="37"/>
      <c r="D274" s="35"/>
    </row>
    <row r="275" spans="3:4" x14ac:dyDescent="0.25">
      <c r="C275" s="37"/>
      <c r="D275" s="35"/>
    </row>
    <row r="276" spans="3:4" x14ac:dyDescent="0.25">
      <c r="C276" s="37"/>
      <c r="D276" s="35"/>
    </row>
    <row r="277" spans="3:4" x14ac:dyDescent="0.25">
      <c r="C277" s="37"/>
      <c r="D277" s="35"/>
    </row>
    <row r="278" spans="3:4" x14ac:dyDescent="0.25">
      <c r="C278" s="37"/>
      <c r="D278" s="35"/>
    </row>
    <row r="279" spans="3:4" x14ac:dyDescent="0.25">
      <c r="C279" s="37"/>
      <c r="D279" s="35"/>
    </row>
    <row r="280" spans="3:4" x14ac:dyDescent="0.25">
      <c r="C280" s="37"/>
      <c r="D280" s="35"/>
    </row>
    <row r="281" spans="3:4" x14ac:dyDescent="0.25">
      <c r="C281" s="37"/>
      <c r="D281" s="35"/>
    </row>
    <row r="282" spans="3:4" x14ac:dyDescent="0.25">
      <c r="C282" s="37"/>
      <c r="D282" s="35"/>
    </row>
    <row r="283" spans="3:4" x14ac:dyDescent="0.25">
      <c r="C283" s="37"/>
      <c r="D283" s="35"/>
    </row>
    <row r="284" spans="3:4" x14ac:dyDescent="0.25">
      <c r="C284" s="37"/>
      <c r="D284" s="35"/>
    </row>
    <row r="285" spans="3:4" x14ac:dyDescent="0.25">
      <c r="C285" s="37"/>
      <c r="D285" s="35"/>
    </row>
    <row r="286" spans="3:4" x14ac:dyDescent="0.25">
      <c r="C286" s="37"/>
      <c r="D286" s="35"/>
    </row>
    <row r="287" spans="3:4" x14ac:dyDescent="0.25">
      <c r="C287" s="37"/>
      <c r="D287" s="35"/>
    </row>
    <row r="288" spans="3:4" x14ac:dyDescent="0.25">
      <c r="C288" s="37"/>
      <c r="D288" s="35"/>
    </row>
    <row r="289" spans="3:4" x14ac:dyDescent="0.25">
      <c r="C289" s="37"/>
      <c r="D289" s="35"/>
    </row>
    <row r="290" spans="3:4" x14ac:dyDescent="0.25">
      <c r="C290" s="37"/>
      <c r="D290" s="35"/>
    </row>
    <row r="291" spans="3:4" x14ac:dyDescent="0.25">
      <c r="C291" s="37"/>
      <c r="D291" s="35"/>
    </row>
    <row r="292" spans="3:4" x14ac:dyDescent="0.25">
      <c r="C292" s="37"/>
      <c r="D292" s="35"/>
    </row>
    <row r="293" spans="3:4" x14ac:dyDescent="0.25">
      <c r="C293" s="37"/>
      <c r="D293" s="35"/>
    </row>
    <row r="294" spans="3:4" x14ac:dyDescent="0.25">
      <c r="C294" s="37"/>
      <c r="D294" s="35"/>
    </row>
    <row r="295" spans="3:4" x14ac:dyDescent="0.25">
      <c r="C295" s="37"/>
      <c r="D295" s="35"/>
    </row>
    <row r="296" spans="3:4" x14ac:dyDescent="0.25">
      <c r="C296" s="37"/>
      <c r="D296" s="35"/>
    </row>
    <row r="297" spans="3:4" x14ac:dyDescent="0.25">
      <c r="C297" s="37"/>
      <c r="D297" s="35"/>
    </row>
    <row r="298" spans="3:4" x14ac:dyDescent="0.25">
      <c r="C298" s="37"/>
      <c r="D298" s="35"/>
    </row>
    <row r="299" spans="3:4" x14ac:dyDescent="0.25">
      <c r="C299" s="37"/>
      <c r="D299" s="35"/>
    </row>
    <row r="300" spans="3:4" x14ac:dyDescent="0.25">
      <c r="C300" s="37"/>
      <c r="D300" s="35"/>
    </row>
    <row r="301" spans="3:4" x14ac:dyDescent="0.25">
      <c r="C301" s="37"/>
      <c r="D301" s="35"/>
    </row>
    <row r="302" spans="3:4" x14ac:dyDescent="0.25">
      <c r="C302" s="37"/>
      <c r="D302" s="35"/>
    </row>
    <row r="303" spans="3:4" x14ac:dyDescent="0.25">
      <c r="C303" s="37"/>
      <c r="D303" s="35"/>
    </row>
    <row r="304" spans="3:4" x14ac:dyDescent="0.25">
      <c r="C304" s="37"/>
      <c r="D304" s="35"/>
    </row>
    <row r="305" spans="3:6" x14ac:dyDescent="0.25">
      <c r="C305" s="37"/>
      <c r="D305" s="35"/>
    </row>
    <row r="306" spans="3:6" x14ac:dyDescent="0.25">
      <c r="C306" s="37"/>
      <c r="D306" s="35"/>
    </row>
    <row r="307" spans="3:6" x14ac:dyDescent="0.25">
      <c r="C307" s="37"/>
      <c r="D307" s="35"/>
    </row>
    <row r="308" spans="3:6" x14ac:dyDescent="0.25">
      <c r="C308" s="37"/>
      <c r="D308" s="35"/>
    </row>
    <row r="309" spans="3:6" x14ac:dyDescent="0.25">
      <c r="C309" s="37"/>
      <c r="D309" s="35"/>
    </row>
    <row r="310" spans="3:6" x14ac:dyDescent="0.25">
      <c r="C310" s="37"/>
      <c r="D310" s="35"/>
    </row>
    <row r="311" spans="3:6" x14ac:dyDescent="0.25">
      <c r="C311" s="37"/>
      <c r="D311" s="35"/>
      <c r="F311" s="36"/>
    </row>
    <row r="312" spans="3:6" x14ac:dyDescent="0.25">
      <c r="C312" s="37"/>
      <c r="D312" s="35"/>
    </row>
    <row r="313" spans="3:6" x14ac:dyDescent="0.25">
      <c r="C313" s="37"/>
      <c r="D313" s="35"/>
    </row>
    <row r="314" spans="3:6" x14ac:dyDescent="0.25">
      <c r="C314" s="37"/>
      <c r="D314" s="35"/>
    </row>
    <row r="315" spans="3:6" x14ac:dyDescent="0.25">
      <c r="C315" s="37"/>
      <c r="D315" s="35"/>
    </row>
    <row r="316" spans="3:6" x14ac:dyDescent="0.25">
      <c r="C316" s="37"/>
      <c r="D316" s="35"/>
    </row>
    <row r="317" spans="3:6" x14ac:dyDescent="0.25">
      <c r="C317" s="37"/>
      <c r="D317" s="35"/>
    </row>
    <row r="318" spans="3:6" x14ac:dyDescent="0.25">
      <c r="C318" s="37"/>
      <c r="D318" s="35"/>
    </row>
    <row r="319" spans="3:6" x14ac:dyDescent="0.25">
      <c r="C319" s="37"/>
      <c r="D319" s="35"/>
    </row>
    <row r="320" spans="3:6" x14ac:dyDescent="0.25">
      <c r="C320" s="37"/>
      <c r="D320" s="35"/>
    </row>
    <row r="321" spans="3:4" x14ac:dyDescent="0.25">
      <c r="C321" s="37"/>
      <c r="D321" s="35"/>
    </row>
    <row r="322" spans="3:4" x14ac:dyDescent="0.25">
      <c r="C322" s="37"/>
      <c r="D322" s="35"/>
    </row>
    <row r="323" spans="3:4" x14ac:dyDescent="0.25">
      <c r="C323" s="37"/>
      <c r="D323" s="35"/>
    </row>
    <row r="324" spans="3:4" x14ac:dyDescent="0.25">
      <c r="C324" s="37"/>
      <c r="D324" s="35"/>
    </row>
    <row r="325" spans="3:4" x14ac:dyDescent="0.25">
      <c r="C325" s="37"/>
      <c r="D325" s="35"/>
    </row>
    <row r="326" spans="3:4" x14ac:dyDescent="0.25">
      <c r="C326" s="37"/>
      <c r="D326" s="35"/>
    </row>
    <row r="327" spans="3:4" x14ac:dyDescent="0.25">
      <c r="C327" s="37"/>
      <c r="D327" s="35"/>
    </row>
    <row r="328" spans="3:4" x14ac:dyDescent="0.25">
      <c r="C328" s="37"/>
      <c r="D328" s="35"/>
    </row>
    <row r="329" spans="3:4" x14ac:dyDescent="0.25">
      <c r="C329" s="37"/>
      <c r="D329" s="35"/>
    </row>
    <row r="330" spans="3:4" x14ac:dyDescent="0.25">
      <c r="C330" s="37"/>
      <c r="D330" s="35"/>
    </row>
    <row r="331" spans="3:4" x14ac:dyDescent="0.25">
      <c r="C331" s="37"/>
      <c r="D331" s="35"/>
    </row>
    <row r="332" spans="3:4" x14ac:dyDescent="0.25">
      <c r="C332" s="37"/>
      <c r="D332" s="35"/>
    </row>
    <row r="333" spans="3:4" x14ac:dyDescent="0.25">
      <c r="C333" s="37"/>
      <c r="D333" s="35"/>
    </row>
    <row r="334" spans="3:4" x14ac:dyDescent="0.25">
      <c r="C334" s="37"/>
      <c r="D334" s="35"/>
    </row>
    <row r="335" spans="3:4" x14ac:dyDescent="0.25">
      <c r="C335" s="37"/>
      <c r="D335" s="35"/>
    </row>
    <row r="336" spans="3:4" x14ac:dyDescent="0.25">
      <c r="C336" s="37"/>
      <c r="D336" s="35"/>
    </row>
    <row r="337" spans="3:4" x14ac:dyDescent="0.25">
      <c r="C337" s="37"/>
      <c r="D337" s="35"/>
    </row>
    <row r="338" spans="3:4" x14ac:dyDescent="0.25">
      <c r="C338" s="37"/>
      <c r="D338" s="35"/>
    </row>
    <row r="339" spans="3:4" x14ac:dyDescent="0.25">
      <c r="C339" s="37"/>
      <c r="D339" s="35"/>
    </row>
    <row r="340" spans="3:4" x14ac:dyDescent="0.25">
      <c r="C340" s="37"/>
      <c r="D340" s="35"/>
    </row>
    <row r="341" spans="3:4" x14ac:dyDescent="0.25">
      <c r="C341" s="37"/>
      <c r="D341" s="35"/>
    </row>
    <row r="342" spans="3:4" x14ac:dyDescent="0.25">
      <c r="C342" s="37"/>
      <c r="D342" s="35"/>
    </row>
    <row r="343" spans="3:4" x14ac:dyDescent="0.25">
      <c r="C343" s="37"/>
      <c r="D343" s="35"/>
    </row>
    <row r="344" spans="3:4" x14ac:dyDescent="0.25">
      <c r="C344" s="37"/>
      <c r="D344" s="35"/>
    </row>
    <row r="345" spans="3:4" x14ac:dyDescent="0.25">
      <c r="C345" s="37"/>
      <c r="D345" s="35"/>
    </row>
    <row r="346" spans="3:4" x14ac:dyDescent="0.25">
      <c r="C346" s="37"/>
      <c r="D346" s="35"/>
    </row>
    <row r="347" spans="3:4" x14ac:dyDescent="0.25">
      <c r="C347" s="37"/>
      <c r="D347" s="35"/>
    </row>
    <row r="348" spans="3:4" x14ac:dyDescent="0.25">
      <c r="C348" s="37"/>
      <c r="D348" s="35"/>
    </row>
    <row r="349" spans="3:4" x14ac:dyDescent="0.25">
      <c r="C349" s="37"/>
      <c r="D349" s="35"/>
    </row>
    <row r="350" spans="3:4" x14ac:dyDescent="0.25">
      <c r="C350" s="37"/>
      <c r="D350" s="35"/>
    </row>
    <row r="351" spans="3:4" x14ac:dyDescent="0.25">
      <c r="C351" s="37"/>
      <c r="D351" s="35"/>
    </row>
    <row r="352" spans="3:4" x14ac:dyDescent="0.25">
      <c r="C352" s="37"/>
      <c r="D352" s="35"/>
    </row>
    <row r="353" spans="3:4" x14ac:dyDescent="0.25">
      <c r="C353" s="37"/>
      <c r="D353" s="35"/>
    </row>
    <row r="354" spans="3:4" x14ac:dyDescent="0.25">
      <c r="C354" s="37"/>
      <c r="D354" s="35"/>
    </row>
    <row r="355" spans="3:4" x14ac:dyDescent="0.25">
      <c r="C355" s="37"/>
      <c r="D355" s="35"/>
    </row>
    <row r="356" spans="3:4" x14ac:dyDescent="0.25">
      <c r="C356" s="37"/>
      <c r="D356" s="35"/>
    </row>
    <row r="357" spans="3:4" x14ac:dyDescent="0.25">
      <c r="C357" s="37"/>
      <c r="D357" s="35"/>
    </row>
    <row r="358" spans="3:4" x14ac:dyDescent="0.25">
      <c r="C358" s="37"/>
      <c r="D358" s="35"/>
    </row>
    <row r="359" spans="3:4" x14ac:dyDescent="0.25">
      <c r="C359" s="37"/>
      <c r="D359" s="35"/>
    </row>
    <row r="360" spans="3:4" x14ac:dyDescent="0.25">
      <c r="C360" s="37"/>
      <c r="D360" s="35"/>
    </row>
    <row r="361" spans="3:4" x14ac:dyDescent="0.25">
      <c r="C361" s="37"/>
      <c r="D361" s="35"/>
    </row>
    <row r="362" spans="3:4" x14ac:dyDescent="0.25">
      <c r="C362" s="37"/>
      <c r="D362" s="35"/>
    </row>
    <row r="363" spans="3:4" x14ac:dyDescent="0.25">
      <c r="C363" s="37"/>
      <c r="D363" s="35"/>
    </row>
    <row r="364" spans="3:4" x14ac:dyDescent="0.25">
      <c r="C364" s="37"/>
      <c r="D364" s="35"/>
    </row>
    <row r="365" spans="3:4" x14ac:dyDescent="0.25">
      <c r="C365" s="37"/>
      <c r="D365" s="35"/>
    </row>
    <row r="366" spans="3:4" x14ac:dyDescent="0.25">
      <c r="C366" s="37"/>
      <c r="D366" s="35"/>
    </row>
    <row r="367" spans="3:4" x14ac:dyDescent="0.25">
      <c r="C367" s="37"/>
      <c r="D367" s="35"/>
    </row>
    <row r="368" spans="3:4" x14ac:dyDescent="0.25">
      <c r="C368" s="37"/>
      <c r="D368" s="35"/>
    </row>
    <row r="369" spans="3:4" x14ac:dyDescent="0.25">
      <c r="C369" s="37"/>
      <c r="D369" s="35"/>
    </row>
    <row r="370" spans="3:4" x14ac:dyDescent="0.25">
      <c r="C370" s="37"/>
      <c r="D370" s="35"/>
    </row>
    <row r="371" spans="3:4" x14ac:dyDescent="0.25">
      <c r="C371" s="37"/>
      <c r="D371" s="35"/>
    </row>
    <row r="372" spans="3:4" x14ac:dyDescent="0.25">
      <c r="C372" s="37"/>
      <c r="D372" s="35"/>
    </row>
    <row r="373" spans="3:4" x14ac:dyDescent="0.25">
      <c r="C373" s="37"/>
      <c r="D373" s="35"/>
    </row>
    <row r="374" spans="3:4" x14ac:dyDescent="0.25">
      <c r="C374" s="37"/>
      <c r="D374" s="35"/>
    </row>
    <row r="375" spans="3:4" x14ac:dyDescent="0.25">
      <c r="C375" s="37"/>
      <c r="D375" s="35"/>
    </row>
    <row r="376" spans="3:4" x14ac:dyDescent="0.25">
      <c r="C376" s="37"/>
      <c r="D376" s="35"/>
    </row>
    <row r="377" spans="3:4" x14ac:dyDescent="0.25">
      <c r="C377" s="37"/>
      <c r="D377" s="35"/>
    </row>
    <row r="378" spans="3:4" x14ac:dyDescent="0.25">
      <c r="C378" s="37"/>
      <c r="D378" s="35"/>
    </row>
    <row r="379" spans="3:4" x14ac:dyDescent="0.25">
      <c r="C379" s="37"/>
      <c r="D379" s="35"/>
    </row>
    <row r="380" spans="3:4" x14ac:dyDescent="0.25">
      <c r="C380" s="37"/>
      <c r="D380" s="35"/>
    </row>
    <row r="381" spans="3:4" x14ac:dyDescent="0.25">
      <c r="C381" s="37"/>
      <c r="D381" s="35"/>
    </row>
    <row r="382" spans="3:4" x14ac:dyDescent="0.25">
      <c r="C382" s="37"/>
      <c r="D382" s="35"/>
    </row>
    <row r="383" spans="3:4" x14ac:dyDescent="0.25">
      <c r="C383" s="37"/>
      <c r="D383" s="35"/>
    </row>
    <row r="384" spans="3:4" x14ac:dyDescent="0.25">
      <c r="C384" s="37"/>
      <c r="D384" s="35"/>
    </row>
    <row r="385" spans="3:4" x14ac:dyDescent="0.25">
      <c r="C385" s="37"/>
      <c r="D385" s="35"/>
    </row>
    <row r="386" spans="3:4" x14ac:dyDescent="0.25">
      <c r="C386" s="37"/>
      <c r="D386" s="35"/>
    </row>
    <row r="387" spans="3:4" x14ac:dyDescent="0.25">
      <c r="C387" s="37"/>
      <c r="D387" s="35"/>
    </row>
    <row r="388" spans="3:4" x14ac:dyDescent="0.25">
      <c r="C388" s="37"/>
      <c r="D388" s="35"/>
    </row>
    <row r="389" spans="3:4" x14ac:dyDescent="0.25">
      <c r="C389" s="37"/>
      <c r="D389" s="35"/>
    </row>
    <row r="390" spans="3:4" x14ac:dyDescent="0.25">
      <c r="C390" s="37"/>
      <c r="D390" s="35"/>
    </row>
    <row r="391" spans="3:4" x14ac:dyDescent="0.25">
      <c r="C391" s="37"/>
      <c r="D391" s="35"/>
    </row>
    <row r="392" spans="3:4" x14ac:dyDescent="0.25">
      <c r="C392" s="37"/>
      <c r="D392" s="35"/>
    </row>
    <row r="393" spans="3:4" x14ac:dyDescent="0.25">
      <c r="C393" s="37"/>
      <c r="D393" s="35"/>
    </row>
    <row r="394" spans="3:4" x14ac:dyDescent="0.25">
      <c r="C394" s="37"/>
      <c r="D394" s="35"/>
    </row>
    <row r="395" spans="3:4" x14ac:dyDescent="0.25">
      <c r="C395" s="37"/>
      <c r="D395" s="35"/>
    </row>
    <row r="396" spans="3:4" x14ac:dyDescent="0.25">
      <c r="C396" s="37"/>
      <c r="D396" s="35"/>
    </row>
    <row r="397" spans="3:4" x14ac:dyDescent="0.25">
      <c r="C397" s="37"/>
      <c r="D397" s="35"/>
    </row>
    <row r="398" spans="3:4" x14ac:dyDescent="0.25">
      <c r="C398" s="37"/>
      <c r="D398" s="35"/>
    </row>
    <row r="399" spans="3:4" x14ac:dyDescent="0.25">
      <c r="C399" s="37"/>
      <c r="D399" s="35"/>
    </row>
    <row r="400" spans="3:4" x14ac:dyDescent="0.25">
      <c r="C400" s="37"/>
      <c r="D400" s="35"/>
    </row>
    <row r="401" spans="3:4" x14ac:dyDescent="0.25">
      <c r="C401" s="37"/>
      <c r="D401" s="35"/>
    </row>
    <row r="402" spans="3:4" x14ac:dyDescent="0.25">
      <c r="C402" s="37"/>
      <c r="D402" s="35"/>
    </row>
    <row r="403" spans="3:4" x14ac:dyDescent="0.25">
      <c r="C403" s="37"/>
      <c r="D403" s="35"/>
    </row>
    <row r="404" spans="3:4" x14ac:dyDescent="0.25">
      <c r="C404" s="37"/>
      <c r="D404" s="35"/>
    </row>
    <row r="405" spans="3:4" x14ac:dyDescent="0.25">
      <c r="C405" s="37"/>
      <c r="D405" s="35"/>
    </row>
    <row r="406" spans="3:4" x14ac:dyDescent="0.25">
      <c r="C406" s="37"/>
      <c r="D406" s="35"/>
    </row>
    <row r="407" spans="3:4" x14ac:dyDescent="0.25">
      <c r="C407" s="37"/>
      <c r="D407" s="35"/>
    </row>
    <row r="408" spans="3:4" x14ac:dyDescent="0.25">
      <c r="C408" s="37"/>
      <c r="D408" s="35"/>
    </row>
    <row r="409" spans="3:4" x14ac:dyDescent="0.25">
      <c r="C409" s="37"/>
      <c r="D409" s="35"/>
    </row>
    <row r="410" spans="3:4" x14ac:dyDescent="0.25">
      <c r="C410" s="37"/>
      <c r="D410" s="35"/>
    </row>
    <row r="411" spans="3:4" x14ac:dyDescent="0.25">
      <c r="C411" s="37"/>
      <c r="D411" s="35"/>
    </row>
    <row r="412" spans="3:4" x14ac:dyDescent="0.25">
      <c r="C412" s="37"/>
      <c r="D412" s="35"/>
    </row>
    <row r="413" spans="3:4" x14ac:dyDescent="0.25">
      <c r="C413" s="37"/>
      <c r="D413" s="35"/>
    </row>
    <row r="414" spans="3:4" x14ac:dyDescent="0.25">
      <c r="C414" s="37"/>
      <c r="D414" s="35"/>
    </row>
    <row r="415" spans="3:4" x14ac:dyDescent="0.25">
      <c r="C415" s="37"/>
      <c r="D415" s="35"/>
    </row>
    <row r="416" spans="3:4" x14ac:dyDescent="0.25">
      <c r="C416" s="37"/>
      <c r="D416" s="35"/>
    </row>
    <row r="417" spans="3:4" x14ac:dyDescent="0.25">
      <c r="C417" s="37"/>
      <c r="D417" s="35"/>
    </row>
    <row r="418" spans="3:4" x14ac:dyDescent="0.25">
      <c r="C418" s="37"/>
      <c r="D418" s="35"/>
    </row>
    <row r="419" spans="3:4" x14ac:dyDescent="0.25">
      <c r="C419" s="37"/>
      <c r="D419" s="35"/>
    </row>
    <row r="420" spans="3:4" x14ac:dyDescent="0.25">
      <c r="C420" s="37"/>
      <c r="D420" s="35"/>
    </row>
    <row r="421" spans="3:4" x14ac:dyDescent="0.25">
      <c r="C421" s="37"/>
      <c r="D421" s="35"/>
    </row>
    <row r="422" spans="3:4" x14ac:dyDescent="0.25">
      <c r="C422" s="37"/>
      <c r="D422" s="35"/>
    </row>
    <row r="423" spans="3:4" x14ac:dyDescent="0.25">
      <c r="C423" s="37"/>
      <c r="D423" s="35"/>
    </row>
    <row r="424" spans="3:4" x14ac:dyDescent="0.25">
      <c r="C424" s="37"/>
      <c r="D424" s="35"/>
    </row>
    <row r="425" spans="3:4" x14ac:dyDescent="0.25">
      <c r="C425" s="37"/>
      <c r="D425" s="35"/>
    </row>
    <row r="426" spans="3:4" x14ac:dyDescent="0.25">
      <c r="C426" s="37"/>
      <c r="D426" s="35"/>
    </row>
    <row r="427" spans="3:4" x14ac:dyDescent="0.25">
      <c r="C427" s="37"/>
      <c r="D427" s="35"/>
    </row>
    <row r="428" spans="3:4" x14ac:dyDescent="0.25">
      <c r="C428" s="37"/>
      <c r="D428" s="35"/>
    </row>
    <row r="429" spans="3:4" x14ac:dyDescent="0.25">
      <c r="C429" s="37"/>
      <c r="D429" s="35"/>
    </row>
    <row r="430" spans="3:4" x14ac:dyDescent="0.25">
      <c r="C430" s="37"/>
      <c r="D430" s="35"/>
    </row>
    <row r="431" spans="3:4" x14ac:dyDescent="0.25">
      <c r="C431" s="37"/>
      <c r="D431" s="35"/>
    </row>
    <row r="432" spans="3:4" x14ac:dyDescent="0.25">
      <c r="C432" s="37"/>
      <c r="D432" s="35"/>
    </row>
    <row r="433" spans="3:4" x14ac:dyDescent="0.25">
      <c r="C433" s="37"/>
      <c r="D433" s="35"/>
    </row>
    <row r="434" spans="3:4" x14ac:dyDescent="0.25">
      <c r="C434" s="37"/>
      <c r="D434" s="35"/>
    </row>
    <row r="435" spans="3:4" x14ac:dyDescent="0.25">
      <c r="C435" s="37"/>
      <c r="D435" s="35"/>
    </row>
    <row r="436" spans="3:4" x14ac:dyDescent="0.25">
      <c r="C436" s="37"/>
      <c r="D436" s="35"/>
    </row>
    <row r="437" spans="3:4" x14ac:dyDescent="0.25">
      <c r="C437" s="37"/>
      <c r="D437" s="35"/>
    </row>
    <row r="438" spans="3:4" x14ac:dyDescent="0.25">
      <c r="C438" s="37"/>
      <c r="D438" s="35"/>
    </row>
    <row r="439" spans="3:4" x14ac:dyDescent="0.25">
      <c r="C439" s="37"/>
      <c r="D439" s="35"/>
    </row>
    <row r="440" spans="3:4" x14ac:dyDescent="0.25">
      <c r="C440" s="37"/>
      <c r="D440" s="35"/>
    </row>
    <row r="441" spans="3:4" x14ac:dyDescent="0.25">
      <c r="C441" s="37"/>
      <c r="D441" s="35"/>
    </row>
    <row r="442" spans="3:4" x14ac:dyDescent="0.25">
      <c r="C442" s="37"/>
      <c r="D442" s="35"/>
    </row>
    <row r="443" spans="3:4" x14ac:dyDescent="0.25">
      <c r="C443" s="37"/>
      <c r="D443" s="35"/>
    </row>
    <row r="444" spans="3:4" x14ac:dyDescent="0.25">
      <c r="C444" s="37"/>
      <c r="D444" s="35"/>
    </row>
    <row r="445" spans="3:4" x14ac:dyDescent="0.25">
      <c r="C445" s="37"/>
      <c r="D445" s="35"/>
    </row>
    <row r="446" spans="3:4" x14ac:dyDescent="0.25">
      <c r="C446" s="37"/>
      <c r="D446" s="35"/>
    </row>
    <row r="447" spans="3:4" x14ac:dyDescent="0.25">
      <c r="C447" s="37"/>
      <c r="D447" s="35"/>
    </row>
    <row r="448" spans="3:4" x14ac:dyDescent="0.25">
      <c r="C448" s="37"/>
      <c r="D448" s="35"/>
    </row>
    <row r="449" spans="3:4" x14ac:dyDescent="0.25">
      <c r="C449" s="37"/>
      <c r="D449" s="35"/>
    </row>
    <row r="450" spans="3:4" x14ac:dyDescent="0.25">
      <c r="C450" s="37"/>
      <c r="D450" s="35"/>
    </row>
    <row r="451" spans="3:4" x14ac:dyDescent="0.25">
      <c r="C451" s="37"/>
      <c r="D451" s="35"/>
    </row>
    <row r="452" spans="3:4" x14ac:dyDescent="0.25">
      <c r="C452" s="37"/>
      <c r="D452" s="35"/>
    </row>
    <row r="453" spans="3:4" x14ac:dyDescent="0.25">
      <c r="C453" s="37"/>
      <c r="D453" s="35"/>
    </row>
    <row r="454" spans="3:4" x14ac:dyDescent="0.25">
      <c r="C454" s="37"/>
      <c r="D454" s="35"/>
    </row>
    <row r="455" spans="3:4" x14ac:dyDescent="0.25">
      <c r="C455" s="37"/>
      <c r="D455" s="35"/>
    </row>
    <row r="456" spans="3:4" x14ac:dyDescent="0.25">
      <c r="C456" s="37"/>
      <c r="D456" s="35"/>
    </row>
    <row r="457" spans="3:4" x14ac:dyDescent="0.25">
      <c r="C457" s="37"/>
      <c r="D457" s="35"/>
    </row>
    <row r="458" spans="3:4" x14ac:dyDescent="0.25">
      <c r="C458" s="37"/>
      <c r="D458" s="35"/>
    </row>
    <row r="459" spans="3:4" x14ac:dyDescent="0.25">
      <c r="C459" s="37"/>
      <c r="D459" s="35"/>
    </row>
    <row r="460" spans="3:4" x14ac:dyDescent="0.25">
      <c r="C460" s="37"/>
      <c r="D460" s="35"/>
    </row>
    <row r="461" spans="3:4" x14ac:dyDescent="0.25">
      <c r="C461" s="37"/>
      <c r="D461" s="35"/>
    </row>
    <row r="462" spans="3:4" x14ac:dyDescent="0.25">
      <c r="C462" s="37"/>
      <c r="D462" s="35"/>
    </row>
    <row r="463" spans="3:4" x14ac:dyDescent="0.25">
      <c r="C463" s="37"/>
      <c r="D463" s="35"/>
    </row>
    <row r="464" spans="3:4" x14ac:dyDescent="0.25">
      <c r="C464" s="37"/>
      <c r="D464" s="35"/>
    </row>
    <row r="465" spans="3:4" x14ac:dyDescent="0.25">
      <c r="C465" s="37"/>
      <c r="D465" s="35"/>
    </row>
    <row r="466" spans="3:4" x14ac:dyDescent="0.25">
      <c r="C466" s="37"/>
      <c r="D466" s="35"/>
    </row>
    <row r="467" spans="3:4" x14ac:dyDescent="0.25">
      <c r="C467" s="37"/>
      <c r="D467" s="35"/>
    </row>
    <row r="468" spans="3:4" x14ac:dyDescent="0.25">
      <c r="C468" s="37"/>
      <c r="D468" s="35"/>
    </row>
    <row r="469" spans="3:4" x14ac:dyDescent="0.25">
      <c r="C469" s="37"/>
      <c r="D469" s="35"/>
    </row>
    <row r="470" spans="3:4" x14ac:dyDescent="0.25">
      <c r="C470" s="37"/>
      <c r="D470" s="35"/>
    </row>
    <row r="471" spans="3:4" x14ac:dyDescent="0.25">
      <c r="C471" s="37"/>
      <c r="D471" s="35"/>
    </row>
    <row r="472" spans="3:4" x14ac:dyDescent="0.25">
      <c r="C472" s="37"/>
      <c r="D472" s="35"/>
    </row>
    <row r="473" spans="3:4" x14ac:dyDescent="0.25">
      <c r="C473" s="37"/>
      <c r="D473" s="35"/>
    </row>
    <row r="474" spans="3:4" x14ac:dyDescent="0.25">
      <c r="C474" s="37"/>
      <c r="D474" s="35"/>
    </row>
    <row r="475" spans="3:4" x14ac:dyDescent="0.25">
      <c r="C475" s="37"/>
      <c r="D475" s="35"/>
    </row>
    <row r="476" spans="3:4" x14ac:dyDescent="0.25">
      <c r="C476" s="37"/>
      <c r="D476" s="35"/>
    </row>
    <row r="477" spans="3:4" x14ac:dyDescent="0.25">
      <c r="C477" s="37"/>
      <c r="D477" s="35"/>
    </row>
    <row r="478" spans="3:4" x14ac:dyDescent="0.25">
      <c r="C478" s="37"/>
      <c r="D478" s="35"/>
    </row>
    <row r="479" spans="3:4" x14ac:dyDescent="0.25">
      <c r="C479" s="37"/>
      <c r="D479" s="35"/>
    </row>
    <row r="480" spans="3:4" x14ac:dyDescent="0.25">
      <c r="C480" s="37"/>
      <c r="D480" s="35"/>
    </row>
    <row r="481" spans="3:4" x14ac:dyDescent="0.25">
      <c r="C481" s="37"/>
      <c r="D481" s="35"/>
    </row>
    <row r="482" spans="3:4" x14ac:dyDescent="0.25">
      <c r="C482" s="37"/>
      <c r="D482" s="35"/>
    </row>
    <row r="483" spans="3:4" x14ac:dyDescent="0.25">
      <c r="C483" s="37"/>
      <c r="D483" s="35"/>
    </row>
    <row r="484" spans="3:4" x14ac:dyDescent="0.25">
      <c r="C484" s="37"/>
      <c r="D484" s="35"/>
    </row>
    <row r="485" spans="3:4" x14ac:dyDescent="0.25">
      <c r="C485" s="37"/>
      <c r="D485" s="35"/>
    </row>
    <row r="486" spans="3:4" x14ac:dyDescent="0.25">
      <c r="C486" s="37"/>
      <c r="D486" s="35"/>
    </row>
    <row r="487" spans="3:4" x14ac:dyDescent="0.25">
      <c r="C487" s="37"/>
      <c r="D487" s="35"/>
    </row>
    <row r="488" spans="3:4" x14ac:dyDescent="0.25">
      <c r="C488" s="37"/>
      <c r="D488" s="35"/>
    </row>
    <row r="489" spans="3:4" x14ac:dyDescent="0.25">
      <c r="C489" s="37"/>
      <c r="D489" s="35"/>
    </row>
    <row r="490" spans="3:4" x14ac:dyDescent="0.25">
      <c r="C490" s="37"/>
      <c r="D490" s="35"/>
    </row>
    <row r="491" spans="3:4" x14ac:dyDescent="0.25">
      <c r="C491" s="37"/>
      <c r="D491" s="35"/>
    </row>
    <row r="492" spans="3:4" x14ac:dyDescent="0.25">
      <c r="C492" s="37"/>
      <c r="D492" s="35"/>
    </row>
    <row r="493" spans="3:4" x14ac:dyDescent="0.25">
      <c r="C493" s="37"/>
      <c r="D493" s="35"/>
    </row>
    <row r="494" spans="3:4" x14ac:dyDescent="0.25">
      <c r="C494" s="37"/>
      <c r="D494" s="35"/>
    </row>
    <row r="495" spans="3:4" x14ac:dyDescent="0.25">
      <c r="C495" s="37"/>
      <c r="D495" s="35"/>
    </row>
    <row r="496" spans="3:4" x14ac:dyDescent="0.25">
      <c r="C496" s="37"/>
      <c r="D496" s="35"/>
    </row>
    <row r="497" spans="3:4" x14ac:dyDescent="0.25">
      <c r="C497" s="37"/>
      <c r="D497" s="35"/>
    </row>
    <row r="498" spans="3:4" x14ac:dyDescent="0.25">
      <c r="C498" s="37"/>
      <c r="D498" s="35"/>
    </row>
    <row r="499" spans="3:4" x14ac:dyDescent="0.25">
      <c r="C499" s="37"/>
      <c r="D499" s="35"/>
    </row>
    <row r="500" spans="3:4" x14ac:dyDescent="0.25">
      <c r="C500" s="37"/>
      <c r="D500" s="35"/>
    </row>
    <row r="501" spans="3:4" x14ac:dyDescent="0.25">
      <c r="C501" s="37"/>
      <c r="D501" s="35"/>
    </row>
    <row r="502" spans="3:4" x14ac:dyDescent="0.25">
      <c r="C502" s="37"/>
      <c r="D502" s="35"/>
    </row>
    <row r="503" spans="3:4" x14ac:dyDescent="0.25">
      <c r="C503" s="37"/>
      <c r="D503" s="35"/>
    </row>
    <row r="504" spans="3:4" x14ac:dyDescent="0.25">
      <c r="C504" s="37"/>
      <c r="D504" s="35"/>
    </row>
    <row r="505" spans="3:4" x14ac:dyDescent="0.25">
      <c r="C505" s="37"/>
      <c r="D505" s="35"/>
    </row>
    <row r="506" spans="3:4" x14ac:dyDescent="0.25">
      <c r="C506" s="37"/>
      <c r="D506" s="35"/>
    </row>
    <row r="507" spans="3:4" x14ac:dyDescent="0.25">
      <c r="C507" s="37"/>
      <c r="D507" s="35"/>
    </row>
    <row r="508" spans="3:4" x14ac:dyDescent="0.25">
      <c r="C508" s="37"/>
      <c r="D508" s="35"/>
    </row>
    <row r="509" spans="3:4" x14ac:dyDescent="0.25">
      <c r="C509" s="37"/>
      <c r="D509" s="35"/>
    </row>
    <row r="510" spans="3:4" x14ac:dyDescent="0.25">
      <c r="C510" s="37"/>
      <c r="D510" s="35"/>
    </row>
    <row r="511" spans="3:4" x14ac:dyDescent="0.25">
      <c r="C511" s="37"/>
      <c r="D511" s="35"/>
    </row>
    <row r="512" spans="3:4" x14ac:dyDescent="0.25">
      <c r="C512" s="37"/>
      <c r="D512" s="35"/>
    </row>
    <row r="513" spans="3:4" x14ac:dyDescent="0.25">
      <c r="C513" s="37"/>
      <c r="D513" s="35"/>
    </row>
    <row r="514" spans="3:4" x14ac:dyDescent="0.25">
      <c r="C514" s="37"/>
      <c r="D514" s="35"/>
    </row>
    <row r="515" spans="3:4" x14ac:dyDescent="0.25">
      <c r="C515" s="37"/>
      <c r="D515" s="35"/>
    </row>
    <row r="516" spans="3:4" x14ac:dyDescent="0.25">
      <c r="C516" s="37"/>
      <c r="D516" s="35"/>
    </row>
    <row r="517" spans="3:4" x14ac:dyDescent="0.25">
      <c r="C517" s="37"/>
      <c r="D517" s="35"/>
    </row>
    <row r="518" spans="3:4" x14ac:dyDescent="0.25">
      <c r="C518" s="37"/>
      <c r="D518" s="35"/>
    </row>
    <row r="519" spans="3:4" x14ac:dyDescent="0.25">
      <c r="C519" s="37"/>
      <c r="D519" s="35"/>
    </row>
    <row r="520" spans="3:4" x14ac:dyDescent="0.25">
      <c r="C520" s="37"/>
      <c r="D520" s="35"/>
    </row>
    <row r="521" spans="3:4" x14ac:dyDescent="0.25">
      <c r="C521" s="37"/>
      <c r="D521" s="35"/>
    </row>
    <row r="522" spans="3:4" x14ac:dyDescent="0.25">
      <c r="C522" s="37"/>
      <c r="D522" s="35"/>
    </row>
    <row r="523" spans="3:4" x14ac:dyDescent="0.25">
      <c r="C523" s="37"/>
      <c r="D523" s="35"/>
    </row>
    <row r="524" spans="3:4" x14ac:dyDescent="0.25">
      <c r="C524" s="37"/>
      <c r="D524" s="35"/>
    </row>
    <row r="525" spans="3:4" x14ac:dyDescent="0.25">
      <c r="C525" s="37"/>
      <c r="D525" s="35"/>
    </row>
    <row r="526" spans="3:4" x14ac:dyDescent="0.25">
      <c r="C526" s="37"/>
      <c r="D526" s="35"/>
    </row>
    <row r="527" spans="3:4" x14ac:dyDescent="0.25">
      <c r="C527" s="37"/>
      <c r="D527" s="35"/>
    </row>
    <row r="528" spans="3:4" x14ac:dyDescent="0.25">
      <c r="C528" s="37"/>
      <c r="D528" s="35"/>
    </row>
    <row r="529" spans="3:4" x14ac:dyDescent="0.25">
      <c r="C529" s="37"/>
      <c r="D529" s="35"/>
    </row>
    <row r="530" spans="3:4" x14ac:dyDescent="0.25">
      <c r="C530" s="37"/>
      <c r="D530" s="35"/>
    </row>
    <row r="531" spans="3:4" x14ac:dyDescent="0.25">
      <c r="C531" s="37"/>
      <c r="D531" s="35"/>
    </row>
    <row r="532" spans="3:4" x14ac:dyDescent="0.25">
      <c r="C532" s="37"/>
      <c r="D532" s="35"/>
    </row>
    <row r="533" spans="3:4" x14ac:dyDescent="0.25">
      <c r="C533" s="37"/>
      <c r="D533" s="35"/>
    </row>
    <row r="534" spans="3:4" x14ac:dyDescent="0.25">
      <c r="C534" s="37"/>
      <c r="D534" s="35"/>
    </row>
    <row r="535" spans="3:4" x14ac:dyDescent="0.25">
      <c r="C535" s="37"/>
      <c r="D535" s="35"/>
    </row>
    <row r="536" spans="3:4" x14ac:dyDescent="0.25">
      <c r="C536" s="37"/>
      <c r="D536" s="35"/>
    </row>
    <row r="537" spans="3:4" x14ac:dyDescent="0.25">
      <c r="C537" s="37"/>
      <c r="D537" s="35"/>
    </row>
    <row r="538" spans="3:4" x14ac:dyDescent="0.25">
      <c r="C538" s="37"/>
      <c r="D538" s="35"/>
    </row>
    <row r="539" spans="3:4" x14ac:dyDescent="0.25">
      <c r="C539" s="37"/>
      <c r="D539" s="35"/>
    </row>
    <row r="540" spans="3:4" x14ac:dyDescent="0.25">
      <c r="C540" s="37"/>
      <c r="D540" s="35"/>
    </row>
    <row r="541" spans="3:4" x14ac:dyDescent="0.25">
      <c r="C541" s="37"/>
      <c r="D541" s="35"/>
    </row>
    <row r="542" spans="3:4" x14ac:dyDescent="0.25">
      <c r="C542" s="37"/>
      <c r="D542" s="35"/>
    </row>
    <row r="543" spans="3:4" x14ac:dyDescent="0.25">
      <c r="C543" s="37"/>
      <c r="D543" s="35"/>
    </row>
    <row r="544" spans="3:4" x14ac:dyDescent="0.25">
      <c r="C544" s="37"/>
      <c r="D544" s="35"/>
    </row>
    <row r="545" spans="3:4" x14ac:dyDescent="0.25">
      <c r="C545" s="37"/>
      <c r="D545" s="35"/>
    </row>
    <row r="546" spans="3:4" x14ac:dyDescent="0.25">
      <c r="C546" s="37"/>
      <c r="D546" s="35"/>
    </row>
    <row r="547" spans="3:4" x14ac:dyDescent="0.25">
      <c r="C547" s="37"/>
      <c r="D547" s="35"/>
    </row>
    <row r="548" spans="3:4" x14ac:dyDescent="0.25">
      <c r="C548" s="37"/>
      <c r="D548" s="35"/>
    </row>
    <row r="549" spans="3:4" x14ac:dyDescent="0.25">
      <c r="C549" s="37"/>
      <c r="D549" s="35"/>
    </row>
    <row r="550" spans="3:4" x14ac:dyDescent="0.25">
      <c r="C550" s="37"/>
      <c r="D550" s="35"/>
    </row>
    <row r="551" spans="3:4" x14ac:dyDescent="0.25">
      <c r="C551" s="37"/>
      <c r="D551" s="35"/>
    </row>
    <row r="552" spans="3:4" x14ac:dyDescent="0.25">
      <c r="C552" s="37"/>
      <c r="D552" s="35"/>
    </row>
    <row r="553" spans="3:4" x14ac:dyDescent="0.25">
      <c r="C553" s="37"/>
      <c r="D553" s="35"/>
    </row>
    <row r="554" spans="3:4" x14ac:dyDescent="0.25">
      <c r="C554" s="37"/>
      <c r="D554" s="35"/>
    </row>
    <row r="555" spans="3:4" x14ac:dyDescent="0.25">
      <c r="C555" s="37"/>
      <c r="D555" s="35"/>
    </row>
    <row r="556" spans="3:4" x14ac:dyDescent="0.25">
      <c r="C556" s="37"/>
      <c r="D556" s="35"/>
    </row>
    <row r="557" spans="3:4" x14ac:dyDescent="0.25">
      <c r="C557" s="37"/>
      <c r="D557" s="35"/>
    </row>
    <row r="558" spans="3:4" x14ac:dyDescent="0.25">
      <c r="C558" s="37"/>
      <c r="D558" s="35"/>
    </row>
    <row r="559" spans="3:4" x14ac:dyDescent="0.25">
      <c r="C559" s="37"/>
      <c r="D559" s="35"/>
    </row>
    <row r="560" spans="3:4" x14ac:dyDescent="0.25">
      <c r="C560" s="37"/>
      <c r="D560" s="35"/>
    </row>
    <row r="561" spans="3:4" x14ac:dyDescent="0.25">
      <c r="C561" s="37"/>
      <c r="D561" s="35"/>
    </row>
    <row r="562" spans="3:4" x14ac:dyDescent="0.25">
      <c r="C562" s="37"/>
      <c r="D562" s="35"/>
    </row>
    <row r="563" spans="3:4" x14ac:dyDescent="0.25">
      <c r="C563" s="37"/>
      <c r="D563" s="35"/>
    </row>
    <row r="564" spans="3:4" x14ac:dyDescent="0.25">
      <c r="C564" s="37"/>
      <c r="D564" s="35"/>
    </row>
    <row r="565" spans="3:4" x14ac:dyDescent="0.25">
      <c r="C565" s="37"/>
      <c r="D565" s="35"/>
    </row>
    <row r="566" spans="3:4" x14ac:dyDescent="0.25">
      <c r="C566" s="37"/>
      <c r="D566" s="35"/>
    </row>
    <row r="567" spans="3:4" x14ac:dyDescent="0.25">
      <c r="C567" s="37"/>
      <c r="D567" s="35"/>
    </row>
    <row r="568" spans="3:4" x14ac:dyDescent="0.25">
      <c r="C568" s="37"/>
      <c r="D568" s="35"/>
    </row>
    <row r="569" spans="3:4" x14ac:dyDescent="0.25">
      <c r="C569" s="37"/>
      <c r="D569" s="35"/>
    </row>
    <row r="570" spans="3:4" x14ac:dyDescent="0.25">
      <c r="C570" s="37"/>
      <c r="D570" s="35"/>
    </row>
    <row r="571" spans="3:4" x14ac:dyDescent="0.25">
      <c r="C571" s="37"/>
      <c r="D571" s="35"/>
    </row>
    <row r="572" spans="3:4" x14ac:dyDescent="0.25">
      <c r="C572" s="37"/>
      <c r="D572" s="35"/>
    </row>
    <row r="573" spans="3:4" x14ac:dyDescent="0.25">
      <c r="C573" s="37"/>
      <c r="D573" s="35"/>
    </row>
    <row r="574" spans="3:4" x14ac:dyDescent="0.25">
      <c r="C574" s="37"/>
      <c r="D574" s="35"/>
    </row>
    <row r="575" spans="3:4" x14ac:dyDescent="0.25">
      <c r="C575" s="37"/>
      <c r="D575" s="35"/>
    </row>
    <row r="576" spans="3:4" x14ac:dyDescent="0.25">
      <c r="C576" s="37"/>
      <c r="D576" s="35"/>
    </row>
    <row r="577" spans="3:4" x14ac:dyDescent="0.25">
      <c r="C577" s="37"/>
      <c r="D577" s="35"/>
    </row>
    <row r="578" spans="3:4" x14ac:dyDescent="0.25">
      <c r="C578" s="37"/>
      <c r="D578" s="35"/>
    </row>
    <row r="579" spans="3:4" x14ac:dyDescent="0.25">
      <c r="C579" s="37"/>
      <c r="D579" s="35"/>
    </row>
    <row r="580" spans="3:4" x14ac:dyDescent="0.25">
      <c r="C580" s="37"/>
      <c r="D580" s="35"/>
    </row>
    <row r="581" spans="3:4" x14ac:dyDescent="0.25">
      <c r="C581" s="37"/>
      <c r="D581" s="35"/>
    </row>
    <row r="582" spans="3:4" x14ac:dyDescent="0.25">
      <c r="C582" s="37"/>
      <c r="D582" s="35"/>
    </row>
    <row r="583" spans="3:4" x14ac:dyDescent="0.25">
      <c r="C583" s="37"/>
      <c r="D583" s="35"/>
    </row>
    <row r="584" spans="3:4" x14ac:dyDescent="0.25">
      <c r="C584" s="37"/>
      <c r="D584" s="35"/>
    </row>
    <row r="585" spans="3:4" x14ac:dyDescent="0.25">
      <c r="C585" s="37"/>
      <c r="D585" s="35"/>
    </row>
    <row r="586" spans="3:4" x14ac:dyDescent="0.25">
      <c r="C586" s="37"/>
      <c r="D586" s="35"/>
    </row>
    <row r="587" spans="3:4" x14ac:dyDescent="0.25">
      <c r="C587" s="37"/>
      <c r="D587" s="35"/>
    </row>
    <row r="588" spans="3:4" x14ac:dyDescent="0.25">
      <c r="C588" s="37"/>
      <c r="D588" s="35"/>
    </row>
    <row r="589" spans="3:4" x14ac:dyDescent="0.25">
      <c r="C589" s="37"/>
      <c r="D589" s="35"/>
    </row>
    <row r="590" spans="3:4" x14ac:dyDescent="0.25">
      <c r="C590" s="37"/>
      <c r="D590" s="35"/>
    </row>
    <row r="591" spans="3:4" x14ac:dyDescent="0.25">
      <c r="C591" s="37"/>
      <c r="D591" s="35"/>
    </row>
    <row r="592" spans="3:4" x14ac:dyDescent="0.25">
      <c r="C592" s="37"/>
      <c r="D592" s="35"/>
    </row>
    <row r="593" spans="3:4" x14ac:dyDescent="0.25">
      <c r="C593" s="37"/>
      <c r="D593" s="35"/>
    </row>
    <row r="594" spans="3:4" x14ac:dyDescent="0.25">
      <c r="C594" s="37"/>
      <c r="D594" s="35"/>
    </row>
    <row r="595" spans="3:4" x14ac:dyDescent="0.25">
      <c r="C595" s="37"/>
      <c r="D595" s="35"/>
    </row>
    <row r="596" spans="3:4" x14ac:dyDescent="0.25">
      <c r="C596" s="37"/>
      <c r="D596" s="35"/>
    </row>
    <row r="597" spans="3:4" x14ac:dyDescent="0.25">
      <c r="C597" s="37"/>
      <c r="D597" s="35"/>
    </row>
    <row r="598" spans="3:4" x14ac:dyDescent="0.25">
      <c r="C598" s="37"/>
      <c r="D598" s="35"/>
    </row>
    <row r="599" spans="3:4" x14ac:dyDescent="0.25">
      <c r="C599" s="37"/>
      <c r="D599" s="35"/>
    </row>
    <row r="600" spans="3:4" x14ac:dyDescent="0.25">
      <c r="C600" s="37"/>
      <c r="D600" s="35"/>
    </row>
    <row r="601" spans="3:4" x14ac:dyDescent="0.25">
      <c r="C601" s="37"/>
      <c r="D601" s="35"/>
    </row>
    <row r="602" spans="3:4" x14ac:dyDescent="0.25">
      <c r="C602" s="37"/>
      <c r="D602" s="35"/>
    </row>
    <row r="603" spans="3:4" x14ac:dyDescent="0.25">
      <c r="C603" s="37"/>
      <c r="D603" s="35"/>
    </row>
    <row r="604" spans="3:4" x14ac:dyDescent="0.25">
      <c r="C604" s="37"/>
      <c r="D604" s="35"/>
    </row>
    <row r="605" spans="3:4" x14ac:dyDescent="0.25">
      <c r="C605" s="37"/>
      <c r="D605" s="35"/>
    </row>
    <row r="606" spans="3:4" x14ac:dyDescent="0.25">
      <c r="C606" s="37"/>
      <c r="D606" s="35"/>
    </row>
    <row r="607" spans="3:4" x14ac:dyDescent="0.25">
      <c r="C607" s="37"/>
      <c r="D607" s="35"/>
    </row>
    <row r="608" spans="3:4" x14ac:dyDescent="0.25">
      <c r="C608" s="37"/>
      <c r="D608" s="35"/>
    </row>
    <row r="609" spans="3:4" x14ac:dyDescent="0.25">
      <c r="C609" s="37"/>
      <c r="D609" s="35"/>
    </row>
    <row r="610" spans="3:4" x14ac:dyDescent="0.25">
      <c r="C610" s="37"/>
      <c r="D610" s="35"/>
    </row>
    <row r="611" spans="3:4" x14ac:dyDescent="0.25">
      <c r="C611" s="37"/>
      <c r="D611" s="35"/>
    </row>
    <row r="612" spans="3:4" x14ac:dyDescent="0.25">
      <c r="C612" s="37"/>
      <c r="D612" s="35"/>
    </row>
    <row r="613" spans="3:4" x14ac:dyDescent="0.25">
      <c r="C613" s="37"/>
      <c r="D613" s="35"/>
    </row>
    <row r="614" spans="3:4" x14ac:dyDescent="0.25">
      <c r="C614" s="37"/>
      <c r="D614" s="35"/>
    </row>
    <row r="615" spans="3:4" x14ac:dyDescent="0.25">
      <c r="C615" s="37"/>
      <c r="D615" s="35"/>
    </row>
    <row r="616" spans="3:4" x14ac:dyDescent="0.25">
      <c r="C616" s="37"/>
      <c r="D616" s="35"/>
    </row>
    <row r="617" spans="3:4" x14ac:dyDescent="0.25">
      <c r="C617" s="37"/>
      <c r="D617" s="35"/>
    </row>
    <row r="618" spans="3:4" x14ac:dyDescent="0.25">
      <c r="C618" s="37"/>
      <c r="D618" s="35"/>
    </row>
    <row r="619" spans="3:4" x14ac:dyDescent="0.25">
      <c r="C619" s="37"/>
      <c r="D619" s="35"/>
    </row>
    <row r="620" spans="3:4" x14ac:dyDescent="0.25">
      <c r="C620" s="37"/>
      <c r="D620" s="35"/>
    </row>
    <row r="621" spans="3:4" x14ac:dyDescent="0.25">
      <c r="C621" s="37"/>
      <c r="D621" s="35"/>
    </row>
    <row r="622" spans="3:4" x14ac:dyDescent="0.25">
      <c r="C622" s="37"/>
      <c r="D622" s="35"/>
    </row>
    <row r="623" spans="3:4" x14ac:dyDescent="0.25">
      <c r="C623" s="37"/>
      <c r="D623" s="35"/>
    </row>
    <row r="624" spans="3:4" x14ac:dyDescent="0.25">
      <c r="C624" s="37"/>
      <c r="D624" s="35"/>
    </row>
    <row r="625" spans="3:4" x14ac:dyDescent="0.25">
      <c r="C625" s="37"/>
      <c r="D625" s="35"/>
    </row>
    <row r="626" spans="3:4" x14ac:dyDescent="0.25">
      <c r="C626" s="37"/>
      <c r="D626" s="35"/>
    </row>
    <row r="627" spans="3:4" x14ac:dyDescent="0.25">
      <c r="C627" s="37"/>
      <c r="D627" s="35"/>
    </row>
    <row r="628" spans="3:4" x14ac:dyDescent="0.25">
      <c r="C628" s="37"/>
      <c r="D628" s="35"/>
    </row>
    <row r="629" spans="3:4" x14ac:dyDescent="0.25">
      <c r="C629" s="37"/>
      <c r="D629" s="35"/>
    </row>
    <row r="630" spans="3:4" x14ac:dyDescent="0.25">
      <c r="C630" s="37"/>
      <c r="D630" s="35"/>
    </row>
    <row r="631" spans="3:4" x14ac:dyDescent="0.25">
      <c r="C631" s="37"/>
      <c r="D631" s="35"/>
    </row>
    <row r="632" spans="3:4" x14ac:dyDescent="0.25">
      <c r="C632" s="37"/>
      <c r="D632" s="35"/>
    </row>
    <row r="633" spans="3:4" x14ac:dyDescent="0.25">
      <c r="C633" s="37"/>
      <c r="D633" s="35"/>
    </row>
    <row r="634" spans="3:4" x14ac:dyDescent="0.25">
      <c r="C634" s="37"/>
      <c r="D634" s="35"/>
    </row>
    <row r="635" spans="3:4" x14ac:dyDescent="0.25">
      <c r="C635" s="37"/>
      <c r="D635" s="35"/>
    </row>
    <row r="636" spans="3:4" x14ac:dyDescent="0.25">
      <c r="C636" s="37"/>
      <c r="D636" s="35"/>
    </row>
    <row r="637" spans="3:4" x14ac:dyDescent="0.25">
      <c r="C637" s="37"/>
      <c r="D637" s="35"/>
    </row>
    <row r="638" spans="3:4" x14ac:dyDescent="0.25">
      <c r="C638" s="37"/>
      <c r="D638" s="35"/>
    </row>
    <row r="639" spans="3:4" x14ac:dyDescent="0.25">
      <c r="C639" s="37"/>
      <c r="D639" s="35"/>
    </row>
    <row r="640" spans="3:4" x14ac:dyDescent="0.25">
      <c r="C640" s="37"/>
      <c r="D640" s="35"/>
    </row>
    <row r="641" spans="3:4" x14ac:dyDescent="0.25">
      <c r="C641" s="37"/>
      <c r="D641" s="35"/>
    </row>
    <row r="642" spans="3:4" x14ac:dyDescent="0.25">
      <c r="C642" s="37"/>
      <c r="D642" s="35"/>
    </row>
    <row r="643" spans="3:4" x14ac:dyDescent="0.25">
      <c r="C643" s="37"/>
      <c r="D643" s="35"/>
    </row>
    <row r="644" spans="3:4" x14ac:dyDescent="0.25">
      <c r="C644" s="37"/>
      <c r="D644" s="35"/>
    </row>
    <row r="645" spans="3:4" x14ac:dyDescent="0.25">
      <c r="C645" s="37"/>
      <c r="D645" s="35"/>
    </row>
    <row r="646" spans="3:4" x14ac:dyDescent="0.25">
      <c r="C646" s="37"/>
      <c r="D646" s="35"/>
    </row>
    <row r="647" spans="3:4" x14ac:dyDescent="0.25">
      <c r="C647" s="37"/>
      <c r="D647" s="35"/>
    </row>
    <row r="648" spans="3:4" x14ac:dyDescent="0.25">
      <c r="C648" s="37"/>
      <c r="D648" s="35"/>
    </row>
    <row r="649" spans="3:4" x14ac:dyDescent="0.25">
      <c r="C649" s="37"/>
      <c r="D649" s="35"/>
    </row>
    <row r="650" spans="3:4" x14ac:dyDescent="0.25">
      <c r="C650" s="37"/>
      <c r="D650" s="35"/>
    </row>
    <row r="651" spans="3:4" x14ac:dyDescent="0.25">
      <c r="C651" s="37"/>
      <c r="D651" s="35"/>
    </row>
    <row r="652" spans="3:4" x14ac:dyDescent="0.25">
      <c r="C652" s="37"/>
      <c r="D652" s="35"/>
    </row>
    <row r="653" spans="3:4" x14ac:dyDescent="0.25">
      <c r="C653" s="37"/>
      <c r="D653" s="35"/>
    </row>
    <row r="654" spans="3:4" x14ac:dyDescent="0.25">
      <c r="C654" s="37"/>
      <c r="D654" s="35"/>
    </row>
    <row r="655" spans="3:4" x14ac:dyDescent="0.25">
      <c r="C655" s="37"/>
      <c r="D655" s="35"/>
    </row>
    <row r="656" spans="3:4" x14ac:dyDescent="0.25">
      <c r="C656" s="37"/>
      <c r="D656" s="35"/>
    </row>
    <row r="657" spans="3:4" x14ac:dyDescent="0.25">
      <c r="C657" s="37"/>
      <c r="D657" s="35"/>
    </row>
    <row r="658" spans="3:4" x14ac:dyDescent="0.25">
      <c r="C658" s="37"/>
      <c r="D658" s="35"/>
    </row>
    <row r="659" spans="3:4" x14ac:dyDescent="0.25">
      <c r="C659" s="37"/>
      <c r="D659" s="35"/>
    </row>
    <row r="660" spans="3:4" x14ac:dyDescent="0.25">
      <c r="C660" s="37"/>
      <c r="D660" s="35"/>
    </row>
    <row r="661" spans="3:4" x14ac:dyDescent="0.25">
      <c r="C661" s="37"/>
      <c r="D661" s="35"/>
    </row>
    <row r="662" spans="3:4" x14ac:dyDescent="0.25">
      <c r="C662" s="37"/>
      <c r="D662" s="35"/>
    </row>
    <row r="663" spans="3:4" x14ac:dyDescent="0.25">
      <c r="C663" s="37"/>
      <c r="D663" s="35"/>
    </row>
    <row r="664" spans="3:4" x14ac:dyDescent="0.25">
      <c r="C664" s="37"/>
      <c r="D664" s="35"/>
    </row>
    <row r="665" spans="3:4" x14ac:dyDescent="0.25">
      <c r="C665" s="37"/>
      <c r="D665" s="35"/>
    </row>
    <row r="666" spans="3:4" x14ac:dyDescent="0.25">
      <c r="C666" s="37"/>
      <c r="D666" s="35"/>
    </row>
    <row r="667" spans="3:4" x14ac:dyDescent="0.25">
      <c r="C667" s="37"/>
      <c r="D667" s="35"/>
    </row>
    <row r="668" spans="3:4" x14ac:dyDescent="0.25">
      <c r="C668" s="37"/>
      <c r="D668" s="35"/>
    </row>
    <row r="669" spans="3:4" x14ac:dyDescent="0.25">
      <c r="C669" s="37"/>
      <c r="D669" s="35"/>
    </row>
    <row r="670" spans="3:4" x14ac:dyDescent="0.25">
      <c r="C670" s="37"/>
      <c r="D670" s="35"/>
    </row>
    <row r="671" spans="3:4" x14ac:dyDescent="0.25">
      <c r="C671" s="37"/>
      <c r="D671" s="35"/>
    </row>
    <row r="672" spans="3:4" x14ac:dyDescent="0.25">
      <c r="C672" s="37"/>
      <c r="D672" s="35"/>
    </row>
    <row r="673" spans="3:4" x14ac:dyDescent="0.25">
      <c r="C673" s="37"/>
      <c r="D673" s="35"/>
    </row>
    <row r="674" spans="3:4" x14ac:dyDescent="0.25">
      <c r="C674" s="37"/>
      <c r="D674" s="35"/>
    </row>
    <row r="675" spans="3:4" x14ac:dyDescent="0.25">
      <c r="C675" s="37"/>
      <c r="D675" s="35"/>
    </row>
    <row r="676" spans="3:4" x14ac:dyDescent="0.25">
      <c r="C676" s="37"/>
      <c r="D676" s="35"/>
    </row>
    <row r="677" spans="3:4" x14ac:dyDescent="0.25">
      <c r="C677" s="37"/>
      <c r="D677" s="35"/>
    </row>
    <row r="678" spans="3:4" x14ac:dyDescent="0.25">
      <c r="C678" s="37"/>
      <c r="D678" s="35"/>
    </row>
    <row r="679" spans="3:4" x14ac:dyDescent="0.25">
      <c r="C679" s="37"/>
      <c r="D679" s="35"/>
    </row>
    <row r="680" spans="3:4" x14ac:dyDescent="0.25">
      <c r="C680" s="37"/>
      <c r="D680" s="35"/>
    </row>
    <row r="681" spans="3:4" x14ac:dyDescent="0.25">
      <c r="C681" s="37"/>
      <c r="D681" s="35"/>
    </row>
    <row r="682" spans="3:4" x14ac:dyDescent="0.25">
      <c r="C682" s="37"/>
      <c r="D682" s="35"/>
    </row>
    <row r="683" spans="3:4" x14ac:dyDescent="0.25">
      <c r="C683" s="37"/>
      <c r="D683" s="35"/>
    </row>
    <row r="684" spans="3:4" x14ac:dyDescent="0.25">
      <c r="C684" s="37"/>
      <c r="D684" s="35"/>
    </row>
    <row r="685" spans="3:4" x14ac:dyDescent="0.25">
      <c r="C685" s="37"/>
      <c r="D685" s="35"/>
    </row>
    <row r="686" spans="3:4" x14ac:dyDescent="0.25">
      <c r="C686" s="37"/>
      <c r="D686" s="35"/>
    </row>
    <row r="687" spans="3:4" x14ac:dyDescent="0.25">
      <c r="C687" s="37"/>
      <c r="D687" s="35"/>
    </row>
    <row r="688" spans="3:4" x14ac:dyDescent="0.25">
      <c r="C688" s="37"/>
      <c r="D688" s="35"/>
    </row>
    <row r="689" spans="3:4" x14ac:dyDescent="0.25">
      <c r="C689" s="37"/>
      <c r="D689" s="35"/>
    </row>
    <row r="690" spans="3:4" x14ac:dyDescent="0.25">
      <c r="C690" s="37"/>
      <c r="D690" s="35"/>
    </row>
    <row r="691" spans="3:4" x14ac:dyDescent="0.25">
      <c r="C691" s="37"/>
      <c r="D691" s="35"/>
    </row>
    <row r="692" spans="3:4" x14ac:dyDescent="0.25">
      <c r="C692" s="37"/>
      <c r="D692" s="35"/>
    </row>
    <row r="693" spans="3:4" x14ac:dyDescent="0.25">
      <c r="C693" s="37"/>
      <c r="D693" s="35"/>
    </row>
    <row r="694" spans="3:4" x14ac:dyDescent="0.25">
      <c r="C694" s="37"/>
      <c r="D694" s="35"/>
    </row>
    <row r="695" spans="3:4" x14ac:dyDescent="0.25">
      <c r="C695" s="37"/>
      <c r="D695" s="35"/>
    </row>
    <row r="696" spans="3:4" x14ac:dyDescent="0.25">
      <c r="C696" s="37"/>
      <c r="D696" s="35"/>
    </row>
    <row r="697" spans="3:4" x14ac:dyDescent="0.25">
      <c r="C697" s="37"/>
      <c r="D697" s="35"/>
    </row>
    <row r="698" spans="3:4" x14ac:dyDescent="0.25">
      <c r="C698" s="37"/>
      <c r="D698" s="35"/>
    </row>
    <row r="699" spans="3:4" x14ac:dyDescent="0.25">
      <c r="C699" s="37"/>
      <c r="D699" s="35"/>
    </row>
    <row r="700" spans="3:4" x14ac:dyDescent="0.25">
      <c r="C700" s="37"/>
      <c r="D700" s="35"/>
    </row>
    <row r="701" spans="3:4" x14ac:dyDescent="0.25">
      <c r="C701" s="37"/>
      <c r="D701" s="35"/>
    </row>
    <row r="702" spans="3:4" x14ac:dyDescent="0.25">
      <c r="C702" s="37"/>
      <c r="D702" s="35"/>
    </row>
    <row r="703" spans="3:4" x14ac:dyDescent="0.25">
      <c r="C703" s="37"/>
      <c r="D703" s="35"/>
    </row>
    <row r="704" spans="3:4" x14ac:dyDescent="0.25">
      <c r="C704" s="37"/>
      <c r="D704" s="35"/>
    </row>
    <row r="705" spans="3:4" x14ac:dyDescent="0.25">
      <c r="C705" s="37"/>
      <c r="D705" s="35"/>
    </row>
    <row r="706" spans="3:4" x14ac:dyDescent="0.25">
      <c r="C706" s="37"/>
      <c r="D706" s="35"/>
    </row>
    <row r="707" spans="3:4" x14ac:dyDescent="0.25">
      <c r="C707" s="37"/>
      <c r="D707" s="35"/>
    </row>
    <row r="708" spans="3:4" x14ac:dyDescent="0.25">
      <c r="C708" s="37"/>
      <c r="D708" s="35"/>
    </row>
    <row r="709" spans="3:4" x14ac:dyDescent="0.25">
      <c r="C709" s="37"/>
      <c r="D709" s="35"/>
    </row>
    <row r="710" spans="3:4" x14ac:dyDescent="0.25">
      <c r="C710" s="37"/>
      <c r="D710" s="35"/>
    </row>
    <row r="711" spans="3:4" x14ac:dyDescent="0.25">
      <c r="C711" s="37"/>
      <c r="D711" s="35"/>
    </row>
    <row r="712" spans="3:4" x14ac:dyDescent="0.25">
      <c r="C712" s="37"/>
      <c r="D712" s="35"/>
    </row>
    <row r="713" spans="3:4" x14ac:dyDescent="0.25">
      <c r="C713" s="37"/>
      <c r="D713" s="35"/>
    </row>
    <row r="714" spans="3:4" x14ac:dyDescent="0.25">
      <c r="C714" s="37"/>
      <c r="D714" s="35"/>
    </row>
    <row r="715" spans="3:4" x14ac:dyDescent="0.25">
      <c r="C715" s="37"/>
      <c r="D715" s="35"/>
    </row>
    <row r="716" spans="3:4" x14ac:dyDescent="0.25">
      <c r="C716" s="37"/>
      <c r="D716" s="35"/>
    </row>
    <row r="717" spans="3:4" x14ac:dyDescent="0.25">
      <c r="C717" s="37"/>
      <c r="D717" s="35"/>
    </row>
    <row r="718" spans="3:4" x14ac:dyDescent="0.25">
      <c r="C718" s="37"/>
      <c r="D718" s="35"/>
    </row>
    <row r="719" spans="3:4" x14ac:dyDescent="0.25">
      <c r="C719" s="37"/>
      <c r="D719" s="35"/>
    </row>
    <row r="720" spans="3:4" x14ac:dyDescent="0.25">
      <c r="C720" s="37"/>
      <c r="D720" s="35"/>
    </row>
    <row r="721" spans="3:4" x14ac:dyDescent="0.25">
      <c r="C721" s="37"/>
      <c r="D721" s="35"/>
    </row>
    <row r="722" spans="3:4" x14ac:dyDescent="0.25">
      <c r="C722" s="37"/>
      <c r="D722" s="35"/>
    </row>
    <row r="723" spans="3:4" x14ac:dyDescent="0.25">
      <c r="C723" s="37"/>
      <c r="D723" s="35"/>
    </row>
    <row r="724" spans="3:4" x14ac:dyDescent="0.25">
      <c r="C724" s="37"/>
      <c r="D724" s="35"/>
    </row>
    <row r="725" spans="3:4" x14ac:dyDescent="0.25">
      <c r="C725" s="37"/>
      <c r="D725" s="35"/>
    </row>
    <row r="726" spans="3:4" x14ac:dyDescent="0.25">
      <c r="C726" s="37"/>
      <c r="D726" s="35"/>
    </row>
    <row r="727" spans="3:4" x14ac:dyDescent="0.25">
      <c r="C727" s="37"/>
      <c r="D727" s="35"/>
    </row>
    <row r="728" spans="3:4" x14ac:dyDescent="0.25">
      <c r="C728" s="37"/>
      <c r="D728" s="35"/>
    </row>
    <row r="729" spans="3:4" x14ac:dyDescent="0.25">
      <c r="C729" s="37"/>
      <c r="D729" s="35"/>
    </row>
    <row r="730" spans="3:4" x14ac:dyDescent="0.25">
      <c r="C730" s="37"/>
      <c r="D730" s="35"/>
    </row>
    <row r="731" spans="3:4" x14ac:dyDescent="0.25">
      <c r="C731" s="37"/>
      <c r="D731" s="35"/>
    </row>
    <row r="732" spans="3:4" x14ac:dyDescent="0.25">
      <c r="C732" s="37"/>
      <c r="D732" s="35"/>
    </row>
    <row r="733" spans="3:4" x14ac:dyDescent="0.25">
      <c r="C733" s="37"/>
      <c r="D733" s="35"/>
    </row>
    <row r="734" spans="3:4" x14ac:dyDescent="0.25">
      <c r="C734" s="37"/>
      <c r="D734" s="35"/>
    </row>
    <row r="735" spans="3:4" x14ac:dyDescent="0.25">
      <c r="C735" s="37"/>
      <c r="D735" s="35"/>
    </row>
    <row r="736" spans="3:4" x14ac:dyDescent="0.25">
      <c r="C736" s="37"/>
      <c r="D736" s="35"/>
    </row>
    <row r="737" spans="3:4" x14ac:dyDescent="0.25">
      <c r="C737" s="37"/>
      <c r="D737" s="35"/>
    </row>
    <row r="738" spans="3:4" x14ac:dyDescent="0.25">
      <c r="C738" s="37"/>
      <c r="D738" s="35"/>
    </row>
    <row r="739" spans="3:4" x14ac:dyDescent="0.25">
      <c r="C739" s="37"/>
      <c r="D739" s="35"/>
    </row>
    <row r="740" spans="3:4" x14ac:dyDescent="0.25">
      <c r="C740" s="37"/>
      <c r="D740" s="35"/>
    </row>
    <row r="741" spans="3:4" x14ac:dyDescent="0.25">
      <c r="C741" s="37"/>
      <c r="D741" s="35"/>
    </row>
    <row r="742" spans="3:4" x14ac:dyDescent="0.25">
      <c r="C742" s="37"/>
      <c r="D742" s="35"/>
    </row>
    <row r="743" spans="3:4" x14ac:dyDescent="0.25">
      <c r="C743" s="37"/>
      <c r="D743" s="35"/>
    </row>
    <row r="744" spans="3:4" x14ac:dyDescent="0.25">
      <c r="C744" s="37"/>
      <c r="D744" s="35"/>
    </row>
    <row r="745" spans="3:4" x14ac:dyDescent="0.25">
      <c r="C745" s="37"/>
      <c r="D745" s="35"/>
    </row>
    <row r="746" spans="3:4" x14ac:dyDescent="0.25">
      <c r="C746" s="37"/>
      <c r="D746" s="35"/>
    </row>
    <row r="747" spans="3:4" x14ac:dyDescent="0.25">
      <c r="C747" s="37"/>
      <c r="D747" s="35"/>
    </row>
    <row r="748" spans="3:4" x14ac:dyDescent="0.25">
      <c r="C748" s="37"/>
      <c r="D748" s="35"/>
    </row>
    <row r="749" spans="3:4" x14ac:dyDescent="0.25">
      <c r="C749" s="37"/>
      <c r="D749" s="35"/>
    </row>
    <row r="750" spans="3:4" x14ac:dyDescent="0.25">
      <c r="C750" s="37"/>
      <c r="D750" s="35"/>
    </row>
    <row r="751" spans="3:4" x14ac:dyDescent="0.25">
      <c r="C751" s="37"/>
      <c r="D751" s="35"/>
    </row>
    <row r="752" spans="3:4" x14ac:dyDescent="0.25">
      <c r="C752" s="37"/>
      <c r="D752" s="35"/>
    </row>
    <row r="753" spans="3:4" x14ac:dyDescent="0.25">
      <c r="C753" s="37"/>
      <c r="D753" s="35"/>
    </row>
    <row r="754" spans="3:4" x14ac:dyDescent="0.25">
      <c r="C754" s="37"/>
      <c r="D754" s="35"/>
    </row>
    <row r="755" spans="3:4" x14ac:dyDescent="0.25">
      <c r="C755" s="37"/>
      <c r="D755" s="35"/>
    </row>
    <row r="756" spans="3:4" x14ac:dyDescent="0.25">
      <c r="C756" s="37"/>
      <c r="D756" s="35"/>
    </row>
    <row r="757" spans="3:4" x14ac:dyDescent="0.25">
      <c r="C757" s="37"/>
      <c r="D757" s="35"/>
    </row>
    <row r="758" spans="3:4" x14ac:dyDescent="0.25">
      <c r="C758" s="37"/>
      <c r="D758" s="35"/>
    </row>
    <row r="759" spans="3:4" x14ac:dyDescent="0.25">
      <c r="C759" s="37"/>
      <c r="D759" s="35"/>
    </row>
    <row r="760" spans="3:4" x14ac:dyDescent="0.25">
      <c r="C760" s="37"/>
      <c r="D760" s="35"/>
    </row>
    <row r="761" spans="3:4" x14ac:dyDescent="0.25">
      <c r="C761" s="37"/>
      <c r="D761" s="35"/>
    </row>
    <row r="762" spans="3:4" x14ac:dyDescent="0.25">
      <c r="C762" s="37"/>
      <c r="D762" s="35"/>
    </row>
    <row r="763" spans="3:4" x14ac:dyDescent="0.25">
      <c r="C763" s="37"/>
      <c r="D763" s="35"/>
    </row>
    <row r="764" spans="3:4" x14ac:dyDescent="0.25">
      <c r="C764" s="37"/>
      <c r="D764" s="35"/>
    </row>
    <row r="765" spans="3:4" x14ac:dyDescent="0.25">
      <c r="C765" s="37"/>
      <c r="D765" s="35"/>
    </row>
    <row r="766" spans="3:4" x14ac:dyDescent="0.25">
      <c r="C766" s="37"/>
      <c r="D766" s="35"/>
    </row>
    <row r="767" spans="3:4" x14ac:dyDescent="0.25">
      <c r="C767" s="37"/>
      <c r="D767" s="35"/>
    </row>
    <row r="768" spans="3:4" x14ac:dyDescent="0.25">
      <c r="C768" s="37"/>
      <c r="D768" s="35"/>
    </row>
    <row r="769" spans="3:4" x14ac:dyDescent="0.25">
      <c r="C769" s="37"/>
      <c r="D769" s="35"/>
    </row>
    <row r="770" spans="3:4" x14ac:dyDescent="0.25">
      <c r="C770" s="37"/>
      <c r="D770" s="35"/>
    </row>
    <row r="771" spans="3:4" x14ac:dyDescent="0.25">
      <c r="C771" s="37"/>
      <c r="D771" s="35"/>
    </row>
    <row r="772" spans="3:4" x14ac:dyDescent="0.25">
      <c r="C772" s="37"/>
      <c r="D772" s="35"/>
    </row>
    <row r="773" spans="3:4" x14ac:dyDescent="0.25">
      <c r="C773" s="37"/>
      <c r="D773" s="35"/>
    </row>
    <row r="774" spans="3:4" x14ac:dyDescent="0.25">
      <c r="C774" s="37"/>
      <c r="D774" s="35"/>
    </row>
    <row r="775" spans="3:4" x14ac:dyDescent="0.25">
      <c r="C775" s="37"/>
      <c r="D775" s="35"/>
    </row>
    <row r="776" spans="3:4" x14ac:dyDescent="0.25">
      <c r="C776" s="37"/>
      <c r="D776" s="35"/>
    </row>
    <row r="777" spans="3:4" x14ac:dyDescent="0.25">
      <c r="C777" s="37"/>
      <c r="D777" s="35"/>
    </row>
    <row r="778" spans="3:4" x14ac:dyDescent="0.25">
      <c r="C778" s="37"/>
      <c r="D778" s="35"/>
    </row>
    <row r="779" spans="3:4" x14ac:dyDescent="0.25">
      <c r="C779" s="37"/>
      <c r="D779" s="35"/>
    </row>
    <row r="780" spans="3:4" x14ac:dyDescent="0.25">
      <c r="C780" s="37"/>
      <c r="D780" s="35"/>
    </row>
    <row r="781" spans="3:4" x14ac:dyDescent="0.25">
      <c r="C781" s="37"/>
      <c r="D781" s="35"/>
    </row>
    <row r="782" spans="3:4" x14ac:dyDescent="0.25">
      <c r="C782" s="37"/>
      <c r="D782" s="35"/>
    </row>
    <row r="783" spans="3:4" x14ac:dyDescent="0.25">
      <c r="C783" s="37"/>
      <c r="D783" s="35"/>
    </row>
    <row r="784" spans="3:4" x14ac:dyDescent="0.25">
      <c r="C784" s="37"/>
      <c r="D784" s="35"/>
    </row>
    <row r="785" spans="3:4" x14ac:dyDescent="0.25">
      <c r="C785" s="37"/>
      <c r="D785" s="35"/>
    </row>
    <row r="786" spans="3:4" x14ac:dyDescent="0.25">
      <c r="C786" s="37"/>
      <c r="D786" s="35"/>
    </row>
    <row r="787" spans="3:4" x14ac:dyDescent="0.25">
      <c r="C787" s="37"/>
      <c r="D787" s="35"/>
    </row>
    <row r="788" spans="3:4" x14ac:dyDescent="0.25">
      <c r="C788" s="37"/>
      <c r="D788" s="35"/>
    </row>
    <row r="789" spans="3:4" x14ac:dyDescent="0.25">
      <c r="C789" s="37"/>
      <c r="D789" s="35"/>
    </row>
    <row r="790" spans="3:4" x14ac:dyDescent="0.25">
      <c r="C790" s="37"/>
      <c r="D790" s="35"/>
    </row>
    <row r="791" spans="3:4" x14ac:dyDescent="0.25">
      <c r="C791" s="37"/>
      <c r="D791" s="35"/>
    </row>
    <row r="792" spans="3:4" x14ac:dyDescent="0.25">
      <c r="C792" s="37"/>
      <c r="D792" s="35"/>
    </row>
    <row r="793" spans="3:4" x14ac:dyDescent="0.25">
      <c r="C793" s="37"/>
      <c r="D793" s="35"/>
    </row>
    <row r="794" spans="3:4" x14ac:dyDescent="0.25">
      <c r="C794" s="37"/>
      <c r="D794" s="35"/>
    </row>
    <row r="795" spans="3:4" x14ac:dyDescent="0.25">
      <c r="C795" s="37"/>
      <c r="D795" s="35"/>
    </row>
    <row r="796" spans="3:4" x14ac:dyDescent="0.25">
      <c r="C796" s="37"/>
      <c r="D796" s="35"/>
    </row>
    <row r="797" spans="3:4" x14ac:dyDescent="0.25">
      <c r="C797" s="37"/>
      <c r="D797" s="35"/>
    </row>
    <row r="798" spans="3:4" x14ac:dyDescent="0.25">
      <c r="C798" s="37"/>
      <c r="D798" s="35"/>
    </row>
    <row r="799" spans="3:4" x14ac:dyDescent="0.25">
      <c r="C799" s="37"/>
      <c r="D799" s="35"/>
    </row>
    <row r="800" spans="3:4" x14ac:dyDescent="0.25">
      <c r="C800" s="37"/>
      <c r="D800" s="35"/>
    </row>
    <row r="801" spans="3:4" x14ac:dyDescent="0.25">
      <c r="C801" s="37"/>
      <c r="D801" s="35"/>
    </row>
    <row r="802" spans="3:4" x14ac:dyDescent="0.25">
      <c r="C802" s="37"/>
      <c r="D802" s="35"/>
    </row>
    <row r="803" spans="3:4" x14ac:dyDescent="0.25">
      <c r="C803" s="37"/>
      <c r="D803" s="35"/>
    </row>
    <row r="804" spans="3:4" x14ac:dyDescent="0.25">
      <c r="C804" s="37"/>
      <c r="D804" s="35"/>
    </row>
    <row r="805" spans="3:4" x14ac:dyDescent="0.25">
      <c r="C805" s="37"/>
      <c r="D805" s="35"/>
    </row>
    <row r="806" spans="3:4" x14ac:dyDescent="0.25">
      <c r="C806" s="37"/>
      <c r="D806" s="35"/>
    </row>
    <row r="807" spans="3:4" x14ac:dyDescent="0.25">
      <c r="C807" s="37"/>
      <c r="D807" s="35"/>
    </row>
    <row r="808" spans="3:4" x14ac:dyDescent="0.25">
      <c r="C808" s="37"/>
      <c r="D808" s="35"/>
    </row>
    <row r="809" spans="3:4" x14ac:dyDescent="0.25">
      <c r="C809" s="37"/>
      <c r="D809" s="35"/>
    </row>
    <row r="810" spans="3:4" x14ac:dyDescent="0.25">
      <c r="C810" s="37"/>
      <c r="D810" s="35"/>
    </row>
    <row r="811" spans="3:4" x14ac:dyDescent="0.25">
      <c r="C811" s="37"/>
      <c r="D811" s="35"/>
    </row>
    <row r="812" spans="3:4" x14ac:dyDescent="0.25">
      <c r="C812" s="37"/>
      <c r="D812" s="35"/>
    </row>
    <row r="813" spans="3:4" x14ac:dyDescent="0.25">
      <c r="C813" s="37"/>
      <c r="D813" s="35"/>
    </row>
    <row r="814" spans="3:4" x14ac:dyDescent="0.25">
      <c r="C814" s="37"/>
      <c r="D814" s="35"/>
    </row>
    <row r="815" spans="3:4" x14ac:dyDescent="0.25">
      <c r="C815" s="37"/>
      <c r="D815" s="35"/>
    </row>
    <row r="816" spans="3:4" x14ac:dyDescent="0.25">
      <c r="C816" s="37"/>
      <c r="D816" s="35"/>
    </row>
    <row r="817" spans="3:4" x14ac:dyDescent="0.25">
      <c r="C817" s="37"/>
      <c r="D817" s="35"/>
    </row>
    <row r="818" spans="3:4" x14ac:dyDescent="0.25">
      <c r="C818" s="37"/>
      <c r="D818" s="35"/>
    </row>
    <row r="819" spans="3:4" x14ac:dyDescent="0.25">
      <c r="C819" s="37"/>
      <c r="D819" s="35"/>
    </row>
    <row r="820" spans="3:4" x14ac:dyDescent="0.25">
      <c r="C820" s="37"/>
      <c r="D820" s="35"/>
    </row>
    <row r="821" spans="3:4" x14ac:dyDescent="0.25">
      <c r="C821" s="37"/>
      <c r="D821" s="35"/>
    </row>
    <row r="822" spans="3:4" x14ac:dyDescent="0.25">
      <c r="C822" s="37"/>
      <c r="D822" s="35"/>
    </row>
    <row r="823" spans="3:4" x14ac:dyDescent="0.25">
      <c r="C823" s="37"/>
      <c r="D823" s="35"/>
    </row>
    <row r="824" spans="3:4" x14ac:dyDescent="0.25">
      <c r="C824" s="37"/>
      <c r="D824" s="35"/>
    </row>
    <row r="825" spans="3:4" x14ac:dyDescent="0.25">
      <c r="C825" s="37"/>
      <c r="D825" s="35"/>
    </row>
    <row r="826" spans="3:4" x14ac:dyDescent="0.25">
      <c r="C826" s="37"/>
      <c r="D826" s="35"/>
    </row>
    <row r="827" spans="3:4" x14ac:dyDescent="0.25">
      <c r="C827" s="37"/>
      <c r="D827" s="35"/>
    </row>
    <row r="828" spans="3:4" x14ac:dyDescent="0.25">
      <c r="C828" s="37"/>
      <c r="D828" s="35"/>
    </row>
    <row r="829" spans="3:4" x14ac:dyDescent="0.25">
      <c r="C829" s="37"/>
      <c r="D829" s="35"/>
    </row>
    <row r="830" spans="3:4" x14ac:dyDescent="0.25">
      <c r="C830" s="37"/>
      <c r="D830" s="35"/>
    </row>
    <row r="831" spans="3:4" x14ac:dyDescent="0.25">
      <c r="C831" s="37"/>
      <c r="D831" s="35"/>
    </row>
    <row r="832" spans="3:4" x14ac:dyDescent="0.25">
      <c r="C832" s="37"/>
      <c r="D832" s="35"/>
    </row>
    <row r="833" spans="3:4" x14ac:dyDescent="0.25">
      <c r="C833" s="37"/>
      <c r="D833" s="35"/>
    </row>
    <row r="834" spans="3:4" x14ac:dyDescent="0.25">
      <c r="C834" s="37"/>
      <c r="D834" s="35"/>
    </row>
    <row r="835" spans="3:4" x14ac:dyDescent="0.25">
      <c r="C835" s="37"/>
      <c r="D835" s="35"/>
    </row>
    <row r="836" spans="3:4" x14ac:dyDescent="0.25">
      <c r="C836" s="37"/>
      <c r="D836" s="35"/>
    </row>
    <row r="837" spans="3:4" x14ac:dyDescent="0.25">
      <c r="C837" s="37"/>
      <c r="D837" s="35"/>
    </row>
    <row r="838" spans="3:4" x14ac:dyDescent="0.25">
      <c r="C838" s="37"/>
      <c r="D838" s="35"/>
    </row>
    <row r="839" spans="3:4" x14ac:dyDescent="0.25">
      <c r="C839" s="37"/>
      <c r="D839" s="35"/>
    </row>
    <row r="840" spans="3:4" x14ac:dyDescent="0.25">
      <c r="C840" s="37"/>
      <c r="D840" s="35"/>
    </row>
    <row r="841" spans="3:4" x14ac:dyDescent="0.25">
      <c r="C841" s="37"/>
      <c r="D841" s="35"/>
    </row>
    <row r="842" spans="3:4" x14ac:dyDescent="0.25">
      <c r="C842" s="37"/>
      <c r="D842" s="35"/>
    </row>
    <row r="843" spans="3:4" x14ac:dyDescent="0.25">
      <c r="C843" s="37"/>
      <c r="D843" s="35"/>
    </row>
    <row r="844" spans="3:4" x14ac:dyDescent="0.25">
      <c r="C844" s="37"/>
      <c r="D844" s="35"/>
    </row>
    <row r="845" spans="3:4" x14ac:dyDescent="0.25">
      <c r="C845" s="37"/>
      <c r="D845" s="35"/>
    </row>
    <row r="846" spans="3:4" x14ac:dyDescent="0.25">
      <c r="C846" s="37"/>
      <c r="D846" s="35"/>
    </row>
    <row r="847" spans="3:4" x14ac:dyDescent="0.25">
      <c r="C847" s="37"/>
      <c r="D847" s="35"/>
    </row>
    <row r="848" spans="3:4" x14ac:dyDescent="0.25">
      <c r="C848" s="37"/>
      <c r="D848" s="35"/>
    </row>
    <row r="849" spans="3:4" x14ac:dyDescent="0.25">
      <c r="C849" s="37"/>
      <c r="D849" s="35"/>
    </row>
    <row r="850" spans="3:4" x14ac:dyDescent="0.25">
      <c r="C850" s="37"/>
      <c r="D850" s="35"/>
    </row>
    <row r="851" spans="3:4" x14ac:dyDescent="0.25">
      <c r="C851" s="37"/>
      <c r="D851" s="35"/>
    </row>
    <row r="852" spans="3:4" x14ac:dyDescent="0.25">
      <c r="C852" s="37"/>
      <c r="D852" s="35"/>
    </row>
    <row r="853" spans="3:4" x14ac:dyDescent="0.25">
      <c r="C853" s="37"/>
      <c r="D853" s="35"/>
    </row>
    <row r="854" spans="3:4" x14ac:dyDescent="0.25">
      <c r="C854" s="37"/>
      <c r="D854" s="35"/>
    </row>
    <row r="855" spans="3:4" x14ac:dyDescent="0.25">
      <c r="C855" s="37"/>
      <c r="D855" s="35"/>
    </row>
    <row r="856" spans="3:4" x14ac:dyDescent="0.25">
      <c r="C856" s="37"/>
      <c r="D856" s="35"/>
    </row>
    <row r="857" spans="3:4" x14ac:dyDescent="0.25">
      <c r="C857" s="37"/>
      <c r="D857" s="35"/>
    </row>
    <row r="858" spans="3:4" x14ac:dyDescent="0.25">
      <c r="C858" s="37"/>
      <c r="D858" s="35"/>
    </row>
    <row r="859" spans="3:4" x14ac:dyDescent="0.25">
      <c r="C859" s="37"/>
      <c r="D859" s="35"/>
    </row>
    <row r="860" spans="3:4" x14ac:dyDescent="0.25">
      <c r="C860" s="37"/>
      <c r="D860" s="35"/>
    </row>
    <row r="861" spans="3:4" x14ac:dyDescent="0.25">
      <c r="C861" s="37"/>
      <c r="D861" s="35"/>
    </row>
    <row r="862" spans="3:4" x14ac:dyDescent="0.25">
      <c r="C862" s="37"/>
      <c r="D862" s="35"/>
    </row>
    <row r="863" spans="3:4" x14ac:dyDescent="0.25">
      <c r="C863" s="37"/>
      <c r="D863" s="35"/>
    </row>
    <row r="864" spans="3:4" x14ac:dyDescent="0.25">
      <c r="C864" s="37"/>
      <c r="D864" s="35"/>
    </row>
    <row r="865" spans="3:4" x14ac:dyDescent="0.25">
      <c r="C865" s="37"/>
      <c r="D865" s="35"/>
    </row>
    <row r="866" spans="3:4" x14ac:dyDescent="0.25">
      <c r="C866" s="37"/>
      <c r="D866" s="35"/>
    </row>
    <row r="867" spans="3:4" x14ac:dyDescent="0.25">
      <c r="C867" s="37"/>
      <c r="D867" s="35"/>
    </row>
    <row r="868" spans="3:4" x14ac:dyDescent="0.25">
      <c r="C868" s="37"/>
      <c r="D868" s="35"/>
    </row>
    <row r="869" spans="3:4" x14ac:dyDescent="0.25">
      <c r="C869" s="37"/>
      <c r="D869" s="35"/>
    </row>
    <row r="870" spans="3:4" x14ac:dyDescent="0.25">
      <c r="C870" s="37"/>
      <c r="D870" s="35"/>
    </row>
    <row r="871" spans="3:4" x14ac:dyDescent="0.25">
      <c r="C871" s="37"/>
      <c r="D871" s="35"/>
    </row>
    <row r="872" spans="3:4" x14ac:dyDescent="0.25">
      <c r="C872" s="37"/>
      <c r="D872" s="35"/>
    </row>
    <row r="873" spans="3:4" x14ac:dyDescent="0.25">
      <c r="C873" s="37"/>
      <c r="D873" s="35"/>
    </row>
    <row r="874" spans="3:4" x14ac:dyDescent="0.25">
      <c r="C874" s="37"/>
      <c r="D874" s="35"/>
    </row>
    <row r="875" spans="3:4" x14ac:dyDescent="0.25">
      <c r="C875" s="37"/>
      <c r="D875" s="35"/>
    </row>
    <row r="876" spans="3:4" x14ac:dyDescent="0.25">
      <c r="C876" s="37"/>
      <c r="D876" s="35"/>
    </row>
    <row r="877" spans="3:4" x14ac:dyDescent="0.25">
      <c r="C877" s="37"/>
      <c r="D877" s="35"/>
    </row>
    <row r="878" spans="3:4" x14ac:dyDescent="0.25">
      <c r="C878" s="37"/>
      <c r="D878" s="35"/>
    </row>
    <row r="879" spans="3:4" x14ac:dyDescent="0.25">
      <c r="C879" s="37"/>
      <c r="D879" s="35"/>
    </row>
    <row r="880" spans="3:4" x14ac:dyDescent="0.25">
      <c r="C880" s="37"/>
      <c r="D880" s="35"/>
    </row>
    <row r="881" spans="3:4" x14ac:dyDescent="0.25">
      <c r="C881" s="37"/>
      <c r="D881" s="35"/>
    </row>
    <row r="882" spans="3:4" x14ac:dyDescent="0.25">
      <c r="C882" s="37"/>
      <c r="D882" s="35"/>
    </row>
    <row r="883" spans="3:4" x14ac:dyDescent="0.25">
      <c r="C883" s="37"/>
      <c r="D883" s="35"/>
    </row>
    <row r="884" spans="3:4" x14ac:dyDescent="0.25">
      <c r="C884" s="37"/>
      <c r="D884" s="35"/>
    </row>
    <row r="885" spans="3:4" x14ac:dyDescent="0.25">
      <c r="C885" s="37"/>
      <c r="D885" s="35"/>
    </row>
    <row r="886" spans="3:4" x14ac:dyDescent="0.25">
      <c r="C886" s="37"/>
      <c r="D886" s="35"/>
    </row>
    <row r="887" spans="3:4" x14ac:dyDescent="0.25">
      <c r="C887" s="37"/>
      <c r="D887" s="35"/>
    </row>
    <row r="888" spans="3:4" x14ac:dyDescent="0.25">
      <c r="C888" s="37"/>
      <c r="D888" s="35"/>
    </row>
    <row r="889" spans="3:4" x14ac:dyDescent="0.25">
      <c r="C889" s="37"/>
      <c r="D889" s="35"/>
    </row>
    <row r="890" spans="3:4" x14ac:dyDescent="0.25">
      <c r="C890" s="37"/>
      <c r="D890" s="35"/>
    </row>
    <row r="891" spans="3:4" x14ac:dyDescent="0.25">
      <c r="C891" s="37"/>
      <c r="D891" s="35"/>
    </row>
    <row r="892" spans="3:4" x14ac:dyDescent="0.25">
      <c r="C892" s="37"/>
      <c r="D892" s="35"/>
    </row>
    <row r="893" spans="3:4" x14ac:dyDescent="0.25">
      <c r="C893" s="37"/>
      <c r="D893" s="35"/>
    </row>
    <row r="894" spans="3:4" x14ac:dyDescent="0.25">
      <c r="C894" s="37"/>
      <c r="D894" s="35"/>
    </row>
    <row r="895" spans="3:4" x14ac:dyDescent="0.25">
      <c r="C895" s="37"/>
      <c r="D895" s="35"/>
    </row>
    <row r="896" spans="3:4" x14ac:dyDescent="0.25">
      <c r="C896" s="37"/>
      <c r="D896" s="35"/>
    </row>
    <row r="897" spans="3:4" x14ac:dyDescent="0.25">
      <c r="C897" s="37"/>
      <c r="D897" s="35"/>
    </row>
    <row r="898" spans="3:4" x14ac:dyDescent="0.25">
      <c r="C898" s="37"/>
      <c r="D898" s="35"/>
    </row>
    <row r="899" spans="3:4" x14ac:dyDescent="0.25">
      <c r="C899" s="37"/>
      <c r="D899" s="35"/>
    </row>
    <row r="900" spans="3:4" x14ac:dyDescent="0.25">
      <c r="C900" s="37"/>
      <c r="D900" s="35"/>
    </row>
    <row r="901" spans="3:4" x14ac:dyDescent="0.25">
      <c r="C901" s="37"/>
      <c r="D901" s="35"/>
    </row>
    <row r="902" spans="3:4" x14ac:dyDescent="0.25">
      <c r="C902" s="37"/>
      <c r="D902" s="35"/>
    </row>
    <row r="903" spans="3:4" x14ac:dyDescent="0.25">
      <c r="C903" s="37"/>
      <c r="D903" s="35"/>
    </row>
    <row r="904" spans="3:4" x14ac:dyDescent="0.25">
      <c r="C904" s="37"/>
      <c r="D904" s="35"/>
    </row>
    <row r="905" spans="3:4" x14ac:dyDescent="0.25">
      <c r="C905" s="37"/>
      <c r="D905" s="35"/>
    </row>
    <row r="906" spans="3:4" x14ac:dyDescent="0.25">
      <c r="C906" s="37"/>
      <c r="D906" s="35"/>
    </row>
    <row r="907" spans="3:4" x14ac:dyDescent="0.25">
      <c r="C907" s="37"/>
      <c r="D907" s="35"/>
    </row>
    <row r="908" spans="3:4" x14ac:dyDescent="0.25">
      <c r="C908" s="37"/>
      <c r="D908" s="35"/>
    </row>
    <row r="909" spans="3:4" x14ac:dyDescent="0.25">
      <c r="C909" s="37"/>
      <c r="D909" s="35"/>
    </row>
    <row r="910" spans="3:4" x14ac:dyDescent="0.25">
      <c r="C910" s="37"/>
      <c r="D910" s="35"/>
    </row>
    <row r="911" spans="3:4" x14ac:dyDescent="0.25">
      <c r="C911" s="37"/>
      <c r="D911" s="35"/>
    </row>
    <row r="912" spans="3:4" x14ac:dyDescent="0.25">
      <c r="C912" s="37"/>
      <c r="D912" s="35"/>
    </row>
    <row r="913" spans="3:4" x14ac:dyDescent="0.25">
      <c r="C913" s="37"/>
      <c r="D913" s="35"/>
    </row>
    <row r="914" spans="3:4" x14ac:dyDescent="0.25">
      <c r="C914" s="37"/>
      <c r="D914" s="35"/>
    </row>
    <row r="915" spans="3:4" x14ac:dyDescent="0.25">
      <c r="C915" s="37"/>
      <c r="D915" s="35"/>
    </row>
    <row r="916" spans="3:4" x14ac:dyDescent="0.25">
      <c r="C916" s="37"/>
      <c r="D916" s="35"/>
    </row>
    <row r="917" spans="3:4" x14ac:dyDescent="0.25">
      <c r="C917" s="37"/>
      <c r="D917" s="35"/>
    </row>
    <row r="918" spans="3:4" x14ac:dyDescent="0.25">
      <c r="C918" s="37"/>
      <c r="D918" s="35"/>
    </row>
    <row r="919" spans="3:4" x14ac:dyDescent="0.25">
      <c r="C919" s="37"/>
      <c r="D919" s="35"/>
    </row>
    <row r="920" spans="3:4" x14ac:dyDescent="0.25">
      <c r="C920" s="37"/>
      <c r="D920" s="35"/>
    </row>
    <row r="921" spans="3:4" x14ac:dyDescent="0.25">
      <c r="C921" s="37"/>
      <c r="D921" s="35"/>
    </row>
    <row r="922" spans="3:4" x14ac:dyDescent="0.25">
      <c r="C922" s="37"/>
      <c r="D922" s="35"/>
    </row>
    <row r="923" spans="3:4" x14ac:dyDescent="0.25">
      <c r="C923" s="37"/>
      <c r="D923" s="35"/>
    </row>
    <row r="924" spans="3:4" x14ac:dyDescent="0.25">
      <c r="C924" s="37"/>
      <c r="D924" s="35"/>
    </row>
    <row r="925" spans="3:4" x14ac:dyDescent="0.25">
      <c r="C925" s="37"/>
      <c r="D925" s="35"/>
    </row>
    <row r="926" spans="3:4" x14ac:dyDescent="0.25">
      <c r="C926" s="37"/>
      <c r="D926" s="35"/>
    </row>
    <row r="927" spans="3:4" x14ac:dyDescent="0.25">
      <c r="C927" s="37"/>
      <c r="D927" s="35"/>
    </row>
    <row r="928" spans="3:4" x14ac:dyDescent="0.25">
      <c r="C928" s="37"/>
      <c r="D928" s="35"/>
    </row>
    <row r="929" spans="3:4" x14ac:dyDescent="0.25">
      <c r="C929" s="37"/>
      <c r="D929" s="35"/>
    </row>
    <row r="930" spans="3:4" x14ac:dyDescent="0.25">
      <c r="C930" s="37"/>
      <c r="D930" s="35"/>
    </row>
    <row r="931" spans="3:4" x14ac:dyDescent="0.25">
      <c r="C931" s="37"/>
      <c r="D931" s="35"/>
    </row>
    <row r="932" spans="3:4" x14ac:dyDescent="0.25">
      <c r="C932" s="37"/>
      <c r="D932" s="35"/>
    </row>
    <row r="933" spans="3:4" x14ac:dyDescent="0.25">
      <c r="C933" s="37"/>
      <c r="D933" s="35"/>
    </row>
    <row r="934" spans="3:4" x14ac:dyDescent="0.25">
      <c r="C934" s="37"/>
      <c r="D934" s="35"/>
    </row>
    <row r="935" spans="3:4" x14ac:dyDescent="0.25">
      <c r="C935" s="37"/>
      <c r="D935" s="35"/>
    </row>
    <row r="936" spans="3:4" x14ac:dyDescent="0.25">
      <c r="C936" s="37"/>
      <c r="D936" s="35"/>
    </row>
    <row r="937" spans="3:4" x14ac:dyDescent="0.25">
      <c r="C937" s="37"/>
      <c r="D937" s="35"/>
    </row>
    <row r="938" spans="3:4" x14ac:dyDescent="0.25">
      <c r="C938" s="37"/>
      <c r="D938" s="35"/>
    </row>
    <row r="939" spans="3:4" x14ac:dyDescent="0.25">
      <c r="C939" s="37"/>
      <c r="D939" s="35"/>
    </row>
    <row r="940" spans="3:4" x14ac:dyDescent="0.25">
      <c r="C940" s="37"/>
      <c r="D940" s="35"/>
    </row>
    <row r="941" spans="3:4" x14ac:dyDescent="0.25">
      <c r="C941" s="37"/>
      <c r="D941" s="35"/>
    </row>
    <row r="942" spans="3:4" x14ac:dyDescent="0.25">
      <c r="C942" s="37"/>
      <c r="D942" s="35"/>
    </row>
    <row r="943" spans="3:4" x14ac:dyDescent="0.25">
      <c r="C943" s="37"/>
      <c r="D943" s="35"/>
    </row>
    <row r="944" spans="3:4" x14ac:dyDescent="0.25">
      <c r="C944" s="37"/>
      <c r="D944" s="35"/>
    </row>
    <row r="945" spans="3:4" x14ac:dyDescent="0.25">
      <c r="C945" s="37"/>
      <c r="D945" s="35"/>
    </row>
    <row r="946" spans="3:4" x14ac:dyDescent="0.25">
      <c r="C946" s="37"/>
      <c r="D946" s="35"/>
    </row>
    <row r="947" spans="3:4" x14ac:dyDescent="0.25">
      <c r="C947" s="37"/>
      <c r="D947" s="35"/>
    </row>
    <row r="948" spans="3:4" x14ac:dyDescent="0.25">
      <c r="C948" s="37"/>
      <c r="D948" s="35"/>
    </row>
    <row r="949" spans="3:4" x14ac:dyDescent="0.25">
      <c r="C949" s="37"/>
      <c r="D949" s="35"/>
    </row>
    <row r="950" spans="3:4" x14ac:dyDescent="0.25">
      <c r="C950" s="37"/>
      <c r="D950" s="35"/>
    </row>
    <row r="951" spans="3:4" x14ac:dyDescent="0.25">
      <c r="C951" s="37"/>
      <c r="D951" s="35"/>
    </row>
    <row r="952" spans="3:4" x14ac:dyDescent="0.25">
      <c r="C952" s="37"/>
      <c r="D952" s="35"/>
    </row>
    <row r="953" spans="3:4" x14ac:dyDescent="0.25">
      <c r="C953" s="37"/>
      <c r="D953" s="35"/>
    </row>
    <row r="954" spans="3:4" x14ac:dyDescent="0.25">
      <c r="C954" s="37"/>
      <c r="D954" s="35"/>
    </row>
    <row r="955" spans="3:4" x14ac:dyDescent="0.25">
      <c r="C955" s="37"/>
      <c r="D955" s="35"/>
    </row>
    <row r="956" spans="3:4" x14ac:dyDescent="0.25">
      <c r="C956" s="37"/>
      <c r="D956" s="35"/>
    </row>
    <row r="957" spans="3:4" x14ac:dyDescent="0.25">
      <c r="C957" s="37"/>
      <c r="D957" s="35"/>
    </row>
    <row r="958" spans="3:4" x14ac:dyDescent="0.25">
      <c r="C958" s="37"/>
      <c r="D958" s="35"/>
    </row>
    <row r="959" spans="3:4" x14ac:dyDescent="0.25">
      <c r="C959" s="37"/>
      <c r="D959" s="35"/>
    </row>
    <row r="960" spans="3:4" x14ac:dyDescent="0.25">
      <c r="C960" s="37"/>
      <c r="D960" s="35"/>
    </row>
    <row r="961" spans="3:4" x14ac:dyDescent="0.25">
      <c r="C961" s="37"/>
      <c r="D961" s="35"/>
    </row>
    <row r="962" spans="3:4" x14ac:dyDescent="0.25">
      <c r="C962" s="37"/>
      <c r="D962" s="35"/>
    </row>
    <row r="963" spans="3:4" x14ac:dyDescent="0.25">
      <c r="C963" s="37"/>
      <c r="D963" s="35"/>
    </row>
    <row r="964" spans="3:4" x14ac:dyDescent="0.25">
      <c r="C964" s="37"/>
      <c r="D964" s="35"/>
    </row>
    <row r="965" spans="3:4" x14ac:dyDescent="0.25">
      <c r="C965" s="37"/>
      <c r="D965" s="35"/>
    </row>
    <row r="966" spans="3:4" x14ac:dyDescent="0.25">
      <c r="C966" s="37"/>
      <c r="D966" s="35"/>
    </row>
    <row r="967" spans="3:4" x14ac:dyDescent="0.25">
      <c r="C967" s="37"/>
      <c r="D967" s="35"/>
    </row>
    <row r="968" spans="3:4" x14ac:dyDescent="0.25">
      <c r="C968" s="37"/>
      <c r="D968" s="35"/>
    </row>
    <row r="969" spans="3:4" x14ac:dyDescent="0.25">
      <c r="C969" s="37"/>
      <c r="D969" s="35"/>
    </row>
    <row r="970" spans="3:4" x14ac:dyDescent="0.25">
      <c r="C970" s="37"/>
      <c r="D970" s="35"/>
    </row>
    <row r="971" spans="3:4" x14ac:dyDescent="0.25">
      <c r="C971" s="37"/>
      <c r="D971" s="35"/>
    </row>
    <row r="972" spans="3:4" x14ac:dyDescent="0.25">
      <c r="C972" s="37"/>
      <c r="D972" s="35"/>
    </row>
    <row r="973" spans="3:4" x14ac:dyDescent="0.25">
      <c r="C973" s="37"/>
      <c r="D973" s="35"/>
    </row>
    <row r="974" spans="3:4" x14ac:dyDescent="0.25">
      <c r="C974" s="37"/>
      <c r="D974" s="35"/>
    </row>
    <row r="975" spans="3:4" x14ac:dyDescent="0.25">
      <c r="C975" s="37"/>
      <c r="D975" s="35"/>
    </row>
    <row r="976" spans="3:4" x14ac:dyDescent="0.25">
      <c r="C976" s="37"/>
      <c r="D976" s="35"/>
    </row>
    <row r="977" spans="3:4" x14ac:dyDescent="0.25">
      <c r="C977" s="37"/>
      <c r="D977" s="35"/>
    </row>
    <row r="978" spans="3:4" x14ac:dyDescent="0.25">
      <c r="C978" s="37"/>
      <c r="D978" s="35"/>
    </row>
    <row r="979" spans="3:4" x14ac:dyDescent="0.25">
      <c r="C979" s="37"/>
      <c r="D979" s="35"/>
    </row>
    <row r="980" spans="3:4" x14ac:dyDescent="0.25">
      <c r="C980" s="37"/>
      <c r="D980" s="35"/>
    </row>
    <row r="981" spans="3:4" x14ac:dyDescent="0.25">
      <c r="C981" s="37"/>
      <c r="D981" s="35"/>
    </row>
    <row r="982" spans="3:4" x14ac:dyDescent="0.25">
      <c r="C982" s="37"/>
      <c r="D982" s="35"/>
    </row>
    <row r="983" spans="3:4" x14ac:dyDescent="0.25">
      <c r="C983" s="37"/>
      <c r="D983" s="35"/>
    </row>
    <row r="984" spans="3:4" x14ac:dyDescent="0.25">
      <c r="C984" s="37"/>
      <c r="D984" s="35"/>
    </row>
    <row r="985" spans="3:4" x14ac:dyDescent="0.25">
      <c r="C985" s="37"/>
      <c r="D985" s="35"/>
    </row>
    <row r="986" spans="3:4" x14ac:dyDescent="0.25">
      <c r="C986" s="37"/>
      <c r="D986" s="35"/>
    </row>
    <row r="987" spans="3:4" x14ac:dyDescent="0.25">
      <c r="C987" s="37"/>
      <c r="D987" s="35"/>
    </row>
    <row r="988" spans="3:4" x14ac:dyDescent="0.25">
      <c r="C988" s="37"/>
      <c r="D988" s="35"/>
    </row>
    <row r="989" spans="3:4" x14ac:dyDescent="0.25">
      <c r="C989" s="37"/>
      <c r="D989" s="35"/>
    </row>
    <row r="990" spans="3:4" x14ac:dyDescent="0.25">
      <c r="C990" s="37"/>
      <c r="D990" s="35"/>
    </row>
    <row r="991" spans="3:4" x14ac:dyDescent="0.25">
      <c r="C991" s="37"/>
      <c r="D991" s="35"/>
    </row>
    <row r="992" spans="3:4" x14ac:dyDescent="0.25">
      <c r="C992" s="37"/>
      <c r="D992" s="35"/>
    </row>
    <row r="993" spans="3:4" x14ac:dyDescent="0.25">
      <c r="C993" s="37"/>
      <c r="D993" s="35"/>
    </row>
    <row r="994" spans="3:4" x14ac:dyDescent="0.25">
      <c r="C994" s="37"/>
      <c r="D994" s="35"/>
    </row>
    <row r="995" spans="3:4" x14ac:dyDescent="0.25">
      <c r="C995" s="37"/>
      <c r="D995" s="35"/>
    </row>
    <row r="996" spans="3:4" x14ac:dyDescent="0.25">
      <c r="C996" s="37"/>
      <c r="D996" s="35"/>
    </row>
    <row r="997" spans="3:4" x14ac:dyDescent="0.25">
      <c r="C997" s="37"/>
      <c r="D997" s="35"/>
    </row>
    <row r="998" spans="3:4" x14ac:dyDescent="0.25">
      <c r="C998" s="37"/>
      <c r="D998" s="35"/>
    </row>
    <row r="999" spans="3:4" x14ac:dyDescent="0.25">
      <c r="C999" s="37"/>
      <c r="D999" s="35"/>
    </row>
    <row r="1000" spans="3:4" x14ac:dyDescent="0.25">
      <c r="C1000" s="37"/>
      <c r="D1000" s="35"/>
    </row>
    <row r="1001" spans="3:4" x14ac:dyDescent="0.25">
      <c r="C1001" s="37"/>
      <c r="D1001" s="35"/>
    </row>
    <row r="1002" spans="3:4" x14ac:dyDescent="0.25">
      <c r="C1002" s="37"/>
      <c r="D1002" s="35"/>
    </row>
    <row r="1003" spans="3:4" x14ac:dyDescent="0.25">
      <c r="C1003" s="37"/>
      <c r="D1003" s="35"/>
    </row>
    <row r="1004" spans="3:4" x14ac:dyDescent="0.25">
      <c r="C1004" s="37"/>
      <c r="D1004" s="35"/>
    </row>
    <row r="1005" spans="3:4" x14ac:dyDescent="0.25">
      <c r="C1005" s="37"/>
      <c r="D1005" s="35"/>
    </row>
    <row r="1006" spans="3:4" x14ac:dyDescent="0.25">
      <c r="C1006" s="37"/>
      <c r="D1006" s="35"/>
    </row>
    <row r="1007" spans="3:4" x14ac:dyDescent="0.25">
      <c r="C1007" s="37"/>
      <c r="D1007" s="35"/>
    </row>
    <row r="1008" spans="3:4" x14ac:dyDescent="0.25">
      <c r="C1008" s="37"/>
      <c r="D1008" s="35"/>
    </row>
    <row r="1009" spans="3:4" x14ac:dyDescent="0.25">
      <c r="C1009" s="37"/>
      <c r="D1009" s="35"/>
    </row>
    <row r="1010" spans="3:4" x14ac:dyDescent="0.25">
      <c r="C1010" s="37"/>
      <c r="D1010" s="35"/>
    </row>
    <row r="1011" spans="3:4" x14ac:dyDescent="0.25">
      <c r="C1011" s="37"/>
      <c r="D1011" s="35"/>
    </row>
    <row r="1012" spans="3:4" x14ac:dyDescent="0.25">
      <c r="C1012" s="37"/>
      <c r="D1012" s="35"/>
    </row>
    <row r="1013" spans="3:4" x14ac:dyDescent="0.25">
      <c r="C1013" s="37"/>
      <c r="D1013" s="35"/>
    </row>
    <row r="1014" spans="3:4" x14ac:dyDescent="0.25">
      <c r="C1014" s="37"/>
      <c r="D1014" s="35"/>
    </row>
    <row r="1015" spans="3:4" x14ac:dyDescent="0.25">
      <c r="C1015" s="37"/>
      <c r="D1015" s="35"/>
    </row>
    <row r="1016" spans="3:4" x14ac:dyDescent="0.25">
      <c r="C1016" s="37"/>
      <c r="D1016" s="35"/>
    </row>
    <row r="1017" spans="3:4" x14ac:dyDescent="0.25">
      <c r="C1017" s="37"/>
      <c r="D1017" s="35"/>
    </row>
    <row r="1018" spans="3:4" x14ac:dyDescent="0.25">
      <c r="C1018" s="37"/>
      <c r="D1018" s="35"/>
    </row>
    <row r="1019" spans="3:4" x14ac:dyDescent="0.25">
      <c r="C1019" s="37"/>
      <c r="D1019" s="35"/>
    </row>
    <row r="1020" spans="3:4" x14ac:dyDescent="0.25">
      <c r="C1020" s="37"/>
      <c r="D1020" s="35"/>
    </row>
    <row r="1021" spans="3:4" x14ac:dyDescent="0.25">
      <c r="C1021" s="37"/>
      <c r="D1021" s="35"/>
    </row>
    <row r="1022" spans="3:4" x14ac:dyDescent="0.25">
      <c r="C1022" s="37"/>
      <c r="D1022" s="35"/>
    </row>
    <row r="1023" spans="3:4" x14ac:dyDescent="0.25">
      <c r="C1023" s="37"/>
      <c r="D1023" s="35"/>
    </row>
    <row r="1024" spans="3:4" x14ac:dyDescent="0.25">
      <c r="C1024" s="37"/>
      <c r="D1024" s="35"/>
    </row>
    <row r="1025" spans="3:4" x14ac:dyDescent="0.25">
      <c r="C1025" s="37"/>
      <c r="D1025" s="35"/>
    </row>
    <row r="1026" spans="3:4" x14ac:dyDescent="0.25">
      <c r="C1026" s="37"/>
      <c r="D1026" s="35"/>
    </row>
    <row r="1027" spans="3:4" x14ac:dyDescent="0.25">
      <c r="C1027" s="37"/>
      <c r="D1027" s="35"/>
    </row>
    <row r="1028" spans="3:4" x14ac:dyDescent="0.25">
      <c r="C1028" s="37"/>
      <c r="D1028" s="35"/>
    </row>
    <row r="1029" spans="3:4" x14ac:dyDescent="0.25">
      <c r="C1029" s="37"/>
      <c r="D1029" s="35"/>
    </row>
    <row r="1030" spans="3:4" x14ac:dyDescent="0.25">
      <c r="C1030" s="37"/>
      <c r="D1030" s="35"/>
    </row>
    <row r="1031" spans="3:4" x14ac:dyDescent="0.25">
      <c r="C1031" s="37"/>
      <c r="D1031" s="35"/>
    </row>
    <row r="1032" spans="3:4" x14ac:dyDescent="0.25">
      <c r="C1032" s="37"/>
      <c r="D1032" s="35"/>
    </row>
    <row r="1033" spans="3:4" x14ac:dyDescent="0.25">
      <c r="C1033" s="37"/>
      <c r="D1033" s="35"/>
    </row>
    <row r="1034" spans="3:4" x14ac:dyDescent="0.25">
      <c r="C1034" s="37"/>
      <c r="D1034" s="35"/>
    </row>
    <row r="1035" spans="3:4" x14ac:dyDescent="0.25">
      <c r="C1035" s="37"/>
      <c r="D1035" s="35"/>
    </row>
    <row r="1036" spans="3:4" x14ac:dyDescent="0.25">
      <c r="C1036" s="37"/>
      <c r="D1036" s="35"/>
    </row>
    <row r="1037" spans="3:4" x14ac:dyDescent="0.25">
      <c r="C1037" s="37"/>
      <c r="D1037" s="35"/>
    </row>
    <row r="1038" spans="3:4" x14ac:dyDescent="0.25">
      <c r="C1038" s="37"/>
      <c r="D1038" s="35"/>
    </row>
    <row r="1039" spans="3:4" x14ac:dyDescent="0.25">
      <c r="C1039" s="37"/>
      <c r="D1039" s="35"/>
    </row>
    <row r="1040" spans="3:4" x14ac:dyDescent="0.25">
      <c r="C1040" s="37"/>
      <c r="D1040" s="35"/>
    </row>
    <row r="1041" spans="3:4" x14ac:dyDescent="0.25">
      <c r="C1041" s="37"/>
      <c r="D1041" s="35"/>
    </row>
    <row r="1042" spans="3:4" x14ac:dyDescent="0.25">
      <c r="C1042" s="37"/>
      <c r="D1042" s="35"/>
    </row>
    <row r="1043" spans="3:4" x14ac:dyDescent="0.25">
      <c r="C1043" s="37"/>
      <c r="D1043" s="35"/>
    </row>
    <row r="1044" spans="3:4" x14ac:dyDescent="0.25">
      <c r="C1044" s="37"/>
      <c r="D1044" s="35"/>
    </row>
    <row r="1045" spans="3:4" x14ac:dyDescent="0.25">
      <c r="C1045" s="37"/>
      <c r="D1045" s="35"/>
    </row>
    <row r="1046" spans="3:4" x14ac:dyDescent="0.25">
      <c r="C1046" s="37"/>
      <c r="D1046" s="35"/>
    </row>
    <row r="1047" spans="3:4" x14ac:dyDescent="0.25">
      <c r="C1047" s="37"/>
      <c r="D1047" s="35"/>
    </row>
    <row r="1048" spans="3:4" x14ac:dyDescent="0.25">
      <c r="C1048" s="37"/>
      <c r="D1048" s="35"/>
    </row>
    <row r="1049" spans="3:4" x14ac:dyDescent="0.25">
      <c r="C1049" s="37"/>
      <c r="D1049" s="35"/>
    </row>
    <row r="1050" spans="3:4" x14ac:dyDescent="0.25">
      <c r="C1050" s="37"/>
      <c r="D1050" s="35"/>
    </row>
    <row r="1051" spans="3:4" x14ac:dyDescent="0.25">
      <c r="C1051" s="37"/>
      <c r="D1051" s="35"/>
    </row>
    <row r="1052" spans="3:4" x14ac:dyDescent="0.25">
      <c r="C1052" s="37"/>
      <c r="D1052" s="35"/>
    </row>
    <row r="1053" spans="3:4" x14ac:dyDescent="0.25">
      <c r="C1053" s="37"/>
      <c r="D1053" s="35"/>
    </row>
    <row r="1054" spans="3:4" x14ac:dyDescent="0.25">
      <c r="C1054" s="37"/>
      <c r="D1054" s="35"/>
    </row>
    <row r="1055" spans="3:4" x14ac:dyDescent="0.25">
      <c r="C1055" s="37"/>
      <c r="D1055" s="35"/>
    </row>
    <row r="1056" spans="3:4" x14ac:dyDescent="0.25">
      <c r="C1056" s="37"/>
      <c r="D1056" s="35"/>
    </row>
    <row r="1057" spans="3:4" x14ac:dyDescent="0.25">
      <c r="C1057" s="37"/>
      <c r="D1057" s="35"/>
    </row>
    <row r="1058" spans="3:4" x14ac:dyDescent="0.25">
      <c r="C1058" s="37"/>
      <c r="D1058" s="35"/>
    </row>
    <row r="1059" spans="3:4" x14ac:dyDescent="0.25">
      <c r="C1059" s="37"/>
      <c r="D1059" s="35"/>
    </row>
    <row r="1060" spans="3:4" x14ac:dyDescent="0.25">
      <c r="C1060" s="37"/>
      <c r="D1060" s="35"/>
    </row>
    <row r="1061" spans="3:4" x14ac:dyDescent="0.25">
      <c r="C1061" s="37"/>
      <c r="D1061" s="35"/>
    </row>
    <row r="1062" spans="3:4" x14ac:dyDescent="0.25">
      <c r="C1062" s="37"/>
      <c r="D1062" s="35"/>
    </row>
    <row r="1063" spans="3:4" x14ac:dyDescent="0.25">
      <c r="C1063" s="37"/>
      <c r="D1063" s="35"/>
    </row>
    <row r="1064" spans="3:4" x14ac:dyDescent="0.25">
      <c r="C1064" s="37"/>
      <c r="D1064" s="35"/>
    </row>
    <row r="1065" spans="3:4" x14ac:dyDescent="0.25">
      <c r="C1065" s="37"/>
      <c r="D1065" s="35"/>
    </row>
    <row r="1066" spans="3:4" x14ac:dyDescent="0.25">
      <c r="C1066" s="37"/>
      <c r="D1066" s="35"/>
    </row>
    <row r="1067" spans="3:4" x14ac:dyDescent="0.25">
      <c r="C1067" s="37"/>
      <c r="D1067" s="35"/>
    </row>
    <row r="1068" spans="3:4" x14ac:dyDescent="0.25">
      <c r="C1068" s="37"/>
      <c r="D1068" s="35"/>
    </row>
    <row r="1069" spans="3:4" x14ac:dyDescent="0.25">
      <c r="C1069" s="37"/>
      <c r="D1069" s="35"/>
    </row>
    <row r="1070" spans="3:4" x14ac:dyDescent="0.25">
      <c r="C1070" s="37"/>
      <c r="D1070" s="35"/>
    </row>
    <row r="1071" spans="3:4" x14ac:dyDescent="0.25">
      <c r="C1071" s="37"/>
      <c r="D1071" s="35"/>
    </row>
    <row r="1072" spans="3:4" x14ac:dyDescent="0.25">
      <c r="C1072" s="37"/>
      <c r="D1072" s="35"/>
    </row>
    <row r="1073" spans="3:4" x14ac:dyDescent="0.25">
      <c r="C1073" s="37"/>
      <c r="D1073" s="35"/>
    </row>
    <row r="1074" spans="3:4" x14ac:dyDescent="0.25">
      <c r="C1074" s="37"/>
      <c r="D1074" s="35"/>
    </row>
    <row r="1075" spans="3:4" x14ac:dyDescent="0.25">
      <c r="C1075" s="37"/>
      <c r="D1075" s="35"/>
    </row>
    <row r="1076" spans="3:4" x14ac:dyDescent="0.25">
      <c r="C1076" s="37"/>
      <c r="D1076" s="35"/>
    </row>
    <row r="1077" spans="3:4" x14ac:dyDescent="0.25">
      <c r="C1077" s="37"/>
      <c r="D1077" s="35"/>
    </row>
    <row r="1078" spans="3:4" x14ac:dyDescent="0.25">
      <c r="C1078" s="37"/>
      <c r="D1078" s="35"/>
    </row>
    <row r="1079" spans="3:4" x14ac:dyDescent="0.25">
      <c r="C1079" s="37"/>
      <c r="D1079" s="35"/>
    </row>
    <row r="1080" spans="3:4" x14ac:dyDescent="0.25">
      <c r="C1080" s="37"/>
      <c r="D1080" s="35"/>
    </row>
    <row r="1081" spans="3:4" x14ac:dyDescent="0.25">
      <c r="C1081" s="37"/>
      <c r="D1081" s="35"/>
    </row>
    <row r="1082" spans="3:4" x14ac:dyDescent="0.25">
      <c r="C1082" s="37"/>
      <c r="D1082" s="35"/>
    </row>
    <row r="1083" spans="3:4" x14ac:dyDescent="0.25">
      <c r="C1083" s="37"/>
      <c r="D1083" s="35"/>
    </row>
    <row r="1084" spans="3:4" x14ac:dyDescent="0.25">
      <c r="C1084" s="37"/>
      <c r="D1084" s="35"/>
    </row>
    <row r="1085" spans="3:4" x14ac:dyDescent="0.25">
      <c r="C1085" s="37"/>
      <c r="D1085" s="35"/>
    </row>
    <row r="1086" spans="3:4" x14ac:dyDescent="0.25">
      <c r="C1086" s="37"/>
      <c r="D1086" s="35"/>
    </row>
    <row r="1087" spans="3:4" x14ac:dyDescent="0.25">
      <c r="C1087" s="37"/>
      <c r="D1087" s="35"/>
    </row>
    <row r="1088" spans="3:4" x14ac:dyDescent="0.25">
      <c r="C1088" s="37"/>
      <c r="D1088" s="35"/>
    </row>
    <row r="1089" spans="3:4" x14ac:dyDescent="0.25">
      <c r="C1089" s="37"/>
      <c r="D1089" s="35"/>
    </row>
    <row r="1090" spans="3:4" x14ac:dyDescent="0.25">
      <c r="C1090" s="37"/>
      <c r="D1090" s="35"/>
    </row>
    <row r="1091" spans="3:4" x14ac:dyDescent="0.25">
      <c r="C1091" s="37"/>
      <c r="D1091" s="35"/>
    </row>
    <row r="1092" spans="3:4" x14ac:dyDescent="0.25">
      <c r="C1092" s="37"/>
      <c r="D1092" s="35"/>
    </row>
    <row r="1093" spans="3:4" x14ac:dyDescent="0.25">
      <c r="C1093" s="37"/>
      <c r="D1093" s="35"/>
    </row>
    <row r="1094" spans="3:4" x14ac:dyDescent="0.25">
      <c r="C1094" s="37"/>
      <c r="D1094" s="35"/>
    </row>
    <row r="1095" spans="3:4" x14ac:dyDescent="0.25">
      <c r="C1095" s="37"/>
      <c r="D1095" s="35"/>
    </row>
    <row r="1096" spans="3:4" x14ac:dyDescent="0.25">
      <c r="C1096" s="37"/>
      <c r="D1096" s="35"/>
    </row>
    <row r="1097" spans="3:4" x14ac:dyDescent="0.25">
      <c r="C1097" s="37"/>
      <c r="D1097" s="35"/>
    </row>
    <row r="1098" spans="3:4" x14ac:dyDescent="0.25">
      <c r="C1098" s="37"/>
      <c r="D1098" s="35"/>
    </row>
    <row r="1099" spans="3:4" x14ac:dyDescent="0.25">
      <c r="C1099" s="37"/>
      <c r="D1099" s="35"/>
    </row>
    <row r="1100" spans="3:4" x14ac:dyDescent="0.25">
      <c r="C1100" s="37"/>
      <c r="D1100" s="35"/>
    </row>
    <row r="1101" spans="3:4" x14ac:dyDescent="0.25">
      <c r="C1101" s="37"/>
      <c r="D1101" s="35"/>
    </row>
    <row r="1102" spans="3:4" x14ac:dyDescent="0.25">
      <c r="C1102" s="37"/>
      <c r="D1102" s="35"/>
    </row>
    <row r="1103" spans="3:4" x14ac:dyDescent="0.25">
      <c r="C1103" s="37"/>
      <c r="D1103" s="35"/>
    </row>
    <row r="1104" spans="3:4" x14ac:dyDescent="0.25">
      <c r="C1104" s="37"/>
      <c r="D1104" s="35"/>
    </row>
    <row r="1105" spans="3:4" x14ac:dyDescent="0.25">
      <c r="C1105" s="37"/>
      <c r="D1105" s="35"/>
    </row>
    <row r="1106" spans="3:4" x14ac:dyDescent="0.25">
      <c r="C1106" s="37"/>
      <c r="D1106" s="35"/>
    </row>
    <row r="1107" spans="3:4" x14ac:dyDescent="0.25">
      <c r="C1107" s="37"/>
      <c r="D1107" s="35"/>
    </row>
    <row r="1108" spans="3:4" x14ac:dyDescent="0.25">
      <c r="C1108" s="37"/>
      <c r="D1108" s="35"/>
    </row>
    <row r="1109" spans="3:4" x14ac:dyDescent="0.25">
      <c r="C1109" s="37"/>
      <c r="D1109" s="35"/>
    </row>
    <row r="1110" spans="3:4" x14ac:dyDescent="0.25">
      <c r="C1110" s="37"/>
      <c r="D1110" s="35"/>
    </row>
    <row r="1111" spans="3:4" x14ac:dyDescent="0.25">
      <c r="C1111" s="37"/>
      <c r="D1111" s="35"/>
    </row>
    <row r="1112" spans="3:4" x14ac:dyDescent="0.25">
      <c r="C1112" s="37"/>
      <c r="D1112" s="35"/>
    </row>
    <row r="1113" spans="3:4" x14ac:dyDescent="0.25">
      <c r="C1113" s="37"/>
      <c r="D1113" s="35"/>
    </row>
    <row r="1114" spans="3:4" x14ac:dyDescent="0.25">
      <c r="C1114" s="37"/>
      <c r="D1114" s="35"/>
    </row>
    <row r="1115" spans="3:4" x14ac:dyDescent="0.25">
      <c r="C1115" s="37"/>
      <c r="D1115" s="35"/>
    </row>
    <row r="1116" spans="3:4" x14ac:dyDescent="0.25">
      <c r="C1116" s="37"/>
      <c r="D1116" s="35"/>
    </row>
    <row r="1117" spans="3:4" x14ac:dyDescent="0.25">
      <c r="C1117" s="37"/>
      <c r="D1117" s="35"/>
    </row>
    <row r="1118" spans="3:4" x14ac:dyDescent="0.25">
      <c r="C1118" s="37"/>
      <c r="D1118" s="35"/>
    </row>
    <row r="1119" spans="3:4" x14ac:dyDescent="0.25">
      <c r="C1119" s="37"/>
      <c r="D1119" s="35"/>
    </row>
    <row r="1120" spans="3:4" x14ac:dyDescent="0.25">
      <c r="C1120" s="37"/>
      <c r="D1120" s="35"/>
    </row>
    <row r="1121" spans="3:4" x14ac:dyDescent="0.25">
      <c r="C1121" s="37"/>
      <c r="D1121" s="35"/>
    </row>
    <row r="1122" spans="3:4" x14ac:dyDescent="0.25">
      <c r="C1122" s="37"/>
      <c r="D1122" s="35"/>
    </row>
    <row r="1123" spans="3:4" x14ac:dyDescent="0.25">
      <c r="C1123" s="37"/>
      <c r="D1123" s="35"/>
    </row>
    <row r="1124" spans="3:4" x14ac:dyDescent="0.25">
      <c r="C1124" s="37"/>
      <c r="D1124" s="35"/>
    </row>
    <row r="1125" spans="3:4" x14ac:dyDescent="0.25">
      <c r="C1125" s="37"/>
      <c r="D1125" s="35"/>
    </row>
    <row r="1126" spans="3:4" x14ac:dyDescent="0.25">
      <c r="C1126" s="37"/>
      <c r="D1126" s="35"/>
    </row>
    <row r="1127" spans="3:4" x14ac:dyDescent="0.25">
      <c r="C1127" s="37"/>
      <c r="D1127" s="35"/>
    </row>
    <row r="1128" spans="3:4" x14ac:dyDescent="0.25">
      <c r="C1128" s="37"/>
      <c r="D1128" s="35"/>
    </row>
    <row r="1129" spans="3:4" x14ac:dyDescent="0.25">
      <c r="C1129" s="37"/>
      <c r="D1129" s="35"/>
    </row>
    <row r="1130" spans="3:4" x14ac:dyDescent="0.25">
      <c r="C1130" s="37"/>
      <c r="D1130" s="35"/>
    </row>
    <row r="1131" spans="3:4" x14ac:dyDescent="0.25">
      <c r="C1131" s="37"/>
      <c r="D1131" s="35"/>
    </row>
    <row r="1132" spans="3:4" x14ac:dyDescent="0.25">
      <c r="C1132" s="37"/>
      <c r="D1132" s="35"/>
    </row>
    <row r="1133" spans="3:4" x14ac:dyDescent="0.25">
      <c r="C1133" s="37"/>
      <c r="D1133" s="35"/>
    </row>
    <row r="1134" spans="3:4" x14ac:dyDescent="0.25">
      <c r="C1134" s="37"/>
      <c r="D1134" s="35"/>
    </row>
    <row r="1135" spans="3:4" x14ac:dyDescent="0.25">
      <c r="C1135" s="37"/>
      <c r="D1135" s="35"/>
    </row>
    <row r="1136" spans="3:4" x14ac:dyDescent="0.25">
      <c r="C1136" s="37"/>
      <c r="D1136" s="35"/>
    </row>
    <row r="1137" spans="3:4" x14ac:dyDescent="0.25">
      <c r="C1137" s="37"/>
      <c r="D1137" s="35"/>
    </row>
    <row r="1138" spans="3:4" x14ac:dyDescent="0.25">
      <c r="C1138" s="37"/>
      <c r="D1138" s="35"/>
    </row>
    <row r="1139" spans="3:4" x14ac:dyDescent="0.25">
      <c r="C1139" s="37"/>
      <c r="D1139" s="35"/>
    </row>
    <row r="1140" spans="3:4" x14ac:dyDescent="0.25">
      <c r="C1140" s="37"/>
      <c r="D1140" s="35"/>
    </row>
    <row r="1141" spans="3:4" x14ac:dyDescent="0.25">
      <c r="C1141" s="37"/>
      <c r="D1141" s="35"/>
    </row>
    <row r="1142" spans="3:4" x14ac:dyDescent="0.25">
      <c r="C1142" s="37"/>
      <c r="D1142" s="35"/>
    </row>
    <row r="1143" spans="3:4" x14ac:dyDescent="0.25">
      <c r="C1143" s="37"/>
      <c r="D1143" s="35"/>
    </row>
    <row r="1144" spans="3:4" x14ac:dyDescent="0.25">
      <c r="C1144" s="37"/>
      <c r="D1144" s="35"/>
    </row>
    <row r="1145" spans="3:4" x14ac:dyDescent="0.25">
      <c r="C1145" s="37"/>
      <c r="D1145" s="35"/>
    </row>
    <row r="1146" spans="3:4" x14ac:dyDescent="0.25">
      <c r="C1146" s="37"/>
      <c r="D1146" s="35"/>
    </row>
    <row r="1147" spans="3:4" x14ac:dyDescent="0.25">
      <c r="C1147" s="37"/>
      <c r="D1147" s="35"/>
    </row>
    <row r="1148" spans="3:4" x14ac:dyDescent="0.25">
      <c r="C1148" s="37"/>
      <c r="D1148" s="35"/>
    </row>
    <row r="1149" spans="3:4" x14ac:dyDescent="0.25">
      <c r="C1149" s="37"/>
      <c r="D1149" s="35"/>
    </row>
    <row r="1150" spans="3:4" x14ac:dyDescent="0.25">
      <c r="C1150" s="37"/>
      <c r="D1150" s="35"/>
    </row>
    <row r="1151" spans="3:4" x14ac:dyDescent="0.25">
      <c r="C1151" s="37"/>
      <c r="D1151" s="35"/>
    </row>
    <row r="1152" spans="3:4" x14ac:dyDescent="0.25">
      <c r="C1152" s="37"/>
      <c r="D1152" s="35"/>
    </row>
    <row r="1153" spans="3:4" x14ac:dyDescent="0.25">
      <c r="C1153" s="37"/>
      <c r="D1153" s="35"/>
    </row>
    <row r="1154" spans="3:4" x14ac:dyDescent="0.25">
      <c r="C1154" s="37"/>
      <c r="D1154" s="35"/>
    </row>
    <row r="1155" spans="3:4" x14ac:dyDescent="0.25">
      <c r="C1155" s="37"/>
      <c r="D1155" s="35"/>
    </row>
    <row r="1156" spans="3:4" x14ac:dyDescent="0.25">
      <c r="C1156" s="37"/>
      <c r="D1156" s="35"/>
    </row>
    <row r="1157" spans="3:4" x14ac:dyDescent="0.25">
      <c r="C1157" s="37"/>
      <c r="D1157" s="35"/>
    </row>
    <row r="1158" spans="3:4" x14ac:dyDescent="0.25">
      <c r="C1158" s="37"/>
      <c r="D1158" s="35"/>
    </row>
    <row r="1159" spans="3:4" x14ac:dyDescent="0.25">
      <c r="C1159" s="37"/>
      <c r="D1159" s="35"/>
    </row>
    <row r="1160" spans="3:4" x14ac:dyDescent="0.25">
      <c r="C1160" s="37"/>
      <c r="D1160" s="35"/>
    </row>
    <row r="1161" spans="3:4" x14ac:dyDescent="0.25">
      <c r="C1161" s="37"/>
      <c r="D1161" s="35"/>
    </row>
    <row r="1162" spans="3:4" x14ac:dyDescent="0.25">
      <c r="C1162" s="37"/>
      <c r="D1162" s="35"/>
    </row>
    <row r="1163" spans="3:4" x14ac:dyDescent="0.25">
      <c r="C1163" s="37"/>
      <c r="D1163" s="35"/>
    </row>
    <row r="1164" spans="3:4" x14ac:dyDescent="0.25">
      <c r="C1164" s="37"/>
      <c r="D1164" s="35"/>
    </row>
    <row r="1165" spans="3:4" x14ac:dyDescent="0.25">
      <c r="C1165" s="37"/>
      <c r="D1165" s="35"/>
    </row>
    <row r="1166" spans="3:4" x14ac:dyDescent="0.25">
      <c r="C1166" s="37"/>
      <c r="D1166" s="35"/>
    </row>
    <row r="1167" spans="3:4" x14ac:dyDescent="0.25">
      <c r="C1167" s="37"/>
      <c r="D1167" s="35"/>
    </row>
    <row r="1168" spans="3:4" x14ac:dyDescent="0.25">
      <c r="C1168" s="37"/>
      <c r="D1168" s="35"/>
    </row>
    <row r="1169" spans="3:4" x14ac:dyDescent="0.25">
      <c r="C1169" s="37"/>
      <c r="D1169" s="35"/>
    </row>
    <row r="1170" spans="3:4" x14ac:dyDescent="0.25">
      <c r="C1170" s="37"/>
      <c r="D1170" s="35"/>
    </row>
    <row r="1171" spans="3:4" x14ac:dyDescent="0.25">
      <c r="C1171" s="37"/>
      <c r="D1171" s="35"/>
    </row>
    <row r="1172" spans="3:4" x14ac:dyDescent="0.25">
      <c r="C1172" s="37"/>
      <c r="D1172" s="35"/>
    </row>
    <row r="1173" spans="3:4" x14ac:dyDescent="0.25">
      <c r="C1173" s="37"/>
      <c r="D1173" s="35"/>
    </row>
    <row r="1174" spans="3:4" x14ac:dyDescent="0.25">
      <c r="C1174" s="37"/>
      <c r="D1174" s="35"/>
    </row>
    <row r="1175" spans="3:4" x14ac:dyDescent="0.25">
      <c r="C1175" s="37"/>
      <c r="D1175" s="35"/>
    </row>
    <row r="1176" spans="3:4" x14ac:dyDescent="0.25">
      <c r="C1176" s="37"/>
      <c r="D1176" s="35"/>
    </row>
    <row r="1177" spans="3:4" x14ac:dyDescent="0.25">
      <c r="C1177" s="37"/>
      <c r="D1177" s="35"/>
    </row>
    <row r="1178" spans="3:4" x14ac:dyDescent="0.25">
      <c r="C1178" s="37"/>
      <c r="D1178" s="35"/>
    </row>
    <row r="1179" spans="3:4" x14ac:dyDescent="0.25">
      <c r="C1179" s="37"/>
      <c r="D1179" s="35"/>
    </row>
    <row r="1180" spans="3:4" x14ac:dyDescent="0.25">
      <c r="C1180" s="37"/>
      <c r="D1180" s="35"/>
    </row>
    <row r="1181" spans="3:4" x14ac:dyDescent="0.25">
      <c r="C1181" s="37"/>
      <c r="D1181" s="35"/>
    </row>
    <row r="1182" spans="3:4" x14ac:dyDescent="0.25">
      <c r="C1182" s="37"/>
      <c r="D1182" s="35"/>
    </row>
    <row r="1183" spans="3:4" x14ac:dyDescent="0.25">
      <c r="C1183" s="37"/>
      <c r="D1183" s="35"/>
    </row>
    <row r="1184" spans="3:4" x14ac:dyDescent="0.25">
      <c r="C1184" s="37"/>
      <c r="D1184" s="35"/>
    </row>
    <row r="1185" spans="3:4" x14ac:dyDescent="0.25">
      <c r="C1185" s="37"/>
      <c r="D1185" s="35"/>
    </row>
    <row r="1186" spans="3:4" x14ac:dyDescent="0.25">
      <c r="C1186" s="37"/>
      <c r="D1186" s="35"/>
    </row>
    <row r="1187" spans="3:4" x14ac:dyDescent="0.25">
      <c r="C1187" s="37"/>
      <c r="D1187" s="35"/>
    </row>
    <row r="1188" spans="3:4" x14ac:dyDescent="0.25">
      <c r="C1188" s="37"/>
      <c r="D1188" s="35"/>
    </row>
    <row r="1189" spans="3:4" x14ac:dyDescent="0.25">
      <c r="C1189" s="37"/>
      <c r="D1189" s="35"/>
    </row>
    <row r="1190" spans="3:4" x14ac:dyDescent="0.25">
      <c r="C1190" s="37"/>
      <c r="D1190" s="35"/>
    </row>
    <row r="1191" spans="3:4" x14ac:dyDescent="0.25">
      <c r="C1191" s="37"/>
      <c r="D1191" s="35"/>
    </row>
    <row r="1192" spans="3:4" x14ac:dyDescent="0.25">
      <c r="C1192" s="37"/>
      <c r="D1192" s="35"/>
    </row>
    <row r="1193" spans="3:4" x14ac:dyDescent="0.25">
      <c r="C1193" s="37"/>
      <c r="D1193" s="35"/>
    </row>
    <row r="1194" spans="3:4" x14ac:dyDescent="0.25">
      <c r="C1194" s="37"/>
      <c r="D1194" s="35"/>
    </row>
    <row r="1195" spans="3:4" x14ac:dyDescent="0.25">
      <c r="C1195" s="37"/>
      <c r="D1195" s="35"/>
    </row>
    <row r="1196" spans="3:4" x14ac:dyDescent="0.25">
      <c r="C1196" s="37"/>
      <c r="D1196" s="35"/>
    </row>
    <row r="1197" spans="3:4" x14ac:dyDescent="0.25">
      <c r="C1197" s="37"/>
      <c r="D1197" s="35"/>
    </row>
    <row r="1198" spans="3:4" x14ac:dyDescent="0.25">
      <c r="C1198" s="37"/>
      <c r="D1198" s="35"/>
    </row>
    <row r="1199" spans="3:4" x14ac:dyDescent="0.25">
      <c r="C1199" s="37"/>
      <c r="D1199" s="35"/>
    </row>
    <row r="1200" spans="3:4" x14ac:dyDescent="0.25">
      <c r="C1200" s="37"/>
      <c r="D1200" s="35"/>
    </row>
    <row r="1201" spans="3:4" x14ac:dyDescent="0.25">
      <c r="C1201" s="37"/>
      <c r="D1201" s="35"/>
    </row>
    <row r="1202" spans="3:4" x14ac:dyDescent="0.25">
      <c r="C1202" s="37"/>
      <c r="D1202" s="35"/>
    </row>
    <row r="1203" spans="3:4" x14ac:dyDescent="0.25">
      <c r="C1203" s="37"/>
      <c r="D1203" s="35"/>
    </row>
    <row r="1204" spans="3:4" x14ac:dyDescent="0.25">
      <c r="C1204" s="37"/>
      <c r="D1204" s="35"/>
    </row>
    <row r="1205" spans="3:4" x14ac:dyDescent="0.25">
      <c r="C1205" s="37"/>
      <c r="D1205" s="35"/>
    </row>
    <row r="1206" spans="3:4" x14ac:dyDescent="0.25">
      <c r="C1206" s="37"/>
      <c r="D1206" s="35"/>
    </row>
    <row r="1207" spans="3:4" x14ac:dyDescent="0.25">
      <c r="C1207" s="37"/>
      <c r="D1207" s="35"/>
    </row>
    <row r="1208" spans="3:4" x14ac:dyDescent="0.25">
      <c r="C1208" s="37"/>
      <c r="D1208" s="35"/>
    </row>
    <row r="1209" spans="3:4" x14ac:dyDescent="0.25">
      <c r="C1209" s="37"/>
      <c r="D1209" s="35"/>
    </row>
    <row r="1210" spans="3:4" x14ac:dyDescent="0.25">
      <c r="C1210" s="37"/>
      <c r="D1210" s="35"/>
    </row>
    <row r="1211" spans="3:4" x14ac:dyDescent="0.25">
      <c r="C1211" s="37"/>
      <c r="D1211" s="35"/>
    </row>
    <row r="1212" spans="3:4" x14ac:dyDescent="0.25">
      <c r="C1212" s="37"/>
      <c r="D1212" s="35"/>
    </row>
    <row r="1213" spans="3:4" x14ac:dyDescent="0.25">
      <c r="C1213" s="37"/>
      <c r="D1213" s="35"/>
    </row>
    <row r="1214" spans="3:4" x14ac:dyDescent="0.25">
      <c r="C1214" s="37"/>
      <c r="D1214" s="35"/>
    </row>
    <row r="1215" spans="3:4" x14ac:dyDescent="0.25">
      <c r="C1215" s="37"/>
      <c r="D1215" s="35"/>
    </row>
    <row r="1216" spans="3:4" x14ac:dyDescent="0.25">
      <c r="C1216" s="37"/>
      <c r="D1216" s="35"/>
    </row>
    <row r="1217" spans="3:4" x14ac:dyDescent="0.25">
      <c r="C1217" s="37"/>
      <c r="D1217" s="35"/>
    </row>
    <row r="1218" spans="3:4" x14ac:dyDescent="0.25">
      <c r="C1218" s="37"/>
      <c r="D1218" s="35"/>
    </row>
    <row r="1219" spans="3:4" x14ac:dyDescent="0.25">
      <c r="C1219" s="37"/>
      <c r="D1219" s="35"/>
    </row>
    <row r="1220" spans="3:4" x14ac:dyDescent="0.25">
      <c r="C1220" s="37"/>
      <c r="D1220" s="35"/>
    </row>
    <row r="1221" spans="3:4" x14ac:dyDescent="0.25">
      <c r="C1221" s="37"/>
      <c r="D1221" s="35"/>
    </row>
    <row r="1222" spans="3:4" x14ac:dyDescent="0.25">
      <c r="C1222" s="37"/>
      <c r="D1222" s="35"/>
    </row>
    <row r="1223" spans="3:4" x14ac:dyDescent="0.25">
      <c r="C1223" s="37"/>
      <c r="D1223" s="35"/>
    </row>
    <row r="1224" spans="3:4" x14ac:dyDescent="0.25">
      <c r="C1224" s="37"/>
      <c r="D1224" s="35"/>
    </row>
    <row r="1225" spans="3:4" x14ac:dyDescent="0.25">
      <c r="C1225" s="37"/>
      <c r="D1225" s="35"/>
    </row>
    <row r="1226" spans="3:4" x14ac:dyDescent="0.25">
      <c r="C1226" s="37"/>
      <c r="D1226" s="35"/>
    </row>
    <row r="1227" spans="3:4" x14ac:dyDescent="0.25">
      <c r="C1227" s="37"/>
      <c r="D1227" s="35"/>
    </row>
    <row r="1228" spans="3:4" x14ac:dyDescent="0.25">
      <c r="C1228" s="37"/>
      <c r="D1228" s="35"/>
    </row>
    <row r="1229" spans="3:4" x14ac:dyDescent="0.25">
      <c r="C1229" s="37"/>
      <c r="D1229" s="35"/>
    </row>
    <row r="1230" spans="3:4" x14ac:dyDescent="0.25">
      <c r="C1230" s="37"/>
      <c r="D1230" s="35"/>
    </row>
    <row r="1231" spans="3:4" x14ac:dyDescent="0.25">
      <c r="C1231" s="37"/>
      <c r="D1231" s="35"/>
    </row>
    <row r="1232" spans="3:4" x14ac:dyDescent="0.25">
      <c r="C1232" s="37"/>
      <c r="D1232" s="35"/>
    </row>
    <row r="1233" spans="3:4" x14ac:dyDescent="0.25">
      <c r="C1233" s="37"/>
      <c r="D1233" s="35"/>
    </row>
    <row r="1234" spans="3:4" x14ac:dyDescent="0.25">
      <c r="C1234" s="37"/>
      <c r="D1234" s="35"/>
    </row>
    <row r="1235" spans="3:4" x14ac:dyDescent="0.25">
      <c r="C1235" s="37"/>
      <c r="D1235" s="35"/>
    </row>
    <row r="1236" spans="3:4" x14ac:dyDescent="0.25">
      <c r="C1236" s="37"/>
      <c r="D1236" s="35"/>
    </row>
    <row r="1237" spans="3:4" x14ac:dyDescent="0.25">
      <c r="C1237" s="37"/>
      <c r="D1237" s="35"/>
    </row>
    <row r="1238" spans="3:4" x14ac:dyDescent="0.25">
      <c r="C1238" s="37"/>
      <c r="D1238" s="35"/>
    </row>
    <row r="1239" spans="3:4" x14ac:dyDescent="0.25">
      <c r="C1239" s="37"/>
      <c r="D1239" s="35"/>
    </row>
    <row r="1240" spans="3:4" x14ac:dyDescent="0.25">
      <c r="C1240" s="37"/>
      <c r="D1240" s="35"/>
    </row>
    <row r="1241" spans="3:4" x14ac:dyDescent="0.25">
      <c r="C1241" s="37"/>
      <c r="D1241" s="35"/>
    </row>
    <row r="1242" spans="3:4" x14ac:dyDescent="0.25">
      <c r="C1242" s="37"/>
      <c r="D1242" s="35"/>
    </row>
    <row r="1243" spans="3:4" x14ac:dyDescent="0.25">
      <c r="C1243" s="37"/>
      <c r="D1243" s="35"/>
    </row>
    <row r="1244" spans="3:4" x14ac:dyDescent="0.25">
      <c r="C1244" s="37"/>
      <c r="D1244" s="35"/>
    </row>
    <row r="1245" spans="3:4" x14ac:dyDescent="0.25">
      <c r="C1245" s="37"/>
      <c r="D1245" s="35"/>
    </row>
    <row r="1246" spans="3:4" x14ac:dyDescent="0.25">
      <c r="C1246" s="37"/>
      <c r="D1246" s="35"/>
    </row>
    <row r="1247" spans="3:4" x14ac:dyDescent="0.25">
      <c r="C1247" s="37"/>
      <c r="D1247" s="35"/>
    </row>
    <row r="1248" spans="3:4" x14ac:dyDescent="0.25">
      <c r="C1248" s="37"/>
      <c r="D1248" s="35"/>
    </row>
    <row r="1249" spans="3:4" x14ac:dyDescent="0.25">
      <c r="C1249" s="37"/>
      <c r="D1249" s="35"/>
    </row>
    <row r="1250" spans="3:4" x14ac:dyDescent="0.25">
      <c r="C1250" s="37"/>
      <c r="D1250" s="35"/>
    </row>
    <row r="1251" spans="3:4" x14ac:dyDescent="0.25">
      <c r="C1251" s="37"/>
      <c r="D1251" s="35"/>
    </row>
    <row r="1252" spans="3:4" x14ac:dyDescent="0.25">
      <c r="C1252" s="37"/>
      <c r="D1252" s="35"/>
    </row>
    <row r="1253" spans="3:4" x14ac:dyDescent="0.25">
      <c r="C1253" s="37"/>
      <c r="D1253" s="35"/>
    </row>
    <row r="1254" spans="3:4" x14ac:dyDescent="0.25">
      <c r="C1254" s="37"/>
      <c r="D1254" s="35"/>
    </row>
    <row r="1255" spans="3:4" x14ac:dyDescent="0.25">
      <c r="C1255" s="37"/>
      <c r="D1255" s="35"/>
    </row>
    <row r="1256" spans="3:4" x14ac:dyDescent="0.25">
      <c r="C1256" s="37"/>
      <c r="D1256" s="35"/>
    </row>
    <row r="1257" spans="3:4" x14ac:dyDescent="0.25">
      <c r="C1257" s="37"/>
      <c r="D1257" s="35"/>
    </row>
    <row r="1258" spans="3:4" x14ac:dyDescent="0.25">
      <c r="C1258" s="37"/>
      <c r="D1258" s="35"/>
    </row>
    <row r="1259" spans="3:4" x14ac:dyDescent="0.25">
      <c r="C1259" s="37"/>
      <c r="D1259" s="35"/>
    </row>
    <row r="1260" spans="3:4" x14ac:dyDescent="0.25">
      <c r="C1260" s="37"/>
      <c r="D1260" s="35"/>
    </row>
    <row r="1261" spans="3:4" x14ac:dyDescent="0.25">
      <c r="C1261" s="37"/>
      <c r="D1261" s="35"/>
    </row>
    <row r="1262" spans="3:4" x14ac:dyDescent="0.25">
      <c r="C1262" s="37"/>
      <c r="D1262" s="35"/>
    </row>
    <row r="1263" spans="3:4" x14ac:dyDescent="0.25">
      <c r="C1263" s="37"/>
      <c r="D1263" s="35"/>
    </row>
    <row r="1264" spans="3:4" x14ac:dyDescent="0.25">
      <c r="C1264" s="37"/>
      <c r="D1264" s="35"/>
    </row>
    <row r="1265" spans="3:4" x14ac:dyDescent="0.25">
      <c r="C1265" s="37"/>
      <c r="D1265" s="35"/>
    </row>
    <row r="1266" spans="3:4" x14ac:dyDescent="0.25">
      <c r="C1266" s="37"/>
      <c r="D1266" s="35"/>
    </row>
    <row r="1267" spans="3:4" x14ac:dyDescent="0.25">
      <c r="C1267" s="37"/>
      <c r="D1267" s="35"/>
    </row>
    <row r="1268" spans="3:4" x14ac:dyDescent="0.25">
      <c r="C1268" s="37"/>
      <c r="D1268" s="35"/>
    </row>
    <row r="1269" spans="3:4" x14ac:dyDescent="0.25">
      <c r="C1269" s="37"/>
      <c r="D1269" s="35"/>
    </row>
    <row r="1270" spans="3:4" x14ac:dyDescent="0.25">
      <c r="C1270" s="37"/>
      <c r="D1270" s="35"/>
    </row>
    <row r="1271" spans="3:4" x14ac:dyDescent="0.25">
      <c r="C1271" s="37"/>
      <c r="D1271" s="35"/>
    </row>
    <row r="1272" spans="3:4" x14ac:dyDescent="0.25">
      <c r="C1272" s="37"/>
      <c r="D1272" s="35"/>
    </row>
    <row r="1273" spans="3:4" x14ac:dyDescent="0.25">
      <c r="C1273" s="37"/>
      <c r="D1273" s="35"/>
    </row>
    <row r="1274" spans="3:4" x14ac:dyDescent="0.25">
      <c r="C1274" s="37"/>
      <c r="D1274" s="35"/>
    </row>
    <row r="1275" spans="3:4" x14ac:dyDescent="0.25">
      <c r="C1275" s="37"/>
      <c r="D1275" s="35"/>
    </row>
    <row r="1276" spans="3:4" x14ac:dyDescent="0.25">
      <c r="C1276" s="37"/>
      <c r="D1276" s="35"/>
    </row>
    <row r="1277" spans="3:4" x14ac:dyDescent="0.25">
      <c r="C1277" s="37"/>
      <c r="D1277" s="35"/>
    </row>
    <row r="1278" spans="3:4" x14ac:dyDescent="0.25">
      <c r="C1278" s="37"/>
      <c r="D1278" s="35"/>
    </row>
    <row r="1279" spans="3:4" x14ac:dyDescent="0.25">
      <c r="C1279" s="37"/>
      <c r="D1279" s="35"/>
    </row>
    <row r="1280" spans="3:4" x14ac:dyDescent="0.25">
      <c r="C1280" s="37"/>
      <c r="D1280" s="35"/>
    </row>
    <row r="1281" spans="3:4" x14ac:dyDescent="0.25">
      <c r="C1281" s="37"/>
      <c r="D1281" s="35"/>
    </row>
    <row r="1282" spans="3:4" x14ac:dyDescent="0.25">
      <c r="C1282" s="37"/>
      <c r="D1282" s="35"/>
    </row>
    <row r="1283" spans="3:4" x14ac:dyDescent="0.25">
      <c r="C1283" s="37"/>
      <c r="D1283" s="35"/>
    </row>
    <row r="1284" spans="3:4" x14ac:dyDescent="0.25">
      <c r="C1284" s="37"/>
      <c r="D1284" s="35"/>
    </row>
    <row r="1285" spans="3:4" x14ac:dyDescent="0.25">
      <c r="C1285" s="37"/>
      <c r="D1285" s="35"/>
    </row>
    <row r="1286" spans="3:4" x14ac:dyDescent="0.25">
      <c r="C1286" s="37"/>
      <c r="D1286" s="35"/>
    </row>
    <row r="1287" spans="3:4" x14ac:dyDescent="0.25">
      <c r="C1287" s="37"/>
      <c r="D1287" s="35"/>
    </row>
    <row r="1288" spans="3:4" x14ac:dyDescent="0.25">
      <c r="C1288" s="37"/>
      <c r="D1288" s="35"/>
    </row>
    <row r="1289" spans="3:4" x14ac:dyDescent="0.25">
      <c r="C1289" s="37"/>
      <c r="D1289" s="35"/>
    </row>
    <row r="1290" spans="3:4" x14ac:dyDescent="0.25">
      <c r="C1290" s="37"/>
      <c r="D1290" s="35"/>
    </row>
    <row r="1291" spans="3:4" x14ac:dyDescent="0.25">
      <c r="C1291" s="37"/>
      <c r="D1291" s="35"/>
    </row>
    <row r="1292" spans="3:4" x14ac:dyDescent="0.25">
      <c r="C1292" s="37"/>
      <c r="D1292" s="35"/>
    </row>
    <row r="1293" spans="3:4" x14ac:dyDescent="0.25">
      <c r="C1293" s="37"/>
      <c r="D1293" s="35"/>
    </row>
    <row r="1294" spans="3:4" x14ac:dyDescent="0.25">
      <c r="C1294" s="37"/>
      <c r="D1294" s="35"/>
    </row>
    <row r="1295" spans="3:4" x14ac:dyDescent="0.25">
      <c r="C1295" s="37"/>
      <c r="D1295" s="35"/>
    </row>
    <row r="1296" spans="3:4" x14ac:dyDescent="0.25">
      <c r="C1296" s="37"/>
      <c r="D1296" s="35"/>
    </row>
    <row r="1297" spans="3:4" x14ac:dyDescent="0.25">
      <c r="C1297" s="37"/>
      <c r="D1297" s="35"/>
    </row>
    <row r="1298" spans="3:4" x14ac:dyDescent="0.25">
      <c r="C1298" s="37"/>
      <c r="D1298" s="35"/>
    </row>
    <row r="1299" spans="3:4" x14ac:dyDescent="0.25">
      <c r="C1299" s="37"/>
      <c r="D1299" s="35"/>
    </row>
    <row r="1300" spans="3:4" x14ac:dyDescent="0.25">
      <c r="C1300" s="37"/>
      <c r="D1300" s="35"/>
    </row>
    <row r="1301" spans="3:4" x14ac:dyDescent="0.25">
      <c r="C1301" s="37"/>
      <c r="D1301" s="35"/>
    </row>
    <row r="1302" spans="3:4" x14ac:dyDescent="0.25">
      <c r="C1302" s="37"/>
      <c r="D1302" s="35"/>
    </row>
    <row r="1303" spans="3:4" x14ac:dyDescent="0.25">
      <c r="C1303" s="37"/>
      <c r="D1303" s="35"/>
    </row>
    <row r="1304" spans="3:4" x14ac:dyDescent="0.25">
      <c r="C1304" s="37"/>
      <c r="D1304" s="35"/>
    </row>
    <row r="1305" spans="3:4" x14ac:dyDescent="0.25">
      <c r="C1305" s="37"/>
      <c r="D1305" s="35"/>
    </row>
    <row r="1306" spans="3:4" x14ac:dyDescent="0.25">
      <c r="C1306" s="37"/>
      <c r="D1306" s="35"/>
    </row>
    <row r="1307" spans="3:4" x14ac:dyDescent="0.25">
      <c r="C1307" s="37"/>
      <c r="D1307" s="35"/>
    </row>
    <row r="1308" spans="3:4" x14ac:dyDescent="0.25">
      <c r="C1308" s="37"/>
      <c r="D1308" s="35"/>
    </row>
    <row r="1309" spans="3:4" x14ac:dyDescent="0.25">
      <c r="C1309" s="37"/>
      <c r="D1309" s="35"/>
    </row>
    <row r="1310" spans="3:4" x14ac:dyDescent="0.25">
      <c r="C1310" s="37"/>
      <c r="D1310" s="35"/>
    </row>
    <row r="1311" spans="3:4" x14ac:dyDescent="0.25">
      <c r="C1311" s="37"/>
      <c r="D1311" s="35"/>
    </row>
    <row r="1312" spans="3:4" x14ac:dyDescent="0.25">
      <c r="C1312" s="37"/>
      <c r="D1312" s="35"/>
    </row>
    <row r="1313" spans="3:4" x14ac:dyDescent="0.25">
      <c r="C1313" s="37"/>
      <c r="D1313" s="35"/>
    </row>
    <row r="1314" spans="3:4" x14ac:dyDescent="0.25">
      <c r="C1314" s="37"/>
      <c r="D1314" s="35"/>
    </row>
    <row r="1315" spans="3:4" x14ac:dyDescent="0.25">
      <c r="C1315" s="37"/>
      <c r="D1315" s="35"/>
    </row>
    <row r="1316" spans="3:4" x14ac:dyDescent="0.25">
      <c r="C1316" s="37"/>
      <c r="D1316" s="35"/>
    </row>
    <row r="1317" spans="3:4" x14ac:dyDescent="0.25">
      <c r="C1317" s="37"/>
      <c r="D1317" s="35"/>
    </row>
    <row r="1318" spans="3:4" x14ac:dyDescent="0.25">
      <c r="C1318" s="37"/>
      <c r="D1318" s="35"/>
    </row>
    <row r="1319" spans="3:4" x14ac:dyDescent="0.25">
      <c r="C1319" s="37"/>
      <c r="D1319" s="35"/>
    </row>
    <row r="1320" spans="3:4" x14ac:dyDescent="0.25">
      <c r="C1320" s="37"/>
      <c r="D1320" s="35"/>
    </row>
    <row r="1321" spans="3:4" x14ac:dyDescent="0.25">
      <c r="C1321" s="37"/>
      <c r="D1321" s="35"/>
    </row>
    <row r="1322" spans="3:4" x14ac:dyDescent="0.25">
      <c r="C1322" s="37"/>
      <c r="D1322" s="35"/>
    </row>
    <row r="1323" spans="3:4" x14ac:dyDescent="0.25">
      <c r="C1323" s="37"/>
      <c r="D1323" s="35"/>
    </row>
    <row r="1324" spans="3:4" x14ac:dyDescent="0.25">
      <c r="C1324" s="37"/>
      <c r="D1324" s="35"/>
    </row>
    <row r="1325" spans="3:4" x14ac:dyDescent="0.25">
      <c r="C1325" s="37"/>
      <c r="D1325" s="35"/>
    </row>
    <row r="1326" spans="3:4" x14ac:dyDescent="0.25">
      <c r="C1326" s="37"/>
      <c r="D1326" s="35"/>
    </row>
    <row r="1327" spans="3:4" x14ac:dyDescent="0.25">
      <c r="C1327" s="37"/>
      <c r="D1327" s="35"/>
    </row>
    <row r="1328" spans="3:4" x14ac:dyDescent="0.25">
      <c r="C1328" s="37"/>
      <c r="D1328" s="35"/>
    </row>
    <row r="1329" spans="3:4" x14ac:dyDescent="0.25">
      <c r="C1329" s="37"/>
      <c r="D1329" s="35"/>
    </row>
    <row r="1330" spans="3:4" x14ac:dyDescent="0.25">
      <c r="C1330" s="37"/>
      <c r="D1330" s="35"/>
    </row>
    <row r="1331" spans="3:4" x14ac:dyDescent="0.25">
      <c r="C1331" s="37"/>
      <c r="D1331" s="35"/>
    </row>
    <row r="1332" spans="3:4" x14ac:dyDescent="0.25">
      <c r="C1332" s="37"/>
      <c r="D1332" s="35"/>
    </row>
    <row r="1333" spans="3:4" x14ac:dyDescent="0.25">
      <c r="C1333" s="37"/>
      <c r="D1333" s="35"/>
    </row>
  </sheetData>
  <mergeCells count="18">
    <mergeCell ref="N2:O2"/>
    <mergeCell ref="D2:E2"/>
    <mergeCell ref="F2:G2"/>
    <mergeCell ref="H2:I2"/>
    <mergeCell ref="J2:K2"/>
    <mergeCell ref="L2:M2"/>
    <mergeCell ref="N29:O29"/>
    <mergeCell ref="D17:E17"/>
    <mergeCell ref="F17:G17"/>
    <mergeCell ref="H17:I17"/>
    <mergeCell ref="J17:K17"/>
    <mergeCell ref="L17:M17"/>
    <mergeCell ref="N17:O17"/>
    <mergeCell ref="D29:E29"/>
    <mergeCell ref="F29:G29"/>
    <mergeCell ref="H29:I29"/>
    <mergeCell ref="J29:K29"/>
    <mergeCell ref="L29:M29"/>
  </mergeCells>
  <conditionalFormatting sqref="Y3:AC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8:AC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0:AC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E67C-86EF-4F7A-A986-5B345A6279C8}">
  <dimension ref="B1:AJ1333"/>
  <sheetViews>
    <sheetView workbookViewId="0">
      <selection activeCell="V8" sqref="V8"/>
    </sheetView>
  </sheetViews>
  <sheetFormatPr defaultRowHeight="15" outlineLevelRow="1" outlineLevelCol="1" x14ac:dyDescent="0.25"/>
  <cols>
    <col min="1" max="1" width="2.5703125" customWidth="1"/>
    <col min="2" max="2" width="25.140625" bestFit="1" customWidth="1"/>
    <col min="3" max="3" width="24.28515625" style="11" customWidth="1" outlineLevel="1"/>
    <col min="4" max="4" width="9.42578125" style="6" customWidth="1"/>
    <col min="5" max="5" width="16.85546875" style="11" hidden="1" customWidth="1" outlineLevel="1"/>
    <col min="6" max="6" width="9.28515625" style="6" customWidth="1" collapsed="1"/>
    <col min="7" max="7" width="19.5703125" style="11" hidden="1" customWidth="1" outlineLevel="1"/>
    <col min="8" max="8" width="9.140625" style="6" collapsed="1"/>
    <col min="9" max="9" width="19.5703125" style="11" hidden="1" customWidth="1" outlineLevel="1"/>
    <col min="10" max="10" width="8.140625" style="6" bestFit="1" customWidth="1" collapsed="1"/>
    <col min="11" max="11" width="18" style="11" hidden="1" customWidth="1" outlineLevel="1"/>
    <col min="12" max="12" width="7.140625" style="5" bestFit="1" customWidth="1" collapsed="1"/>
    <col min="13" max="13" width="19.5703125" style="10" hidden="1" customWidth="1" outlineLevel="1"/>
    <col min="14" max="14" width="8.140625" style="10" bestFit="1" customWidth="1" collapsed="1"/>
    <col min="15" max="15" width="19.5703125" style="10" hidden="1" customWidth="1" outlineLevel="1"/>
    <col min="16" max="16" width="2.5703125" customWidth="1" collapsed="1"/>
    <col min="17" max="18" width="7.140625" hidden="1" customWidth="1" outlineLevel="1"/>
    <col min="19" max="19" width="17.85546875" bestFit="1" customWidth="1" collapsed="1"/>
    <col min="20" max="21" width="17.85546875" bestFit="1" customWidth="1"/>
    <col min="22" max="23" width="15.140625" bestFit="1" customWidth="1"/>
    <col min="24" max="24" width="2.5703125" customWidth="1"/>
    <col min="25" max="25" width="7.85546875" bestFit="1" customWidth="1"/>
    <col min="26" max="26" width="11.140625" bestFit="1" customWidth="1"/>
    <col min="27" max="27" width="13.28515625" bestFit="1" customWidth="1"/>
    <col min="28" max="28" width="7.85546875" bestFit="1" customWidth="1"/>
    <col min="29" max="29" width="8.140625" bestFit="1" customWidth="1"/>
    <col min="30" max="30" width="2.5703125" customWidth="1"/>
    <col min="31" max="31" width="16.85546875" bestFit="1" customWidth="1"/>
    <col min="32" max="32" width="7.7109375" bestFit="1" customWidth="1"/>
    <col min="33" max="33" width="2.5703125" customWidth="1"/>
    <col min="35" max="35" width="16.28515625" bestFit="1" customWidth="1"/>
  </cols>
  <sheetData>
    <row r="1" spans="2:36" ht="9" customHeight="1" x14ac:dyDescent="0.25"/>
    <row r="2" spans="2:36" x14ac:dyDescent="0.25">
      <c r="B2" s="4" t="s">
        <v>1</v>
      </c>
      <c r="C2" s="9" t="s">
        <v>4</v>
      </c>
      <c r="D2" s="112" t="s">
        <v>7</v>
      </c>
      <c r="E2" s="112"/>
      <c r="F2" s="112" t="s">
        <v>8</v>
      </c>
      <c r="G2" s="112"/>
      <c r="H2" s="112" t="s">
        <v>10</v>
      </c>
      <c r="I2" s="112"/>
      <c r="J2" s="112" t="s">
        <v>9</v>
      </c>
      <c r="K2" s="112"/>
      <c r="L2" s="112" t="s">
        <v>21</v>
      </c>
      <c r="M2" s="112"/>
      <c r="N2" s="112" t="s">
        <v>55</v>
      </c>
      <c r="O2" s="112"/>
      <c r="Q2" s="1" t="s">
        <v>46</v>
      </c>
      <c r="S2" s="27" t="s">
        <v>49</v>
      </c>
      <c r="T2" s="27" t="s">
        <v>50</v>
      </c>
      <c r="U2" s="27" t="s">
        <v>51</v>
      </c>
      <c r="V2" s="27" t="s">
        <v>52</v>
      </c>
      <c r="W2" s="27" t="s">
        <v>53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75" t="s">
        <v>60</v>
      </c>
      <c r="AF2" s="75" t="s">
        <v>61</v>
      </c>
      <c r="AH2" s="1"/>
      <c r="AI2" s="1" t="s">
        <v>20</v>
      </c>
      <c r="AJ2" s="1"/>
    </row>
    <row r="3" spans="2:36" x14ac:dyDescent="0.25">
      <c r="B3" s="21" t="s">
        <v>5</v>
      </c>
      <c r="C3" s="65">
        <v>390086094.48000002</v>
      </c>
      <c r="D3" s="59">
        <f>39%+1.2%</f>
        <v>0.40200000000000002</v>
      </c>
      <c r="E3" s="65">
        <f>$C3*D3</f>
        <v>156814609.98096001</v>
      </c>
      <c r="F3" s="59">
        <f>9.5%+9.3%+4%+0.8%+0.6%</f>
        <v>0.24200000000000002</v>
      </c>
      <c r="G3" s="65">
        <f>$C3*F3</f>
        <v>94400834.864160016</v>
      </c>
      <c r="H3" s="59">
        <v>0.32600000000000001</v>
      </c>
      <c r="I3" s="65">
        <f>$C3*H3</f>
        <v>127168066.80048001</v>
      </c>
      <c r="J3" s="59">
        <v>3.4000000000000002E-2</v>
      </c>
      <c r="K3" s="65">
        <f>$C3*J3</f>
        <v>13262927.212320002</v>
      </c>
      <c r="L3" s="69"/>
      <c r="M3" s="65">
        <f>$C3*L3</f>
        <v>0</v>
      </c>
      <c r="N3" s="56">
        <v>-4.0000000000000001E-3</v>
      </c>
      <c r="O3" s="65">
        <f>$C3*N3</f>
        <v>-1560344.3779200001</v>
      </c>
      <c r="S3" s="12">
        <f>E3-'Fev24'!E3</f>
        <v>5129418.7355400026</v>
      </c>
      <c r="T3" s="12">
        <f>G3-'Fev24'!G3</f>
        <v>8103746.1105000228</v>
      </c>
      <c r="U3" s="12">
        <f>I3-'Fev24'!I3</f>
        <v>-4368464.9561999738</v>
      </c>
      <c r="V3" s="12">
        <f>K3-'Fev24'!K3</f>
        <v>2618352.3880800027</v>
      </c>
      <c r="W3" s="12">
        <f>+M3-'Fev24'!M3</f>
        <v>0</v>
      </c>
      <c r="Y3" s="28">
        <f>D3-'Fev24'!D3</f>
        <v>3.0000000000000027E-3</v>
      </c>
      <c r="Z3" s="28">
        <f>F3-'Fev24'!F3</f>
        <v>1.5000000000000013E-2</v>
      </c>
      <c r="AA3" s="28">
        <f>H3-'Fev24'!H3</f>
        <v>-1.9999999999999962E-2</v>
      </c>
      <c r="AB3" s="28">
        <f>J3-'Fev24'!J3</f>
        <v>6.0000000000000019E-3</v>
      </c>
      <c r="AC3" s="28">
        <f>L3-'Fev24'!L3</f>
        <v>0</v>
      </c>
      <c r="AE3" s="10">
        <f>C3-'Fev24'!C3</f>
        <v>9922707.9000000358</v>
      </c>
      <c r="AF3" s="76">
        <f>C3/'Fev24'!C3-1</f>
        <v>2.6101166630658534E-2</v>
      </c>
      <c r="AH3" t="s">
        <v>11</v>
      </c>
      <c r="AI3" s="2" t="s">
        <v>10</v>
      </c>
      <c r="AJ3" t="s">
        <v>7</v>
      </c>
    </row>
    <row r="4" spans="2:36" x14ac:dyDescent="0.25">
      <c r="B4" s="3" t="s">
        <v>0</v>
      </c>
      <c r="C4" s="57">
        <v>1342689435</v>
      </c>
      <c r="D4" s="56">
        <v>0.36</v>
      </c>
      <c r="E4" s="57">
        <f>$C4*D4</f>
        <v>483368196.59999996</v>
      </c>
      <c r="F4" s="56">
        <f>6%+2%+2%+2%</f>
        <v>0.12000000000000001</v>
      </c>
      <c r="G4" s="57">
        <f>$C4*F4</f>
        <v>161122732.20000002</v>
      </c>
      <c r="H4" s="56">
        <f>42%+1%+2%</f>
        <v>0.45</v>
      </c>
      <c r="I4" s="57">
        <f>$C4*H4</f>
        <v>604210245.75</v>
      </c>
      <c r="J4" s="56">
        <v>7.0000000000000007E-2</v>
      </c>
      <c r="K4" s="57">
        <f>$C4*J4</f>
        <v>93988260.450000003</v>
      </c>
      <c r="L4" s="56"/>
      <c r="M4" s="57">
        <f>$C4*L4</f>
        <v>0</v>
      </c>
      <c r="N4" s="56"/>
      <c r="O4" s="57">
        <f>$C4*N4</f>
        <v>0</v>
      </c>
      <c r="S4" s="12">
        <f>E4-'Fev24'!E4</f>
        <v>45672445.299999952</v>
      </c>
      <c r="T4" s="12">
        <f>G4-'Fev24'!G4</f>
        <v>6641878.8000000119</v>
      </c>
      <c r="U4" s="12">
        <f>I4-'Fev24'!I4</f>
        <v>12033641.049999952</v>
      </c>
      <c r="V4" s="12">
        <f>K4-'Fev24'!K4</f>
        <v>-8998975.150000006</v>
      </c>
      <c r="W4" s="12">
        <f>+M4-'Fev24'!M4</f>
        <v>0</v>
      </c>
      <c r="Y4" s="28">
        <f>D4-'Fev24'!D4</f>
        <v>1.9999999999999962E-2</v>
      </c>
      <c r="Z4" s="28">
        <f>F4-'Fev24'!F4</f>
        <v>0</v>
      </c>
      <c r="AA4" s="28">
        <f>H4-'Fev24'!H4</f>
        <v>-1.0000000000000009E-2</v>
      </c>
      <c r="AB4" s="28">
        <f>J4-'Fev24'!J4</f>
        <v>-9.999999999999995E-3</v>
      </c>
      <c r="AC4" s="28">
        <f>L4-'Fev24'!L4</f>
        <v>0</v>
      </c>
      <c r="AE4" s="10">
        <f>C4-'Fev24'!C4</f>
        <v>55348990</v>
      </c>
      <c r="AF4" s="76">
        <f>C4/'Fev24'!C4-1</f>
        <v>4.2994834983220098E-2</v>
      </c>
      <c r="AH4" t="s">
        <v>12</v>
      </c>
      <c r="AI4" s="2" t="s">
        <v>16</v>
      </c>
      <c r="AJ4" t="s">
        <v>58</v>
      </c>
    </row>
    <row r="5" spans="2:36" x14ac:dyDescent="0.25">
      <c r="B5" s="3" t="s">
        <v>3</v>
      </c>
      <c r="C5" s="57">
        <v>916988828.05999994</v>
      </c>
      <c r="D5" s="56">
        <v>0.49</v>
      </c>
      <c r="E5" s="57">
        <f t="shared" ref="E5:G14" si="0">$C5*D5</f>
        <v>449324525.74939996</v>
      </c>
      <c r="F5" s="56">
        <v>0.04</v>
      </c>
      <c r="G5" s="57">
        <f t="shared" si="0"/>
        <v>36679553.122400001</v>
      </c>
      <c r="H5" s="56">
        <v>0.3</v>
      </c>
      <c r="I5" s="57">
        <f t="shared" ref="I5:I14" si="1">$C5*H5</f>
        <v>275096648.41799998</v>
      </c>
      <c r="J5" s="56">
        <v>0.06</v>
      </c>
      <c r="K5" s="57">
        <f t="shared" ref="K5:K14" si="2">$C5*J5</f>
        <v>55019329.683599994</v>
      </c>
      <c r="L5" s="56">
        <v>0.11</v>
      </c>
      <c r="M5" s="57">
        <f t="shared" ref="M5:M14" si="3">$C5*L5</f>
        <v>100868771.08659999</v>
      </c>
      <c r="N5" s="56"/>
      <c r="O5" s="57">
        <f t="shared" ref="O5:O14" si="4">$C5*N5</f>
        <v>0</v>
      </c>
      <c r="S5" s="12">
        <f>E5-'Fev24'!E5</f>
        <v>-24359772.313600004</v>
      </c>
      <c r="T5" s="12">
        <f>G5-'Fev24'!G5</f>
        <v>36679553.122400001</v>
      </c>
      <c r="U5" s="12">
        <f>I5-'Fev24'!I5</f>
        <v>-31404956.211000025</v>
      </c>
      <c r="V5" s="12">
        <f>K5-'Fev24'!K5</f>
        <v>8579692.618599996</v>
      </c>
      <c r="W5" s="12">
        <f>+M5-'Fev24'!M5</f>
        <v>-1298430.456400007</v>
      </c>
      <c r="Y5" s="28">
        <f>D5-'Fev24'!D5</f>
        <v>-2.0000000000000018E-2</v>
      </c>
      <c r="Z5" s="28">
        <f>F5-'Fev24'!F5</f>
        <v>0.04</v>
      </c>
      <c r="AA5" s="28">
        <f>H5-'Fev24'!H5</f>
        <v>-3.0000000000000027E-2</v>
      </c>
      <c r="AB5" s="28">
        <f>J5-'Fev24'!J5</f>
        <v>9.999999999999995E-3</v>
      </c>
      <c r="AC5" s="28">
        <f>L5-'Fev24'!L5</f>
        <v>0</v>
      </c>
      <c r="AE5" s="10">
        <f>C5-'Fev24'!C5</f>
        <v>-11803913.24000001</v>
      </c>
      <c r="AF5" s="76">
        <f>C5/'Fev24'!C5-1</f>
        <v>-1.270887757313699E-2</v>
      </c>
      <c r="AH5" t="s">
        <v>13</v>
      </c>
      <c r="AI5" s="2" t="s">
        <v>17</v>
      </c>
      <c r="AJ5" t="s">
        <v>59</v>
      </c>
    </row>
    <row r="6" spans="2:36" x14ac:dyDescent="0.25">
      <c r="B6" s="3" t="s">
        <v>37</v>
      </c>
      <c r="C6" s="57">
        <v>2615650040</v>
      </c>
      <c r="D6" s="56">
        <f>25.57%+1.94%</f>
        <v>0.27510000000000001</v>
      </c>
      <c r="E6" s="57">
        <f t="shared" si="0"/>
        <v>719565326.00400007</v>
      </c>
      <c r="F6" s="56">
        <f>18.96%+2.22%</f>
        <v>0.21180000000000002</v>
      </c>
      <c r="G6" s="57">
        <f t="shared" si="0"/>
        <v>553994678.472</v>
      </c>
      <c r="H6" s="56">
        <v>0.48370000000000002</v>
      </c>
      <c r="I6" s="57">
        <f t="shared" si="1"/>
        <v>1265189924.348</v>
      </c>
      <c r="J6" s="56"/>
      <c r="K6" s="57">
        <f t="shared" si="2"/>
        <v>0</v>
      </c>
      <c r="L6" s="56"/>
      <c r="M6" s="57">
        <f t="shared" si="3"/>
        <v>0</v>
      </c>
      <c r="N6" s="56">
        <v>2.9399999999999999E-2</v>
      </c>
      <c r="O6" s="57">
        <f t="shared" si="4"/>
        <v>76900111.175999999</v>
      </c>
      <c r="S6" s="12">
        <f>E6-'Fev24'!E6</f>
        <v>14399579.612400055</v>
      </c>
      <c r="T6" s="12">
        <f>G6-'Fev24'!G6</f>
        <v>50125801.73999995</v>
      </c>
      <c r="U6" s="12">
        <f>I6-'Fev24'!I6</f>
        <v>-32585784.528399706</v>
      </c>
      <c r="V6" s="12">
        <f>K6-'Fev24'!K6</f>
        <v>0</v>
      </c>
      <c r="W6" s="12">
        <f>+M6-'Fev24'!M6</f>
        <v>0</v>
      </c>
      <c r="Y6" s="28">
        <f>D6-'Fev24'!D6</f>
        <v>-6.1999999999999833E-3</v>
      </c>
      <c r="Z6" s="28">
        <f>F6-'Fev24'!F6</f>
        <v>1.0800000000000004E-2</v>
      </c>
      <c r="AA6" s="28">
        <f>H6-'Fev24'!H6</f>
        <v>-3.3999999999999919E-2</v>
      </c>
      <c r="AB6" s="28">
        <f>J6-'Fev24'!J6</f>
        <v>0</v>
      </c>
      <c r="AC6" s="28">
        <f>L6-'Fev24'!L6</f>
        <v>0</v>
      </c>
      <c r="AE6" s="10">
        <f>C6-'Fev24'!C6</f>
        <v>108839708</v>
      </c>
      <c r="AF6" s="76">
        <f>C6/'Fev24'!C6-1</f>
        <v>4.3417607870303021E-2</v>
      </c>
      <c r="AH6" t="s">
        <v>14</v>
      </c>
      <c r="AI6" s="2" t="s">
        <v>18</v>
      </c>
    </row>
    <row r="7" spans="2:36" x14ac:dyDescent="0.25">
      <c r="B7" s="3" t="s">
        <v>22</v>
      </c>
      <c r="C7" s="57">
        <v>874950000</v>
      </c>
      <c r="D7" s="56">
        <v>0.17100000000000001</v>
      </c>
      <c r="E7" s="57">
        <f t="shared" si="0"/>
        <v>149616450</v>
      </c>
      <c r="F7" s="56">
        <f>13.1%+9.5%</f>
        <v>0.22600000000000001</v>
      </c>
      <c r="G7" s="57">
        <f t="shared" si="0"/>
        <v>197738700</v>
      </c>
      <c r="H7" s="56">
        <v>0.56699999999999995</v>
      </c>
      <c r="I7" s="57">
        <f t="shared" si="1"/>
        <v>496096649.99999994</v>
      </c>
      <c r="J7" s="56">
        <v>3.5999999999999997E-2</v>
      </c>
      <c r="K7" s="57">
        <f t="shared" si="2"/>
        <v>31498199.999999996</v>
      </c>
      <c r="L7" s="56"/>
      <c r="M7" s="57">
        <f t="shared" si="3"/>
        <v>0</v>
      </c>
      <c r="N7" s="56"/>
      <c r="O7" s="57">
        <f t="shared" si="4"/>
        <v>0</v>
      </c>
      <c r="S7" s="12">
        <f>E7-'Fev24'!E7</f>
        <v>-49199059.99999997</v>
      </c>
      <c r="T7" s="12">
        <f>G7-'Fev24'!G7</f>
        <v>86610380</v>
      </c>
      <c r="U7" s="12">
        <f>I7-'Fev24'!I7</f>
        <v>-31762870.00000006</v>
      </c>
      <c r="V7" s="12">
        <f>K7-'Fev24'!K7</f>
        <v>1111549.9999999925</v>
      </c>
      <c r="W7" s="12">
        <f>+M7-'Fev24'!M7</f>
        <v>0</v>
      </c>
      <c r="Y7" s="28">
        <f>D7-'Fev24'!D7</f>
        <v>-5.7999999999999968E-2</v>
      </c>
      <c r="Z7" s="28">
        <f>F7-'Fev24'!F7</f>
        <v>9.8000000000000004E-2</v>
      </c>
      <c r="AA7" s="28">
        <f>H7-'Fev24'!H7</f>
        <v>-4.1000000000000036E-2</v>
      </c>
      <c r="AB7" s="28">
        <f>J7-'Fev24'!J7</f>
        <v>9.9999999999999395E-4</v>
      </c>
      <c r="AC7" s="28">
        <f>L7-'Fev24'!L7</f>
        <v>0</v>
      </c>
      <c r="AE7" s="10">
        <f>C7-'Fev24'!C7</f>
        <v>6760000</v>
      </c>
      <c r="AF7" s="76">
        <f>C7/'Fev24'!C7-1</f>
        <v>7.7863140556790889E-3</v>
      </c>
      <c r="AH7" t="s">
        <v>15</v>
      </c>
      <c r="AI7" s="2" t="s">
        <v>19</v>
      </c>
    </row>
    <row r="8" spans="2:36" x14ac:dyDescent="0.25">
      <c r="B8" s="3" t="s">
        <v>23</v>
      </c>
      <c r="C8" s="57">
        <v>1454899490.5699999</v>
      </c>
      <c r="D8" s="56">
        <f>28%+1.5%</f>
        <v>0.29500000000000004</v>
      </c>
      <c r="E8" s="57">
        <f t="shared" si="0"/>
        <v>429195349.71815002</v>
      </c>
      <c r="F8" s="56">
        <f>1%+20%+5%</f>
        <v>0.26</v>
      </c>
      <c r="G8" s="57">
        <f t="shared" si="0"/>
        <v>378273867.54820001</v>
      </c>
      <c r="H8" s="56">
        <v>0.36</v>
      </c>
      <c r="I8" s="57">
        <f t="shared" si="1"/>
        <v>523763816.60519993</v>
      </c>
      <c r="J8" s="56">
        <v>0.06</v>
      </c>
      <c r="K8" s="57">
        <f t="shared" si="2"/>
        <v>87293969.434199989</v>
      </c>
      <c r="L8" s="56">
        <v>2.5000000000000001E-2</v>
      </c>
      <c r="M8" s="57">
        <f t="shared" si="3"/>
        <v>36372487.264250003</v>
      </c>
      <c r="N8" s="56"/>
      <c r="O8" s="57">
        <f t="shared" si="4"/>
        <v>0</v>
      </c>
      <c r="S8" s="12">
        <f>E8-'Fev24'!E8</f>
        <v>83035437.042950034</v>
      </c>
      <c r="T8" s="12">
        <f>G8-'Fev24'!G8</f>
        <v>38770876.270600021</v>
      </c>
      <c r="U8" s="12">
        <f>I8-'Fev24'!I8</f>
        <v>24494711.78519994</v>
      </c>
      <c r="V8" s="12">
        <f>K8-'Fev24'!K8</f>
        <v>7410912.6629999876</v>
      </c>
      <c r="W8" s="12">
        <f>+M8-'Fev24'!M8</f>
        <v>-30196726.711750001</v>
      </c>
      <c r="Y8" s="28">
        <f>D8-'Fev24'!D8</f>
        <v>3.5000000000000031E-2</v>
      </c>
      <c r="Z8" s="28">
        <f>F8-'Fev24'!F8</f>
        <v>5.0000000000000044E-3</v>
      </c>
      <c r="AA8" s="28">
        <f>H8-'Fev24'!H8</f>
        <v>-1.5000000000000013E-2</v>
      </c>
      <c r="AB8" s="28">
        <f>J8-'Fev24'!J8</f>
        <v>0</v>
      </c>
      <c r="AC8" s="28">
        <f>L8-'Fev24'!L8</f>
        <v>-2.5000000000000001E-2</v>
      </c>
      <c r="AE8" s="10">
        <f>C8-'Fev24'!C8</f>
        <v>123515211.04999995</v>
      </c>
      <c r="AF8" s="76">
        <f>C8/'Fev24'!C8-1</f>
        <v>9.2772021534256455E-2</v>
      </c>
      <c r="AH8" t="s">
        <v>57</v>
      </c>
    </row>
    <row r="9" spans="2:36" x14ac:dyDescent="0.25">
      <c r="B9" s="3" t="s">
        <v>24</v>
      </c>
      <c r="C9" s="57">
        <v>1794799919</v>
      </c>
      <c r="D9" s="77">
        <v>0.29089999999999999</v>
      </c>
      <c r="E9" s="78">
        <f t="shared" si="0"/>
        <v>522107296.43709999</v>
      </c>
      <c r="F9" s="77">
        <v>0.21510000000000001</v>
      </c>
      <c r="G9" s="78">
        <f t="shared" si="0"/>
        <v>386061462.57690001</v>
      </c>
      <c r="H9" s="77">
        <v>0.437</v>
      </c>
      <c r="I9" s="78">
        <f t="shared" si="1"/>
        <v>784327564.60300004</v>
      </c>
      <c r="J9" s="77">
        <v>5.7099999999999998E-2</v>
      </c>
      <c r="K9" s="78">
        <f t="shared" si="2"/>
        <v>102483075.3749</v>
      </c>
      <c r="L9" s="77"/>
      <c r="M9" s="57">
        <f t="shared" si="3"/>
        <v>0</v>
      </c>
      <c r="N9" s="56"/>
      <c r="O9" s="57">
        <f t="shared" si="4"/>
        <v>0</v>
      </c>
      <c r="S9" s="12">
        <f>E9-'Fev24'!E9</f>
        <v>-58086240.614900053</v>
      </c>
      <c r="T9" s="12">
        <f>G9-'Fev24'!G9</f>
        <v>5424938.2689000368</v>
      </c>
      <c r="U9" s="12">
        <f>I9-'Fev24'!I9</f>
        <v>1435839.606400013</v>
      </c>
      <c r="V9" s="12">
        <f>K9-'Fev24'!K9</f>
        <v>-1545256.2685000002</v>
      </c>
      <c r="W9" s="12">
        <f>+M9-'Fev24'!M9</f>
        <v>0</v>
      </c>
      <c r="Y9" s="28">
        <f>D9-'Fev24'!D9</f>
        <v>-2.3100000000000009E-2</v>
      </c>
      <c r="Z9" s="28">
        <f>F9-'Fev24'!F9</f>
        <v>9.1000000000000247E-3</v>
      </c>
      <c r="AA9" s="28">
        <f>H9-'Fev24'!H9</f>
        <v>1.3299999999999979E-2</v>
      </c>
      <c r="AB9" s="28">
        <f>J9-'Fev24'!J9</f>
        <v>7.9999999999999516E-4</v>
      </c>
      <c r="AC9" s="28">
        <f>L9-'Fev24'!L9</f>
        <v>0</v>
      </c>
      <c r="AE9" s="10">
        <f>C9-'Fev24'!C9</f>
        <v>-52950199</v>
      </c>
      <c r="AF9" s="76">
        <f>C9/'Fev24'!C9-1</f>
        <v>-2.8656579958611039E-2</v>
      </c>
    </row>
    <row r="10" spans="2:36" x14ac:dyDescent="0.25">
      <c r="B10" s="3" t="s">
        <v>25</v>
      </c>
      <c r="C10" s="57">
        <v>115535779</v>
      </c>
      <c r="D10" s="77">
        <v>0.61</v>
      </c>
      <c r="E10" s="78">
        <f t="shared" si="0"/>
        <v>70476825.189999998</v>
      </c>
      <c r="F10" s="77">
        <f>5%+3%</f>
        <v>0.08</v>
      </c>
      <c r="G10" s="78">
        <f t="shared" si="0"/>
        <v>9242862.3200000003</v>
      </c>
      <c r="H10" s="77">
        <v>0.28000000000000003</v>
      </c>
      <c r="I10" s="78">
        <f t="shared" si="1"/>
        <v>32350018.120000005</v>
      </c>
      <c r="J10" s="77">
        <v>0.03</v>
      </c>
      <c r="K10" s="78">
        <f t="shared" si="2"/>
        <v>3466073.3699999996</v>
      </c>
      <c r="L10" s="77"/>
      <c r="M10" s="57">
        <f t="shared" si="3"/>
        <v>0</v>
      </c>
      <c r="N10" s="71"/>
      <c r="O10" s="57">
        <f t="shared" si="4"/>
        <v>0</v>
      </c>
      <c r="S10" s="12">
        <f>E10-'Fev24'!E10</f>
        <v>4915382.1999999955</v>
      </c>
      <c r="T10" s="12">
        <f>G10-'Fev24'!G10</f>
        <v>-2326804.09</v>
      </c>
      <c r="U10" s="12">
        <f>I10-'Fev24'!I10</f>
        <v>-13928647.519999996</v>
      </c>
      <c r="V10" s="12">
        <f>K10-'Fev24'!K10</f>
        <v>-1676000.5900000003</v>
      </c>
      <c r="W10" s="12">
        <f>+M10-'Fev24'!M10</f>
        <v>0</v>
      </c>
      <c r="Y10" s="28">
        <f>D10-'Fev24'!D10</f>
        <v>9.9999999999999978E-2</v>
      </c>
      <c r="Z10" s="28">
        <f>F10-'Fev24'!F10</f>
        <v>-9.999999999999995E-3</v>
      </c>
      <c r="AA10" s="28">
        <f>H10-'Fev24'!H10</f>
        <v>-7.999999999999996E-2</v>
      </c>
      <c r="AB10" s="28">
        <f>J10-'Fev24'!J10</f>
        <v>-1.0000000000000002E-2</v>
      </c>
      <c r="AC10" s="28">
        <f>L10-'Fev24'!L10</f>
        <v>0</v>
      </c>
      <c r="AE10" s="10">
        <f>C10-'Fev24'!C10</f>
        <v>-13016070</v>
      </c>
      <c r="AF10" s="76">
        <f>C10/'Fev24'!C10-1</f>
        <v>-0.10125151914384367</v>
      </c>
    </row>
    <row r="11" spans="2:36" x14ac:dyDescent="0.25">
      <c r="B11" s="3" t="s">
        <v>29</v>
      </c>
      <c r="C11" s="57">
        <v>6224377589.5900002</v>
      </c>
      <c r="D11" s="77">
        <v>0.42</v>
      </c>
      <c r="E11" s="78">
        <f t="shared" si="0"/>
        <v>2614238587.6278</v>
      </c>
      <c r="F11" s="77">
        <f>29.2%+3.3%+1.1%</f>
        <v>0.33599999999999997</v>
      </c>
      <c r="G11" s="78">
        <f t="shared" si="0"/>
        <v>2091390870.1022398</v>
      </c>
      <c r="H11" s="77">
        <v>0.22900000000000001</v>
      </c>
      <c r="I11" s="78">
        <f t="shared" si="1"/>
        <v>1425382468.0161102</v>
      </c>
      <c r="J11" s="77">
        <v>1.4999999999999999E-2</v>
      </c>
      <c r="K11" s="78">
        <f t="shared" si="2"/>
        <v>93365663.843850002</v>
      </c>
      <c r="L11" s="77"/>
      <c r="M11" s="57">
        <f t="shared" si="3"/>
        <v>0</v>
      </c>
      <c r="N11" s="56"/>
      <c r="O11" s="57">
        <f t="shared" si="4"/>
        <v>0</v>
      </c>
      <c r="S11" s="12">
        <f>E11-'Fev24'!E11</f>
        <v>658229326.12199974</v>
      </c>
      <c r="T11" s="12">
        <f>G11-'Fev24'!G11</f>
        <v>377253721.57833982</v>
      </c>
      <c r="U11" s="12">
        <f>I11-'Fev24'!I11</f>
        <v>-67914925.176489592</v>
      </c>
      <c r="V11" s="12">
        <f>K11-'Fev24'!K11</f>
        <v>-6538034.9964999855</v>
      </c>
      <c r="W11" s="12">
        <f>+M11-'Fev24'!M11</f>
        <v>0</v>
      </c>
      <c r="Y11" s="28">
        <f>D11-'Fev24'!D11</f>
        <v>4.7999999999999932E-2</v>
      </c>
      <c r="Z11" s="28">
        <f>F11-'Fev24'!F11</f>
        <v>9.9999999999999534E-3</v>
      </c>
      <c r="AA11" s="28">
        <f>H11-'Fev24'!H11</f>
        <v>-5.4999999999999966E-2</v>
      </c>
      <c r="AB11" s="28">
        <f>J11-'Fev24'!J11</f>
        <v>-4.0000000000000001E-3</v>
      </c>
      <c r="AC11" s="28">
        <f>L11-'Fev24'!L11</f>
        <v>0</v>
      </c>
      <c r="AE11" s="10">
        <f>C11-'Fev24'!C11</f>
        <v>966288176.94000053</v>
      </c>
      <c r="AF11" s="76">
        <f>C11/'Fev24'!C11-1</f>
        <v>0.18377172792369945</v>
      </c>
    </row>
    <row r="12" spans="2:36" x14ac:dyDescent="0.25">
      <c r="B12" s="3" t="s">
        <v>47</v>
      </c>
      <c r="C12" s="57">
        <v>1577894683.6900001</v>
      </c>
      <c r="D12" s="56">
        <v>0.64</v>
      </c>
      <c r="E12" s="57">
        <f t="shared" si="0"/>
        <v>1009852597.5616001</v>
      </c>
      <c r="F12" s="56">
        <v>0.13</v>
      </c>
      <c r="G12" s="57">
        <f t="shared" si="0"/>
        <v>205126308.87970001</v>
      </c>
      <c r="H12" s="56">
        <v>0.23</v>
      </c>
      <c r="I12" s="57">
        <f t="shared" si="1"/>
        <v>362915777.24870002</v>
      </c>
      <c r="J12" s="56"/>
      <c r="K12" s="57">
        <f t="shared" si="2"/>
        <v>0</v>
      </c>
      <c r="L12" s="73"/>
      <c r="M12" s="57">
        <f t="shared" si="3"/>
        <v>0</v>
      </c>
      <c r="N12" s="71"/>
      <c r="O12" s="57">
        <f t="shared" si="4"/>
        <v>0</v>
      </c>
      <c r="S12" s="12">
        <f>E12-'Fev24'!E12</f>
        <v>13804103.513599992</v>
      </c>
      <c r="T12" s="12">
        <f>G12-'Fev24'!G12</f>
        <v>18367216.245700002</v>
      </c>
      <c r="U12" s="12">
        <f>I12-'Fev24'!I12</f>
        <v>-10602408.019299984</v>
      </c>
      <c r="V12" s="12">
        <f>K12-'Fev24'!K12</f>
        <v>0</v>
      </c>
      <c r="W12" s="12">
        <f>+M12-'Fev24'!M12</f>
        <v>0</v>
      </c>
      <c r="Y12" s="28">
        <f>D12-'Fev24'!D12</f>
        <v>0</v>
      </c>
      <c r="Z12" s="28">
        <f>F12-'Fev24'!F12</f>
        <v>1.0000000000000009E-2</v>
      </c>
      <c r="AA12" s="28">
        <f>H12-'Fev24'!H12</f>
        <v>-9.9999999999999811E-3</v>
      </c>
      <c r="AB12" s="28">
        <f>J12-'Fev24'!J12</f>
        <v>0</v>
      </c>
      <c r="AC12" s="28">
        <f>L12-'Fev24'!L12</f>
        <v>0</v>
      </c>
      <c r="AE12" s="10">
        <f>C12-'Fev24'!C12</f>
        <v>21568911.74000001</v>
      </c>
      <c r="AF12" s="76">
        <f>C12/'Fev24'!C12-1</f>
        <v>1.3858866908677658E-2</v>
      </c>
    </row>
    <row r="13" spans="2:36" x14ac:dyDescent="0.25">
      <c r="B13" s="3" t="s">
        <v>30</v>
      </c>
      <c r="C13" s="57">
        <v>848590000</v>
      </c>
      <c r="D13" s="56">
        <v>0.3</v>
      </c>
      <c r="E13" s="57">
        <f t="shared" si="0"/>
        <v>254577000</v>
      </c>
      <c r="F13" s="56">
        <f>18%+1%</f>
        <v>0.19</v>
      </c>
      <c r="G13" s="57">
        <f t="shared" si="0"/>
        <v>161232100</v>
      </c>
      <c r="H13" s="56">
        <v>0.5</v>
      </c>
      <c r="I13" s="57">
        <f t="shared" si="1"/>
        <v>424295000</v>
      </c>
      <c r="J13" s="56">
        <v>0.01</v>
      </c>
      <c r="K13" s="57">
        <f t="shared" si="2"/>
        <v>8485900</v>
      </c>
      <c r="L13" s="56"/>
      <c r="M13" s="57">
        <f t="shared" si="3"/>
        <v>0</v>
      </c>
      <c r="N13" s="56"/>
      <c r="O13" s="57">
        <f t="shared" si="4"/>
        <v>0</v>
      </c>
      <c r="S13" s="12">
        <f>E13-'Fev24'!E13</f>
        <v>12696700.00000003</v>
      </c>
      <c r="T13" s="12">
        <f>G13-'Fev24'!G13</f>
        <v>2758800</v>
      </c>
      <c r="U13" s="12">
        <f>I13-'Fev24'!I13</f>
        <v>-1080700</v>
      </c>
      <c r="V13" s="12">
        <f>K13-'Fev24'!K13</f>
        <v>145200</v>
      </c>
      <c r="W13" s="12">
        <f>+M13-'Fev24'!M13</f>
        <v>0</v>
      </c>
      <c r="Y13" s="28">
        <f>D13-'Fev24'!D13</f>
        <v>1.0000000000000009E-2</v>
      </c>
      <c r="Z13" s="28">
        <f>F13-'Fev24'!F13</f>
        <v>0</v>
      </c>
      <c r="AA13" s="28">
        <f>H13-'Fev24'!H13</f>
        <v>-1.0000000000000009E-2</v>
      </c>
      <c r="AB13" s="28">
        <f>J13-'Fev24'!J13</f>
        <v>0</v>
      </c>
      <c r="AC13" s="28">
        <f>L13-'Fev24'!L13</f>
        <v>0</v>
      </c>
      <c r="AE13" s="10">
        <f>C13-'Fev24'!C13</f>
        <v>14520000</v>
      </c>
      <c r="AF13" s="76">
        <f>C13/'Fev24'!C13-1</f>
        <v>1.7408610788063328E-2</v>
      </c>
    </row>
    <row r="14" spans="2:36" x14ac:dyDescent="0.25">
      <c r="B14" s="3" t="s">
        <v>31</v>
      </c>
      <c r="C14" s="57">
        <v>53126668.450000003</v>
      </c>
      <c r="D14" s="56">
        <v>0.499</v>
      </c>
      <c r="E14" s="57">
        <f t="shared" si="0"/>
        <v>26510207.55655</v>
      </c>
      <c r="F14" s="56">
        <v>9.9000000000000005E-2</v>
      </c>
      <c r="G14" s="57">
        <f t="shared" si="0"/>
        <v>5259540.1765500009</v>
      </c>
      <c r="H14" s="56">
        <v>0.40300000000000002</v>
      </c>
      <c r="I14" s="57">
        <f t="shared" si="1"/>
        <v>21410047.385350004</v>
      </c>
      <c r="J14" s="56"/>
      <c r="K14" s="57">
        <f t="shared" si="2"/>
        <v>0</v>
      </c>
      <c r="L14" s="56"/>
      <c r="M14" s="57">
        <f t="shared" si="3"/>
        <v>0</v>
      </c>
      <c r="N14" s="56"/>
      <c r="O14" s="57">
        <f t="shared" si="4"/>
        <v>0</v>
      </c>
      <c r="S14" s="12">
        <f>E14-'Fev24'!E14</f>
        <v>1127367.9957100004</v>
      </c>
      <c r="T14" s="12">
        <f>G14-'Fev24'!G14</f>
        <v>-224406.64214999881</v>
      </c>
      <c r="U14" s="12">
        <f>I14-'Fev24'!I14</f>
        <v>48768.824890006334</v>
      </c>
      <c r="V14" s="12">
        <f>K14-'Fev24'!K14</f>
        <v>0</v>
      </c>
      <c r="W14" s="12">
        <f>+M14-'Fev24'!M14</f>
        <v>0</v>
      </c>
      <c r="Y14" s="28">
        <f>D14-'Fev24'!D14</f>
        <v>1.3000000000000012E-2</v>
      </c>
      <c r="Z14" s="28">
        <f>F14-'Fev24'!F14</f>
        <v>-5.9999999999999915E-3</v>
      </c>
      <c r="AA14" s="28">
        <f>H14-'Fev24'!H14</f>
        <v>-5.9999999999999498E-3</v>
      </c>
      <c r="AB14" s="28">
        <f>J14-'Fev24'!J14</f>
        <v>0</v>
      </c>
      <c r="AC14" s="28">
        <f>L14-'Fev24'!L14</f>
        <v>0</v>
      </c>
      <c r="AE14" s="10">
        <f>C14-'Fev24'!C14</f>
        <v>898603.51000000536</v>
      </c>
      <c r="AF14" s="76">
        <f>C14/'Fev24'!C14-1</f>
        <v>1.7205376286338225E-2</v>
      </c>
    </row>
    <row r="15" spans="2:36" s="8" customFormat="1" x14ac:dyDescent="0.25">
      <c r="B15" s="21" t="s">
        <v>45</v>
      </c>
      <c r="C15" s="62">
        <f>SUM(C3:C14)</f>
        <v>18209588527.84</v>
      </c>
      <c r="D15" s="67">
        <f>E15/$C$15</f>
        <v>0.3781330347963841</v>
      </c>
      <c r="E15" s="63">
        <f>SUM(E3:E14)</f>
        <v>6885646972.42556</v>
      </c>
      <c r="F15" s="67">
        <f>G15/$C$15</f>
        <v>0.23506975480076378</v>
      </c>
      <c r="G15" s="62">
        <f>SUM(G3:G14)</f>
        <v>4280523510.2621498</v>
      </c>
      <c r="H15" s="67">
        <f>I15/$C$15</f>
        <v>0.34828937609427391</v>
      </c>
      <c r="I15" s="63">
        <f>SUM(I3:I14)</f>
        <v>6342206227.2948408</v>
      </c>
      <c r="J15" s="67">
        <f>K15/$C$15</f>
        <v>2.6846482479352236E-2</v>
      </c>
      <c r="K15" s="63">
        <f>SUM(K3:K14)</f>
        <v>488863399.36887002</v>
      </c>
      <c r="L15" s="67">
        <f>M15/$C$15</f>
        <v>7.5367577988391474E-3</v>
      </c>
      <c r="M15" s="63">
        <f>SUM(M3:M14)</f>
        <v>137241258.35084999</v>
      </c>
      <c r="N15" s="67">
        <f>O15/$C$15</f>
        <v>4.1373678863141621E-3</v>
      </c>
      <c r="O15" s="63">
        <f>SUM(O3:O14)</f>
        <v>75339766.798079997</v>
      </c>
      <c r="S15" s="12">
        <f>E15-'Fev24'!E15</f>
        <v>707364687.59369946</v>
      </c>
      <c r="T15" s="12">
        <f>G15-'Fev24'!G15</f>
        <v>628185701.4042902</v>
      </c>
      <c r="U15" s="12">
        <f>I15-'Fev24'!I15</f>
        <v>-155635795.14489937</v>
      </c>
      <c r="V15" s="12">
        <f>K15-'Fev24'!K15</f>
        <v>1107440.6646800637</v>
      </c>
      <c r="W15" s="12">
        <f>+M15-'Fev24'!M15</f>
        <v>-31495157.168150008</v>
      </c>
      <c r="Y15" s="28">
        <f>D15-'Fev24'!D15</f>
        <v>1.4270092907162246E-2</v>
      </c>
      <c r="Z15" s="28">
        <f>F15-'Fev24'!F15</f>
        <v>1.9969453675493659E-2</v>
      </c>
      <c r="AA15" s="28">
        <f>H15-'Fev24'!H15</f>
        <v>-3.43936748276506E-2</v>
      </c>
      <c r="AB15" s="28">
        <f>J15-'Fev24'!J15</f>
        <v>-1.8793526113851725E-3</v>
      </c>
      <c r="AC15" s="28">
        <f>L15-'Fev24'!L15</f>
        <v>-2.4007823982670085E-3</v>
      </c>
      <c r="AE15" s="10">
        <f>C15-'Fev24'!C15</f>
        <v>1229892126.8999996</v>
      </c>
      <c r="AF15" s="76">
        <f>C15/'Fev24'!C15-1</f>
        <v>7.2433104683303551E-2</v>
      </c>
    </row>
    <row r="16" spans="2:36" x14ac:dyDescent="0.25">
      <c r="C16" s="10"/>
      <c r="D16" s="10"/>
      <c r="E16" s="10"/>
      <c r="F16" s="5"/>
      <c r="G16" s="10"/>
      <c r="H16" s="10"/>
      <c r="I16" s="10"/>
      <c r="J16" s="5"/>
      <c r="K16" s="10"/>
    </row>
    <row r="17" spans="2:32" x14ac:dyDescent="0.25">
      <c r="B17" s="4" t="s">
        <v>2</v>
      </c>
      <c r="C17" s="9" t="s">
        <v>4</v>
      </c>
      <c r="D17" s="112" t="s">
        <v>7</v>
      </c>
      <c r="E17" s="112"/>
      <c r="F17" s="112" t="s">
        <v>8</v>
      </c>
      <c r="G17" s="112"/>
      <c r="H17" s="112" t="s">
        <v>10</v>
      </c>
      <c r="I17" s="112"/>
      <c r="J17" s="112" t="s">
        <v>9</v>
      </c>
      <c r="K17" s="112"/>
      <c r="L17" s="112" t="s">
        <v>21</v>
      </c>
      <c r="M17" s="112"/>
      <c r="N17" s="112" t="s">
        <v>55</v>
      </c>
      <c r="O17" s="112"/>
      <c r="S17" s="27" t="s">
        <v>49</v>
      </c>
      <c r="T17" s="27" t="s">
        <v>50</v>
      </c>
      <c r="U17" s="27" t="s">
        <v>51</v>
      </c>
      <c r="V17" s="27" t="s">
        <v>52</v>
      </c>
      <c r="W17" s="27" t="s">
        <v>53</v>
      </c>
      <c r="Y17" s="27" t="s">
        <v>49</v>
      </c>
      <c r="Z17" s="27" t="s">
        <v>50</v>
      </c>
      <c r="AA17" s="27" t="s">
        <v>51</v>
      </c>
      <c r="AB17" s="27" t="s">
        <v>52</v>
      </c>
      <c r="AC17" s="27" t="s">
        <v>53</v>
      </c>
    </row>
    <row r="18" spans="2:32" x14ac:dyDescent="0.25">
      <c r="B18" s="21" t="s">
        <v>6</v>
      </c>
      <c r="C18" s="58">
        <v>233869879.84</v>
      </c>
      <c r="D18" s="59">
        <f>10.62%+0.74%</f>
        <v>0.11359999999999999</v>
      </c>
      <c r="E18" s="58">
        <f>D18*$C18</f>
        <v>26567618.349824</v>
      </c>
      <c r="F18" s="59">
        <f>9.8%+8.86%+6.78%+6.29%</f>
        <v>0.31729999999999997</v>
      </c>
      <c r="G18" s="58">
        <f>F18*$C18</f>
        <v>74206912.873231992</v>
      </c>
      <c r="H18" s="59">
        <f>50.36%+1.17%</f>
        <v>0.51530000000000009</v>
      </c>
      <c r="I18" s="58">
        <f>H18*$C18</f>
        <v>120513149.08155203</v>
      </c>
      <c r="J18" s="59">
        <v>7.7600000000000002E-2</v>
      </c>
      <c r="K18" s="58">
        <f>J18*$C18</f>
        <v>18148302.675584</v>
      </c>
      <c r="L18" s="59"/>
      <c r="M18" s="58">
        <f>L18*$C18</f>
        <v>0</v>
      </c>
      <c r="N18" s="59">
        <v>-2.1999999999999999E-2</v>
      </c>
      <c r="O18" s="79">
        <f>N18*$C18</f>
        <v>-5145137.3564799996</v>
      </c>
      <c r="S18" s="12">
        <f>E18-'Fev24'!E18</f>
        <v>-3010734.1351759993</v>
      </c>
      <c r="T18" s="12">
        <f>G18-'Fev24'!G18</f>
        <v>14979219.857267991</v>
      </c>
      <c r="U18" s="12">
        <f>I18-'Fev24'!I18</f>
        <v>-166529.05724796653</v>
      </c>
      <c r="V18" s="12">
        <f>K18-'Fev24'!K18</f>
        <v>874544.82434400171</v>
      </c>
      <c r="W18" s="12">
        <f>+M18-'Fev24'!M18</f>
        <v>0</v>
      </c>
      <c r="Y18" s="28">
        <f>D18-'Fev24'!D18</f>
        <v>-1.1400000000000007E-2</v>
      </c>
      <c r="Z18" s="28">
        <f>F18-'Fev24'!F18</f>
        <v>6.6999999999999948E-2</v>
      </c>
      <c r="AA18" s="28">
        <f>H18-'Fev24'!H18</f>
        <v>5.3000000000000824E-3</v>
      </c>
      <c r="AB18" s="28">
        <f>J18-'Fev24'!J18</f>
        <v>4.6000000000000069E-3</v>
      </c>
      <c r="AC18" s="28">
        <f>L18-'Fev24'!L18</f>
        <v>0</v>
      </c>
      <c r="AE18" s="10">
        <f>C18-'Fev24'!C18</f>
        <v>-2756940.0399999917</v>
      </c>
      <c r="AF18" s="76">
        <f>C18/'Fev24'!C18-1</f>
        <v>-1.1651004063690351E-2</v>
      </c>
    </row>
    <row r="19" spans="2:32" x14ac:dyDescent="0.25">
      <c r="B19" s="3" t="s">
        <v>26</v>
      </c>
      <c r="C19" s="57">
        <v>430164288.01999998</v>
      </c>
      <c r="D19" s="56">
        <v>0.19</v>
      </c>
      <c r="E19" s="57">
        <f>D19*$C19</f>
        <v>81731214.723800004</v>
      </c>
      <c r="F19" s="56">
        <v>0.12</v>
      </c>
      <c r="G19" s="57">
        <f>F19*$C19</f>
        <v>51619714.562399998</v>
      </c>
      <c r="H19" s="56">
        <f>42%+2%</f>
        <v>0.44</v>
      </c>
      <c r="I19" s="57">
        <f>H19*$C19</f>
        <v>189272286.7288</v>
      </c>
      <c r="J19" s="56">
        <v>0.15</v>
      </c>
      <c r="K19" s="57">
        <f>J19*$C19</f>
        <v>64524643.202999994</v>
      </c>
      <c r="L19" s="56">
        <v>0.1</v>
      </c>
      <c r="M19" s="57">
        <f>L19*$C19</f>
        <v>43016428.802000001</v>
      </c>
      <c r="N19" s="56"/>
      <c r="O19" s="57">
        <f>N19*$C19</f>
        <v>0</v>
      </c>
      <c r="S19" s="12">
        <f>E19-'Fev24'!E19</f>
        <v>31272099.91505</v>
      </c>
      <c r="T19" s="12">
        <f>G19-'Fev24'!G19</f>
        <v>-4894494.0234000087</v>
      </c>
      <c r="U19" s="12">
        <f>I19-'Fev24'!I19</f>
        <v>-2472349.5444500148</v>
      </c>
      <c r="V19" s="12">
        <f>K19-'Fev24'!K19</f>
        <v>3973705.4324999899</v>
      </c>
      <c r="W19" s="12">
        <f>+M19-'Fev24'!M19</f>
        <v>-1387592.2296999991</v>
      </c>
      <c r="Y19" s="28">
        <f>D19-'Fev24'!D19</f>
        <v>6.5000000000000002E-2</v>
      </c>
      <c r="Z19" s="28">
        <f>F19-'Fev24'!F19</f>
        <v>-2.0000000000000018E-2</v>
      </c>
      <c r="AA19" s="28">
        <f>H19-'Fev24'!H19</f>
        <v>-3.5000000000000031E-2</v>
      </c>
      <c r="AB19" s="28">
        <f>J19-'Fev24'!J19</f>
        <v>0</v>
      </c>
      <c r="AC19" s="28">
        <f>L19-'Fev24'!L19</f>
        <v>-9.999999999999995E-3</v>
      </c>
      <c r="AE19" s="10">
        <f>C19-'Fev24'!C19</f>
        <v>26491369.549999952</v>
      </c>
      <c r="AF19" s="76">
        <f>C19/'Fev24'!C19-1</f>
        <v>6.5625828084795668E-2</v>
      </c>
    </row>
    <row r="20" spans="2:32" x14ac:dyDescent="0.25">
      <c r="B20" s="3" t="s">
        <v>27</v>
      </c>
      <c r="C20" s="60">
        <v>736920114</v>
      </c>
      <c r="D20" s="56">
        <v>5.3499999999999999E-2</v>
      </c>
      <c r="E20" s="57">
        <f t="shared" ref="E20:G26" si="5">D20*$C20</f>
        <v>39425226.098999999</v>
      </c>
      <c r="F20" s="56">
        <v>0.248</v>
      </c>
      <c r="G20" s="57">
        <f t="shared" si="5"/>
        <v>182756188.27199998</v>
      </c>
      <c r="H20" s="56">
        <f>59.06%+2.19%+0.36%</f>
        <v>0.61610000000000009</v>
      </c>
      <c r="I20" s="57">
        <f t="shared" ref="I20:I26" si="6">H20*$C20</f>
        <v>454016482.23540008</v>
      </c>
      <c r="J20" s="56">
        <v>5.5899999999999998E-2</v>
      </c>
      <c r="K20" s="57">
        <f t="shared" ref="K20:K26" si="7">J20*$C20</f>
        <v>41193834.372599997</v>
      </c>
      <c r="L20" s="56"/>
      <c r="M20" s="57">
        <f t="shared" ref="M20:M26" si="8">L20*$C20</f>
        <v>0</v>
      </c>
      <c r="N20" s="56">
        <v>2.6499999999999999E-2</v>
      </c>
      <c r="O20" s="57">
        <f t="shared" ref="O20:O26" si="9">N20*$C20</f>
        <v>19528383.020999998</v>
      </c>
      <c r="S20" s="12">
        <f>E20-'Fev24'!E20</f>
        <v>2266888.2624000013</v>
      </c>
      <c r="T20" s="12">
        <f>G20-'Fev24'!G20</f>
        <v>-9845395.494599998</v>
      </c>
      <c r="U20" s="12">
        <f>I20-'Fev24'!I20</f>
        <v>-11647070.214899898</v>
      </c>
      <c r="V20" s="12">
        <f>K20-'Fev24'!K20</f>
        <v>-3588624.5738999993</v>
      </c>
      <c r="W20" s="12">
        <f>+M20-'Fev24'!M20</f>
        <v>0</v>
      </c>
      <c r="Y20" s="28">
        <f>D20-'Fev24'!D20</f>
        <v>3.2999999999999974E-3</v>
      </c>
      <c r="Z20" s="28">
        <f>F20-'Fev24'!F20</f>
        <v>-1.2199999999999989E-2</v>
      </c>
      <c r="AA20" s="28">
        <f>H20-'Fev24'!H20</f>
        <v>-1.2999999999999901E-2</v>
      </c>
      <c r="AB20" s="28">
        <f>J20-'Fev24'!J20</f>
        <v>-4.5999999999999999E-3</v>
      </c>
      <c r="AC20" s="28">
        <f>L20-'Fev24'!L20</f>
        <v>0</v>
      </c>
      <c r="AE20" s="10">
        <f>C20-'Fev24'!C20</f>
        <v>-3285819</v>
      </c>
      <c r="AF20" s="76">
        <f>C20/'Fev24'!C20-1</f>
        <v>-4.4390606093669405E-3</v>
      </c>
    </row>
    <row r="21" spans="2:32" x14ac:dyDescent="0.25">
      <c r="B21" s="3" t="s">
        <v>28</v>
      </c>
      <c r="C21" s="60">
        <v>1057477834</v>
      </c>
      <c r="D21" s="56">
        <v>0.13</v>
      </c>
      <c r="E21" s="57">
        <f t="shared" si="5"/>
        <v>137472118.42000002</v>
      </c>
      <c r="F21" s="56">
        <f>8%+6%+2%+1%</f>
        <v>0.17</v>
      </c>
      <c r="G21" s="57">
        <f t="shared" si="5"/>
        <v>179771231.78</v>
      </c>
      <c r="H21" s="56">
        <f>56%+1%</f>
        <v>0.57000000000000006</v>
      </c>
      <c r="I21" s="57">
        <f t="shared" si="6"/>
        <v>602762365.38000011</v>
      </c>
      <c r="J21" s="56">
        <v>0.13</v>
      </c>
      <c r="K21" s="57">
        <f t="shared" si="7"/>
        <v>137472118.42000002</v>
      </c>
      <c r="L21" s="56"/>
      <c r="M21" s="57">
        <f t="shared" si="8"/>
        <v>0</v>
      </c>
      <c r="N21" s="56"/>
      <c r="O21" s="57">
        <f t="shared" si="9"/>
        <v>0</v>
      </c>
      <c r="S21" s="12">
        <f>E21-'Fev24'!E21</f>
        <v>-21297071.629999995</v>
      </c>
      <c r="T21" s="12">
        <f>G21-'Fev24'!G21</f>
        <v>10417429.060000002</v>
      </c>
      <c r="U21" s="12">
        <f>I21-'Fev24'!I21</f>
        <v>10024055.860000014</v>
      </c>
      <c r="V21" s="12">
        <f>K21-'Fev24'!K21</f>
        <v>-127846.28999999166</v>
      </c>
      <c r="W21" s="12">
        <f>+M21-'Fev24'!M21</f>
        <v>0</v>
      </c>
      <c r="Y21" s="28">
        <f>D21-'Fev24'!D21</f>
        <v>-2.0000000000000018E-2</v>
      </c>
      <c r="Z21" s="28">
        <f>F21-'Fev24'!F21</f>
        <v>1.0000000000000009E-2</v>
      </c>
      <c r="AA21" s="28">
        <f>H21-'Fev24'!H21</f>
        <v>1.0000000000000009E-2</v>
      </c>
      <c r="AB21" s="28">
        <f>J21-'Fev24'!J21</f>
        <v>0</v>
      </c>
      <c r="AC21" s="28">
        <f>L21-'Fev24'!L21</f>
        <v>0</v>
      </c>
      <c r="AE21" s="10">
        <f>C21-'Fev24'!C21</f>
        <v>-983433</v>
      </c>
      <c r="AF21" s="76">
        <f>C21/'Fev24'!C21-1</f>
        <v>-9.2911571793963255E-4</v>
      </c>
    </row>
    <row r="22" spans="2:32" x14ac:dyDescent="0.25">
      <c r="B22" s="3" t="s">
        <v>32</v>
      </c>
      <c r="C22" s="60">
        <v>262314302.21000001</v>
      </c>
      <c r="D22" s="56">
        <v>0.08</v>
      </c>
      <c r="E22" s="57">
        <f t="shared" si="5"/>
        <v>20985144.176800001</v>
      </c>
      <c r="F22" s="56">
        <v>0.13</v>
      </c>
      <c r="G22" s="57">
        <f t="shared" si="5"/>
        <v>34100859.287300006</v>
      </c>
      <c r="H22" s="56">
        <f>59%+7%</f>
        <v>0.65999999999999992</v>
      </c>
      <c r="I22" s="57">
        <f t="shared" si="6"/>
        <v>173127439.45859998</v>
      </c>
      <c r="J22" s="56">
        <v>0.13</v>
      </c>
      <c r="K22" s="57">
        <f t="shared" si="7"/>
        <v>34100859.287300006</v>
      </c>
      <c r="L22" s="56"/>
      <c r="M22" s="57">
        <f t="shared" si="8"/>
        <v>0</v>
      </c>
      <c r="N22" s="56"/>
      <c r="O22" s="57">
        <f t="shared" si="9"/>
        <v>0</v>
      </c>
      <c r="S22" s="12">
        <f>E22-'Fev24'!E22</f>
        <v>-2658755.8231999986</v>
      </c>
      <c r="T22" s="12">
        <f>G22-'Fev24'!G22</f>
        <v>5202759.2873000056</v>
      </c>
      <c r="U22" s="12">
        <f>I22-'Fev24'!I22</f>
        <v>-2888260.5413999856</v>
      </c>
      <c r="V22" s="12">
        <f>K22-'Fev24'!K22</f>
        <v>-51440.712699994445</v>
      </c>
      <c r="W22" s="12">
        <f>+M22-'Fev24'!M22</f>
        <v>0</v>
      </c>
      <c r="Y22" s="28">
        <f>D22-'Fev24'!D22</f>
        <v>-9.999999999999995E-3</v>
      </c>
      <c r="Z22" s="28">
        <f>F22-'Fev24'!F22</f>
        <v>2.0000000000000004E-2</v>
      </c>
      <c r="AA22" s="28">
        <f>H22-'Fev24'!H22</f>
        <v>-1.0000000000000009E-2</v>
      </c>
      <c r="AB22" s="28">
        <f>J22-'Fev24'!J22</f>
        <v>0</v>
      </c>
      <c r="AC22" s="28">
        <f>L22-'Fev24'!L22</f>
        <v>0</v>
      </c>
      <c r="AE22" s="10">
        <f>C22-'Fev24'!C22</f>
        <v>-395697.78999999166</v>
      </c>
      <c r="AF22" s="76">
        <f>C22/'Fev24'!C22-1</f>
        <v>-1.5062151802367474E-3</v>
      </c>
    </row>
    <row r="23" spans="2:32" x14ac:dyDescent="0.25">
      <c r="B23" s="3" t="s">
        <v>33</v>
      </c>
      <c r="C23" s="60">
        <v>670000000</v>
      </c>
      <c r="D23" s="56">
        <v>0.24</v>
      </c>
      <c r="E23" s="57">
        <f t="shared" si="5"/>
        <v>160800000</v>
      </c>
      <c r="F23" s="56">
        <v>0.19</v>
      </c>
      <c r="G23" s="57">
        <f t="shared" si="5"/>
        <v>127300000</v>
      </c>
      <c r="H23" s="56">
        <v>0.55000000000000004</v>
      </c>
      <c r="I23" s="57">
        <f t="shared" si="6"/>
        <v>368500000</v>
      </c>
      <c r="J23" s="56">
        <v>0.02</v>
      </c>
      <c r="K23" s="57">
        <f t="shared" si="7"/>
        <v>13400000</v>
      </c>
      <c r="L23" s="56"/>
      <c r="M23" s="57">
        <f t="shared" si="8"/>
        <v>0</v>
      </c>
      <c r="N23" s="56"/>
      <c r="O23" s="57">
        <f t="shared" si="9"/>
        <v>0</v>
      </c>
      <c r="S23" s="12">
        <f>E23-'Fev24'!E23</f>
        <v>20638000</v>
      </c>
      <c r="T23" s="12">
        <f>G23-'Fev24'!G23</f>
        <v>-6491000</v>
      </c>
      <c r="U23" s="12">
        <f>I23-'Fev24'!I23</f>
        <v>18095000</v>
      </c>
      <c r="V23" s="12">
        <f>K23-'Fev24'!K23</f>
        <v>658000</v>
      </c>
      <c r="W23" s="12">
        <f>+M23-'Fev24'!M23</f>
        <v>0</v>
      </c>
      <c r="Y23" s="28">
        <f>D23-'Fev24'!D23</f>
        <v>1.999999999999999E-2</v>
      </c>
      <c r="Z23" s="28">
        <f>F23-'Fev24'!F23</f>
        <v>-1.999999999999999E-2</v>
      </c>
      <c r="AA23" s="28">
        <f>H23-'Fev24'!H23</f>
        <v>0</v>
      </c>
      <c r="AB23" s="28">
        <f>J23-'Fev24'!J23</f>
        <v>0</v>
      </c>
      <c r="AC23" s="28">
        <f>L23-'Fev24'!L23</f>
        <v>0</v>
      </c>
      <c r="AE23" s="10">
        <f>C23-'Fev24'!C23</f>
        <v>32900000</v>
      </c>
      <c r="AF23" s="76">
        <f>C23/'Fev24'!C23-1</f>
        <v>5.1640244859519679E-2</v>
      </c>
    </row>
    <row r="24" spans="2:32" x14ac:dyDescent="0.25">
      <c r="B24" s="3" t="s">
        <v>34</v>
      </c>
      <c r="C24" s="60">
        <v>223863458</v>
      </c>
      <c r="D24" s="56">
        <v>0.17119999999999999</v>
      </c>
      <c r="E24" s="57">
        <f t="shared" si="5"/>
        <v>38325424.009599999</v>
      </c>
      <c r="F24" s="56">
        <v>0.16339999999999999</v>
      </c>
      <c r="G24" s="57">
        <f t="shared" si="5"/>
        <v>36579289.037199996</v>
      </c>
      <c r="H24" s="56">
        <v>0.52410000000000001</v>
      </c>
      <c r="I24" s="57">
        <f t="shared" si="6"/>
        <v>117326838.3378</v>
      </c>
      <c r="J24" s="56">
        <v>0.14080000000000001</v>
      </c>
      <c r="K24" s="57">
        <f t="shared" si="7"/>
        <v>31519974.886400003</v>
      </c>
      <c r="L24" s="56"/>
      <c r="M24" s="57">
        <f t="shared" si="8"/>
        <v>0</v>
      </c>
      <c r="N24" s="56">
        <v>5.0000000000000001E-4</v>
      </c>
      <c r="O24" s="57">
        <f t="shared" si="9"/>
        <v>111931.72900000001</v>
      </c>
      <c r="S24" s="12">
        <f>E24-'Fev24'!E24</f>
        <v>-9640789.8704000041</v>
      </c>
      <c r="T24" s="12">
        <f>G24-'Fev24'!G24</f>
        <v>-12284843.097800002</v>
      </c>
      <c r="U24" s="12">
        <f>I24-'Fev24'!I24</f>
        <v>-33842044.657199979</v>
      </c>
      <c r="V24" s="12">
        <f>K24-'Fev24'!K24</f>
        <v>-10131846.103599999</v>
      </c>
      <c r="W24" s="12">
        <f>+M24-'Fev24'!M24</f>
        <v>0</v>
      </c>
      <c r="Y24" s="28">
        <f>D24-'Fev24'!D24</f>
        <v>5.5999999999999939E-3</v>
      </c>
      <c r="Z24" s="28">
        <f>F24-'Fev24'!F24</f>
        <v>-5.2999999999999992E-3</v>
      </c>
      <c r="AA24" s="28">
        <f>H24-'Fev24'!H24</f>
        <v>2.2000000000000908E-3</v>
      </c>
      <c r="AB24" s="28">
        <f>J24-'Fev24'!J24</f>
        <v>-3.0000000000000027E-3</v>
      </c>
      <c r="AC24" s="28">
        <f>L24-'Fev24'!L24</f>
        <v>0</v>
      </c>
      <c r="AE24" s="10">
        <f>C24-'Fev24'!C24</f>
        <v>-65787592</v>
      </c>
      <c r="AF24" s="76">
        <f>C24/'Fev24'!C24-1</f>
        <v>-0.227127062028603</v>
      </c>
    </row>
    <row r="25" spans="2:32" x14ac:dyDescent="0.25">
      <c r="B25" s="3" t="s">
        <v>35</v>
      </c>
      <c r="C25" s="60">
        <v>271633221</v>
      </c>
      <c r="D25" s="56">
        <v>0.13700000000000001</v>
      </c>
      <c r="E25" s="57">
        <f t="shared" si="5"/>
        <v>37213751.277000003</v>
      </c>
      <c r="F25" s="56">
        <f>40.2%+6%+1.4%</f>
        <v>0.47600000000000003</v>
      </c>
      <c r="G25" s="57">
        <f t="shared" si="5"/>
        <v>129297413.19600001</v>
      </c>
      <c r="H25" s="56">
        <v>0.35499999999999998</v>
      </c>
      <c r="I25" s="57">
        <f t="shared" si="6"/>
        <v>96429793.454999998</v>
      </c>
      <c r="J25" s="56">
        <v>3.2000000000000001E-2</v>
      </c>
      <c r="K25" s="57">
        <f t="shared" si="7"/>
        <v>8692263.0720000006</v>
      </c>
      <c r="L25" s="56"/>
      <c r="M25" s="57">
        <f t="shared" si="8"/>
        <v>0</v>
      </c>
      <c r="N25" s="56"/>
      <c r="O25" s="57">
        <f t="shared" si="9"/>
        <v>0</v>
      </c>
      <c r="S25" s="12">
        <f>E25-'Fev24'!E25</f>
        <v>8827948.3770000003</v>
      </c>
      <c r="T25" s="12">
        <f>G25-'Fev24'!G25</f>
        <v>-6838580.3039999902</v>
      </c>
      <c r="U25" s="12">
        <f>I25-'Fev24'!I25</f>
        <v>-18561673.395000011</v>
      </c>
      <c r="V25" s="12">
        <f>K25-'Fev24'!K25</f>
        <v>-1735174.7279999983</v>
      </c>
      <c r="W25" s="12">
        <f>+M25-'Fev24'!M25</f>
        <v>0</v>
      </c>
      <c r="Y25" s="28">
        <f>D25-'Fev24'!D25</f>
        <v>3.9000000000000007E-2</v>
      </c>
      <c r="Z25" s="28">
        <f>F25-'Fev24'!F25</f>
        <v>6.0000000000000053E-3</v>
      </c>
      <c r="AA25" s="28">
        <f>H25-'Fev24'!H25</f>
        <v>-4.2000000000000037E-2</v>
      </c>
      <c r="AB25" s="28">
        <f>J25-'Fev24'!J25</f>
        <v>-3.9999999999999966E-3</v>
      </c>
      <c r="AC25" s="28">
        <f>L25-'Fev24'!L25</f>
        <v>0</v>
      </c>
      <c r="AE25" s="10">
        <f>C25-'Fev24'!C25</f>
        <v>-18017829</v>
      </c>
      <c r="AF25" s="76">
        <f>C25/'Fev24'!C25-1</f>
        <v>-6.2205294957501489E-2</v>
      </c>
    </row>
    <row r="26" spans="2:32" x14ac:dyDescent="0.25">
      <c r="B26" s="3" t="s">
        <v>36</v>
      </c>
      <c r="C26" s="60">
        <v>509500000</v>
      </c>
      <c r="D26" s="61">
        <v>0.14000000000000001</v>
      </c>
      <c r="E26" s="57">
        <f t="shared" si="5"/>
        <v>71330000</v>
      </c>
      <c r="F26" s="61">
        <v>0.19</v>
      </c>
      <c r="G26" s="57">
        <f t="shared" si="5"/>
        <v>96805000</v>
      </c>
      <c r="H26" s="61">
        <f>57%+3%</f>
        <v>0.6</v>
      </c>
      <c r="I26" s="57">
        <f t="shared" si="6"/>
        <v>305700000</v>
      </c>
      <c r="J26" s="61">
        <v>7.0000000000000007E-2</v>
      </c>
      <c r="K26" s="57">
        <f t="shared" si="7"/>
        <v>35665000</v>
      </c>
      <c r="L26" s="61"/>
      <c r="M26" s="57">
        <f t="shared" si="8"/>
        <v>0</v>
      </c>
      <c r="N26" s="61"/>
      <c r="O26" s="57">
        <f t="shared" si="9"/>
        <v>0</v>
      </c>
      <c r="S26" s="12">
        <f>E26-'Fev24'!E26</f>
        <v>15654800</v>
      </c>
      <c r="T26" s="12">
        <f>G26-'Fev24'!G26</f>
        <v>13292200</v>
      </c>
      <c r="U26" s="12">
        <f>I26-'Fev24'!I26</f>
        <v>13405200</v>
      </c>
      <c r="V26" s="12">
        <f>K26-'Fev24'!K26</f>
        <v>3187799.9999999963</v>
      </c>
      <c r="W26" s="12">
        <f>+M26-'Fev24'!M26</f>
        <v>0</v>
      </c>
      <c r="Y26" s="28">
        <f>D26-'Fev24'!D26</f>
        <v>2.0000000000000018E-2</v>
      </c>
      <c r="Z26" s="28">
        <f>F26-'Fev24'!F26</f>
        <v>1.0000000000000009E-2</v>
      </c>
      <c r="AA26" s="28">
        <f>H26-'Fev24'!H26</f>
        <v>-3.0000000000000027E-2</v>
      </c>
      <c r="AB26" s="28">
        <f>J26-'Fev24'!J26</f>
        <v>0</v>
      </c>
      <c r="AC26" s="28">
        <f>L26-'Fev24'!L26</f>
        <v>0</v>
      </c>
      <c r="AE26" s="10">
        <f>C26-'Fev24'!C26</f>
        <v>45540000</v>
      </c>
      <c r="AF26" s="76">
        <f>C26/'Fev24'!C26-1</f>
        <v>9.8155013363220966E-2</v>
      </c>
    </row>
    <row r="27" spans="2:32" s="8" customFormat="1" x14ac:dyDescent="0.25">
      <c r="B27" s="21" t="s">
        <v>45</v>
      </c>
      <c r="C27" s="62">
        <f>SUM(C18:C26)</f>
        <v>4395743097.0699997</v>
      </c>
      <c r="D27" s="67">
        <f>+E27/$C27</f>
        <v>0.13964658159053664</v>
      </c>
      <c r="E27" s="63">
        <f>SUM(E18:E26)</f>
        <v>613850497.05602396</v>
      </c>
      <c r="F27" s="67">
        <f>+G27/$C27</f>
        <v>0.2075727786767885</v>
      </c>
      <c r="G27" s="62">
        <f>SUM(G18:G26)</f>
        <v>912436609.00813186</v>
      </c>
      <c r="H27" s="67">
        <f>+I27/$C27</f>
        <v>0.55227257395804386</v>
      </c>
      <c r="I27" s="63">
        <f>SUM(I18:I26)</f>
        <v>2427648354.6771522</v>
      </c>
      <c r="J27" s="67">
        <f>+K27/$C27</f>
        <v>8.7520354902750952E-2</v>
      </c>
      <c r="K27" s="63">
        <f>SUM(K18:K26)</f>
        <v>384716995.91688401</v>
      </c>
      <c r="L27" s="67">
        <f>+M27/$C27</f>
        <v>9.7859287615495033E-3</v>
      </c>
      <c r="M27" s="63">
        <f>SUM(M18:M26)</f>
        <v>43016428.802000001</v>
      </c>
      <c r="N27" s="67">
        <f>+O27/$C27</f>
        <v>3.2975488042469585E-3</v>
      </c>
      <c r="O27" s="17">
        <f>SUM(O18:O26)</f>
        <v>14495177.393519999</v>
      </c>
      <c r="S27" s="12">
        <f>E27-'Fev24'!E27</f>
        <v>42052385.095673919</v>
      </c>
      <c r="T27" s="12">
        <f>G27-'Fev24'!G27</f>
        <v>3537295.2847678661</v>
      </c>
      <c r="U27" s="12">
        <f>I27-'Fev24'!I27</f>
        <v>-28053671.550197601</v>
      </c>
      <c r="V27" s="12">
        <f>K27-'Fev24'!K27</f>
        <v>-6940882.1513559818</v>
      </c>
      <c r="W27" s="12">
        <f>+M27-'Fev24'!M27</f>
        <v>-1387592.2296999991</v>
      </c>
      <c r="Y27" s="28">
        <f>D27-'Fev24'!D27</f>
        <v>9.1598134544743082E-3</v>
      </c>
      <c r="Z27" s="28">
        <f>F27-'Fev24'!F27</f>
        <v>1.5807840392234596E-4</v>
      </c>
      <c r="AA27" s="28">
        <f>H27-'Fev24'!H27</f>
        <v>-8.1291031461410146E-3</v>
      </c>
      <c r="AB27" s="28">
        <f>J27-'Fev24'!J27</f>
        <v>-1.8576434766778283E-3</v>
      </c>
      <c r="AC27" s="28">
        <f>L27-'Fev24'!L27</f>
        <v>-3.472582418277536E-4</v>
      </c>
      <c r="AE27" s="10">
        <f>C27-'Fev24'!C27</f>
        <v>13704058.719999313</v>
      </c>
      <c r="AF27" s="76">
        <f>C27/'Fev24'!C27-1</f>
        <v>3.1273246541316801E-3</v>
      </c>
    </row>
    <row r="28" spans="2:32" x14ac:dyDescent="0.25">
      <c r="C28" s="10"/>
      <c r="D28" s="10"/>
      <c r="E28" s="10"/>
      <c r="F28" s="5"/>
      <c r="G28" s="10"/>
      <c r="H28" s="10"/>
      <c r="I28" s="10"/>
      <c r="J28" s="5"/>
      <c r="K28" s="10"/>
    </row>
    <row r="29" spans="2:32" x14ac:dyDescent="0.25">
      <c r="B29" s="4" t="s">
        <v>38</v>
      </c>
      <c r="C29" s="9" t="s">
        <v>4</v>
      </c>
      <c r="D29" s="113" t="s">
        <v>7</v>
      </c>
      <c r="E29" s="113"/>
      <c r="F29" s="112" t="s">
        <v>8</v>
      </c>
      <c r="G29" s="112"/>
      <c r="H29" s="112" t="s">
        <v>10</v>
      </c>
      <c r="I29" s="112"/>
      <c r="J29" s="112" t="s">
        <v>9</v>
      </c>
      <c r="K29" s="112"/>
      <c r="L29" s="112" t="s">
        <v>40</v>
      </c>
      <c r="M29" s="112"/>
      <c r="N29" s="112" t="s">
        <v>55</v>
      </c>
      <c r="O29" s="112"/>
      <c r="S29" s="27" t="s">
        <v>49</v>
      </c>
      <c r="T29" s="27" t="s">
        <v>50</v>
      </c>
      <c r="U29" s="27" t="s">
        <v>51</v>
      </c>
      <c r="V29" s="27" t="s">
        <v>52</v>
      </c>
      <c r="W29" s="27" t="s">
        <v>54</v>
      </c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</row>
    <row r="30" spans="2:32" x14ac:dyDescent="0.25">
      <c r="B30" s="21" t="s">
        <v>39</v>
      </c>
      <c r="C30" s="64">
        <v>217394487.22</v>
      </c>
      <c r="D30" s="59">
        <f>3.9%+2.7%</f>
        <v>6.6000000000000003E-2</v>
      </c>
      <c r="E30" s="65">
        <f>$C30*D30</f>
        <v>14348036.15652</v>
      </c>
      <c r="F30" s="59">
        <f>9.5%+7.2%+2.1%+1.1%</f>
        <v>0.19900000000000001</v>
      </c>
      <c r="G30" s="65">
        <f>$C30*F30</f>
        <v>43261502.956780002</v>
      </c>
      <c r="H30" s="59">
        <f>57.8%+7.2%+2.2%</f>
        <v>0.67199999999999993</v>
      </c>
      <c r="I30" s="65">
        <f>$C30*H30</f>
        <v>146089095.41183999</v>
      </c>
      <c r="J30" s="59">
        <v>0.12</v>
      </c>
      <c r="K30" s="65">
        <f>$C30*J30</f>
        <v>26087338.466399997</v>
      </c>
      <c r="L30" s="66">
        <v>4.9000000000000002E-2</v>
      </c>
      <c r="M30" s="65">
        <f>$C30*L30</f>
        <v>10652329.873780001</v>
      </c>
      <c r="N30" s="59">
        <f>-0.6%-13%+2.9%</f>
        <v>-0.10700000000000001</v>
      </c>
      <c r="O30" s="65">
        <f>$C30*N30</f>
        <v>-23261210.132540002</v>
      </c>
      <c r="S30" s="12">
        <f>E30-'Fev24'!E30</f>
        <v>-3913562.4442799967</v>
      </c>
      <c r="T30" s="12">
        <f>G30-'Fev24'!G30</f>
        <v>937562.67022000253</v>
      </c>
      <c r="U30" s="12">
        <f>I30-'Fev24'!I30</f>
        <v>4937680.3444799781</v>
      </c>
      <c r="V30" s="12">
        <f>K30-'Fev24'!K30</f>
        <v>735942.76176000014</v>
      </c>
      <c r="W30" s="12">
        <f>+M30-'Fev24'!M30</f>
        <v>125055.38626000099</v>
      </c>
      <c r="Y30" s="28">
        <f>D30-'Fev24'!D30</f>
        <v>-1.8999999999999989E-2</v>
      </c>
      <c r="Z30" s="28">
        <f>F30-'Fev24'!F30</f>
        <v>2.0000000000000018E-3</v>
      </c>
      <c r="AA30" s="28">
        <f>H30-'Fev24'!H30</f>
        <v>1.4999999999999902E-2</v>
      </c>
      <c r="AB30" s="28">
        <f>J30-'Fev24'!J30</f>
        <v>2.0000000000000018E-3</v>
      </c>
      <c r="AC30" s="28">
        <f>L30-'Fev24'!L30</f>
        <v>0</v>
      </c>
      <c r="AE30" s="10">
        <f>C30-'Fev24'!C30</f>
        <v>2552150.7400000095</v>
      </c>
      <c r="AF30" s="76">
        <f>C30/'Fev24'!C30-1</f>
        <v>1.1879179782787297E-2</v>
      </c>
    </row>
    <row r="31" spans="2:32" hidden="1" outlineLevel="1" x14ac:dyDescent="0.25">
      <c r="B31" s="3" t="s">
        <v>56</v>
      </c>
      <c r="C31" s="72"/>
      <c r="D31" s="71"/>
      <c r="E31" s="72"/>
      <c r="F31" s="71"/>
      <c r="G31" s="72"/>
      <c r="H31" s="71"/>
      <c r="I31" s="72"/>
      <c r="J31" s="71"/>
      <c r="K31" s="72"/>
      <c r="L31" s="71"/>
      <c r="M31" s="72"/>
      <c r="N31" s="71"/>
      <c r="O31" s="72"/>
      <c r="S31" s="12">
        <f>E31-'Fev24'!E31</f>
        <v>0</v>
      </c>
      <c r="T31" s="12">
        <f>G31-'Fev24'!G31</f>
        <v>0</v>
      </c>
      <c r="U31" s="12">
        <f>I31-'Fev24'!I31</f>
        <v>0</v>
      </c>
      <c r="V31" s="12">
        <f>K31-'Fev24'!K31</f>
        <v>0</v>
      </c>
      <c r="W31" s="12">
        <f>+M31-'Fev24'!M31</f>
        <v>0</v>
      </c>
      <c r="Y31" s="28">
        <f>D31-'Fev24'!D31</f>
        <v>0</v>
      </c>
      <c r="Z31" s="28">
        <f>F31-'Fev24'!F31</f>
        <v>0</v>
      </c>
      <c r="AA31" s="28">
        <f>H31-'Fev24'!H31</f>
        <v>0</v>
      </c>
      <c r="AB31" s="28">
        <f>J31-'Fev24'!J31</f>
        <v>0</v>
      </c>
      <c r="AC31" s="28">
        <f>L31-'Fev24'!L31</f>
        <v>0</v>
      </c>
      <c r="AE31" s="10">
        <f>C31-'Fev24'!C31</f>
        <v>0</v>
      </c>
      <c r="AF31" s="76" t="e">
        <f>C31/'Fev24'!C31-1</f>
        <v>#DIV/0!</v>
      </c>
    </row>
    <row r="32" spans="2:32" collapsed="1" x14ac:dyDescent="0.25">
      <c r="B32" s="3" t="s">
        <v>42</v>
      </c>
      <c r="C32" s="74">
        <v>258059314</v>
      </c>
      <c r="D32" s="56">
        <v>0.03</v>
      </c>
      <c r="E32" s="72">
        <f>$C32*D32</f>
        <v>7741779.4199999999</v>
      </c>
      <c r="F32" s="56">
        <v>0.11</v>
      </c>
      <c r="G32" s="72">
        <f>$C32*F32</f>
        <v>28386524.539999999</v>
      </c>
      <c r="H32" s="56">
        <f>49%+13%</f>
        <v>0.62</v>
      </c>
      <c r="I32" s="72">
        <f>$C32*H32</f>
        <v>159996774.68000001</v>
      </c>
      <c r="J32" s="56">
        <v>0.04</v>
      </c>
      <c r="K32" s="72">
        <f>$C32*J32</f>
        <v>10322372.560000001</v>
      </c>
      <c r="L32" s="56">
        <v>0.14000000000000001</v>
      </c>
      <c r="M32" s="72">
        <f>$C32*L32</f>
        <v>36128303.960000001</v>
      </c>
      <c r="N32" s="56">
        <v>0.06</v>
      </c>
      <c r="O32" s="72">
        <f>$C32*N32</f>
        <v>15483558.84</v>
      </c>
      <c r="S32" s="12">
        <f>E32-'Fev24'!E32</f>
        <v>-10332021.920000004</v>
      </c>
      <c r="T32" s="12">
        <f>G32-'Fev24'!G32</f>
        <v>-15163.280000001192</v>
      </c>
      <c r="U32" s="12">
        <f>I32-'Fev24'!I32</f>
        <v>12824392.340000004</v>
      </c>
      <c r="V32" s="12">
        <f>K32-'Fev24'!K32</f>
        <v>-7751428.7800000031</v>
      </c>
      <c r="W32" s="12">
        <f>+M32-'Fev24'!M32</f>
        <v>5144644.5200000033</v>
      </c>
      <c r="Y32" s="28">
        <f>D32-'Fev24'!D32</f>
        <v>-4.0000000000000008E-2</v>
      </c>
      <c r="Z32" s="28">
        <f>F32-'Fev24'!F32</f>
        <v>0</v>
      </c>
      <c r="AA32" s="28">
        <f>H32-'Fev24'!H32</f>
        <v>4.9999999999999933E-2</v>
      </c>
      <c r="AB32" s="28">
        <f>J32-'Fev24'!J32</f>
        <v>-3.0000000000000006E-2</v>
      </c>
      <c r="AC32" s="28">
        <f>L32-'Fev24'!L32</f>
        <v>2.0000000000000018E-2</v>
      </c>
      <c r="AE32" s="10">
        <f>C32-'Fev24'!C32</f>
        <v>-137848</v>
      </c>
      <c r="AF32" s="76">
        <f>C32/'Fev24'!C32-1</f>
        <v>-5.3388658082931251E-4</v>
      </c>
    </row>
    <row r="33" spans="2:32" x14ac:dyDescent="0.25">
      <c r="B33" s="3" t="s">
        <v>43</v>
      </c>
      <c r="C33" s="60">
        <v>529312919</v>
      </c>
      <c r="D33" s="56">
        <v>0.09</v>
      </c>
      <c r="E33" s="57">
        <f t="shared" ref="E33:E34" si="10">$C33*D33</f>
        <v>47638162.710000001</v>
      </c>
      <c r="F33" s="56">
        <f>11%+1%+1%</f>
        <v>0.13</v>
      </c>
      <c r="G33" s="57">
        <f t="shared" ref="G33:G34" si="11">$C33*F33</f>
        <v>68810679.469999999</v>
      </c>
      <c r="H33" s="56">
        <f>59%+2%</f>
        <v>0.61</v>
      </c>
      <c r="I33" s="57">
        <f>$C33*H33</f>
        <v>322880880.58999997</v>
      </c>
      <c r="J33" s="56">
        <v>0.17</v>
      </c>
      <c r="K33" s="57">
        <f t="shared" ref="K33:K34" si="12">$C33*J33</f>
        <v>89983196.230000004</v>
      </c>
      <c r="L33" s="56"/>
      <c r="M33" s="57">
        <f t="shared" ref="M33:M34" si="13">$C33*L33</f>
        <v>0</v>
      </c>
      <c r="N33" s="56"/>
      <c r="O33" s="57"/>
      <c r="S33" s="12">
        <f>E33-'Fev24'!E33</f>
        <v>-18612323.129999995</v>
      </c>
      <c r="T33" s="12">
        <f>G33-'Fev24'!G33</f>
        <v>2560193.6300000027</v>
      </c>
      <c r="U33" s="12">
        <f>I33-'Fev24'!I33</f>
        <v>-2850674.7900000215</v>
      </c>
      <c r="V33" s="12">
        <f>K33-'Fev24'!K33</f>
        <v>1649215.1099999994</v>
      </c>
      <c r="W33" s="12">
        <f>+M33-'Fev24'!M33</f>
        <v>-5520873.8200000003</v>
      </c>
      <c r="Y33" s="28">
        <f>D33-'Fev24'!D33</f>
        <v>-0.03</v>
      </c>
      <c r="Z33" s="28">
        <f>F33-'Fev24'!F33</f>
        <v>1.0000000000000009E-2</v>
      </c>
      <c r="AA33" s="28">
        <f>H33-'Fev24'!H33</f>
        <v>2.0000000000000018E-2</v>
      </c>
      <c r="AB33" s="28">
        <f>J33-'Fev24'!J33</f>
        <v>1.0000000000000009E-2</v>
      </c>
      <c r="AC33" s="28">
        <f>L33-'Fev24'!L33</f>
        <v>-0.01</v>
      </c>
      <c r="AE33" s="10">
        <f>C33-'Fev24'!C33</f>
        <v>-22774463</v>
      </c>
      <c r="AF33" s="76">
        <f>C33/'Fev24'!C33-1</f>
        <v>-4.1251554993879558E-2</v>
      </c>
    </row>
    <row r="34" spans="2:32" x14ac:dyDescent="0.25">
      <c r="B34" s="3" t="s">
        <v>44</v>
      </c>
      <c r="C34" s="60">
        <v>18600000</v>
      </c>
      <c r="D34" s="56">
        <v>0.2</v>
      </c>
      <c r="E34" s="57">
        <f t="shared" si="10"/>
        <v>3720000</v>
      </c>
      <c r="F34" s="56"/>
      <c r="G34" s="57">
        <f t="shared" si="11"/>
        <v>0</v>
      </c>
      <c r="H34" s="56">
        <v>0.56999999999999995</v>
      </c>
      <c r="I34" s="57">
        <f>$C34*H34</f>
        <v>10602000</v>
      </c>
      <c r="J34" s="56">
        <v>0.06</v>
      </c>
      <c r="K34" s="57">
        <f t="shared" si="12"/>
        <v>1116000</v>
      </c>
      <c r="L34" s="56">
        <v>0.17</v>
      </c>
      <c r="M34" s="57">
        <f t="shared" si="13"/>
        <v>3162000</v>
      </c>
      <c r="N34" s="56"/>
      <c r="O34" s="57"/>
      <c r="S34" s="12">
        <f>E34-'Fev24'!E34</f>
        <v>-1471000</v>
      </c>
      <c r="T34" s="12">
        <f>G34-'Fev24'!G34</f>
        <v>0</v>
      </c>
      <c r="U34" s="12">
        <f>I34-'Fev24'!I34</f>
        <v>2010000</v>
      </c>
      <c r="V34" s="12">
        <f>K34-'Fev24'!K34</f>
        <v>42000</v>
      </c>
      <c r="W34" s="12">
        <f>+M34-'Fev24'!M34</f>
        <v>119000</v>
      </c>
      <c r="Y34" s="28">
        <f>D34-'Fev24'!D34</f>
        <v>-8.9999999999999969E-2</v>
      </c>
      <c r="Z34" s="28">
        <f>F34-'Fev24'!F34</f>
        <v>0</v>
      </c>
      <c r="AA34" s="28">
        <f>H34-'Fev24'!H34</f>
        <v>8.9999999999999969E-2</v>
      </c>
      <c r="AB34" s="28">
        <f>J34-'Fev24'!J34</f>
        <v>0</v>
      </c>
      <c r="AC34" s="28">
        <f>L34-'Fev24'!L34</f>
        <v>0</v>
      </c>
      <c r="AE34" s="10">
        <f>C34-'Fev24'!C34</f>
        <v>700000</v>
      </c>
      <c r="AF34" s="76">
        <f>C34/'Fev24'!C34-1</f>
        <v>3.9106145251396551E-2</v>
      </c>
    </row>
    <row r="35" spans="2:32" s="8" customFormat="1" x14ac:dyDescent="0.25">
      <c r="B35" s="3" t="s">
        <v>45</v>
      </c>
      <c r="C35" s="63">
        <f>SUM(C30:C34)</f>
        <v>1023366720.22</v>
      </c>
      <c r="D35" s="67">
        <f>+E35/$C35</f>
        <v>7.1770927112746449E-2</v>
      </c>
      <c r="E35" s="63">
        <f>SUM(E30:E34)</f>
        <v>73447978.286520004</v>
      </c>
      <c r="F35" s="67">
        <f>+G35/$C35</f>
        <v>0.13725158752141622</v>
      </c>
      <c r="G35" s="63">
        <f>SUM(G30:G34)</f>
        <v>140458706.96678001</v>
      </c>
      <c r="H35" s="67">
        <f>+I35/$C35</f>
        <v>0.62496535996826974</v>
      </c>
      <c r="I35" s="63">
        <f>SUM(I30:I34)</f>
        <v>639568750.68183994</v>
      </c>
      <c r="J35" s="67">
        <f>+K35/$C35</f>
        <v>0.12459747296549624</v>
      </c>
      <c r="K35" s="63">
        <f>SUM(K30:K34)</f>
        <v>127508907.2564</v>
      </c>
      <c r="L35" s="67">
        <f>+M35/$C35</f>
        <v>4.8802284505639879E-2</v>
      </c>
      <c r="M35" s="63">
        <f>SUM(M30:M34)</f>
        <v>49942633.833780006</v>
      </c>
      <c r="N35" s="67">
        <f>+O35/$C35</f>
        <v>-7.6000627525467986E-3</v>
      </c>
      <c r="O35" s="63">
        <f>SUM(O30:O34)</f>
        <v>-7777651.2925400026</v>
      </c>
      <c r="S35" s="12">
        <f>E35-'Fev24'!E35</f>
        <v>-34328907.494279981</v>
      </c>
      <c r="T35" s="12">
        <f>G35-'Fev24'!G35</f>
        <v>3482593.0202200115</v>
      </c>
      <c r="U35" s="12">
        <f>I35-'Fev24'!I35</f>
        <v>16921397.89447999</v>
      </c>
      <c r="V35" s="12">
        <f>K35-'Fev24'!K35</f>
        <v>-5324270.9082400054</v>
      </c>
      <c r="W35" s="12">
        <f>+M35-'Fev24'!M35</f>
        <v>-132173.91373999417</v>
      </c>
      <c r="Y35" s="28">
        <f>D35-'Fev24'!D35</f>
        <v>-3.1559953229667315E-2</v>
      </c>
      <c r="Z35" s="28">
        <f>F35-'Fev24'!F35</f>
        <v>5.9260037708577518E-3</v>
      </c>
      <c r="AA35" s="28">
        <f>H35-'Fev24'!H35</f>
        <v>2.800341733758871E-2</v>
      </c>
      <c r="AB35" s="28">
        <f>J35-'Fev24'!J35</f>
        <v>-2.7560791342447627E-3</v>
      </c>
      <c r="AC35" s="28">
        <f>L35-'Fev24'!L35</f>
        <v>7.9315963584206811E-4</v>
      </c>
      <c r="AE35" s="10">
        <f>C35-'Fev24'!C35</f>
        <v>-19660160.25999999</v>
      </c>
      <c r="AF35" s="76">
        <f>C35/'Fev24'!C35-1</f>
        <v>-1.8849140542717802E-2</v>
      </c>
    </row>
    <row r="37" spans="2:32" x14ac:dyDescent="0.25">
      <c r="E37"/>
    </row>
    <row r="38" spans="2:32" x14ac:dyDescent="0.25">
      <c r="D38" s="38"/>
    </row>
    <row r="39" spans="2:32" x14ac:dyDescent="0.25">
      <c r="C39" s="30"/>
      <c r="D39" s="35"/>
    </row>
    <row r="40" spans="2:32" x14ac:dyDescent="0.25">
      <c r="C40" s="37"/>
      <c r="D40" s="35"/>
    </row>
    <row r="41" spans="2:32" x14ac:dyDescent="0.25">
      <c r="C41" s="37"/>
      <c r="D41" s="35"/>
    </row>
    <row r="42" spans="2:32" x14ac:dyDescent="0.25">
      <c r="C42" s="37"/>
      <c r="D42" s="35"/>
    </row>
    <row r="43" spans="2:32" x14ac:dyDescent="0.25">
      <c r="C43" s="37"/>
      <c r="D43" s="35"/>
    </row>
    <row r="44" spans="2:32" x14ac:dyDescent="0.25">
      <c r="C44" s="37"/>
      <c r="D44" s="35"/>
      <c r="E44" s="37"/>
    </row>
    <row r="45" spans="2:32" x14ac:dyDescent="0.25">
      <c r="C45" s="37"/>
      <c r="D45" s="35"/>
    </row>
    <row r="46" spans="2:32" x14ac:dyDescent="0.25">
      <c r="C46" s="37"/>
      <c r="D46" s="35"/>
    </row>
    <row r="47" spans="2:32" x14ac:dyDescent="0.25">
      <c r="C47" s="37"/>
      <c r="D47" s="35"/>
    </row>
    <row r="48" spans="2:32" x14ac:dyDescent="0.25">
      <c r="C48" s="37"/>
      <c r="D48" s="35"/>
    </row>
    <row r="49" spans="3:4" x14ac:dyDescent="0.25">
      <c r="C49" s="37"/>
      <c r="D49" s="35"/>
    </row>
    <row r="50" spans="3:4" x14ac:dyDescent="0.25">
      <c r="C50" s="37"/>
      <c r="D50" s="35"/>
    </row>
    <row r="51" spans="3:4" x14ac:dyDescent="0.25">
      <c r="C51" s="37"/>
      <c r="D51" s="35"/>
    </row>
    <row r="52" spans="3:4" x14ac:dyDescent="0.25">
      <c r="C52" s="37"/>
      <c r="D52" s="35"/>
    </row>
    <row r="53" spans="3:4" x14ac:dyDescent="0.25">
      <c r="C53" s="37"/>
      <c r="D53" s="35"/>
    </row>
    <row r="54" spans="3:4" x14ac:dyDescent="0.25">
      <c r="C54" s="37"/>
      <c r="D54" s="35"/>
    </row>
    <row r="55" spans="3:4" x14ac:dyDescent="0.25">
      <c r="C55" s="37"/>
      <c r="D55" s="35"/>
    </row>
    <row r="56" spans="3:4" x14ac:dyDescent="0.25">
      <c r="C56" s="37"/>
      <c r="D56" s="35"/>
    </row>
    <row r="57" spans="3:4" x14ac:dyDescent="0.25">
      <c r="C57" s="37"/>
      <c r="D57" s="35"/>
    </row>
    <row r="58" spans="3:4" x14ac:dyDescent="0.25">
      <c r="C58" s="37"/>
      <c r="D58" s="35"/>
    </row>
    <row r="59" spans="3:4" x14ac:dyDescent="0.25">
      <c r="C59" s="37"/>
      <c r="D59" s="35"/>
    </row>
    <row r="60" spans="3:4" x14ac:dyDescent="0.25">
      <c r="C60" s="37"/>
      <c r="D60" s="35"/>
    </row>
    <row r="61" spans="3:4" x14ac:dyDescent="0.25">
      <c r="C61" s="37"/>
      <c r="D61" s="35"/>
    </row>
    <row r="62" spans="3:4" x14ac:dyDescent="0.25">
      <c r="C62" s="37"/>
      <c r="D62" s="35"/>
    </row>
    <row r="63" spans="3:4" x14ac:dyDescent="0.25">
      <c r="C63" s="37"/>
      <c r="D63" s="35"/>
    </row>
    <row r="64" spans="3:4" x14ac:dyDescent="0.25">
      <c r="C64" s="37"/>
      <c r="D64" s="35"/>
    </row>
    <row r="65" spans="3:4" x14ac:dyDescent="0.25">
      <c r="C65" s="37"/>
      <c r="D65" s="35"/>
    </row>
    <row r="66" spans="3:4" x14ac:dyDescent="0.25">
      <c r="C66" s="37"/>
      <c r="D66" s="35"/>
    </row>
    <row r="67" spans="3:4" x14ac:dyDescent="0.25">
      <c r="C67" s="37"/>
      <c r="D67" s="35"/>
    </row>
    <row r="68" spans="3:4" x14ac:dyDescent="0.25">
      <c r="C68" s="37"/>
      <c r="D68" s="35"/>
    </row>
    <row r="69" spans="3:4" x14ac:dyDescent="0.25">
      <c r="C69" s="37"/>
      <c r="D69" s="35"/>
    </row>
    <row r="70" spans="3:4" x14ac:dyDescent="0.25">
      <c r="C70" s="37"/>
      <c r="D70" s="35"/>
    </row>
    <row r="71" spans="3:4" x14ac:dyDescent="0.25">
      <c r="C71" s="37"/>
      <c r="D71" s="35"/>
    </row>
    <row r="72" spans="3:4" x14ac:dyDescent="0.25">
      <c r="C72" s="37"/>
      <c r="D72" s="35"/>
    </row>
    <row r="73" spans="3:4" x14ac:dyDescent="0.25">
      <c r="C73" s="37"/>
      <c r="D73" s="35"/>
    </row>
    <row r="74" spans="3:4" x14ac:dyDescent="0.25">
      <c r="C74" s="37"/>
      <c r="D74" s="35"/>
    </row>
    <row r="75" spans="3:4" x14ac:dyDescent="0.25">
      <c r="C75" s="37"/>
      <c r="D75" s="35"/>
    </row>
    <row r="76" spans="3:4" x14ac:dyDescent="0.25">
      <c r="C76" s="37"/>
      <c r="D76" s="35"/>
    </row>
    <row r="77" spans="3:4" x14ac:dyDescent="0.25">
      <c r="C77" s="37"/>
      <c r="D77" s="35"/>
    </row>
    <row r="78" spans="3:4" x14ac:dyDescent="0.25">
      <c r="C78" s="37"/>
      <c r="D78" s="35"/>
    </row>
    <row r="79" spans="3:4" x14ac:dyDescent="0.25">
      <c r="C79" s="37"/>
      <c r="D79" s="35"/>
    </row>
    <row r="80" spans="3:4" x14ac:dyDescent="0.25">
      <c r="C80" s="37"/>
      <c r="D80" s="35"/>
    </row>
    <row r="81" spans="3:4" x14ac:dyDescent="0.25">
      <c r="C81" s="37"/>
      <c r="D81" s="35"/>
    </row>
    <row r="82" spans="3:4" x14ac:dyDescent="0.25">
      <c r="C82" s="37"/>
      <c r="D82" s="35"/>
    </row>
    <row r="83" spans="3:4" x14ac:dyDescent="0.25">
      <c r="C83" s="37"/>
      <c r="D83" s="35"/>
    </row>
    <row r="84" spans="3:4" x14ac:dyDescent="0.25">
      <c r="C84" s="37"/>
      <c r="D84" s="35"/>
    </row>
    <row r="85" spans="3:4" x14ac:dyDescent="0.25">
      <c r="C85" s="37"/>
      <c r="D85" s="35"/>
    </row>
    <row r="86" spans="3:4" x14ac:dyDescent="0.25">
      <c r="C86" s="37"/>
      <c r="D86" s="35"/>
    </row>
    <row r="87" spans="3:4" x14ac:dyDescent="0.25">
      <c r="C87" s="37"/>
      <c r="D87" s="35"/>
    </row>
    <row r="88" spans="3:4" x14ac:dyDescent="0.25">
      <c r="C88" s="37"/>
      <c r="D88" s="35"/>
    </row>
    <row r="89" spans="3:4" x14ac:dyDescent="0.25">
      <c r="C89" s="37"/>
      <c r="D89" s="35"/>
    </row>
    <row r="90" spans="3:4" x14ac:dyDescent="0.25">
      <c r="C90" s="37"/>
      <c r="D90" s="35"/>
    </row>
    <row r="91" spans="3:4" x14ac:dyDescent="0.25">
      <c r="C91" s="37"/>
      <c r="D91" s="35"/>
    </row>
    <row r="92" spans="3:4" x14ac:dyDescent="0.25">
      <c r="C92" s="37"/>
      <c r="D92" s="35"/>
    </row>
    <row r="93" spans="3:4" x14ac:dyDescent="0.25">
      <c r="C93" s="37"/>
      <c r="D93" s="35"/>
    </row>
    <row r="94" spans="3:4" x14ac:dyDescent="0.25">
      <c r="C94" s="37"/>
      <c r="D94" s="35"/>
    </row>
    <row r="95" spans="3:4" x14ac:dyDescent="0.25">
      <c r="C95" s="37"/>
      <c r="D95" s="35"/>
    </row>
    <row r="96" spans="3:4" x14ac:dyDescent="0.25">
      <c r="C96" s="37"/>
      <c r="D96" s="35"/>
    </row>
    <row r="97" spans="3:4" x14ac:dyDescent="0.25">
      <c r="C97" s="37"/>
      <c r="D97" s="35"/>
    </row>
    <row r="98" spans="3:4" x14ac:dyDescent="0.25">
      <c r="C98" s="37"/>
      <c r="D98" s="35"/>
    </row>
    <row r="99" spans="3:4" x14ac:dyDescent="0.25">
      <c r="C99" s="37"/>
      <c r="D99" s="35"/>
    </row>
    <row r="100" spans="3:4" x14ac:dyDescent="0.25">
      <c r="C100" s="37"/>
      <c r="D100" s="35"/>
    </row>
    <row r="101" spans="3:4" x14ac:dyDescent="0.25">
      <c r="C101" s="37"/>
      <c r="D101" s="35"/>
    </row>
    <row r="102" spans="3:4" x14ac:dyDescent="0.25">
      <c r="C102" s="37"/>
      <c r="D102" s="35"/>
    </row>
    <row r="103" spans="3:4" x14ac:dyDescent="0.25">
      <c r="C103" s="37"/>
      <c r="D103" s="35"/>
    </row>
    <row r="104" spans="3:4" x14ac:dyDescent="0.25">
      <c r="C104" s="37"/>
      <c r="D104" s="35"/>
    </row>
    <row r="105" spans="3:4" x14ac:dyDescent="0.25">
      <c r="C105" s="37"/>
      <c r="D105" s="35"/>
    </row>
    <row r="106" spans="3:4" x14ac:dyDescent="0.25">
      <c r="C106" s="37"/>
      <c r="D106" s="35"/>
    </row>
    <row r="107" spans="3:4" x14ac:dyDescent="0.25">
      <c r="C107" s="37"/>
      <c r="D107" s="35"/>
    </row>
    <row r="108" spans="3:4" x14ac:dyDescent="0.25">
      <c r="C108" s="37"/>
      <c r="D108" s="35"/>
    </row>
    <row r="109" spans="3:4" x14ac:dyDescent="0.25">
      <c r="C109" s="37"/>
      <c r="D109" s="35"/>
    </row>
    <row r="110" spans="3:4" x14ac:dyDescent="0.25">
      <c r="C110" s="37"/>
      <c r="D110" s="35"/>
    </row>
    <row r="111" spans="3:4" x14ac:dyDescent="0.25">
      <c r="C111" s="37"/>
      <c r="D111" s="35"/>
    </row>
    <row r="112" spans="3:4" x14ac:dyDescent="0.25">
      <c r="C112" s="37"/>
      <c r="D112" s="35"/>
    </row>
    <row r="113" spans="3:4" x14ac:dyDescent="0.25">
      <c r="C113" s="37"/>
      <c r="D113" s="35"/>
    </row>
    <row r="114" spans="3:4" x14ac:dyDescent="0.25">
      <c r="C114" s="37"/>
      <c r="D114" s="35"/>
    </row>
    <row r="115" spans="3:4" x14ac:dyDescent="0.25">
      <c r="C115" s="37"/>
      <c r="D115" s="35"/>
    </row>
    <row r="116" spans="3:4" x14ac:dyDescent="0.25">
      <c r="C116" s="37"/>
      <c r="D116" s="35"/>
    </row>
    <row r="117" spans="3:4" x14ac:dyDescent="0.25">
      <c r="C117" s="37"/>
      <c r="D117" s="35"/>
    </row>
    <row r="118" spans="3:4" x14ac:dyDescent="0.25">
      <c r="C118" s="37"/>
      <c r="D118" s="35"/>
    </row>
    <row r="119" spans="3:4" x14ac:dyDescent="0.25">
      <c r="C119" s="37"/>
      <c r="D119" s="35"/>
    </row>
    <row r="120" spans="3:4" x14ac:dyDescent="0.25">
      <c r="C120" s="37"/>
      <c r="D120" s="35"/>
    </row>
    <row r="121" spans="3:4" x14ac:dyDescent="0.25">
      <c r="C121" s="37"/>
      <c r="D121" s="35"/>
    </row>
    <row r="122" spans="3:4" x14ac:dyDescent="0.25">
      <c r="C122" s="37"/>
      <c r="D122" s="35"/>
    </row>
    <row r="123" spans="3:4" x14ac:dyDescent="0.25">
      <c r="C123" s="37"/>
      <c r="D123" s="35"/>
    </row>
    <row r="124" spans="3:4" x14ac:dyDescent="0.25">
      <c r="C124" s="37"/>
      <c r="D124" s="35"/>
    </row>
    <row r="125" spans="3:4" x14ac:dyDescent="0.25">
      <c r="C125" s="37"/>
      <c r="D125" s="35"/>
    </row>
    <row r="126" spans="3:4" x14ac:dyDescent="0.25">
      <c r="C126" s="37"/>
      <c r="D126" s="35"/>
    </row>
    <row r="127" spans="3:4" x14ac:dyDescent="0.25">
      <c r="C127" s="37"/>
      <c r="D127" s="35"/>
    </row>
    <row r="128" spans="3:4" x14ac:dyDescent="0.25">
      <c r="C128" s="37"/>
      <c r="D128" s="35"/>
    </row>
    <row r="129" spans="3:4" x14ac:dyDescent="0.25">
      <c r="C129" s="37"/>
      <c r="D129" s="35"/>
    </row>
    <row r="130" spans="3:4" x14ac:dyDescent="0.25">
      <c r="C130" s="37"/>
      <c r="D130" s="35"/>
    </row>
    <row r="131" spans="3:4" x14ac:dyDescent="0.25">
      <c r="C131" s="37"/>
      <c r="D131" s="35"/>
    </row>
    <row r="132" spans="3:4" x14ac:dyDescent="0.25">
      <c r="C132" s="37"/>
      <c r="D132" s="35"/>
    </row>
    <row r="133" spans="3:4" x14ac:dyDescent="0.25">
      <c r="C133" s="37"/>
      <c r="D133" s="35"/>
    </row>
    <row r="134" spans="3:4" x14ac:dyDescent="0.25">
      <c r="C134" s="37"/>
      <c r="D134" s="35"/>
    </row>
    <row r="135" spans="3:4" x14ac:dyDescent="0.25">
      <c r="C135" s="37"/>
      <c r="D135" s="35"/>
    </row>
    <row r="136" spans="3:4" x14ac:dyDescent="0.25">
      <c r="C136" s="37"/>
      <c r="D136" s="35"/>
    </row>
    <row r="137" spans="3:4" x14ac:dyDescent="0.25">
      <c r="C137" s="37"/>
      <c r="D137" s="35"/>
    </row>
    <row r="138" spans="3:4" x14ac:dyDescent="0.25">
      <c r="C138" s="37"/>
      <c r="D138" s="35"/>
    </row>
    <row r="139" spans="3:4" x14ac:dyDescent="0.25">
      <c r="C139" s="37"/>
      <c r="D139" s="35"/>
    </row>
    <row r="140" spans="3:4" x14ac:dyDescent="0.25">
      <c r="C140" s="37"/>
      <c r="D140" s="35"/>
    </row>
    <row r="141" spans="3:4" x14ac:dyDescent="0.25">
      <c r="C141" s="37"/>
      <c r="D141" s="35"/>
    </row>
    <row r="142" spans="3:4" x14ac:dyDescent="0.25">
      <c r="C142" s="37"/>
      <c r="D142" s="35"/>
    </row>
    <row r="143" spans="3:4" x14ac:dyDescent="0.25">
      <c r="C143" s="37"/>
      <c r="D143" s="35"/>
    </row>
    <row r="144" spans="3:4" x14ac:dyDescent="0.25">
      <c r="C144" s="37"/>
      <c r="D144" s="35"/>
    </row>
    <row r="145" spans="3:4" x14ac:dyDescent="0.25">
      <c r="C145" s="37"/>
      <c r="D145" s="35"/>
    </row>
    <row r="146" spans="3:4" x14ac:dyDescent="0.25">
      <c r="C146" s="37"/>
      <c r="D146" s="35"/>
    </row>
    <row r="147" spans="3:4" x14ac:dyDescent="0.25">
      <c r="C147" s="37"/>
      <c r="D147" s="35"/>
    </row>
    <row r="148" spans="3:4" x14ac:dyDescent="0.25">
      <c r="C148" s="37"/>
      <c r="D148" s="35"/>
    </row>
    <row r="149" spans="3:4" x14ac:dyDescent="0.25">
      <c r="C149" s="37"/>
      <c r="D149" s="35"/>
    </row>
    <row r="150" spans="3:4" x14ac:dyDescent="0.25">
      <c r="C150" s="37"/>
      <c r="D150" s="35"/>
    </row>
    <row r="151" spans="3:4" x14ac:dyDescent="0.25">
      <c r="C151" s="37"/>
      <c r="D151" s="35"/>
    </row>
    <row r="152" spans="3:4" x14ac:dyDescent="0.25">
      <c r="C152" s="37"/>
      <c r="D152" s="35"/>
    </row>
    <row r="153" spans="3:4" x14ac:dyDescent="0.25">
      <c r="C153" s="37"/>
      <c r="D153" s="35"/>
    </row>
    <row r="154" spans="3:4" x14ac:dyDescent="0.25">
      <c r="C154" s="37"/>
      <c r="D154" s="35"/>
    </row>
    <row r="155" spans="3:4" x14ac:dyDescent="0.25">
      <c r="C155" s="37"/>
      <c r="D155" s="35"/>
    </row>
    <row r="156" spans="3:4" x14ac:dyDescent="0.25">
      <c r="C156" s="37"/>
      <c r="D156" s="35"/>
    </row>
    <row r="157" spans="3:4" x14ac:dyDescent="0.25">
      <c r="C157" s="37"/>
      <c r="D157" s="35"/>
    </row>
    <row r="158" spans="3:4" x14ac:dyDescent="0.25">
      <c r="C158" s="37"/>
      <c r="D158" s="35"/>
    </row>
    <row r="159" spans="3:4" x14ac:dyDescent="0.25">
      <c r="C159" s="37"/>
      <c r="D159" s="35"/>
    </row>
    <row r="160" spans="3:4" x14ac:dyDescent="0.25">
      <c r="C160" s="37"/>
      <c r="D160" s="35"/>
    </row>
    <row r="161" spans="3:4" x14ac:dyDescent="0.25">
      <c r="C161" s="37"/>
      <c r="D161" s="35"/>
    </row>
    <row r="162" spans="3:4" x14ac:dyDescent="0.25">
      <c r="C162" s="37"/>
      <c r="D162" s="35"/>
    </row>
    <row r="163" spans="3:4" x14ac:dyDescent="0.25">
      <c r="C163" s="37"/>
      <c r="D163" s="35"/>
    </row>
    <row r="164" spans="3:4" x14ac:dyDescent="0.25">
      <c r="C164" s="37"/>
      <c r="D164" s="35"/>
    </row>
    <row r="165" spans="3:4" x14ac:dyDescent="0.25">
      <c r="C165" s="37"/>
      <c r="D165" s="35"/>
    </row>
    <row r="166" spans="3:4" x14ac:dyDescent="0.25">
      <c r="C166" s="37"/>
      <c r="D166" s="35"/>
    </row>
    <row r="167" spans="3:4" x14ac:dyDescent="0.25">
      <c r="C167" s="37"/>
      <c r="D167" s="35"/>
    </row>
    <row r="168" spans="3:4" x14ac:dyDescent="0.25">
      <c r="C168" s="37"/>
      <c r="D168" s="35"/>
    </row>
    <row r="169" spans="3:4" x14ac:dyDescent="0.25">
      <c r="C169" s="37"/>
      <c r="D169" s="35"/>
    </row>
    <row r="170" spans="3:4" x14ac:dyDescent="0.25">
      <c r="C170" s="37"/>
      <c r="D170" s="35"/>
    </row>
    <row r="171" spans="3:4" x14ac:dyDescent="0.25">
      <c r="C171" s="37"/>
      <c r="D171" s="35"/>
    </row>
    <row r="172" spans="3:4" x14ac:dyDescent="0.25">
      <c r="C172" s="37"/>
      <c r="D172" s="35"/>
    </row>
    <row r="173" spans="3:4" x14ac:dyDescent="0.25">
      <c r="C173" s="37"/>
      <c r="D173" s="35"/>
    </row>
    <row r="174" spans="3:4" x14ac:dyDescent="0.25">
      <c r="C174" s="37"/>
      <c r="D174" s="35"/>
    </row>
    <row r="175" spans="3:4" x14ac:dyDescent="0.25">
      <c r="C175" s="37"/>
      <c r="D175" s="35"/>
    </row>
    <row r="176" spans="3:4" x14ac:dyDescent="0.25">
      <c r="C176" s="37"/>
      <c r="D176" s="35"/>
    </row>
    <row r="177" spans="3:4" x14ac:dyDescent="0.25">
      <c r="C177" s="37"/>
      <c r="D177" s="35"/>
    </row>
    <row r="178" spans="3:4" x14ac:dyDescent="0.25">
      <c r="C178" s="37"/>
      <c r="D178" s="35"/>
    </row>
    <row r="179" spans="3:4" x14ac:dyDescent="0.25">
      <c r="C179" s="37"/>
      <c r="D179" s="35"/>
    </row>
    <row r="180" spans="3:4" x14ac:dyDescent="0.25">
      <c r="C180" s="37"/>
      <c r="D180" s="35"/>
    </row>
    <row r="181" spans="3:4" x14ac:dyDescent="0.25">
      <c r="C181" s="37"/>
      <c r="D181" s="35"/>
    </row>
    <row r="182" spans="3:4" x14ac:dyDescent="0.25">
      <c r="C182" s="37"/>
      <c r="D182" s="35"/>
    </row>
    <row r="183" spans="3:4" x14ac:dyDescent="0.25">
      <c r="C183" s="37"/>
      <c r="D183" s="35"/>
    </row>
    <row r="184" spans="3:4" x14ac:dyDescent="0.25">
      <c r="C184" s="37"/>
      <c r="D184" s="35"/>
    </row>
    <row r="185" spans="3:4" x14ac:dyDescent="0.25">
      <c r="C185" s="37"/>
      <c r="D185" s="35"/>
    </row>
    <row r="186" spans="3:4" x14ac:dyDescent="0.25">
      <c r="C186" s="37"/>
      <c r="D186" s="35"/>
    </row>
    <row r="187" spans="3:4" x14ac:dyDescent="0.25">
      <c r="C187" s="37"/>
      <c r="D187" s="35"/>
    </row>
    <row r="188" spans="3:4" x14ac:dyDescent="0.25">
      <c r="C188" s="37"/>
      <c r="D188" s="35"/>
    </row>
    <row r="189" spans="3:4" x14ac:dyDescent="0.25">
      <c r="C189" s="37"/>
      <c r="D189" s="35"/>
    </row>
    <row r="190" spans="3:4" x14ac:dyDescent="0.25">
      <c r="C190" s="37"/>
      <c r="D190" s="35"/>
    </row>
    <row r="191" spans="3:4" x14ac:dyDescent="0.25">
      <c r="C191" s="37"/>
      <c r="D191" s="35"/>
    </row>
    <row r="192" spans="3:4" x14ac:dyDescent="0.25">
      <c r="C192" s="37"/>
      <c r="D192" s="35"/>
    </row>
    <row r="193" spans="3:4" x14ac:dyDescent="0.25">
      <c r="C193" s="37"/>
      <c r="D193" s="35"/>
    </row>
    <row r="194" spans="3:4" x14ac:dyDescent="0.25">
      <c r="C194" s="37"/>
      <c r="D194" s="35"/>
    </row>
    <row r="195" spans="3:4" x14ac:dyDescent="0.25">
      <c r="C195" s="37"/>
      <c r="D195" s="35"/>
    </row>
    <row r="196" spans="3:4" x14ac:dyDescent="0.25">
      <c r="C196" s="37"/>
      <c r="D196" s="35"/>
    </row>
    <row r="197" spans="3:4" x14ac:dyDescent="0.25">
      <c r="C197" s="37"/>
      <c r="D197" s="35"/>
    </row>
    <row r="198" spans="3:4" x14ac:dyDescent="0.25">
      <c r="C198" s="37"/>
      <c r="D198" s="35"/>
    </row>
    <row r="199" spans="3:4" x14ac:dyDescent="0.25">
      <c r="C199" s="37"/>
      <c r="D199" s="35"/>
    </row>
    <row r="200" spans="3:4" x14ac:dyDescent="0.25">
      <c r="C200" s="37"/>
      <c r="D200" s="35"/>
    </row>
    <row r="201" spans="3:4" x14ac:dyDescent="0.25">
      <c r="C201" s="37"/>
      <c r="D201" s="35"/>
    </row>
    <row r="202" spans="3:4" x14ac:dyDescent="0.25">
      <c r="C202" s="37"/>
      <c r="D202" s="35"/>
    </row>
    <row r="203" spans="3:4" x14ac:dyDescent="0.25">
      <c r="C203" s="37"/>
      <c r="D203" s="35"/>
    </row>
    <row r="204" spans="3:4" x14ac:dyDescent="0.25">
      <c r="C204" s="37"/>
      <c r="D204" s="35"/>
    </row>
    <row r="205" spans="3:4" x14ac:dyDescent="0.25">
      <c r="C205" s="37"/>
      <c r="D205" s="35"/>
    </row>
    <row r="206" spans="3:4" x14ac:dyDescent="0.25">
      <c r="C206" s="37"/>
      <c r="D206" s="35"/>
    </row>
    <row r="207" spans="3:4" x14ac:dyDescent="0.25">
      <c r="C207" s="37"/>
      <c r="D207" s="35"/>
    </row>
    <row r="208" spans="3:4" x14ac:dyDescent="0.25">
      <c r="C208" s="37"/>
      <c r="D208" s="35"/>
    </row>
    <row r="209" spans="3:4" x14ac:dyDescent="0.25">
      <c r="C209" s="37"/>
      <c r="D209" s="35"/>
    </row>
    <row r="210" spans="3:4" x14ac:dyDescent="0.25">
      <c r="C210" s="37"/>
      <c r="D210" s="35"/>
    </row>
    <row r="211" spans="3:4" x14ac:dyDescent="0.25">
      <c r="C211" s="37"/>
      <c r="D211" s="35"/>
    </row>
    <row r="212" spans="3:4" x14ac:dyDescent="0.25">
      <c r="C212" s="37"/>
      <c r="D212" s="35"/>
    </row>
    <row r="213" spans="3:4" x14ac:dyDescent="0.25">
      <c r="C213" s="37"/>
      <c r="D213" s="35"/>
    </row>
    <row r="214" spans="3:4" x14ac:dyDescent="0.25">
      <c r="C214" s="37"/>
      <c r="D214" s="35"/>
    </row>
    <row r="215" spans="3:4" x14ac:dyDescent="0.25">
      <c r="C215" s="37"/>
      <c r="D215" s="35"/>
    </row>
    <row r="216" spans="3:4" x14ac:dyDescent="0.25">
      <c r="C216" s="37"/>
      <c r="D216" s="35"/>
    </row>
    <row r="217" spans="3:4" x14ac:dyDescent="0.25">
      <c r="C217" s="37"/>
      <c r="D217" s="35"/>
    </row>
    <row r="218" spans="3:4" x14ac:dyDescent="0.25">
      <c r="C218" s="37"/>
      <c r="D218" s="35"/>
    </row>
    <row r="219" spans="3:4" x14ac:dyDescent="0.25">
      <c r="C219" s="37"/>
      <c r="D219" s="35"/>
    </row>
    <row r="220" spans="3:4" x14ac:dyDescent="0.25">
      <c r="C220" s="37"/>
      <c r="D220" s="35"/>
    </row>
    <row r="221" spans="3:4" x14ac:dyDescent="0.25">
      <c r="C221" s="37"/>
      <c r="D221" s="35"/>
    </row>
    <row r="222" spans="3:4" x14ac:dyDescent="0.25">
      <c r="C222" s="37"/>
      <c r="D222" s="35"/>
    </row>
    <row r="223" spans="3:4" x14ac:dyDescent="0.25">
      <c r="C223" s="37"/>
      <c r="D223" s="35"/>
    </row>
    <row r="224" spans="3:4" x14ac:dyDescent="0.25">
      <c r="C224" s="37"/>
      <c r="D224" s="35"/>
    </row>
    <row r="225" spans="3:4" x14ac:dyDescent="0.25">
      <c r="C225" s="37"/>
      <c r="D225" s="35"/>
    </row>
    <row r="226" spans="3:4" x14ac:dyDescent="0.25">
      <c r="C226" s="37"/>
      <c r="D226" s="35"/>
    </row>
    <row r="227" spans="3:4" x14ac:dyDescent="0.25">
      <c r="C227" s="37"/>
      <c r="D227" s="35"/>
    </row>
    <row r="228" spans="3:4" x14ac:dyDescent="0.25">
      <c r="C228" s="37"/>
      <c r="D228" s="35"/>
    </row>
    <row r="229" spans="3:4" x14ac:dyDescent="0.25">
      <c r="C229" s="37"/>
      <c r="D229" s="35"/>
    </row>
    <row r="230" spans="3:4" x14ac:dyDescent="0.25">
      <c r="C230" s="37"/>
      <c r="D230" s="35"/>
    </row>
    <row r="231" spans="3:4" x14ac:dyDescent="0.25">
      <c r="C231" s="37"/>
      <c r="D231" s="35"/>
    </row>
    <row r="232" spans="3:4" x14ac:dyDescent="0.25">
      <c r="C232" s="37"/>
      <c r="D232" s="35"/>
    </row>
    <row r="233" spans="3:4" x14ac:dyDescent="0.25">
      <c r="C233" s="37"/>
      <c r="D233" s="35"/>
    </row>
    <row r="234" spans="3:4" x14ac:dyDescent="0.25">
      <c r="C234" s="37"/>
      <c r="D234" s="35"/>
    </row>
    <row r="235" spans="3:4" x14ac:dyDescent="0.25">
      <c r="C235" s="37"/>
      <c r="D235" s="35"/>
    </row>
    <row r="236" spans="3:4" x14ac:dyDescent="0.25">
      <c r="C236" s="37"/>
      <c r="D236" s="35"/>
    </row>
    <row r="237" spans="3:4" x14ac:dyDescent="0.25">
      <c r="C237" s="37"/>
      <c r="D237" s="35"/>
    </row>
    <row r="238" spans="3:4" x14ac:dyDescent="0.25">
      <c r="C238" s="37"/>
      <c r="D238" s="35"/>
    </row>
    <row r="239" spans="3:4" x14ac:dyDescent="0.25">
      <c r="C239" s="37"/>
      <c r="D239" s="35"/>
    </row>
    <row r="240" spans="3:4" x14ac:dyDescent="0.25">
      <c r="C240" s="37"/>
      <c r="D240" s="35"/>
    </row>
    <row r="241" spans="3:4" x14ac:dyDescent="0.25">
      <c r="C241" s="37"/>
      <c r="D241" s="35"/>
    </row>
    <row r="242" spans="3:4" x14ac:dyDescent="0.25">
      <c r="C242" s="37"/>
      <c r="D242" s="35"/>
    </row>
    <row r="243" spans="3:4" x14ac:dyDescent="0.25">
      <c r="C243" s="37"/>
      <c r="D243" s="35"/>
    </row>
    <row r="244" spans="3:4" x14ac:dyDescent="0.25">
      <c r="C244" s="37"/>
      <c r="D244" s="35"/>
    </row>
    <row r="245" spans="3:4" x14ac:dyDescent="0.25">
      <c r="C245" s="37"/>
      <c r="D245" s="35"/>
    </row>
    <row r="246" spans="3:4" x14ac:dyDescent="0.25">
      <c r="C246" s="37"/>
      <c r="D246" s="35"/>
    </row>
    <row r="247" spans="3:4" x14ac:dyDescent="0.25">
      <c r="C247" s="37"/>
      <c r="D247" s="35"/>
    </row>
    <row r="248" spans="3:4" x14ac:dyDescent="0.25">
      <c r="C248" s="37"/>
      <c r="D248" s="35"/>
    </row>
    <row r="249" spans="3:4" x14ac:dyDescent="0.25">
      <c r="C249" s="37"/>
      <c r="D249" s="35"/>
    </row>
    <row r="250" spans="3:4" x14ac:dyDescent="0.25">
      <c r="C250" s="37"/>
      <c r="D250" s="35"/>
    </row>
    <row r="251" spans="3:4" x14ac:dyDescent="0.25">
      <c r="C251" s="37"/>
      <c r="D251" s="35"/>
    </row>
    <row r="252" spans="3:4" x14ac:dyDescent="0.25">
      <c r="C252" s="37"/>
      <c r="D252" s="35"/>
    </row>
    <row r="253" spans="3:4" x14ac:dyDescent="0.25">
      <c r="C253" s="37"/>
      <c r="D253" s="35"/>
    </row>
    <row r="254" spans="3:4" x14ac:dyDescent="0.25">
      <c r="C254" s="37"/>
      <c r="D254" s="35"/>
    </row>
    <row r="255" spans="3:4" x14ac:dyDescent="0.25">
      <c r="C255" s="37"/>
      <c r="D255" s="35"/>
    </row>
    <row r="256" spans="3:4" x14ac:dyDescent="0.25">
      <c r="C256" s="37"/>
      <c r="D256" s="35"/>
    </row>
    <row r="257" spans="3:4" x14ac:dyDescent="0.25">
      <c r="C257" s="37"/>
      <c r="D257" s="35"/>
    </row>
    <row r="258" spans="3:4" x14ac:dyDescent="0.25">
      <c r="C258" s="37"/>
      <c r="D258" s="35"/>
    </row>
    <row r="259" spans="3:4" x14ac:dyDescent="0.25">
      <c r="C259" s="37"/>
      <c r="D259" s="35"/>
    </row>
    <row r="260" spans="3:4" x14ac:dyDescent="0.25">
      <c r="C260" s="37"/>
      <c r="D260" s="35"/>
    </row>
    <row r="261" spans="3:4" x14ac:dyDescent="0.25">
      <c r="C261" s="37"/>
      <c r="D261" s="35"/>
    </row>
    <row r="262" spans="3:4" x14ac:dyDescent="0.25">
      <c r="C262" s="37"/>
      <c r="D262" s="35"/>
    </row>
    <row r="263" spans="3:4" x14ac:dyDescent="0.25">
      <c r="C263" s="37"/>
      <c r="D263" s="35"/>
    </row>
    <row r="264" spans="3:4" x14ac:dyDescent="0.25">
      <c r="C264" s="37"/>
      <c r="D264" s="35"/>
    </row>
    <row r="265" spans="3:4" x14ac:dyDescent="0.25">
      <c r="C265" s="37"/>
      <c r="D265" s="35"/>
    </row>
    <row r="266" spans="3:4" x14ac:dyDescent="0.25">
      <c r="C266" s="37"/>
      <c r="D266" s="35"/>
    </row>
    <row r="267" spans="3:4" x14ac:dyDescent="0.25">
      <c r="C267" s="37"/>
      <c r="D267" s="35"/>
    </row>
    <row r="268" spans="3:4" x14ac:dyDescent="0.25">
      <c r="C268" s="37"/>
      <c r="D268" s="35"/>
    </row>
    <row r="269" spans="3:4" x14ac:dyDescent="0.25">
      <c r="C269" s="37"/>
      <c r="D269" s="35"/>
    </row>
    <row r="270" spans="3:4" x14ac:dyDescent="0.25">
      <c r="C270" s="37"/>
      <c r="D270" s="35"/>
    </row>
    <row r="271" spans="3:4" x14ac:dyDescent="0.25">
      <c r="C271" s="37"/>
      <c r="D271" s="35"/>
    </row>
    <row r="272" spans="3:4" x14ac:dyDescent="0.25">
      <c r="C272" s="37"/>
      <c r="D272" s="35"/>
    </row>
    <row r="273" spans="3:4" x14ac:dyDescent="0.25">
      <c r="C273" s="37"/>
      <c r="D273" s="35"/>
    </row>
    <row r="274" spans="3:4" x14ac:dyDescent="0.25">
      <c r="C274" s="37"/>
      <c r="D274" s="35"/>
    </row>
    <row r="275" spans="3:4" x14ac:dyDescent="0.25">
      <c r="C275" s="37"/>
      <c r="D275" s="35"/>
    </row>
    <row r="276" spans="3:4" x14ac:dyDescent="0.25">
      <c r="C276" s="37"/>
      <c r="D276" s="35"/>
    </row>
    <row r="277" spans="3:4" x14ac:dyDescent="0.25">
      <c r="C277" s="37"/>
      <c r="D277" s="35"/>
    </row>
    <row r="278" spans="3:4" x14ac:dyDescent="0.25">
      <c r="C278" s="37"/>
      <c r="D278" s="35"/>
    </row>
    <row r="279" spans="3:4" x14ac:dyDescent="0.25">
      <c r="C279" s="37"/>
      <c r="D279" s="35"/>
    </row>
    <row r="280" spans="3:4" x14ac:dyDescent="0.25">
      <c r="C280" s="37"/>
      <c r="D280" s="35"/>
    </row>
    <row r="281" spans="3:4" x14ac:dyDescent="0.25">
      <c r="C281" s="37"/>
      <c r="D281" s="35"/>
    </row>
    <row r="282" spans="3:4" x14ac:dyDescent="0.25">
      <c r="C282" s="37"/>
      <c r="D282" s="35"/>
    </row>
    <row r="283" spans="3:4" x14ac:dyDescent="0.25">
      <c r="C283" s="37"/>
      <c r="D283" s="35"/>
    </row>
    <row r="284" spans="3:4" x14ac:dyDescent="0.25">
      <c r="C284" s="37"/>
      <c r="D284" s="35"/>
    </row>
    <row r="285" spans="3:4" x14ac:dyDescent="0.25">
      <c r="C285" s="37"/>
      <c r="D285" s="35"/>
    </row>
    <row r="286" spans="3:4" x14ac:dyDescent="0.25">
      <c r="C286" s="37"/>
      <c r="D286" s="35"/>
    </row>
    <row r="287" spans="3:4" x14ac:dyDescent="0.25">
      <c r="C287" s="37"/>
      <c r="D287" s="35"/>
    </row>
    <row r="288" spans="3:4" x14ac:dyDescent="0.25">
      <c r="C288" s="37"/>
      <c r="D288" s="35"/>
    </row>
    <row r="289" spans="3:4" x14ac:dyDescent="0.25">
      <c r="C289" s="37"/>
      <c r="D289" s="35"/>
    </row>
    <row r="290" spans="3:4" x14ac:dyDescent="0.25">
      <c r="C290" s="37"/>
      <c r="D290" s="35"/>
    </row>
    <row r="291" spans="3:4" x14ac:dyDescent="0.25">
      <c r="C291" s="37"/>
      <c r="D291" s="35"/>
    </row>
    <row r="292" spans="3:4" x14ac:dyDescent="0.25">
      <c r="C292" s="37"/>
      <c r="D292" s="35"/>
    </row>
    <row r="293" spans="3:4" x14ac:dyDescent="0.25">
      <c r="C293" s="37"/>
      <c r="D293" s="35"/>
    </row>
    <row r="294" spans="3:4" x14ac:dyDescent="0.25">
      <c r="C294" s="37"/>
      <c r="D294" s="35"/>
    </row>
    <row r="295" spans="3:4" x14ac:dyDescent="0.25">
      <c r="C295" s="37"/>
      <c r="D295" s="35"/>
    </row>
    <row r="296" spans="3:4" x14ac:dyDescent="0.25">
      <c r="C296" s="37"/>
      <c r="D296" s="35"/>
    </row>
    <row r="297" spans="3:4" x14ac:dyDescent="0.25">
      <c r="C297" s="37"/>
      <c r="D297" s="35"/>
    </row>
    <row r="298" spans="3:4" x14ac:dyDescent="0.25">
      <c r="C298" s="37"/>
      <c r="D298" s="35"/>
    </row>
    <row r="299" spans="3:4" x14ac:dyDescent="0.25">
      <c r="C299" s="37"/>
      <c r="D299" s="35"/>
    </row>
    <row r="300" spans="3:4" x14ac:dyDescent="0.25">
      <c r="C300" s="37"/>
      <c r="D300" s="35"/>
    </row>
    <row r="301" spans="3:4" x14ac:dyDescent="0.25">
      <c r="C301" s="37"/>
      <c r="D301" s="35"/>
    </row>
    <row r="302" spans="3:4" x14ac:dyDescent="0.25">
      <c r="C302" s="37"/>
      <c r="D302" s="35"/>
    </row>
    <row r="303" spans="3:4" x14ac:dyDescent="0.25">
      <c r="C303" s="37"/>
      <c r="D303" s="35"/>
    </row>
    <row r="304" spans="3:4" x14ac:dyDescent="0.25">
      <c r="C304" s="37"/>
      <c r="D304" s="35"/>
    </row>
    <row r="305" spans="3:6" x14ac:dyDescent="0.25">
      <c r="C305" s="37"/>
      <c r="D305" s="35"/>
    </row>
    <row r="306" spans="3:6" x14ac:dyDescent="0.25">
      <c r="C306" s="37"/>
      <c r="D306" s="35"/>
    </row>
    <row r="307" spans="3:6" x14ac:dyDescent="0.25">
      <c r="C307" s="37"/>
      <c r="D307" s="35"/>
    </row>
    <row r="308" spans="3:6" x14ac:dyDescent="0.25">
      <c r="C308" s="37"/>
      <c r="D308" s="35"/>
    </row>
    <row r="309" spans="3:6" x14ac:dyDescent="0.25">
      <c r="C309" s="37"/>
      <c r="D309" s="35"/>
    </row>
    <row r="310" spans="3:6" x14ac:dyDescent="0.25">
      <c r="C310" s="37"/>
      <c r="D310" s="35"/>
    </row>
    <row r="311" spans="3:6" x14ac:dyDescent="0.25">
      <c r="C311" s="37"/>
      <c r="D311" s="35"/>
      <c r="F311" s="36"/>
    </row>
    <row r="312" spans="3:6" x14ac:dyDescent="0.25">
      <c r="C312" s="37"/>
      <c r="D312" s="35"/>
    </row>
    <row r="313" spans="3:6" x14ac:dyDescent="0.25">
      <c r="C313" s="37"/>
      <c r="D313" s="35"/>
    </row>
    <row r="314" spans="3:6" x14ac:dyDescent="0.25">
      <c r="C314" s="37"/>
      <c r="D314" s="35"/>
    </row>
    <row r="315" spans="3:6" x14ac:dyDescent="0.25">
      <c r="C315" s="37"/>
      <c r="D315" s="35"/>
    </row>
    <row r="316" spans="3:6" x14ac:dyDescent="0.25">
      <c r="C316" s="37"/>
      <c r="D316" s="35"/>
    </row>
    <row r="317" spans="3:6" x14ac:dyDescent="0.25">
      <c r="C317" s="37"/>
      <c r="D317" s="35"/>
    </row>
    <row r="318" spans="3:6" x14ac:dyDescent="0.25">
      <c r="C318" s="37"/>
      <c r="D318" s="35"/>
    </row>
    <row r="319" spans="3:6" x14ac:dyDescent="0.25">
      <c r="C319" s="37"/>
      <c r="D319" s="35"/>
    </row>
    <row r="320" spans="3:6" x14ac:dyDescent="0.25">
      <c r="C320" s="37"/>
      <c r="D320" s="35"/>
    </row>
    <row r="321" spans="3:4" x14ac:dyDescent="0.25">
      <c r="C321" s="37"/>
      <c r="D321" s="35"/>
    </row>
    <row r="322" spans="3:4" x14ac:dyDescent="0.25">
      <c r="C322" s="37"/>
      <c r="D322" s="35"/>
    </row>
    <row r="323" spans="3:4" x14ac:dyDescent="0.25">
      <c r="C323" s="37"/>
      <c r="D323" s="35"/>
    </row>
    <row r="324" spans="3:4" x14ac:dyDescent="0.25">
      <c r="C324" s="37"/>
      <c r="D324" s="35"/>
    </row>
    <row r="325" spans="3:4" x14ac:dyDescent="0.25">
      <c r="C325" s="37"/>
      <c r="D325" s="35"/>
    </row>
    <row r="326" spans="3:4" x14ac:dyDescent="0.25">
      <c r="C326" s="37"/>
      <c r="D326" s="35"/>
    </row>
    <row r="327" spans="3:4" x14ac:dyDescent="0.25">
      <c r="C327" s="37"/>
      <c r="D327" s="35"/>
    </row>
    <row r="328" spans="3:4" x14ac:dyDescent="0.25">
      <c r="C328" s="37"/>
      <c r="D328" s="35"/>
    </row>
    <row r="329" spans="3:4" x14ac:dyDescent="0.25">
      <c r="C329" s="37"/>
      <c r="D329" s="35"/>
    </row>
    <row r="330" spans="3:4" x14ac:dyDescent="0.25">
      <c r="C330" s="37"/>
      <c r="D330" s="35"/>
    </row>
    <row r="331" spans="3:4" x14ac:dyDescent="0.25">
      <c r="C331" s="37"/>
      <c r="D331" s="35"/>
    </row>
    <row r="332" spans="3:4" x14ac:dyDescent="0.25">
      <c r="C332" s="37"/>
      <c r="D332" s="35"/>
    </row>
    <row r="333" spans="3:4" x14ac:dyDescent="0.25">
      <c r="C333" s="37"/>
      <c r="D333" s="35"/>
    </row>
    <row r="334" spans="3:4" x14ac:dyDescent="0.25">
      <c r="C334" s="37"/>
      <c r="D334" s="35"/>
    </row>
    <row r="335" spans="3:4" x14ac:dyDescent="0.25">
      <c r="C335" s="37"/>
      <c r="D335" s="35"/>
    </row>
    <row r="336" spans="3:4" x14ac:dyDescent="0.25">
      <c r="C336" s="37"/>
      <c r="D336" s="35"/>
    </row>
    <row r="337" spans="3:4" x14ac:dyDescent="0.25">
      <c r="C337" s="37"/>
      <c r="D337" s="35"/>
    </row>
    <row r="338" spans="3:4" x14ac:dyDescent="0.25">
      <c r="C338" s="37"/>
      <c r="D338" s="35"/>
    </row>
    <row r="339" spans="3:4" x14ac:dyDescent="0.25">
      <c r="C339" s="37"/>
      <c r="D339" s="35"/>
    </row>
    <row r="340" spans="3:4" x14ac:dyDescent="0.25">
      <c r="C340" s="37"/>
      <c r="D340" s="35"/>
    </row>
    <row r="341" spans="3:4" x14ac:dyDescent="0.25">
      <c r="C341" s="37"/>
      <c r="D341" s="35"/>
    </row>
    <row r="342" spans="3:4" x14ac:dyDescent="0.25">
      <c r="C342" s="37"/>
      <c r="D342" s="35"/>
    </row>
    <row r="343" spans="3:4" x14ac:dyDescent="0.25">
      <c r="C343" s="37"/>
      <c r="D343" s="35"/>
    </row>
    <row r="344" spans="3:4" x14ac:dyDescent="0.25">
      <c r="C344" s="37"/>
      <c r="D344" s="35"/>
    </row>
    <row r="345" spans="3:4" x14ac:dyDescent="0.25">
      <c r="C345" s="37"/>
      <c r="D345" s="35"/>
    </row>
    <row r="346" spans="3:4" x14ac:dyDescent="0.25">
      <c r="C346" s="37"/>
      <c r="D346" s="35"/>
    </row>
    <row r="347" spans="3:4" x14ac:dyDescent="0.25">
      <c r="C347" s="37"/>
      <c r="D347" s="35"/>
    </row>
    <row r="348" spans="3:4" x14ac:dyDescent="0.25">
      <c r="C348" s="37"/>
      <c r="D348" s="35"/>
    </row>
    <row r="349" spans="3:4" x14ac:dyDescent="0.25">
      <c r="C349" s="37"/>
      <c r="D349" s="35"/>
    </row>
    <row r="350" spans="3:4" x14ac:dyDescent="0.25">
      <c r="C350" s="37"/>
      <c r="D350" s="35"/>
    </row>
    <row r="351" spans="3:4" x14ac:dyDescent="0.25">
      <c r="C351" s="37"/>
      <c r="D351" s="35"/>
    </row>
    <row r="352" spans="3:4" x14ac:dyDescent="0.25">
      <c r="C352" s="37"/>
      <c r="D352" s="35"/>
    </row>
    <row r="353" spans="3:4" x14ac:dyDescent="0.25">
      <c r="C353" s="37"/>
      <c r="D353" s="35"/>
    </row>
    <row r="354" spans="3:4" x14ac:dyDescent="0.25">
      <c r="C354" s="37"/>
      <c r="D354" s="35"/>
    </row>
    <row r="355" spans="3:4" x14ac:dyDescent="0.25">
      <c r="C355" s="37"/>
      <c r="D355" s="35"/>
    </row>
    <row r="356" spans="3:4" x14ac:dyDescent="0.25">
      <c r="C356" s="37"/>
      <c r="D356" s="35"/>
    </row>
    <row r="357" spans="3:4" x14ac:dyDescent="0.25">
      <c r="C357" s="37"/>
      <c r="D357" s="35"/>
    </row>
    <row r="358" spans="3:4" x14ac:dyDescent="0.25">
      <c r="C358" s="37"/>
      <c r="D358" s="35"/>
    </row>
    <row r="359" spans="3:4" x14ac:dyDescent="0.25">
      <c r="C359" s="37"/>
      <c r="D359" s="35"/>
    </row>
    <row r="360" spans="3:4" x14ac:dyDescent="0.25">
      <c r="C360" s="37"/>
      <c r="D360" s="35"/>
    </row>
    <row r="361" spans="3:4" x14ac:dyDescent="0.25">
      <c r="C361" s="37"/>
      <c r="D361" s="35"/>
    </row>
    <row r="362" spans="3:4" x14ac:dyDescent="0.25">
      <c r="C362" s="37"/>
      <c r="D362" s="35"/>
    </row>
    <row r="363" spans="3:4" x14ac:dyDescent="0.25">
      <c r="C363" s="37"/>
      <c r="D363" s="35"/>
    </row>
    <row r="364" spans="3:4" x14ac:dyDescent="0.25">
      <c r="C364" s="37"/>
      <c r="D364" s="35"/>
    </row>
    <row r="365" spans="3:4" x14ac:dyDescent="0.25">
      <c r="C365" s="37"/>
      <c r="D365" s="35"/>
    </row>
    <row r="366" spans="3:4" x14ac:dyDescent="0.25">
      <c r="C366" s="37"/>
      <c r="D366" s="35"/>
    </row>
    <row r="367" spans="3:4" x14ac:dyDescent="0.25">
      <c r="C367" s="37"/>
      <c r="D367" s="35"/>
    </row>
    <row r="368" spans="3:4" x14ac:dyDescent="0.25">
      <c r="C368" s="37"/>
      <c r="D368" s="35"/>
    </row>
    <row r="369" spans="3:4" x14ac:dyDescent="0.25">
      <c r="C369" s="37"/>
      <c r="D369" s="35"/>
    </row>
    <row r="370" spans="3:4" x14ac:dyDescent="0.25">
      <c r="C370" s="37"/>
      <c r="D370" s="35"/>
    </row>
    <row r="371" spans="3:4" x14ac:dyDescent="0.25">
      <c r="C371" s="37"/>
      <c r="D371" s="35"/>
    </row>
    <row r="372" spans="3:4" x14ac:dyDescent="0.25">
      <c r="C372" s="37"/>
      <c r="D372" s="35"/>
    </row>
    <row r="373" spans="3:4" x14ac:dyDescent="0.25">
      <c r="C373" s="37"/>
      <c r="D373" s="35"/>
    </row>
    <row r="374" spans="3:4" x14ac:dyDescent="0.25">
      <c r="C374" s="37"/>
      <c r="D374" s="35"/>
    </row>
    <row r="375" spans="3:4" x14ac:dyDescent="0.25">
      <c r="C375" s="37"/>
      <c r="D375" s="35"/>
    </row>
    <row r="376" spans="3:4" x14ac:dyDescent="0.25">
      <c r="C376" s="37"/>
      <c r="D376" s="35"/>
    </row>
    <row r="377" spans="3:4" x14ac:dyDescent="0.25">
      <c r="C377" s="37"/>
      <c r="D377" s="35"/>
    </row>
    <row r="378" spans="3:4" x14ac:dyDescent="0.25">
      <c r="C378" s="37"/>
      <c r="D378" s="35"/>
    </row>
    <row r="379" spans="3:4" x14ac:dyDescent="0.25">
      <c r="C379" s="37"/>
      <c r="D379" s="35"/>
    </row>
    <row r="380" spans="3:4" x14ac:dyDescent="0.25">
      <c r="C380" s="37"/>
      <c r="D380" s="35"/>
    </row>
    <row r="381" spans="3:4" x14ac:dyDescent="0.25">
      <c r="C381" s="37"/>
      <c r="D381" s="35"/>
    </row>
    <row r="382" spans="3:4" x14ac:dyDescent="0.25">
      <c r="C382" s="37"/>
      <c r="D382" s="35"/>
    </row>
    <row r="383" spans="3:4" x14ac:dyDescent="0.25">
      <c r="C383" s="37"/>
      <c r="D383" s="35"/>
    </row>
    <row r="384" spans="3:4" x14ac:dyDescent="0.25">
      <c r="C384" s="37"/>
      <c r="D384" s="35"/>
    </row>
    <row r="385" spans="3:4" x14ac:dyDescent="0.25">
      <c r="C385" s="37"/>
      <c r="D385" s="35"/>
    </row>
    <row r="386" spans="3:4" x14ac:dyDescent="0.25">
      <c r="C386" s="37"/>
      <c r="D386" s="35"/>
    </row>
    <row r="387" spans="3:4" x14ac:dyDescent="0.25">
      <c r="C387" s="37"/>
      <c r="D387" s="35"/>
    </row>
    <row r="388" spans="3:4" x14ac:dyDescent="0.25">
      <c r="C388" s="37"/>
      <c r="D388" s="35"/>
    </row>
    <row r="389" spans="3:4" x14ac:dyDescent="0.25">
      <c r="C389" s="37"/>
      <c r="D389" s="35"/>
    </row>
    <row r="390" spans="3:4" x14ac:dyDescent="0.25">
      <c r="C390" s="37"/>
      <c r="D390" s="35"/>
    </row>
    <row r="391" spans="3:4" x14ac:dyDescent="0.25">
      <c r="C391" s="37"/>
      <c r="D391" s="35"/>
    </row>
    <row r="392" spans="3:4" x14ac:dyDescent="0.25">
      <c r="C392" s="37"/>
      <c r="D392" s="35"/>
    </row>
    <row r="393" spans="3:4" x14ac:dyDescent="0.25">
      <c r="C393" s="37"/>
      <c r="D393" s="35"/>
    </row>
    <row r="394" spans="3:4" x14ac:dyDescent="0.25">
      <c r="C394" s="37"/>
      <c r="D394" s="35"/>
    </row>
    <row r="395" spans="3:4" x14ac:dyDescent="0.25">
      <c r="C395" s="37"/>
      <c r="D395" s="35"/>
    </row>
    <row r="396" spans="3:4" x14ac:dyDescent="0.25">
      <c r="C396" s="37"/>
      <c r="D396" s="35"/>
    </row>
    <row r="397" spans="3:4" x14ac:dyDescent="0.25">
      <c r="C397" s="37"/>
      <c r="D397" s="35"/>
    </row>
    <row r="398" spans="3:4" x14ac:dyDescent="0.25">
      <c r="C398" s="37"/>
      <c r="D398" s="35"/>
    </row>
    <row r="399" spans="3:4" x14ac:dyDescent="0.25">
      <c r="C399" s="37"/>
      <c r="D399" s="35"/>
    </row>
    <row r="400" spans="3:4" x14ac:dyDescent="0.25">
      <c r="C400" s="37"/>
      <c r="D400" s="35"/>
    </row>
    <row r="401" spans="3:4" x14ac:dyDescent="0.25">
      <c r="C401" s="37"/>
      <c r="D401" s="35"/>
    </row>
    <row r="402" spans="3:4" x14ac:dyDescent="0.25">
      <c r="C402" s="37"/>
      <c r="D402" s="35"/>
    </row>
    <row r="403" spans="3:4" x14ac:dyDescent="0.25">
      <c r="C403" s="37"/>
      <c r="D403" s="35"/>
    </row>
    <row r="404" spans="3:4" x14ac:dyDescent="0.25">
      <c r="C404" s="37"/>
      <c r="D404" s="35"/>
    </row>
    <row r="405" spans="3:4" x14ac:dyDescent="0.25">
      <c r="C405" s="37"/>
      <c r="D405" s="35"/>
    </row>
    <row r="406" spans="3:4" x14ac:dyDescent="0.25">
      <c r="C406" s="37"/>
      <c r="D406" s="35"/>
    </row>
    <row r="407" spans="3:4" x14ac:dyDescent="0.25">
      <c r="C407" s="37"/>
      <c r="D407" s="35"/>
    </row>
    <row r="408" spans="3:4" x14ac:dyDescent="0.25">
      <c r="C408" s="37"/>
      <c r="D408" s="35"/>
    </row>
    <row r="409" spans="3:4" x14ac:dyDescent="0.25">
      <c r="C409" s="37"/>
      <c r="D409" s="35"/>
    </row>
    <row r="410" spans="3:4" x14ac:dyDescent="0.25">
      <c r="C410" s="37"/>
      <c r="D410" s="35"/>
    </row>
    <row r="411" spans="3:4" x14ac:dyDescent="0.25">
      <c r="C411" s="37"/>
      <c r="D411" s="35"/>
    </row>
    <row r="412" spans="3:4" x14ac:dyDescent="0.25">
      <c r="C412" s="37"/>
      <c r="D412" s="35"/>
    </row>
    <row r="413" spans="3:4" x14ac:dyDescent="0.25">
      <c r="C413" s="37"/>
      <c r="D413" s="35"/>
    </row>
    <row r="414" spans="3:4" x14ac:dyDescent="0.25">
      <c r="C414" s="37"/>
      <c r="D414" s="35"/>
    </row>
    <row r="415" spans="3:4" x14ac:dyDescent="0.25">
      <c r="C415" s="37"/>
      <c r="D415" s="35"/>
    </row>
    <row r="416" spans="3:4" x14ac:dyDescent="0.25">
      <c r="C416" s="37"/>
      <c r="D416" s="35"/>
    </row>
    <row r="417" spans="3:4" x14ac:dyDescent="0.25">
      <c r="C417" s="37"/>
      <c r="D417" s="35"/>
    </row>
    <row r="418" spans="3:4" x14ac:dyDescent="0.25">
      <c r="C418" s="37"/>
      <c r="D418" s="35"/>
    </row>
    <row r="419" spans="3:4" x14ac:dyDescent="0.25">
      <c r="C419" s="37"/>
      <c r="D419" s="35"/>
    </row>
    <row r="420" spans="3:4" x14ac:dyDescent="0.25">
      <c r="C420" s="37"/>
      <c r="D420" s="35"/>
    </row>
    <row r="421" spans="3:4" x14ac:dyDescent="0.25">
      <c r="C421" s="37"/>
      <c r="D421" s="35"/>
    </row>
    <row r="422" spans="3:4" x14ac:dyDescent="0.25">
      <c r="C422" s="37"/>
      <c r="D422" s="35"/>
    </row>
    <row r="423" spans="3:4" x14ac:dyDescent="0.25">
      <c r="C423" s="37"/>
      <c r="D423" s="35"/>
    </row>
    <row r="424" spans="3:4" x14ac:dyDescent="0.25">
      <c r="C424" s="37"/>
      <c r="D424" s="35"/>
    </row>
    <row r="425" spans="3:4" x14ac:dyDescent="0.25">
      <c r="C425" s="37"/>
      <c r="D425" s="35"/>
    </row>
    <row r="426" spans="3:4" x14ac:dyDescent="0.25">
      <c r="C426" s="37"/>
      <c r="D426" s="35"/>
    </row>
    <row r="427" spans="3:4" x14ac:dyDescent="0.25">
      <c r="C427" s="37"/>
      <c r="D427" s="35"/>
    </row>
    <row r="428" spans="3:4" x14ac:dyDescent="0.25">
      <c r="C428" s="37"/>
      <c r="D428" s="35"/>
    </row>
    <row r="429" spans="3:4" x14ac:dyDescent="0.25">
      <c r="C429" s="37"/>
      <c r="D429" s="35"/>
    </row>
    <row r="430" spans="3:4" x14ac:dyDescent="0.25">
      <c r="C430" s="37"/>
      <c r="D430" s="35"/>
    </row>
    <row r="431" spans="3:4" x14ac:dyDescent="0.25">
      <c r="C431" s="37"/>
      <c r="D431" s="35"/>
    </row>
    <row r="432" spans="3:4" x14ac:dyDescent="0.25">
      <c r="C432" s="37"/>
      <c r="D432" s="35"/>
    </row>
    <row r="433" spans="3:4" x14ac:dyDescent="0.25">
      <c r="C433" s="37"/>
      <c r="D433" s="35"/>
    </row>
    <row r="434" spans="3:4" x14ac:dyDescent="0.25">
      <c r="C434" s="37"/>
      <c r="D434" s="35"/>
    </row>
    <row r="435" spans="3:4" x14ac:dyDescent="0.25">
      <c r="C435" s="37"/>
      <c r="D435" s="35"/>
    </row>
    <row r="436" spans="3:4" x14ac:dyDescent="0.25">
      <c r="C436" s="37"/>
      <c r="D436" s="35"/>
    </row>
    <row r="437" spans="3:4" x14ac:dyDescent="0.25">
      <c r="C437" s="37"/>
      <c r="D437" s="35"/>
    </row>
    <row r="438" spans="3:4" x14ac:dyDescent="0.25">
      <c r="C438" s="37"/>
      <c r="D438" s="35"/>
    </row>
    <row r="439" spans="3:4" x14ac:dyDescent="0.25">
      <c r="C439" s="37"/>
      <c r="D439" s="35"/>
    </row>
    <row r="440" spans="3:4" x14ac:dyDescent="0.25">
      <c r="C440" s="37"/>
      <c r="D440" s="35"/>
    </row>
    <row r="441" spans="3:4" x14ac:dyDescent="0.25">
      <c r="C441" s="37"/>
      <c r="D441" s="35"/>
    </row>
    <row r="442" spans="3:4" x14ac:dyDescent="0.25">
      <c r="C442" s="37"/>
      <c r="D442" s="35"/>
    </row>
    <row r="443" spans="3:4" x14ac:dyDescent="0.25">
      <c r="C443" s="37"/>
      <c r="D443" s="35"/>
    </row>
    <row r="444" spans="3:4" x14ac:dyDescent="0.25">
      <c r="C444" s="37"/>
      <c r="D444" s="35"/>
    </row>
    <row r="445" spans="3:4" x14ac:dyDescent="0.25">
      <c r="C445" s="37"/>
      <c r="D445" s="35"/>
    </row>
    <row r="446" spans="3:4" x14ac:dyDescent="0.25">
      <c r="C446" s="37"/>
      <c r="D446" s="35"/>
    </row>
    <row r="447" spans="3:4" x14ac:dyDescent="0.25">
      <c r="C447" s="37"/>
      <c r="D447" s="35"/>
    </row>
    <row r="448" spans="3:4" x14ac:dyDescent="0.25">
      <c r="C448" s="37"/>
      <c r="D448" s="35"/>
    </row>
    <row r="449" spans="3:4" x14ac:dyDescent="0.25">
      <c r="C449" s="37"/>
      <c r="D449" s="35"/>
    </row>
    <row r="450" spans="3:4" x14ac:dyDescent="0.25">
      <c r="C450" s="37"/>
      <c r="D450" s="35"/>
    </row>
    <row r="451" spans="3:4" x14ac:dyDescent="0.25">
      <c r="C451" s="37"/>
      <c r="D451" s="35"/>
    </row>
    <row r="452" spans="3:4" x14ac:dyDescent="0.25">
      <c r="C452" s="37"/>
      <c r="D452" s="35"/>
    </row>
    <row r="453" spans="3:4" x14ac:dyDescent="0.25">
      <c r="C453" s="37"/>
      <c r="D453" s="35"/>
    </row>
    <row r="454" spans="3:4" x14ac:dyDescent="0.25">
      <c r="C454" s="37"/>
      <c r="D454" s="35"/>
    </row>
    <row r="455" spans="3:4" x14ac:dyDescent="0.25">
      <c r="C455" s="37"/>
      <c r="D455" s="35"/>
    </row>
    <row r="456" spans="3:4" x14ac:dyDescent="0.25">
      <c r="C456" s="37"/>
      <c r="D456" s="35"/>
    </row>
    <row r="457" spans="3:4" x14ac:dyDescent="0.25">
      <c r="C457" s="37"/>
      <c r="D457" s="35"/>
    </row>
    <row r="458" spans="3:4" x14ac:dyDescent="0.25">
      <c r="C458" s="37"/>
      <c r="D458" s="35"/>
    </row>
    <row r="459" spans="3:4" x14ac:dyDescent="0.25">
      <c r="C459" s="37"/>
      <c r="D459" s="35"/>
    </row>
    <row r="460" spans="3:4" x14ac:dyDescent="0.25">
      <c r="C460" s="37"/>
      <c r="D460" s="35"/>
    </row>
    <row r="461" spans="3:4" x14ac:dyDescent="0.25">
      <c r="C461" s="37"/>
      <c r="D461" s="35"/>
    </row>
    <row r="462" spans="3:4" x14ac:dyDescent="0.25">
      <c r="C462" s="37"/>
      <c r="D462" s="35"/>
    </row>
    <row r="463" spans="3:4" x14ac:dyDescent="0.25">
      <c r="C463" s="37"/>
      <c r="D463" s="35"/>
    </row>
    <row r="464" spans="3:4" x14ac:dyDescent="0.25">
      <c r="C464" s="37"/>
      <c r="D464" s="35"/>
    </row>
    <row r="465" spans="3:4" x14ac:dyDescent="0.25">
      <c r="C465" s="37"/>
      <c r="D465" s="35"/>
    </row>
    <row r="466" spans="3:4" x14ac:dyDescent="0.25">
      <c r="C466" s="37"/>
      <c r="D466" s="35"/>
    </row>
    <row r="467" spans="3:4" x14ac:dyDescent="0.25">
      <c r="C467" s="37"/>
      <c r="D467" s="35"/>
    </row>
    <row r="468" spans="3:4" x14ac:dyDescent="0.25">
      <c r="C468" s="37"/>
      <c r="D468" s="35"/>
    </row>
    <row r="469" spans="3:4" x14ac:dyDescent="0.25">
      <c r="C469" s="37"/>
      <c r="D469" s="35"/>
    </row>
    <row r="470" spans="3:4" x14ac:dyDescent="0.25">
      <c r="C470" s="37"/>
      <c r="D470" s="35"/>
    </row>
    <row r="471" spans="3:4" x14ac:dyDescent="0.25">
      <c r="C471" s="37"/>
      <c r="D471" s="35"/>
    </row>
    <row r="472" spans="3:4" x14ac:dyDescent="0.25">
      <c r="C472" s="37"/>
      <c r="D472" s="35"/>
    </row>
    <row r="473" spans="3:4" x14ac:dyDescent="0.25">
      <c r="C473" s="37"/>
      <c r="D473" s="35"/>
    </row>
    <row r="474" spans="3:4" x14ac:dyDescent="0.25">
      <c r="C474" s="37"/>
      <c r="D474" s="35"/>
    </row>
    <row r="475" spans="3:4" x14ac:dyDescent="0.25">
      <c r="C475" s="37"/>
      <c r="D475" s="35"/>
    </row>
    <row r="476" spans="3:4" x14ac:dyDescent="0.25">
      <c r="C476" s="37"/>
      <c r="D476" s="35"/>
    </row>
    <row r="477" spans="3:4" x14ac:dyDescent="0.25">
      <c r="C477" s="37"/>
      <c r="D477" s="35"/>
    </row>
    <row r="478" spans="3:4" x14ac:dyDescent="0.25">
      <c r="C478" s="37"/>
      <c r="D478" s="35"/>
    </row>
    <row r="479" spans="3:4" x14ac:dyDescent="0.25">
      <c r="C479" s="37"/>
      <c r="D479" s="35"/>
    </row>
    <row r="480" spans="3:4" x14ac:dyDescent="0.25">
      <c r="C480" s="37"/>
      <c r="D480" s="35"/>
    </row>
    <row r="481" spans="3:4" x14ac:dyDescent="0.25">
      <c r="C481" s="37"/>
      <c r="D481" s="35"/>
    </row>
    <row r="482" spans="3:4" x14ac:dyDescent="0.25">
      <c r="C482" s="37"/>
      <c r="D482" s="35"/>
    </row>
    <row r="483" spans="3:4" x14ac:dyDescent="0.25">
      <c r="C483" s="37"/>
      <c r="D483" s="35"/>
    </row>
    <row r="484" spans="3:4" x14ac:dyDescent="0.25">
      <c r="C484" s="37"/>
      <c r="D484" s="35"/>
    </row>
    <row r="485" spans="3:4" x14ac:dyDescent="0.25">
      <c r="C485" s="37"/>
      <c r="D485" s="35"/>
    </row>
    <row r="486" spans="3:4" x14ac:dyDescent="0.25">
      <c r="C486" s="37"/>
      <c r="D486" s="35"/>
    </row>
    <row r="487" spans="3:4" x14ac:dyDescent="0.25">
      <c r="C487" s="37"/>
      <c r="D487" s="35"/>
    </row>
    <row r="488" spans="3:4" x14ac:dyDescent="0.25">
      <c r="C488" s="37"/>
      <c r="D488" s="35"/>
    </row>
    <row r="489" spans="3:4" x14ac:dyDescent="0.25">
      <c r="C489" s="37"/>
      <c r="D489" s="35"/>
    </row>
    <row r="490" spans="3:4" x14ac:dyDescent="0.25">
      <c r="C490" s="37"/>
      <c r="D490" s="35"/>
    </row>
    <row r="491" spans="3:4" x14ac:dyDescent="0.25">
      <c r="C491" s="37"/>
      <c r="D491" s="35"/>
    </row>
    <row r="492" spans="3:4" x14ac:dyDescent="0.25">
      <c r="C492" s="37"/>
      <c r="D492" s="35"/>
    </row>
    <row r="493" spans="3:4" x14ac:dyDescent="0.25">
      <c r="C493" s="37"/>
      <c r="D493" s="35"/>
    </row>
    <row r="494" spans="3:4" x14ac:dyDescent="0.25">
      <c r="C494" s="37"/>
      <c r="D494" s="35"/>
    </row>
    <row r="495" spans="3:4" x14ac:dyDescent="0.25">
      <c r="C495" s="37"/>
      <c r="D495" s="35"/>
    </row>
    <row r="496" spans="3:4" x14ac:dyDescent="0.25">
      <c r="C496" s="37"/>
      <c r="D496" s="35"/>
    </row>
    <row r="497" spans="3:4" x14ac:dyDescent="0.25">
      <c r="C497" s="37"/>
      <c r="D497" s="35"/>
    </row>
    <row r="498" spans="3:4" x14ac:dyDescent="0.25">
      <c r="C498" s="37"/>
      <c r="D498" s="35"/>
    </row>
    <row r="499" spans="3:4" x14ac:dyDescent="0.25">
      <c r="C499" s="37"/>
      <c r="D499" s="35"/>
    </row>
    <row r="500" spans="3:4" x14ac:dyDescent="0.25">
      <c r="C500" s="37"/>
      <c r="D500" s="35"/>
    </row>
    <row r="501" spans="3:4" x14ac:dyDescent="0.25">
      <c r="C501" s="37"/>
      <c r="D501" s="35"/>
    </row>
    <row r="502" spans="3:4" x14ac:dyDescent="0.25">
      <c r="C502" s="37"/>
      <c r="D502" s="35"/>
    </row>
    <row r="503" spans="3:4" x14ac:dyDescent="0.25">
      <c r="C503" s="37"/>
      <c r="D503" s="35"/>
    </row>
    <row r="504" spans="3:4" x14ac:dyDescent="0.25">
      <c r="C504" s="37"/>
      <c r="D504" s="35"/>
    </row>
    <row r="505" spans="3:4" x14ac:dyDescent="0.25">
      <c r="C505" s="37"/>
      <c r="D505" s="35"/>
    </row>
    <row r="506" spans="3:4" x14ac:dyDescent="0.25">
      <c r="C506" s="37"/>
      <c r="D506" s="35"/>
    </row>
    <row r="507" spans="3:4" x14ac:dyDescent="0.25">
      <c r="C507" s="37"/>
      <c r="D507" s="35"/>
    </row>
    <row r="508" spans="3:4" x14ac:dyDescent="0.25">
      <c r="C508" s="37"/>
      <c r="D508" s="35"/>
    </row>
    <row r="509" spans="3:4" x14ac:dyDescent="0.25">
      <c r="C509" s="37"/>
      <c r="D509" s="35"/>
    </row>
    <row r="510" spans="3:4" x14ac:dyDescent="0.25">
      <c r="C510" s="37"/>
      <c r="D510" s="35"/>
    </row>
    <row r="511" spans="3:4" x14ac:dyDescent="0.25">
      <c r="C511" s="37"/>
      <c r="D511" s="35"/>
    </row>
    <row r="512" spans="3:4" x14ac:dyDescent="0.25">
      <c r="C512" s="37"/>
      <c r="D512" s="35"/>
    </row>
    <row r="513" spans="3:4" x14ac:dyDescent="0.25">
      <c r="C513" s="37"/>
      <c r="D513" s="35"/>
    </row>
    <row r="514" spans="3:4" x14ac:dyDescent="0.25">
      <c r="C514" s="37"/>
      <c r="D514" s="35"/>
    </row>
    <row r="515" spans="3:4" x14ac:dyDescent="0.25">
      <c r="C515" s="37"/>
      <c r="D515" s="35"/>
    </row>
    <row r="516" spans="3:4" x14ac:dyDescent="0.25">
      <c r="C516" s="37"/>
      <c r="D516" s="35"/>
    </row>
    <row r="517" spans="3:4" x14ac:dyDescent="0.25">
      <c r="C517" s="37"/>
      <c r="D517" s="35"/>
    </row>
    <row r="518" spans="3:4" x14ac:dyDescent="0.25">
      <c r="C518" s="37"/>
      <c r="D518" s="35"/>
    </row>
    <row r="519" spans="3:4" x14ac:dyDescent="0.25">
      <c r="C519" s="37"/>
      <c r="D519" s="35"/>
    </row>
    <row r="520" spans="3:4" x14ac:dyDescent="0.25">
      <c r="C520" s="37"/>
      <c r="D520" s="35"/>
    </row>
    <row r="521" spans="3:4" x14ac:dyDescent="0.25">
      <c r="C521" s="37"/>
      <c r="D521" s="35"/>
    </row>
    <row r="522" spans="3:4" x14ac:dyDescent="0.25">
      <c r="C522" s="37"/>
      <c r="D522" s="35"/>
    </row>
    <row r="523" spans="3:4" x14ac:dyDescent="0.25">
      <c r="C523" s="37"/>
      <c r="D523" s="35"/>
    </row>
    <row r="524" spans="3:4" x14ac:dyDescent="0.25">
      <c r="C524" s="37"/>
      <c r="D524" s="35"/>
    </row>
    <row r="525" spans="3:4" x14ac:dyDescent="0.25">
      <c r="C525" s="37"/>
      <c r="D525" s="35"/>
    </row>
    <row r="526" spans="3:4" x14ac:dyDescent="0.25">
      <c r="C526" s="37"/>
      <c r="D526" s="35"/>
    </row>
    <row r="527" spans="3:4" x14ac:dyDescent="0.25">
      <c r="C527" s="37"/>
      <c r="D527" s="35"/>
    </row>
    <row r="528" spans="3:4" x14ac:dyDescent="0.25">
      <c r="C528" s="37"/>
      <c r="D528" s="35"/>
    </row>
    <row r="529" spans="3:4" x14ac:dyDescent="0.25">
      <c r="C529" s="37"/>
      <c r="D529" s="35"/>
    </row>
    <row r="530" spans="3:4" x14ac:dyDescent="0.25">
      <c r="C530" s="37"/>
      <c r="D530" s="35"/>
    </row>
    <row r="531" spans="3:4" x14ac:dyDescent="0.25">
      <c r="C531" s="37"/>
      <c r="D531" s="35"/>
    </row>
    <row r="532" spans="3:4" x14ac:dyDescent="0.25">
      <c r="C532" s="37"/>
      <c r="D532" s="35"/>
    </row>
    <row r="533" spans="3:4" x14ac:dyDescent="0.25">
      <c r="C533" s="37"/>
      <c r="D533" s="35"/>
    </row>
    <row r="534" spans="3:4" x14ac:dyDescent="0.25">
      <c r="C534" s="37"/>
      <c r="D534" s="35"/>
    </row>
    <row r="535" spans="3:4" x14ac:dyDescent="0.25">
      <c r="C535" s="37"/>
      <c r="D535" s="35"/>
    </row>
    <row r="536" spans="3:4" x14ac:dyDescent="0.25">
      <c r="C536" s="37"/>
      <c r="D536" s="35"/>
    </row>
    <row r="537" spans="3:4" x14ac:dyDescent="0.25">
      <c r="C537" s="37"/>
      <c r="D537" s="35"/>
    </row>
    <row r="538" spans="3:4" x14ac:dyDescent="0.25">
      <c r="C538" s="37"/>
      <c r="D538" s="35"/>
    </row>
    <row r="539" spans="3:4" x14ac:dyDescent="0.25">
      <c r="C539" s="37"/>
      <c r="D539" s="35"/>
    </row>
    <row r="540" spans="3:4" x14ac:dyDescent="0.25">
      <c r="C540" s="37"/>
      <c r="D540" s="35"/>
    </row>
    <row r="541" spans="3:4" x14ac:dyDescent="0.25">
      <c r="C541" s="37"/>
      <c r="D541" s="35"/>
    </row>
    <row r="542" spans="3:4" x14ac:dyDescent="0.25">
      <c r="C542" s="37"/>
      <c r="D542" s="35"/>
    </row>
    <row r="543" spans="3:4" x14ac:dyDescent="0.25">
      <c r="C543" s="37"/>
      <c r="D543" s="35"/>
    </row>
    <row r="544" spans="3:4" x14ac:dyDescent="0.25">
      <c r="C544" s="37"/>
      <c r="D544" s="35"/>
    </row>
    <row r="545" spans="3:4" x14ac:dyDescent="0.25">
      <c r="C545" s="37"/>
      <c r="D545" s="35"/>
    </row>
    <row r="546" spans="3:4" x14ac:dyDescent="0.25">
      <c r="C546" s="37"/>
      <c r="D546" s="35"/>
    </row>
    <row r="547" spans="3:4" x14ac:dyDescent="0.25">
      <c r="C547" s="37"/>
      <c r="D547" s="35"/>
    </row>
    <row r="548" spans="3:4" x14ac:dyDescent="0.25">
      <c r="C548" s="37"/>
      <c r="D548" s="35"/>
    </row>
    <row r="549" spans="3:4" x14ac:dyDescent="0.25">
      <c r="C549" s="37"/>
      <c r="D549" s="35"/>
    </row>
    <row r="550" spans="3:4" x14ac:dyDescent="0.25">
      <c r="C550" s="37"/>
      <c r="D550" s="35"/>
    </row>
    <row r="551" spans="3:4" x14ac:dyDescent="0.25">
      <c r="C551" s="37"/>
      <c r="D551" s="35"/>
    </row>
    <row r="552" spans="3:4" x14ac:dyDescent="0.25">
      <c r="C552" s="37"/>
      <c r="D552" s="35"/>
    </row>
    <row r="553" spans="3:4" x14ac:dyDescent="0.25">
      <c r="C553" s="37"/>
      <c r="D553" s="35"/>
    </row>
    <row r="554" spans="3:4" x14ac:dyDescent="0.25">
      <c r="C554" s="37"/>
      <c r="D554" s="35"/>
    </row>
    <row r="555" spans="3:4" x14ac:dyDescent="0.25">
      <c r="C555" s="37"/>
      <c r="D555" s="35"/>
    </row>
    <row r="556" spans="3:4" x14ac:dyDescent="0.25">
      <c r="C556" s="37"/>
      <c r="D556" s="35"/>
    </row>
    <row r="557" spans="3:4" x14ac:dyDescent="0.25">
      <c r="C557" s="37"/>
      <c r="D557" s="35"/>
    </row>
    <row r="558" spans="3:4" x14ac:dyDescent="0.25">
      <c r="C558" s="37"/>
      <c r="D558" s="35"/>
    </row>
    <row r="559" spans="3:4" x14ac:dyDescent="0.25">
      <c r="C559" s="37"/>
      <c r="D559" s="35"/>
    </row>
    <row r="560" spans="3:4" x14ac:dyDescent="0.25">
      <c r="C560" s="37"/>
      <c r="D560" s="35"/>
    </row>
    <row r="561" spans="3:4" x14ac:dyDescent="0.25">
      <c r="C561" s="37"/>
      <c r="D561" s="35"/>
    </row>
    <row r="562" spans="3:4" x14ac:dyDescent="0.25">
      <c r="C562" s="37"/>
      <c r="D562" s="35"/>
    </row>
    <row r="563" spans="3:4" x14ac:dyDescent="0.25">
      <c r="C563" s="37"/>
      <c r="D563" s="35"/>
    </row>
    <row r="564" spans="3:4" x14ac:dyDescent="0.25">
      <c r="C564" s="37"/>
      <c r="D564" s="35"/>
    </row>
    <row r="565" spans="3:4" x14ac:dyDescent="0.25">
      <c r="C565" s="37"/>
      <c r="D565" s="35"/>
    </row>
    <row r="566" spans="3:4" x14ac:dyDescent="0.25">
      <c r="C566" s="37"/>
      <c r="D566" s="35"/>
    </row>
    <row r="567" spans="3:4" x14ac:dyDescent="0.25">
      <c r="C567" s="37"/>
      <c r="D567" s="35"/>
    </row>
    <row r="568" spans="3:4" x14ac:dyDescent="0.25">
      <c r="C568" s="37"/>
      <c r="D568" s="35"/>
    </row>
    <row r="569" spans="3:4" x14ac:dyDescent="0.25">
      <c r="C569" s="37"/>
      <c r="D569" s="35"/>
    </row>
    <row r="570" spans="3:4" x14ac:dyDescent="0.25">
      <c r="C570" s="37"/>
      <c r="D570" s="35"/>
    </row>
    <row r="571" spans="3:4" x14ac:dyDescent="0.25">
      <c r="C571" s="37"/>
      <c r="D571" s="35"/>
    </row>
    <row r="572" spans="3:4" x14ac:dyDescent="0.25">
      <c r="C572" s="37"/>
      <c r="D572" s="35"/>
    </row>
    <row r="573" spans="3:4" x14ac:dyDescent="0.25">
      <c r="C573" s="37"/>
      <c r="D573" s="35"/>
    </row>
    <row r="574" spans="3:4" x14ac:dyDescent="0.25">
      <c r="C574" s="37"/>
      <c r="D574" s="35"/>
    </row>
    <row r="575" spans="3:4" x14ac:dyDescent="0.25">
      <c r="C575" s="37"/>
      <c r="D575" s="35"/>
    </row>
    <row r="576" spans="3:4" x14ac:dyDescent="0.25">
      <c r="C576" s="37"/>
      <c r="D576" s="35"/>
    </row>
    <row r="577" spans="3:4" x14ac:dyDescent="0.25">
      <c r="C577" s="37"/>
      <c r="D577" s="35"/>
    </row>
    <row r="578" spans="3:4" x14ac:dyDescent="0.25">
      <c r="C578" s="37"/>
      <c r="D578" s="35"/>
    </row>
    <row r="579" spans="3:4" x14ac:dyDescent="0.25">
      <c r="C579" s="37"/>
      <c r="D579" s="35"/>
    </row>
    <row r="580" spans="3:4" x14ac:dyDescent="0.25">
      <c r="C580" s="37"/>
      <c r="D580" s="35"/>
    </row>
    <row r="581" spans="3:4" x14ac:dyDescent="0.25">
      <c r="C581" s="37"/>
      <c r="D581" s="35"/>
    </row>
    <row r="582" spans="3:4" x14ac:dyDescent="0.25">
      <c r="C582" s="37"/>
      <c r="D582" s="35"/>
    </row>
    <row r="583" spans="3:4" x14ac:dyDescent="0.25">
      <c r="C583" s="37"/>
      <c r="D583" s="35"/>
    </row>
    <row r="584" spans="3:4" x14ac:dyDescent="0.25">
      <c r="C584" s="37"/>
      <c r="D584" s="35"/>
    </row>
    <row r="585" spans="3:4" x14ac:dyDescent="0.25">
      <c r="C585" s="37"/>
      <c r="D585" s="35"/>
    </row>
    <row r="586" spans="3:4" x14ac:dyDescent="0.25">
      <c r="C586" s="37"/>
      <c r="D586" s="35"/>
    </row>
    <row r="587" spans="3:4" x14ac:dyDescent="0.25">
      <c r="C587" s="37"/>
      <c r="D587" s="35"/>
    </row>
    <row r="588" spans="3:4" x14ac:dyDescent="0.25">
      <c r="C588" s="37"/>
      <c r="D588" s="35"/>
    </row>
    <row r="589" spans="3:4" x14ac:dyDescent="0.25">
      <c r="C589" s="37"/>
      <c r="D589" s="35"/>
    </row>
    <row r="590" spans="3:4" x14ac:dyDescent="0.25">
      <c r="C590" s="37"/>
      <c r="D590" s="35"/>
    </row>
    <row r="591" spans="3:4" x14ac:dyDescent="0.25">
      <c r="C591" s="37"/>
      <c r="D591" s="35"/>
    </row>
    <row r="592" spans="3:4" x14ac:dyDescent="0.25">
      <c r="C592" s="37"/>
      <c r="D592" s="35"/>
    </row>
    <row r="593" spans="3:4" x14ac:dyDescent="0.25">
      <c r="C593" s="37"/>
      <c r="D593" s="35"/>
    </row>
    <row r="594" spans="3:4" x14ac:dyDescent="0.25">
      <c r="C594" s="37"/>
      <c r="D594" s="35"/>
    </row>
    <row r="595" spans="3:4" x14ac:dyDescent="0.25">
      <c r="C595" s="37"/>
      <c r="D595" s="35"/>
    </row>
    <row r="596" spans="3:4" x14ac:dyDescent="0.25">
      <c r="C596" s="37"/>
      <c r="D596" s="35"/>
    </row>
    <row r="597" spans="3:4" x14ac:dyDescent="0.25">
      <c r="C597" s="37"/>
      <c r="D597" s="35"/>
    </row>
    <row r="598" spans="3:4" x14ac:dyDescent="0.25">
      <c r="C598" s="37"/>
      <c r="D598" s="35"/>
    </row>
    <row r="599" spans="3:4" x14ac:dyDescent="0.25">
      <c r="C599" s="37"/>
      <c r="D599" s="35"/>
    </row>
    <row r="600" spans="3:4" x14ac:dyDescent="0.25">
      <c r="C600" s="37"/>
      <c r="D600" s="35"/>
    </row>
    <row r="601" spans="3:4" x14ac:dyDescent="0.25">
      <c r="C601" s="37"/>
      <c r="D601" s="35"/>
    </row>
    <row r="602" spans="3:4" x14ac:dyDescent="0.25">
      <c r="C602" s="37"/>
      <c r="D602" s="35"/>
    </row>
    <row r="603" spans="3:4" x14ac:dyDescent="0.25">
      <c r="C603" s="37"/>
      <c r="D603" s="35"/>
    </row>
    <row r="604" spans="3:4" x14ac:dyDescent="0.25">
      <c r="C604" s="37"/>
      <c r="D604" s="35"/>
    </row>
    <row r="605" spans="3:4" x14ac:dyDescent="0.25">
      <c r="C605" s="37"/>
      <c r="D605" s="35"/>
    </row>
    <row r="606" spans="3:4" x14ac:dyDescent="0.25">
      <c r="C606" s="37"/>
      <c r="D606" s="35"/>
    </row>
    <row r="607" spans="3:4" x14ac:dyDescent="0.25">
      <c r="C607" s="37"/>
      <c r="D607" s="35"/>
    </row>
    <row r="608" spans="3:4" x14ac:dyDescent="0.25">
      <c r="C608" s="37"/>
      <c r="D608" s="35"/>
    </row>
    <row r="609" spans="3:4" x14ac:dyDescent="0.25">
      <c r="C609" s="37"/>
      <c r="D609" s="35"/>
    </row>
    <row r="610" spans="3:4" x14ac:dyDescent="0.25">
      <c r="C610" s="37"/>
      <c r="D610" s="35"/>
    </row>
    <row r="611" spans="3:4" x14ac:dyDescent="0.25">
      <c r="C611" s="37"/>
      <c r="D611" s="35"/>
    </row>
    <row r="612" spans="3:4" x14ac:dyDescent="0.25">
      <c r="C612" s="37"/>
      <c r="D612" s="35"/>
    </row>
    <row r="613" spans="3:4" x14ac:dyDescent="0.25">
      <c r="C613" s="37"/>
      <c r="D613" s="35"/>
    </row>
    <row r="614" spans="3:4" x14ac:dyDescent="0.25">
      <c r="C614" s="37"/>
      <c r="D614" s="35"/>
    </row>
    <row r="615" spans="3:4" x14ac:dyDescent="0.25">
      <c r="C615" s="37"/>
      <c r="D615" s="35"/>
    </row>
    <row r="616" spans="3:4" x14ac:dyDescent="0.25">
      <c r="C616" s="37"/>
      <c r="D616" s="35"/>
    </row>
    <row r="617" spans="3:4" x14ac:dyDescent="0.25">
      <c r="C617" s="37"/>
      <c r="D617" s="35"/>
    </row>
    <row r="618" spans="3:4" x14ac:dyDescent="0.25">
      <c r="C618" s="37"/>
      <c r="D618" s="35"/>
    </row>
    <row r="619" spans="3:4" x14ac:dyDescent="0.25">
      <c r="C619" s="37"/>
      <c r="D619" s="35"/>
    </row>
    <row r="620" spans="3:4" x14ac:dyDescent="0.25">
      <c r="C620" s="37"/>
      <c r="D620" s="35"/>
    </row>
    <row r="621" spans="3:4" x14ac:dyDescent="0.25">
      <c r="C621" s="37"/>
      <c r="D621" s="35"/>
    </row>
    <row r="622" spans="3:4" x14ac:dyDescent="0.25">
      <c r="C622" s="37"/>
      <c r="D622" s="35"/>
    </row>
    <row r="623" spans="3:4" x14ac:dyDescent="0.25">
      <c r="C623" s="37"/>
      <c r="D623" s="35"/>
    </row>
    <row r="624" spans="3:4" x14ac:dyDescent="0.25">
      <c r="C624" s="37"/>
      <c r="D624" s="35"/>
    </row>
    <row r="625" spans="3:4" x14ac:dyDescent="0.25">
      <c r="C625" s="37"/>
      <c r="D625" s="35"/>
    </row>
    <row r="626" spans="3:4" x14ac:dyDescent="0.25">
      <c r="C626" s="37"/>
      <c r="D626" s="35"/>
    </row>
    <row r="627" spans="3:4" x14ac:dyDescent="0.25">
      <c r="C627" s="37"/>
      <c r="D627" s="35"/>
    </row>
    <row r="628" spans="3:4" x14ac:dyDescent="0.25">
      <c r="C628" s="37"/>
      <c r="D628" s="35"/>
    </row>
    <row r="629" spans="3:4" x14ac:dyDescent="0.25">
      <c r="C629" s="37"/>
      <c r="D629" s="35"/>
    </row>
    <row r="630" spans="3:4" x14ac:dyDescent="0.25">
      <c r="C630" s="37"/>
      <c r="D630" s="35"/>
    </row>
    <row r="631" spans="3:4" x14ac:dyDescent="0.25">
      <c r="C631" s="37"/>
      <c r="D631" s="35"/>
    </row>
    <row r="632" spans="3:4" x14ac:dyDescent="0.25">
      <c r="C632" s="37"/>
      <c r="D632" s="35"/>
    </row>
    <row r="633" spans="3:4" x14ac:dyDescent="0.25">
      <c r="C633" s="37"/>
      <c r="D633" s="35"/>
    </row>
    <row r="634" spans="3:4" x14ac:dyDescent="0.25">
      <c r="C634" s="37"/>
      <c r="D634" s="35"/>
    </row>
    <row r="635" spans="3:4" x14ac:dyDescent="0.25">
      <c r="C635" s="37"/>
      <c r="D635" s="35"/>
    </row>
    <row r="636" spans="3:4" x14ac:dyDescent="0.25">
      <c r="C636" s="37"/>
      <c r="D636" s="35"/>
    </row>
    <row r="637" spans="3:4" x14ac:dyDescent="0.25">
      <c r="C637" s="37"/>
      <c r="D637" s="35"/>
    </row>
    <row r="638" spans="3:4" x14ac:dyDescent="0.25">
      <c r="C638" s="37"/>
      <c r="D638" s="35"/>
    </row>
    <row r="639" spans="3:4" x14ac:dyDescent="0.25">
      <c r="C639" s="37"/>
      <c r="D639" s="35"/>
    </row>
    <row r="640" spans="3:4" x14ac:dyDescent="0.25">
      <c r="C640" s="37"/>
      <c r="D640" s="35"/>
    </row>
    <row r="641" spans="3:4" x14ac:dyDescent="0.25">
      <c r="C641" s="37"/>
      <c r="D641" s="35"/>
    </row>
    <row r="642" spans="3:4" x14ac:dyDescent="0.25">
      <c r="C642" s="37"/>
      <c r="D642" s="35"/>
    </row>
    <row r="643" spans="3:4" x14ac:dyDescent="0.25">
      <c r="C643" s="37"/>
      <c r="D643" s="35"/>
    </row>
    <row r="644" spans="3:4" x14ac:dyDescent="0.25">
      <c r="C644" s="37"/>
      <c r="D644" s="35"/>
    </row>
    <row r="645" spans="3:4" x14ac:dyDescent="0.25">
      <c r="C645" s="37"/>
      <c r="D645" s="35"/>
    </row>
    <row r="646" spans="3:4" x14ac:dyDescent="0.25">
      <c r="C646" s="37"/>
      <c r="D646" s="35"/>
    </row>
    <row r="647" spans="3:4" x14ac:dyDescent="0.25">
      <c r="C647" s="37"/>
      <c r="D647" s="35"/>
    </row>
    <row r="648" spans="3:4" x14ac:dyDescent="0.25">
      <c r="C648" s="37"/>
      <c r="D648" s="35"/>
    </row>
    <row r="649" spans="3:4" x14ac:dyDescent="0.25">
      <c r="C649" s="37"/>
      <c r="D649" s="35"/>
    </row>
    <row r="650" spans="3:4" x14ac:dyDescent="0.25">
      <c r="C650" s="37"/>
      <c r="D650" s="35"/>
    </row>
    <row r="651" spans="3:4" x14ac:dyDescent="0.25">
      <c r="C651" s="37"/>
      <c r="D651" s="35"/>
    </row>
    <row r="652" spans="3:4" x14ac:dyDescent="0.25">
      <c r="C652" s="37"/>
      <c r="D652" s="35"/>
    </row>
    <row r="653" spans="3:4" x14ac:dyDescent="0.25">
      <c r="C653" s="37"/>
      <c r="D653" s="35"/>
    </row>
    <row r="654" spans="3:4" x14ac:dyDescent="0.25">
      <c r="C654" s="37"/>
      <c r="D654" s="35"/>
    </row>
    <row r="655" spans="3:4" x14ac:dyDescent="0.25">
      <c r="C655" s="37"/>
      <c r="D655" s="35"/>
    </row>
    <row r="656" spans="3:4" x14ac:dyDescent="0.25">
      <c r="C656" s="37"/>
      <c r="D656" s="35"/>
    </row>
    <row r="657" spans="3:4" x14ac:dyDescent="0.25">
      <c r="C657" s="37"/>
      <c r="D657" s="35"/>
    </row>
    <row r="658" spans="3:4" x14ac:dyDescent="0.25">
      <c r="C658" s="37"/>
      <c r="D658" s="35"/>
    </row>
    <row r="659" spans="3:4" x14ac:dyDescent="0.25">
      <c r="C659" s="37"/>
      <c r="D659" s="35"/>
    </row>
    <row r="660" spans="3:4" x14ac:dyDescent="0.25">
      <c r="C660" s="37"/>
      <c r="D660" s="35"/>
    </row>
    <row r="661" spans="3:4" x14ac:dyDescent="0.25">
      <c r="C661" s="37"/>
      <c r="D661" s="35"/>
    </row>
    <row r="662" spans="3:4" x14ac:dyDescent="0.25">
      <c r="C662" s="37"/>
      <c r="D662" s="35"/>
    </row>
    <row r="663" spans="3:4" x14ac:dyDescent="0.25">
      <c r="C663" s="37"/>
      <c r="D663" s="35"/>
    </row>
    <row r="664" spans="3:4" x14ac:dyDescent="0.25">
      <c r="C664" s="37"/>
      <c r="D664" s="35"/>
    </row>
    <row r="665" spans="3:4" x14ac:dyDescent="0.25">
      <c r="C665" s="37"/>
      <c r="D665" s="35"/>
    </row>
    <row r="666" spans="3:4" x14ac:dyDescent="0.25">
      <c r="C666" s="37"/>
      <c r="D666" s="35"/>
    </row>
    <row r="667" spans="3:4" x14ac:dyDescent="0.25">
      <c r="C667" s="37"/>
      <c r="D667" s="35"/>
    </row>
    <row r="668" spans="3:4" x14ac:dyDescent="0.25">
      <c r="C668" s="37"/>
      <c r="D668" s="35"/>
    </row>
    <row r="669" spans="3:4" x14ac:dyDescent="0.25">
      <c r="C669" s="37"/>
      <c r="D669" s="35"/>
    </row>
    <row r="670" spans="3:4" x14ac:dyDescent="0.25">
      <c r="C670" s="37"/>
      <c r="D670" s="35"/>
    </row>
    <row r="671" spans="3:4" x14ac:dyDescent="0.25">
      <c r="C671" s="37"/>
      <c r="D671" s="35"/>
    </row>
    <row r="672" spans="3:4" x14ac:dyDescent="0.25">
      <c r="C672" s="37"/>
      <c r="D672" s="35"/>
    </row>
    <row r="673" spans="3:4" x14ac:dyDescent="0.25">
      <c r="C673" s="37"/>
      <c r="D673" s="35"/>
    </row>
    <row r="674" spans="3:4" x14ac:dyDescent="0.25">
      <c r="C674" s="37"/>
      <c r="D674" s="35"/>
    </row>
    <row r="675" spans="3:4" x14ac:dyDescent="0.25">
      <c r="C675" s="37"/>
      <c r="D675" s="35"/>
    </row>
    <row r="676" spans="3:4" x14ac:dyDescent="0.25">
      <c r="C676" s="37"/>
      <c r="D676" s="35"/>
    </row>
    <row r="677" spans="3:4" x14ac:dyDescent="0.25">
      <c r="C677" s="37"/>
      <c r="D677" s="35"/>
    </row>
    <row r="678" spans="3:4" x14ac:dyDescent="0.25">
      <c r="C678" s="37"/>
      <c r="D678" s="35"/>
    </row>
    <row r="679" spans="3:4" x14ac:dyDescent="0.25">
      <c r="C679" s="37"/>
      <c r="D679" s="35"/>
    </row>
    <row r="680" spans="3:4" x14ac:dyDescent="0.25">
      <c r="C680" s="37"/>
      <c r="D680" s="35"/>
    </row>
    <row r="681" spans="3:4" x14ac:dyDescent="0.25">
      <c r="C681" s="37"/>
      <c r="D681" s="35"/>
    </row>
    <row r="682" spans="3:4" x14ac:dyDescent="0.25">
      <c r="C682" s="37"/>
      <c r="D682" s="35"/>
    </row>
    <row r="683" spans="3:4" x14ac:dyDescent="0.25">
      <c r="C683" s="37"/>
      <c r="D683" s="35"/>
    </row>
    <row r="684" spans="3:4" x14ac:dyDescent="0.25">
      <c r="C684" s="37"/>
      <c r="D684" s="35"/>
    </row>
    <row r="685" spans="3:4" x14ac:dyDescent="0.25">
      <c r="C685" s="37"/>
      <c r="D685" s="35"/>
    </row>
    <row r="686" spans="3:4" x14ac:dyDescent="0.25">
      <c r="C686" s="37"/>
      <c r="D686" s="35"/>
    </row>
    <row r="687" spans="3:4" x14ac:dyDescent="0.25">
      <c r="C687" s="37"/>
      <c r="D687" s="35"/>
    </row>
    <row r="688" spans="3:4" x14ac:dyDescent="0.25">
      <c r="C688" s="37"/>
      <c r="D688" s="35"/>
    </row>
    <row r="689" spans="3:4" x14ac:dyDescent="0.25">
      <c r="C689" s="37"/>
      <c r="D689" s="35"/>
    </row>
    <row r="690" spans="3:4" x14ac:dyDescent="0.25">
      <c r="C690" s="37"/>
      <c r="D690" s="35"/>
    </row>
    <row r="691" spans="3:4" x14ac:dyDescent="0.25">
      <c r="C691" s="37"/>
      <c r="D691" s="35"/>
    </row>
    <row r="692" spans="3:4" x14ac:dyDescent="0.25">
      <c r="C692" s="37"/>
      <c r="D692" s="35"/>
    </row>
    <row r="693" spans="3:4" x14ac:dyDescent="0.25">
      <c r="C693" s="37"/>
      <c r="D693" s="35"/>
    </row>
    <row r="694" spans="3:4" x14ac:dyDescent="0.25">
      <c r="C694" s="37"/>
      <c r="D694" s="35"/>
    </row>
    <row r="695" spans="3:4" x14ac:dyDescent="0.25">
      <c r="C695" s="37"/>
      <c r="D695" s="35"/>
    </row>
    <row r="696" spans="3:4" x14ac:dyDescent="0.25">
      <c r="C696" s="37"/>
      <c r="D696" s="35"/>
    </row>
    <row r="697" spans="3:4" x14ac:dyDescent="0.25">
      <c r="C697" s="37"/>
      <c r="D697" s="35"/>
    </row>
    <row r="698" spans="3:4" x14ac:dyDescent="0.25">
      <c r="C698" s="37"/>
      <c r="D698" s="35"/>
    </row>
    <row r="699" spans="3:4" x14ac:dyDescent="0.25">
      <c r="C699" s="37"/>
      <c r="D699" s="35"/>
    </row>
    <row r="700" spans="3:4" x14ac:dyDescent="0.25">
      <c r="C700" s="37"/>
      <c r="D700" s="35"/>
    </row>
    <row r="701" spans="3:4" x14ac:dyDescent="0.25">
      <c r="C701" s="37"/>
      <c r="D701" s="35"/>
    </row>
    <row r="702" spans="3:4" x14ac:dyDescent="0.25">
      <c r="C702" s="37"/>
      <c r="D702" s="35"/>
    </row>
    <row r="703" spans="3:4" x14ac:dyDescent="0.25">
      <c r="C703" s="37"/>
      <c r="D703" s="35"/>
    </row>
    <row r="704" spans="3:4" x14ac:dyDescent="0.25">
      <c r="C704" s="37"/>
      <c r="D704" s="35"/>
    </row>
    <row r="705" spans="3:4" x14ac:dyDescent="0.25">
      <c r="C705" s="37"/>
      <c r="D705" s="35"/>
    </row>
    <row r="706" spans="3:4" x14ac:dyDescent="0.25">
      <c r="C706" s="37"/>
      <c r="D706" s="35"/>
    </row>
    <row r="707" spans="3:4" x14ac:dyDescent="0.25">
      <c r="C707" s="37"/>
      <c r="D707" s="35"/>
    </row>
    <row r="708" spans="3:4" x14ac:dyDescent="0.25">
      <c r="C708" s="37"/>
      <c r="D708" s="35"/>
    </row>
    <row r="709" spans="3:4" x14ac:dyDescent="0.25">
      <c r="C709" s="37"/>
      <c r="D709" s="35"/>
    </row>
    <row r="710" spans="3:4" x14ac:dyDescent="0.25">
      <c r="C710" s="37"/>
      <c r="D710" s="35"/>
    </row>
    <row r="711" spans="3:4" x14ac:dyDescent="0.25">
      <c r="C711" s="37"/>
      <c r="D711" s="35"/>
    </row>
    <row r="712" spans="3:4" x14ac:dyDescent="0.25">
      <c r="C712" s="37"/>
      <c r="D712" s="35"/>
    </row>
    <row r="713" spans="3:4" x14ac:dyDescent="0.25">
      <c r="C713" s="37"/>
      <c r="D713" s="35"/>
    </row>
    <row r="714" spans="3:4" x14ac:dyDescent="0.25">
      <c r="C714" s="37"/>
      <c r="D714" s="35"/>
    </row>
    <row r="715" spans="3:4" x14ac:dyDescent="0.25">
      <c r="C715" s="37"/>
      <c r="D715" s="35"/>
    </row>
    <row r="716" spans="3:4" x14ac:dyDescent="0.25">
      <c r="C716" s="37"/>
      <c r="D716" s="35"/>
    </row>
    <row r="717" spans="3:4" x14ac:dyDescent="0.25">
      <c r="C717" s="37"/>
      <c r="D717" s="35"/>
    </row>
    <row r="718" spans="3:4" x14ac:dyDescent="0.25">
      <c r="C718" s="37"/>
      <c r="D718" s="35"/>
    </row>
    <row r="719" spans="3:4" x14ac:dyDescent="0.25">
      <c r="C719" s="37"/>
      <c r="D719" s="35"/>
    </row>
    <row r="720" spans="3:4" x14ac:dyDescent="0.25">
      <c r="C720" s="37"/>
      <c r="D720" s="35"/>
    </row>
    <row r="721" spans="3:4" x14ac:dyDescent="0.25">
      <c r="C721" s="37"/>
      <c r="D721" s="35"/>
    </row>
    <row r="722" spans="3:4" x14ac:dyDescent="0.25">
      <c r="C722" s="37"/>
      <c r="D722" s="35"/>
    </row>
    <row r="723" spans="3:4" x14ac:dyDescent="0.25">
      <c r="C723" s="37"/>
      <c r="D723" s="35"/>
    </row>
    <row r="724" spans="3:4" x14ac:dyDescent="0.25">
      <c r="C724" s="37"/>
      <c r="D724" s="35"/>
    </row>
    <row r="725" spans="3:4" x14ac:dyDescent="0.25">
      <c r="C725" s="37"/>
      <c r="D725" s="35"/>
    </row>
    <row r="726" spans="3:4" x14ac:dyDescent="0.25">
      <c r="C726" s="37"/>
      <c r="D726" s="35"/>
    </row>
    <row r="727" spans="3:4" x14ac:dyDescent="0.25">
      <c r="C727" s="37"/>
      <c r="D727" s="35"/>
    </row>
    <row r="728" spans="3:4" x14ac:dyDescent="0.25">
      <c r="C728" s="37"/>
      <c r="D728" s="35"/>
    </row>
    <row r="729" spans="3:4" x14ac:dyDescent="0.25">
      <c r="C729" s="37"/>
      <c r="D729" s="35"/>
    </row>
    <row r="730" spans="3:4" x14ac:dyDescent="0.25">
      <c r="C730" s="37"/>
      <c r="D730" s="35"/>
    </row>
    <row r="731" spans="3:4" x14ac:dyDescent="0.25">
      <c r="C731" s="37"/>
      <c r="D731" s="35"/>
    </row>
    <row r="732" spans="3:4" x14ac:dyDescent="0.25">
      <c r="C732" s="37"/>
      <c r="D732" s="35"/>
    </row>
    <row r="733" spans="3:4" x14ac:dyDescent="0.25">
      <c r="C733" s="37"/>
      <c r="D733" s="35"/>
    </row>
    <row r="734" spans="3:4" x14ac:dyDescent="0.25">
      <c r="C734" s="37"/>
      <c r="D734" s="35"/>
    </row>
    <row r="735" spans="3:4" x14ac:dyDescent="0.25">
      <c r="C735" s="37"/>
      <c r="D735" s="35"/>
    </row>
    <row r="736" spans="3:4" x14ac:dyDescent="0.25">
      <c r="C736" s="37"/>
      <c r="D736" s="35"/>
    </row>
    <row r="737" spans="3:4" x14ac:dyDescent="0.25">
      <c r="C737" s="37"/>
      <c r="D737" s="35"/>
    </row>
    <row r="738" spans="3:4" x14ac:dyDescent="0.25">
      <c r="C738" s="37"/>
      <c r="D738" s="35"/>
    </row>
    <row r="739" spans="3:4" x14ac:dyDescent="0.25">
      <c r="C739" s="37"/>
      <c r="D739" s="35"/>
    </row>
    <row r="740" spans="3:4" x14ac:dyDescent="0.25">
      <c r="C740" s="37"/>
      <c r="D740" s="35"/>
    </row>
    <row r="741" spans="3:4" x14ac:dyDescent="0.25">
      <c r="C741" s="37"/>
      <c r="D741" s="35"/>
    </row>
    <row r="742" spans="3:4" x14ac:dyDescent="0.25">
      <c r="C742" s="37"/>
      <c r="D742" s="35"/>
    </row>
    <row r="743" spans="3:4" x14ac:dyDescent="0.25">
      <c r="C743" s="37"/>
      <c r="D743" s="35"/>
    </row>
    <row r="744" spans="3:4" x14ac:dyDescent="0.25">
      <c r="C744" s="37"/>
      <c r="D744" s="35"/>
    </row>
    <row r="745" spans="3:4" x14ac:dyDescent="0.25">
      <c r="C745" s="37"/>
      <c r="D745" s="35"/>
    </row>
    <row r="746" spans="3:4" x14ac:dyDescent="0.25">
      <c r="C746" s="37"/>
      <c r="D746" s="35"/>
    </row>
    <row r="747" spans="3:4" x14ac:dyDescent="0.25">
      <c r="C747" s="37"/>
      <c r="D747" s="35"/>
    </row>
    <row r="748" spans="3:4" x14ac:dyDescent="0.25">
      <c r="C748" s="37"/>
      <c r="D748" s="35"/>
    </row>
    <row r="749" spans="3:4" x14ac:dyDescent="0.25">
      <c r="C749" s="37"/>
      <c r="D749" s="35"/>
    </row>
    <row r="750" spans="3:4" x14ac:dyDescent="0.25">
      <c r="C750" s="37"/>
      <c r="D750" s="35"/>
    </row>
    <row r="751" spans="3:4" x14ac:dyDescent="0.25">
      <c r="C751" s="37"/>
      <c r="D751" s="35"/>
    </row>
    <row r="752" spans="3:4" x14ac:dyDescent="0.25">
      <c r="C752" s="37"/>
      <c r="D752" s="35"/>
    </row>
    <row r="753" spans="3:4" x14ac:dyDescent="0.25">
      <c r="C753" s="37"/>
      <c r="D753" s="35"/>
    </row>
    <row r="754" spans="3:4" x14ac:dyDescent="0.25">
      <c r="C754" s="37"/>
      <c r="D754" s="35"/>
    </row>
    <row r="755" spans="3:4" x14ac:dyDescent="0.25">
      <c r="C755" s="37"/>
      <c r="D755" s="35"/>
    </row>
    <row r="756" spans="3:4" x14ac:dyDescent="0.25">
      <c r="C756" s="37"/>
      <c r="D756" s="35"/>
    </row>
    <row r="757" spans="3:4" x14ac:dyDescent="0.25">
      <c r="C757" s="37"/>
      <c r="D757" s="35"/>
    </row>
    <row r="758" spans="3:4" x14ac:dyDescent="0.25">
      <c r="C758" s="37"/>
      <c r="D758" s="35"/>
    </row>
    <row r="759" spans="3:4" x14ac:dyDescent="0.25">
      <c r="C759" s="37"/>
      <c r="D759" s="35"/>
    </row>
    <row r="760" spans="3:4" x14ac:dyDescent="0.25">
      <c r="C760" s="37"/>
      <c r="D760" s="35"/>
    </row>
    <row r="761" spans="3:4" x14ac:dyDescent="0.25">
      <c r="C761" s="37"/>
      <c r="D761" s="35"/>
    </row>
    <row r="762" spans="3:4" x14ac:dyDescent="0.25">
      <c r="C762" s="37"/>
      <c r="D762" s="35"/>
    </row>
    <row r="763" spans="3:4" x14ac:dyDescent="0.25">
      <c r="C763" s="37"/>
      <c r="D763" s="35"/>
    </row>
    <row r="764" spans="3:4" x14ac:dyDescent="0.25">
      <c r="C764" s="37"/>
      <c r="D764" s="35"/>
    </row>
    <row r="765" spans="3:4" x14ac:dyDescent="0.25">
      <c r="C765" s="37"/>
      <c r="D765" s="35"/>
    </row>
    <row r="766" spans="3:4" x14ac:dyDescent="0.25">
      <c r="C766" s="37"/>
      <c r="D766" s="35"/>
    </row>
    <row r="767" spans="3:4" x14ac:dyDescent="0.25">
      <c r="C767" s="37"/>
      <c r="D767" s="35"/>
    </row>
    <row r="768" spans="3:4" x14ac:dyDescent="0.25">
      <c r="C768" s="37"/>
      <c r="D768" s="35"/>
    </row>
    <row r="769" spans="3:4" x14ac:dyDescent="0.25">
      <c r="C769" s="37"/>
      <c r="D769" s="35"/>
    </row>
    <row r="770" spans="3:4" x14ac:dyDescent="0.25">
      <c r="C770" s="37"/>
      <c r="D770" s="35"/>
    </row>
    <row r="771" spans="3:4" x14ac:dyDescent="0.25">
      <c r="C771" s="37"/>
      <c r="D771" s="35"/>
    </row>
    <row r="772" spans="3:4" x14ac:dyDescent="0.25">
      <c r="C772" s="37"/>
      <c r="D772" s="35"/>
    </row>
    <row r="773" spans="3:4" x14ac:dyDescent="0.25">
      <c r="C773" s="37"/>
      <c r="D773" s="35"/>
    </row>
    <row r="774" spans="3:4" x14ac:dyDescent="0.25">
      <c r="C774" s="37"/>
      <c r="D774" s="35"/>
    </row>
    <row r="775" spans="3:4" x14ac:dyDescent="0.25">
      <c r="C775" s="37"/>
      <c r="D775" s="35"/>
    </row>
    <row r="776" spans="3:4" x14ac:dyDescent="0.25">
      <c r="C776" s="37"/>
      <c r="D776" s="35"/>
    </row>
    <row r="777" spans="3:4" x14ac:dyDescent="0.25">
      <c r="C777" s="37"/>
      <c r="D777" s="35"/>
    </row>
    <row r="778" spans="3:4" x14ac:dyDescent="0.25">
      <c r="C778" s="37"/>
      <c r="D778" s="35"/>
    </row>
    <row r="779" spans="3:4" x14ac:dyDescent="0.25">
      <c r="C779" s="37"/>
      <c r="D779" s="35"/>
    </row>
    <row r="780" spans="3:4" x14ac:dyDescent="0.25">
      <c r="C780" s="37"/>
      <c r="D780" s="35"/>
    </row>
    <row r="781" spans="3:4" x14ac:dyDescent="0.25">
      <c r="C781" s="37"/>
      <c r="D781" s="35"/>
    </row>
    <row r="782" spans="3:4" x14ac:dyDescent="0.25">
      <c r="C782" s="37"/>
      <c r="D782" s="35"/>
    </row>
    <row r="783" spans="3:4" x14ac:dyDescent="0.25">
      <c r="C783" s="37"/>
      <c r="D783" s="35"/>
    </row>
    <row r="784" spans="3:4" x14ac:dyDescent="0.25">
      <c r="C784" s="37"/>
      <c r="D784" s="35"/>
    </row>
    <row r="785" spans="3:4" x14ac:dyDescent="0.25">
      <c r="C785" s="37"/>
      <c r="D785" s="35"/>
    </row>
    <row r="786" spans="3:4" x14ac:dyDescent="0.25">
      <c r="C786" s="37"/>
      <c r="D786" s="35"/>
    </row>
    <row r="787" spans="3:4" x14ac:dyDescent="0.25">
      <c r="C787" s="37"/>
      <c r="D787" s="35"/>
    </row>
    <row r="788" spans="3:4" x14ac:dyDescent="0.25">
      <c r="C788" s="37"/>
      <c r="D788" s="35"/>
    </row>
    <row r="789" spans="3:4" x14ac:dyDescent="0.25">
      <c r="C789" s="37"/>
      <c r="D789" s="35"/>
    </row>
    <row r="790" spans="3:4" x14ac:dyDescent="0.25">
      <c r="C790" s="37"/>
      <c r="D790" s="35"/>
    </row>
    <row r="791" spans="3:4" x14ac:dyDescent="0.25">
      <c r="C791" s="37"/>
      <c r="D791" s="35"/>
    </row>
    <row r="792" spans="3:4" x14ac:dyDescent="0.25">
      <c r="C792" s="37"/>
      <c r="D792" s="35"/>
    </row>
    <row r="793" spans="3:4" x14ac:dyDescent="0.25">
      <c r="C793" s="37"/>
      <c r="D793" s="35"/>
    </row>
    <row r="794" spans="3:4" x14ac:dyDescent="0.25">
      <c r="C794" s="37"/>
      <c r="D794" s="35"/>
    </row>
    <row r="795" spans="3:4" x14ac:dyDescent="0.25">
      <c r="C795" s="37"/>
      <c r="D795" s="35"/>
    </row>
    <row r="796" spans="3:4" x14ac:dyDescent="0.25">
      <c r="C796" s="37"/>
      <c r="D796" s="35"/>
    </row>
    <row r="797" spans="3:4" x14ac:dyDescent="0.25">
      <c r="C797" s="37"/>
      <c r="D797" s="35"/>
    </row>
    <row r="798" spans="3:4" x14ac:dyDescent="0.25">
      <c r="C798" s="37"/>
      <c r="D798" s="35"/>
    </row>
    <row r="799" spans="3:4" x14ac:dyDescent="0.25">
      <c r="C799" s="37"/>
      <c r="D799" s="35"/>
    </row>
    <row r="800" spans="3:4" x14ac:dyDescent="0.25">
      <c r="C800" s="37"/>
      <c r="D800" s="35"/>
    </row>
    <row r="801" spans="3:4" x14ac:dyDescent="0.25">
      <c r="C801" s="37"/>
      <c r="D801" s="35"/>
    </row>
    <row r="802" spans="3:4" x14ac:dyDescent="0.25">
      <c r="C802" s="37"/>
      <c r="D802" s="35"/>
    </row>
    <row r="803" spans="3:4" x14ac:dyDescent="0.25">
      <c r="C803" s="37"/>
      <c r="D803" s="35"/>
    </row>
    <row r="804" spans="3:4" x14ac:dyDescent="0.25">
      <c r="C804" s="37"/>
      <c r="D804" s="35"/>
    </row>
    <row r="805" spans="3:4" x14ac:dyDescent="0.25">
      <c r="C805" s="37"/>
      <c r="D805" s="35"/>
    </row>
    <row r="806" spans="3:4" x14ac:dyDescent="0.25">
      <c r="C806" s="37"/>
      <c r="D806" s="35"/>
    </row>
    <row r="807" spans="3:4" x14ac:dyDescent="0.25">
      <c r="C807" s="37"/>
      <c r="D807" s="35"/>
    </row>
    <row r="808" spans="3:4" x14ac:dyDescent="0.25">
      <c r="C808" s="37"/>
      <c r="D808" s="35"/>
    </row>
    <row r="809" spans="3:4" x14ac:dyDescent="0.25">
      <c r="C809" s="37"/>
      <c r="D809" s="35"/>
    </row>
    <row r="810" spans="3:4" x14ac:dyDescent="0.25">
      <c r="C810" s="37"/>
      <c r="D810" s="35"/>
    </row>
    <row r="811" spans="3:4" x14ac:dyDescent="0.25">
      <c r="C811" s="37"/>
      <c r="D811" s="35"/>
    </row>
    <row r="812" spans="3:4" x14ac:dyDescent="0.25">
      <c r="C812" s="37"/>
      <c r="D812" s="35"/>
    </row>
    <row r="813" spans="3:4" x14ac:dyDescent="0.25">
      <c r="C813" s="37"/>
      <c r="D813" s="35"/>
    </row>
    <row r="814" spans="3:4" x14ac:dyDescent="0.25">
      <c r="C814" s="37"/>
      <c r="D814" s="35"/>
    </row>
    <row r="815" spans="3:4" x14ac:dyDescent="0.25">
      <c r="C815" s="37"/>
      <c r="D815" s="35"/>
    </row>
    <row r="816" spans="3:4" x14ac:dyDescent="0.25">
      <c r="C816" s="37"/>
      <c r="D816" s="35"/>
    </row>
    <row r="817" spans="3:4" x14ac:dyDescent="0.25">
      <c r="C817" s="37"/>
      <c r="D817" s="35"/>
    </row>
    <row r="818" spans="3:4" x14ac:dyDescent="0.25">
      <c r="C818" s="37"/>
      <c r="D818" s="35"/>
    </row>
    <row r="819" spans="3:4" x14ac:dyDescent="0.25">
      <c r="C819" s="37"/>
      <c r="D819" s="35"/>
    </row>
    <row r="820" spans="3:4" x14ac:dyDescent="0.25">
      <c r="C820" s="37"/>
      <c r="D820" s="35"/>
    </row>
    <row r="821" spans="3:4" x14ac:dyDescent="0.25">
      <c r="C821" s="37"/>
      <c r="D821" s="35"/>
    </row>
    <row r="822" spans="3:4" x14ac:dyDescent="0.25">
      <c r="C822" s="37"/>
      <c r="D822" s="35"/>
    </row>
    <row r="823" spans="3:4" x14ac:dyDescent="0.25">
      <c r="C823" s="37"/>
      <c r="D823" s="35"/>
    </row>
    <row r="824" spans="3:4" x14ac:dyDescent="0.25">
      <c r="C824" s="37"/>
      <c r="D824" s="35"/>
    </row>
    <row r="825" spans="3:4" x14ac:dyDescent="0.25">
      <c r="C825" s="37"/>
      <c r="D825" s="35"/>
    </row>
    <row r="826" spans="3:4" x14ac:dyDescent="0.25">
      <c r="C826" s="37"/>
      <c r="D826" s="35"/>
    </row>
    <row r="827" spans="3:4" x14ac:dyDescent="0.25">
      <c r="C827" s="37"/>
      <c r="D827" s="35"/>
    </row>
    <row r="828" spans="3:4" x14ac:dyDescent="0.25">
      <c r="C828" s="37"/>
      <c r="D828" s="35"/>
    </row>
    <row r="829" spans="3:4" x14ac:dyDescent="0.25">
      <c r="C829" s="37"/>
      <c r="D829" s="35"/>
    </row>
    <row r="830" spans="3:4" x14ac:dyDescent="0.25">
      <c r="C830" s="37"/>
      <c r="D830" s="35"/>
    </row>
    <row r="831" spans="3:4" x14ac:dyDescent="0.25">
      <c r="C831" s="37"/>
      <c r="D831" s="35"/>
    </row>
    <row r="832" spans="3:4" x14ac:dyDescent="0.25">
      <c r="C832" s="37"/>
      <c r="D832" s="35"/>
    </row>
    <row r="833" spans="3:4" x14ac:dyDescent="0.25">
      <c r="C833" s="37"/>
      <c r="D833" s="35"/>
    </row>
    <row r="834" spans="3:4" x14ac:dyDescent="0.25">
      <c r="C834" s="37"/>
      <c r="D834" s="35"/>
    </row>
    <row r="835" spans="3:4" x14ac:dyDescent="0.25">
      <c r="C835" s="37"/>
      <c r="D835" s="35"/>
    </row>
    <row r="836" spans="3:4" x14ac:dyDescent="0.25">
      <c r="C836" s="37"/>
      <c r="D836" s="35"/>
    </row>
    <row r="837" spans="3:4" x14ac:dyDescent="0.25">
      <c r="C837" s="37"/>
      <c r="D837" s="35"/>
    </row>
    <row r="838" spans="3:4" x14ac:dyDescent="0.25">
      <c r="C838" s="37"/>
      <c r="D838" s="35"/>
    </row>
    <row r="839" spans="3:4" x14ac:dyDescent="0.25">
      <c r="C839" s="37"/>
      <c r="D839" s="35"/>
    </row>
    <row r="840" spans="3:4" x14ac:dyDescent="0.25">
      <c r="C840" s="37"/>
      <c r="D840" s="35"/>
    </row>
    <row r="841" spans="3:4" x14ac:dyDescent="0.25">
      <c r="C841" s="37"/>
      <c r="D841" s="35"/>
    </row>
    <row r="842" spans="3:4" x14ac:dyDescent="0.25">
      <c r="C842" s="37"/>
      <c r="D842" s="35"/>
    </row>
    <row r="843" spans="3:4" x14ac:dyDescent="0.25">
      <c r="C843" s="37"/>
      <c r="D843" s="35"/>
    </row>
    <row r="844" spans="3:4" x14ac:dyDescent="0.25">
      <c r="C844" s="37"/>
      <c r="D844" s="35"/>
    </row>
    <row r="845" spans="3:4" x14ac:dyDescent="0.25">
      <c r="C845" s="37"/>
      <c r="D845" s="35"/>
    </row>
    <row r="846" spans="3:4" x14ac:dyDescent="0.25">
      <c r="C846" s="37"/>
      <c r="D846" s="35"/>
    </row>
    <row r="847" spans="3:4" x14ac:dyDescent="0.25">
      <c r="C847" s="37"/>
      <c r="D847" s="35"/>
    </row>
    <row r="848" spans="3:4" x14ac:dyDescent="0.25">
      <c r="C848" s="37"/>
      <c r="D848" s="35"/>
    </row>
    <row r="849" spans="3:4" x14ac:dyDescent="0.25">
      <c r="C849" s="37"/>
      <c r="D849" s="35"/>
    </row>
    <row r="850" spans="3:4" x14ac:dyDescent="0.25">
      <c r="C850" s="37"/>
      <c r="D850" s="35"/>
    </row>
    <row r="851" spans="3:4" x14ac:dyDescent="0.25">
      <c r="C851" s="37"/>
      <c r="D851" s="35"/>
    </row>
    <row r="852" spans="3:4" x14ac:dyDescent="0.25">
      <c r="C852" s="37"/>
      <c r="D852" s="35"/>
    </row>
    <row r="853" spans="3:4" x14ac:dyDescent="0.25">
      <c r="C853" s="37"/>
      <c r="D853" s="35"/>
    </row>
    <row r="854" spans="3:4" x14ac:dyDescent="0.25">
      <c r="C854" s="37"/>
      <c r="D854" s="35"/>
    </row>
    <row r="855" spans="3:4" x14ac:dyDescent="0.25">
      <c r="C855" s="37"/>
      <c r="D855" s="35"/>
    </row>
    <row r="856" spans="3:4" x14ac:dyDescent="0.25">
      <c r="C856" s="37"/>
      <c r="D856" s="35"/>
    </row>
    <row r="857" spans="3:4" x14ac:dyDescent="0.25">
      <c r="C857" s="37"/>
      <c r="D857" s="35"/>
    </row>
    <row r="858" spans="3:4" x14ac:dyDescent="0.25">
      <c r="C858" s="37"/>
      <c r="D858" s="35"/>
    </row>
    <row r="859" spans="3:4" x14ac:dyDescent="0.25">
      <c r="C859" s="37"/>
      <c r="D859" s="35"/>
    </row>
    <row r="860" spans="3:4" x14ac:dyDescent="0.25">
      <c r="C860" s="37"/>
      <c r="D860" s="35"/>
    </row>
    <row r="861" spans="3:4" x14ac:dyDescent="0.25">
      <c r="C861" s="37"/>
      <c r="D861" s="35"/>
    </row>
    <row r="862" spans="3:4" x14ac:dyDescent="0.25">
      <c r="C862" s="37"/>
      <c r="D862" s="35"/>
    </row>
    <row r="863" spans="3:4" x14ac:dyDescent="0.25">
      <c r="C863" s="37"/>
      <c r="D863" s="35"/>
    </row>
    <row r="864" spans="3:4" x14ac:dyDescent="0.25">
      <c r="C864" s="37"/>
      <c r="D864" s="35"/>
    </row>
    <row r="865" spans="3:4" x14ac:dyDescent="0.25">
      <c r="C865" s="37"/>
      <c r="D865" s="35"/>
    </row>
    <row r="866" spans="3:4" x14ac:dyDescent="0.25">
      <c r="C866" s="37"/>
      <c r="D866" s="35"/>
    </row>
    <row r="867" spans="3:4" x14ac:dyDescent="0.25">
      <c r="C867" s="37"/>
      <c r="D867" s="35"/>
    </row>
    <row r="868" spans="3:4" x14ac:dyDescent="0.25">
      <c r="C868" s="37"/>
      <c r="D868" s="35"/>
    </row>
    <row r="869" spans="3:4" x14ac:dyDescent="0.25">
      <c r="C869" s="37"/>
      <c r="D869" s="35"/>
    </row>
    <row r="870" spans="3:4" x14ac:dyDescent="0.25">
      <c r="C870" s="37"/>
      <c r="D870" s="35"/>
    </row>
    <row r="871" spans="3:4" x14ac:dyDescent="0.25">
      <c r="C871" s="37"/>
      <c r="D871" s="35"/>
    </row>
    <row r="872" spans="3:4" x14ac:dyDescent="0.25">
      <c r="C872" s="37"/>
      <c r="D872" s="35"/>
    </row>
    <row r="873" spans="3:4" x14ac:dyDescent="0.25">
      <c r="C873" s="37"/>
      <c r="D873" s="35"/>
    </row>
    <row r="874" spans="3:4" x14ac:dyDescent="0.25">
      <c r="C874" s="37"/>
      <c r="D874" s="35"/>
    </row>
    <row r="875" spans="3:4" x14ac:dyDescent="0.25">
      <c r="C875" s="37"/>
      <c r="D875" s="35"/>
    </row>
    <row r="876" spans="3:4" x14ac:dyDescent="0.25">
      <c r="C876" s="37"/>
      <c r="D876" s="35"/>
    </row>
    <row r="877" spans="3:4" x14ac:dyDescent="0.25">
      <c r="C877" s="37"/>
      <c r="D877" s="35"/>
    </row>
    <row r="878" spans="3:4" x14ac:dyDescent="0.25">
      <c r="C878" s="37"/>
      <c r="D878" s="35"/>
    </row>
    <row r="879" spans="3:4" x14ac:dyDescent="0.25">
      <c r="C879" s="37"/>
      <c r="D879" s="35"/>
    </row>
    <row r="880" spans="3:4" x14ac:dyDescent="0.25">
      <c r="C880" s="37"/>
      <c r="D880" s="35"/>
    </row>
    <row r="881" spans="3:4" x14ac:dyDescent="0.25">
      <c r="C881" s="37"/>
      <c r="D881" s="35"/>
    </row>
    <row r="882" spans="3:4" x14ac:dyDescent="0.25">
      <c r="C882" s="37"/>
      <c r="D882" s="35"/>
    </row>
    <row r="883" spans="3:4" x14ac:dyDescent="0.25">
      <c r="C883" s="37"/>
      <c r="D883" s="35"/>
    </row>
    <row r="884" spans="3:4" x14ac:dyDescent="0.25">
      <c r="C884" s="37"/>
      <c r="D884" s="35"/>
    </row>
    <row r="885" spans="3:4" x14ac:dyDescent="0.25">
      <c r="C885" s="37"/>
      <c r="D885" s="35"/>
    </row>
    <row r="886" spans="3:4" x14ac:dyDescent="0.25">
      <c r="C886" s="37"/>
      <c r="D886" s="35"/>
    </row>
    <row r="887" spans="3:4" x14ac:dyDescent="0.25">
      <c r="C887" s="37"/>
      <c r="D887" s="35"/>
    </row>
    <row r="888" spans="3:4" x14ac:dyDescent="0.25">
      <c r="C888" s="37"/>
      <c r="D888" s="35"/>
    </row>
    <row r="889" spans="3:4" x14ac:dyDescent="0.25">
      <c r="C889" s="37"/>
      <c r="D889" s="35"/>
    </row>
    <row r="890" spans="3:4" x14ac:dyDescent="0.25">
      <c r="C890" s="37"/>
      <c r="D890" s="35"/>
    </row>
    <row r="891" spans="3:4" x14ac:dyDescent="0.25">
      <c r="C891" s="37"/>
      <c r="D891" s="35"/>
    </row>
    <row r="892" spans="3:4" x14ac:dyDescent="0.25">
      <c r="C892" s="37"/>
      <c r="D892" s="35"/>
    </row>
    <row r="893" spans="3:4" x14ac:dyDescent="0.25">
      <c r="C893" s="37"/>
      <c r="D893" s="35"/>
    </row>
    <row r="894" spans="3:4" x14ac:dyDescent="0.25">
      <c r="C894" s="37"/>
      <c r="D894" s="35"/>
    </row>
    <row r="895" spans="3:4" x14ac:dyDescent="0.25">
      <c r="C895" s="37"/>
      <c r="D895" s="35"/>
    </row>
    <row r="896" spans="3:4" x14ac:dyDescent="0.25">
      <c r="C896" s="37"/>
      <c r="D896" s="35"/>
    </row>
    <row r="897" spans="3:4" x14ac:dyDescent="0.25">
      <c r="C897" s="37"/>
      <c r="D897" s="35"/>
    </row>
    <row r="898" spans="3:4" x14ac:dyDescent="0.25">
      <c r="C898" s="37"/>
      <c r="D898" s="35"/>
    </row>
    <row r="899" spans="3:4" x14ac:dyDescent="0.25">
      <c r="C899" s="37"/>
      <c r="D899" s="35"/>
    </row>
    <row r="900" spans="3:4" x14ac:dyDescent="0.25">
      <c r="C900" s="37"/>
      <c r="D900" s="35"/>
    </row>
    <row r="901" spans="3:4" x14ac:dyDescent="0.25">
      <c r="C901" s="37"/>
      <c r="D901" s="35"/>
    </row>
    <row r="902" spans="3:4" x14ac:dyDescent="0.25">
      <c r="C902" s="37"/>
      <c r="D902" s="35"/>
    </row>
    <row r="903" spans="3:4" x14ac:dyDescent="0.25">
      <c r="C903" s="37"/>
      <c r="D903" s="35"/>
    </row>
    <row r="904" spans="3:4" x14ac:dyDescent="0.25">
      <c r="C904" s="37"/>
      <c r="D904" s="35"/>
    </row>
    <row r="905" spans="3:4" x14ac:dyDescent="0.25">
      <c r="C905" s="37"/>
      <c r="D905" s="35"/>
    </row>
    <row r="906" spans="3:4" x14ac:dyDescent="0.25">
      <c r="C906" s="37"/>
      <c r="D906" s="35"/>
    </row>
    <row r="907" spans="3:4" x14ac:dyDescent="0.25">
      <c r="C907" s="37"/>
      <c r="D907" s="35"/>
    </row>
    <row r="908" spans="3:4" x14ac:dyDescent="0.25">
      <c r="C908" s="37"/>
      <c r="D908" s="35"/>
    </row>
    <row r="909" spans="3:4" x14ac:dyDescent="0.25">
      <c r="C909" s="37"/>
      <c r="D909" s="35"/>
    </row>
    <row r="910" spans="3:4" x14ac:dyDescent="0.25">
      <c r="C910" s="37"/>
      <c r="D910" s="35"/>
    </row>
    <row r="911" spans="3:4" x14ac:dyDescent="0.25">
      <c r="C911" s="37"/>
      <c r="D911" s="35"/>
    </row>
    <row r="912" spans="3:4" x14ac:dyDescent="0.25">
      <c r="C912" s="37"/>
      <c r="D912" s="35"/>
    </row>
    <row r="913" spans="3:4" x14ac:dyDescent="0.25">
      <c r="C913" s="37"/>
      <c r="D913" s="35"/>
    </row>
    <row r="914" spans="3:4" x14ac:dyDescent="0.25">
      <c r="C914" s="37"/>
      <c r="D914" s="35"/>
    </row>
    <row r="915" spans="3:4" x14ac:dyDescent="0.25">
      <c r="C915" s="37"/>
      <c r="D915" s="35"/>
    </row>
    <row r="916" spans="3:4" x14ac:dyDescent="0.25">
      <c r="C916" s="37"/>
      <c r="D916" s="35"/>
    </row>
    <row r="917" spans="3:4" x14ac:dyDescent="0.25">
      <c r="C917" s="37"/>
      <c r="D917" s="35"/>
    </row>
    <row r="918" spans="3:4" x14ac:dyDescent="0.25">
      <c r="C918" s="37"/>
      <c r="D918" s="35"/>
    </row>
    <row r="919" spans="3:4" x14ac:dyDescent="0.25">
      <c r="C919" s="37"/>
      <c r="D919" s="35"/>
    </row>
    <row r="920" spans="3:4" x14ac:dyDescent="0.25">
      <c r="C920" s="37"/>
      <c r="D920" s="35"/>
    </row>
    <row r="921" spans="3:4" x14ac:dyDescent="0.25">
      <c r="C921" s="37"/>
      <c r="D921" s="35"/>
    </row>
    <row r="922" spans="3:4" x14ac:dyDescent="0.25">
      <c r="C922" s="37"/>
      <c r="D922" s="35"/>
    </row>
    <row r="923" spans="3:4" x14ac:dyDescent="0.25">
      <c r="C923" s="37"/>
      <c r="D923" s="35"/>
    </row>
    <row r="924" spans="3:4" x14ac:dyDescent="0.25">
      <c r="C924" s="37"/>
      <c r="D924" s="35"/>
    </row>
    <row r="925" spans="3:4" x14ac:dyDescent="0.25">
      <c r="C925" s="37"/>
      <c r="D925" s="35"/>
    </row>
    <row r="926" spans="3:4" x14ac:dyDescent="0.25">
      <c r="C926" s="37"/>
      <c r="D926" s="35"/>
    </row>
    <row r="927" spans="3:4" x14ac:dyDescent="0.25">
      <c r="C927" s="37"/>
      <c r="D927" s="35"/>
    </row>
    <row r="928" spans="3:4" x14ac:dyDescent="0.25">
      <c r="C928" s="37"/>
      <c r="D928" s="35"/>
    </row>
    <row r="929" spans="3:4" x14ac:dyDescent="0.25">
      <c r="C929" s="37"/>
      <c r="D929" s="35"/>
    </row>
    <row r="930" spans="3:4" x14ac:dyDescent="0.25">
      <c r="C930" s="37"/>
      <c r="D930" s="35"/>
    </row>
    <row r="931" spans="3:4" x14ac:dyDescent="0.25">
      <c r="C931" s="37"/>
      <c r="D931" s="35"/>
    </row>
    <row r="932" spans="3:4" x14ac:dyDescent="0.25">
      <c r="C932" s="37"/>
      <c r="D932" s="35"/>
    </row>
    <row r="933" spans="3:4" x14ac:dyDescent="0.25">
      <c r="C933" s="37"/>
      <c r="D933" s="35"/>
    </row>
    <row r="934" spans="3:4" x14ac:dyDescent="0.25">
      <c r="C934" s="37"/>
      <c r="D934" s="35"/>
    </row>
    <row r="935" spans="3:4" x14ac:dyDescent="0.25">
      <c r="C935" s="37"/>
      <c r="D935" s="35"/>
    </row>
    <row r="936" spans="3:4" x14ac:dyDescent="0.25">
      <c r="C936" s="37"/>
      <c r="D936" s="35"/>
    </row>
    <row r="937" spans="3:4" x14ac:dyDescent="0.25">
      <c r="C937" s="37"/>
      <c r="D937" s="35"/>
    </row>
    <row r="938" spans="3:4" x14ac:dyDescent="0.25">
      <c r="C938" s="37"/>
      <c r="D938" s="35"/>
    </row>
    <row r="939" spans="3:4" x14ac:dyDescent="0.25">
      <c r="C939" s="37"/>
      <c r="D939" s="35"/>
    </row>
    <row r="940" spans="3:4" x14ac:dyDescent="0.25">
      <c r="C940" s="37"/>
      <c r="D940" s="35"/>
    </row>
    <row r="941" spans="3:4" x14ac:dyDescent="0.25">
      <c r="C941" s="37"/>
      <c r="D941" s="35"/>
    </row>
    <row r="942" spans="3:4" x14ac:dyDescent="0.25">
      <c r="C942" s="37"/>
      <c r="D942" s="35"/>
    </row>
    <row r="943" spans="3:4" x14ac:dyDescent="0.25">
      <c r="C943" s="37"/>
      <c r="D943" s="35"/>
    </row>
    <row r="944" spans="3:4" x14ac:dyDescent="0.25">
      <c r="C944" s="37"/>
      <c r="D944" s="35"/>
    </row>
    <row r="945" spans="3:4" x14ac:dyDescent="0.25">
      <c r="C945" s="37"/>
      <c r="D945" s="35"/>
    </row>
    <row r="946" spans="3:4" x14ac:dyDescent="0.25">
      <c r="C946" s="37"/>
      <c r="D946" s="35"/>
    </row>
    <row r="947" spans="3:4" x14ac:dyDescent="0.25">
      <c r="C947" s="37"/>
      <c r="D947" s="35"/>
    </row>
    <row r="948" spans="3:4" x14ac:dyDescent="0.25">
      <c r="C948" s="37"/>
      <c r="D948" s="35"/>
    </row>
    <row r="949" spans="3:4" x14ac:dyDescent="0.25">
      <c r="C949" s="37"/>
      <c r="D949" s="35"/>
    </row>
    <row r="950" spans="3:4" x14ac:dyDescent="0.25">
      <c r="C950" s="37"/>
      <c r="D950" s="35"/>
    </row>
    <row r="951" spans="3:4" x14ac:dyDescent="0.25">
      <c r="C951" s="37"/>
      <c r="D951" s="35"/>
    </row>
    <row r="952" spans="3:4" x14ac:dyDescent="0.25">
      <c r="C952" s="37"/>
      <c r="D952" s="35"/>
    </row>
    <row r="953" spans="3:4" x14ac:dyDescent="0.25">
      <c r="C953" s="37"/>
      <c r="D953" s="35"/>
    </row>
    <row r="954" spans="3:4" x14ac:dyDescent="0.25">
      <c r="C954" s="37"/>
      <c r="D954" s="35"/>
    </row>
    <row r="955" spans="3:4" x14ac:dyDescent="0.25">
      <c r="C955" s="37"/>
      <c r="D955" s="35"/>
    </row>
    <row r="956" spans="3:4" x14ac:dyDescent="0.25">
      <c r="C956" s="37"/>
      <c r="D956" s="35"/>
    </row>
    <row r="957" spans="3:4" x14ac:dyDescent="0.25">
      <c r="C957" s="37"/>
      <c r="D957" s="35"/>
    </row>
    <row r="958" spans="3:4" x14ac:dyDescent="0.25">
      <c r="C958" s="37"/>
      <c r="D958" s="35"/>
    </row>
    <row r="959" spans="3:4" x14ac:dyDescent="0.25">
      <c r="C959" s="37"/>
      <c r="D959" s="35"/>
    </row>
    <row r="960" spans="3:4" x14ac:dyDescent="0.25">
      <c r="C960" s="37"/>
      <c r="D960" s="35"/>
    </row>
    <row r="961" spans="3:4" x14ac:dyDescent="0.25">
      <c r="C961" s="37"/>
      <c r="D961" s="35"/>
    </row>
    <row r="962" spans="3:4" x14ac:dyDescent="0.25">
      <c r="C962" s="37"/>
      <c r="D962" s="35"/>
    </row>
    <row r="963" spans="3:4" x14ac:dyDescent="0.25">
      <c r="C963" s="37"/>
      <c r="D963" s="35"/>
    </row>
    <row r="964" spans="3:4" x14ac:dyDescent="0.25">
      <c r="C964" s="37"/>
      <c r="D964" s="35"/>
    </row>
    <row r="965" spans="3:4" x14ac:dyDescent="0.25">
      <c r="C965" s="37"/>
      <c r="D965" s="35"/>
    </row>
    <row r="966" spans="3:4" x14ac:dyDescent="0.25">
      <c r="C966" s="37"/>
      <c r="D966" s="35"/>
    </row>
    <row r="967" spans="3:4" x14ac:dyDescent="0.25">
      <c r="C967" s="37"/>
      <c r="D967" s="35"/>
    </row>
    <row r="968" spans="3:4" x14ac:dyDescent="0.25">
      <c r="C968" s="37"/>
      <c r="D968" s="35"/>
    </row>
    <row r="969" spans="3:4" x14ac:dyDescent="0.25">
      <c r="C969" s="37"/>
      <c r="D969" s="35"/>
    </row>
    <row r="970" spans="3:4" x14ac:dyDescent="0.25">
      <c r="C970" s="37"/>
      <c r="D970" s="35"/>
    </row>
    <row r="971" spans="3:4" x14ac:dyDescent="0.25">
      <c r="C971" s="37"/>
      <c r="D971" s="35"/>
    </row>
    <row r="972" spans="3:4" x14ac:dyDescent="0.25">
      <c r="C972" s="37"/>
      <c r="D972" s="35"/>
    </row>
    <row r="973" spans="3:4" x14ac:dyDescent="0.25">
      <c r="C973" s="37"/>
      <c r="D973" s="35"/>
    </row>
    <row r="974" spans="3:4" x14ac:dyDescent="0.25">
      <c r="C974" s="37"/>
      <c r="D974" s="35"/>
    </row>
    <row r="975" spans="3:4" x14ac:dyDescent="0.25">
      <c r="C975" s="37"/>
      <c r="D975" s="35"/>
    </row>
    <row r="976" spans="3:4" x14ac:dyDescent="0.25">
      <c r="C976" s="37"/>
      <c r="D976" s="35"/>
    </row>
    <row r="977" spans="3:4" x14ac:dyDescent="0.25">
      <c r="C977" s="37"/>
      <c r="D977" s="35"/>
    </row>
    <row r="978" spans="3:4" x14ac:dyDescent="0.25">
      <c r="C978" s="37"/>
      <c r="D978" s="35"/>
    </row>
    <row r="979" spans="3:4" x14ac:dyDescent="0.25">
      <c r="C979" s="37"/>
      <c r="D979" s="35"/>
    </row>
    <row r="980" spans="3:4" x14ac:dyDescent="0.25">
      <c r="C980" s="37"/>
      <c r="D980" s="35"/>
    </row>
    <row r="981" spans="3:4" x14ac:dyDescent="0.25">
      <c r="C981" s="37"/>
      <c r="D981" s="35"/>
    </row>
    <row r="982" spans="3:4" x14ac:dyDescent="0.25">
      <c r="C982" s="37"/>
      <c r="D982" s="35"/>
    </row>
    <row r="983" spans="3:4" x14ac:dyDescent="0.25">
      <c r="C983" s="37"/>
      <c r="D983" s="35"/>
    </row>
    <row r="984" spans="3:4" x14ac:dyDescent="0.25">
      <c r="C984" s="37"/>
      <c r="D984" s="35"/>
    </row>
    <row r="985" spans="3:4" x14ac:dyDescent="0.25">
      <c r="C985" s="37"/>
      <c r="D985" s="35"/>
    </row>
    <row r="986" spans="3:4" x14ac:dyDescent="0.25">
      <c r="C986" s="37"/>
      <c r="D986" s="35"/>
    </row>
    <row r="987" spans="3:4" x14ac:dyDescent="0.25">
      <c r="C987" s="37"/>
      <c r="D987" s="35"/>
    </row>
    <row r="988" spans="3:4" x14ac:dyDescent="0.25">
      <c r="C988" s="37"/>
      <c r="D988" s="35"/>
    </row>
    <row r="989" spans="3:4" x14ac:dyDescent="0.25">
      <c r="C989" s="37"/>
      <c r="D989" s="35"/>
    </row>
    <row r="990" spans="3:4" x14ac:dyDescent="0.25">
      <c r="C990" s="37"/>
      <c r="D990" s="35"/>
    </row>
    <row r="991" spans="3:4" x14ac:dyDescent="0.25">
      <c r="C991" s="37"/>
      <c r="D991" s="35"/>
    </row>
    <row r="992" spans="3:4" x14ac:dyDescent="0.25">
      <c r="C992" s="37"/>
      <c r="D992" s="35"/>
    </row>
    <row r="993" spans="3:4" x14ac:dyDescent="0.25">
      <c r="C993" s="37"/>
      <c r="D993" s="35"/>
    </row>
    <row r="994" spans="3:4" x14ac:dyDescent="0.25">
      <c r="C994" s="37"/>
      <c r="D994" s="35"/>
    </row>
    <row r="995" spans="3:4" x14ac:dyDescent="0.25">
      <c r="C995" s="37"/>
      <c r="D995" s="35"/>
    </row>
    <row r="996" spans="3:4" x14ac:dyDescent="0.25">
      <c r="C996" s="37"/>
      <c r="D996" s="35"/>
    </row>
    <row r="997" spans="3:4" x14ac:dyDescent="0.25">
      <c r="C997" s="37"/>
      <c r="D997" s="35"/>
    </row>
    <row r="998" spans="3:4" x14ac:dyDescent="0.25">
      <c r="C998" s="37"/>
      <c r="D998" s="35"/>
    </row>
    <row r="999" spans="3:4" x14ac:dyDescent="0.25">
      <c r="C999" s="37"/>
      <c r="D999" s="35"/>
    </row>
    <row r="1000" spans="3:4" x14ac:dyDescent="0.25">
      <c r="C1000" s="37"/>
      <c r="D1000" s="35"/>
    </row>
    <row r="1001" spans="3:4" x14ac:dyDescent="0.25">
      <c r="C1001" s="37"/>
      <c r="D1001" s="35"/>
    </row>
    <row r="1002" spans="3:4" x14ac:dyDescent="0.25">
      <c r="C1002" s="37"/>
      <c r="D1002" s="35"/>
    </row>
    <row r="1003" spans="3:4" x14ac:dyDescent="0.25">
      <c r="C1003" s="37"/>
      <c r="D1003" s="35"/>
    </row>
    <row r="1004" spans="3:4" x14ac:dyDescent="0.25">
      <c r="C1004" s="37"/>
      <c r="D1004" s="35"/>
    </row>
    <row r="1005" spans="3:4" x14ac:dyDescent="0.25">
      <c r="C1005" s="37"/>
      <c r="D1005" s="35"/>
    </row>
    <row r="1006" spans="3:4" x14ac:dyDescent="0.25">
      <c r="C1006" s="37"/>
      <c r="D1006" s="35"/>
    </row>
    <row r="1007" spans="3:4" x14ac:dyDescent="0.25">
      <c r="C1007" s="37"/>
      <c r="D1007" s="35"/>
    </row>
    <row r="1008" spans="3:4" x14ac:dyDescent="0.25">
      <c r="C1008" s="37"/>
      <c r="D1008" s="35"/>
    </row>
    <row r="1009" spans="3:4" x14ac:dyDescent="0.25">
      <c r="C1009" s="37"/>
      <c r="D1009" s="35"/>
    </row>
    <row r="1010" spans="3:4" x14ac:dyDescent="0.25">
      <c r="C1010" s="37"/>
      <c r="D1010" s="35"/>
    </row>
    <row r="1011" spans="3:4" x14ac:dyDescent="0.25">
      <c r="C1011" s="37"/>
      <c r="D1011" s="35"/>
    </row>
    <row r="1012" spans="3:4" x14ac:dyDescent="0.25">
      <c r="C1012" s="37"/>
      <c r="D1012" s="35"/>
    </row>
    <row r="1013" spans="3:4" x14ac:dyDescent="0.25">
      <c r="C1013" s="37"/>
      <c r="D1013" s="35"/>
    </row>
    <row r="1014" spans="3:4" x14ac:dyDescent="0.25">
      <c r="C1014" s="37"/>
      <c r="D1014" s="35"/>
    </row>
    <row r="1015" spans="3:4" x14ac:dyDescent="0.25">
      <c r="C1015" s="37"/>
      <c r="D1015" s="35"/>
    </row>
    <row r="1016" spans="3:4" x14ac:dyDescent="0.25">
      <c r="C1016" s="37"/>
      <c r="D1016" s="35"/>
    </row>
    <row r="1017" spans="3:4" x14ac:dyDescent="0.25">
      <c r="C1017" s="37"/>
      <c r="D1017" s="35"/>
    </row>
    <row r="1018" spans="3:4" x14ac:dyDescent="0.25">
      <c r="C1018" s="37"/>
      <c r="D1018" s="35"/>
    </row>
    <row r="1019" spans="3:4" x14ac:dyDescent="0.25">
      <c r="C1019" s="37"/>
      <c r="D1019" s="35"/>
    </row>
    <row r="1020" spans="3:4" x14ac:dyDescent="0.25">
      <c r="C1020" s="37"/>
      <c r="D1020" s="35"/>
    </row>
    <row r="1021" spans="3:4" x14ac:dyDescent="0.25">
      <c r="C1021" s="37"/>
      <c r="D1021" s="35"/>
    </row>
    <row r="1022" spans="3:4" x14ac:dyDescent="0.25">
      <c r="C1022" s="37"/>
      <c r="D1022" s="35"/>
    </row>
    <row r="1023" spans="3:4" x14ac:dyDescent="0.25">
      <c r="C1023" s="37"/>
      <c r="D1023" s="35"/>
    </row>
    <row r="1024" spans="3:4" x14ac:dyDescent="0.25">
      <c r="C1024" s="37"/>
      <c r="D1024" s="35"/>
    </row>
    <row r="1025" spans="3:4" x14ac:dyDescent="0.25">
      <c r="C1025" s="37"/>
      <c r="D1025" s="35"/>
    </row>
    <row r="1026" spans="3:4" x14ac:dyDescent="0.25">
      <c r="C1026" s="37"/>
      <c r="D1026" s="35"/>
    </row>
    <row r="1027" spans="3:4" x14ac:dyDescent="0.25">
      <c r="C1027" s="37"/>
      <c r="D1027" s="35"/>
    </row>
    <row r="1028" spans="3:4" x14ac:dyDescent="0.25">
      <c r="C1028" s="37"/>
      <c r="D1028" s="35"/>
    </row>
    <row r="1029" spans="3:4" x14ac:dyDescent="0.25">
      <c r="C1029" s="37"/>
      <c r="D1029" s="35"/>
    </row>
    <row r="1030" spans="3:4" x14ac:dyDescent="0.25">
      <c r="C1030" s="37"/>
      <c r="D1030" s="35"/>
    </row>
    <row r="1031" spans="3:4" x14ac:dyDescent="0.25">
      <c r="C1031" s="37"/>
      <c r="D1031" s="35"/>
    </row>
    <row r="1032" spans="3:4" x14ac:dyDescent="0.25">
      <c r="C1032" s="37"/>
      <c r="D1032" s="35"/>
    </row>
    <row r="1033" spans="3:4" x14ac:dyDescent="0.25">
      <c r="C1033" s="37"/>
      <c r="D1033" s="35"/>
    </row>
    <row r="1034" spans="3:4" x14ac:dyDescent="0.25">
      <c r="C1034" s="37"/>
      <c r="D1034" s="35"/>
    </row>
    <row r="1035" spans="3:4" x14ac:dyDescent="0.25">
      <c r="C1035" s="37"/>
      <c r="D1035" s="35"/>
    </row>
    <row r="1036" spans="3:4" x14ac:dyDescent="0.25">
      <c r="C1036" s="37"/>
      <c r="D1036" s="35"/>
    </row>
    <row r="1037" spans="3:4" x14ac:dyDescent="0.25">
      <c r="C1037" s="37"/>
      <c r="D1037" s="35"/>
    </row>
    <row r="1038" spans="3:4" x14ac:dyDescent="0.25">
      <c r="C1038" s="37"/>
      <c r="D1038" s="35"/>
    </row>
    <row r="1039" spans="3:4" x14ac:dyDescent="0.25">
      <c r="C1039" s="37"/>
      <c r="D1039" s="35"/>
    </row>
    <row r="1040" spans="3:4" x14ac:dyDescent="0.25">
      <c r="C1040" s="37"/>
      <c r="D1040" s="35"/>
    </row>
    <row r="1041" spans="3:4" x14ac:dyDescent="0.25">
      <c r="C1041" s="37"/>
      <c r="D1041" s="35"/>
    </row>
    <row r="1042" spans="3:4" x14ac:dyDescent="0.25">
      <c r="C1042" s="37"/>
      <c r="D1042" s="35"/>
    </row>
    <row r="1043" spans="3:4" x14ac:dyDescent="0.25">
      <c r="C1043" s="37"/>
      <c r="D1043" s="35"/>
    </row>
    <row r="1044" spans="3:4" x14ac:dyDescent="0.25">
      <c r="C1044" s="37"/>
      <c r="D1044" s="35"/>
    </row>
    <row r="1045" spans="3:4" x14ac:dyDescent="0.25">
      <c r="C1045" s="37"/>
      <c r="D1045" s="35"/>
    </row>
    <row r="1046" spans="3:4" x14ac:dyDescent="0.25">
      <c r="C1046" s="37"/>
      <c r="D1046" s="35"/>
    </row>
    <row r="1047" spans="3:4" x14ac:dyDescent="0.25">
      <c r="C1047" s="37"/>
      <c r="D1047" s="35"/>
    </row>
    <row r="1048" spans="3:4" x14ac:dyDescent="0.25">
      <c r="C1048" s="37"/>
      <c r="D1048" s="35"/>
    </row>
    <row r="1049" spans="3:4" x14ac:dyDescent="0.25">
      <c r="C1049" s="37"/>
      <c r="D1049" s="35"/>
    </row>
    <row r="1050" spans="3:4" x14ac:dyDescent="0.25">
      <c r="C1050" s="37"/>
      <c r="D1050" s="35"/>
    </row>
    <row r="1051" spans="3:4" x14ac:dyDescent="0.25">
      <c r="C1051" s="37"/>
      <c r="D1051" s="35"/>
    </row>
    <row r="1052" spans="3:4" x14ac:dyDescent="0.25">
      <c r="C1052" s="37"/>
      <c r="D1052" s="35"/>
    </row>
    <row r="1053" spans="3:4" x14ac:dyDescent="0.25">
      <c r="C1053" s="37"/>
      <c r="D1053" s="35"/>
    </row>
    <row r="1054" spans="3:4" x14ac:dyDescent="0.25">
      <c r="C1054" s="37"/>
      <c r="D1054" s="35"/>
    </row>
    <row r="1055" spans="3:4" x14ac:dyDescent="0.25">
      <c r="C1055" s="37"/>
      <c r="D1055" s="35"/>
    </row>
    <row r="1056" spans="3:4" x14ac:dyDescent="0.25">
      <c r="C1056" s="37"/>
      <c r="D1056" s="35"/>
    </row>
    <row r="1057" spans="3:4" x14ac:dyDescent="0.25">
      <c r="C1057" s="37"/>
      <c r="D1057" s="35"/>
    </row>
    <row r="1058" spans="3:4" x14ac:dyDescent="0.25">
      <c r="C1058" s="37"/>
      <c r="D1058" s="35"/>
    </row>
    <row r="1059" spans="3:4" x14ac:dyDescent="0.25">
      <c r="C1059" s="37"/>
      <c r="D1059" s="35"/>
    </row>
    <row r="1060" spans="3:4" x14ac:dyDescent="0.25">
      <c r="C1060" s="37"/>
      <c r="D1060" s="35"/>
    </row>
    <row r="1061" spans="3:4" x14ac:dyDescent="0.25">
      <c r="C1061" s="37"/>
      <c r="D1061" s="35"/>
    </row>
    <row r="1062" spans="3:4" x14ac:dyDescent="0.25">
      <c r="C1062" s="37"/>
      <c r="D1062" s="35"/>
    </row>
    <row r="1063" spans="3:4" x14ac:dyDescent="0.25">
      <c r="C1063" s="37"/>
      <c r="D1063" s="35"/>
    </row>
    <row r="1064" spans="3:4" x14ac:dyDescent="0.25">
      <c r="C1064" s="37"/>
      <c r="D1064" s="35"/>
    </row>
    <row r="1065" spans="3:4" x14ac:dyDescent="0.25">
      <c r="C1065" s="37"/>
      <c r="D1065" s="35"/>
    </row>
    <row r="1066" spans="3:4" x14ac:dyDescent="0.25">
      <c r="C1066" s="37"/>
      <c r="D1066" s="35"/>
    </row>
    <row r="1067" spans="3:4" x14ac:dyDescent="0.25">
      <c r="C1067" s="37"/>
      <c r="D1067" s="35"/>
    </row>
    <row r="1068" spans="3:4" x14ac:dyDescent="0.25">
      <c r="C1068" s="37"/>
      <c r="D1068" s="35"/>
    </row>
    <row r="1069" spans="3:4" x14ac:dyDescent="0.25">
      <c r="C1069" s="37"/>
      <c r="D1069" s="35"/>
    </row>
    <row r="1070" spans="3:4" x14ac:dyDescent="0.25">
      <c r="C1070" s="37"/>
      <c r="D1070" s="35"/>
    </row>
    <row r="1071" spans="3:4" x14ac:dyDescent="0.25">
      <c r="C1071" s="37"/>
      <c r="D1071" s="35"/>
    </row>
    <row r="1072" spans="3:4" x14ac:dyDescent="0.25">
      <c r="C1072" s="37"/>
      <c r="D1072" s="35"/>
    </row>
    <row r="1073" spans="3:4" x14ac:dyDescent="0.25">
      <c r="C1073" s="37"/>
      <c r="D1073" s="35"/>
    </row>
    <row r="1074" spans="3:4" x14ac:dyDescent="0.25">
      <c r="C1074" s="37"/>
      <c r="D1074" s="35"/>
    </row>
    <row r="1075" spans="3:4" x14ac:dyDescent="0.25">
      <c r="C1075" s="37"/>
      <c r="D1075" s="35"/>
    </row>
    <row r="1076" spans="3:4" x14ac:dyDescent="0.25">
      <c r="C1076" s="37"/>
      <c r="D1076" s="35"/>
    </row>
    <row r="1077" spans="3:4" x14ac:dyDescent="0.25">
      <c r="C1077" s="37"/>
      <c r="D1077" s="35"/>
    </row>
    <row r="1078" spans="3:4" x14ac:dyDescent="0.25">
      <c r="C1078" s="37"/>
      <c r="D1078" s="35"/>
    </row>
    <row r="1079" spans="3:4" x14ac:dyDescent="0.25">
      <c r="C1079" s="37"/>
      <c r="D1079" s="35"/>
    </row>
    <row r="1080" spans="3:4" x14ac:dyDescent="0.25">
      <c r="C1080" s="37"/>
      <c r="D1080" s="35"/>
    </row>
    <row r="1081" spans="3:4" x14ac:dyDescent="0.25">
      <c r="C1081" s="37"/>
      <c r="D1081" s="35"/>
    </row>
    <row r="1082" spans="3:4" x14ac:dyDescent="0.25">
      <c r="C1082" s="37"/>
      <c r="D1082" s="35"/>
    </row>
    <row r="1083" spans="3:4" x14ac:dyDescent="0.25">
      <c r="C1083" s="37"/>
      <c r="D1083" s="35"/>
    </row>
    <row r="1084" spans="3:4" x14ac:dyDescent="0.25">
      <c r="C1084" s="37"/>
      <c r="D1084" s="35"/>
    </row>
    <row r="1085" spans="3:4" x14ac:dyDescent="0.25">
      <c r="C1085" s="37"/>
      <c r="D1085" s="35"/>
    </row>
    <row r="1086" spans="3:4" x14ac:dyDescent="0.25">
      <c r="C1086" s="37"/>
      <c r="D1086" s="35"/>
    </row>
    <row r="1087" spans="3:4" x14ac:dyDescent="0.25">
      <c r="C1087" s="37"/>
      <c r="D1087" s="35"/>
    </row>
    <row r="1088" spans="3:4" x14ac:dyDescent="0.25">
      <c r="C1088" s="37"/>
      <c r="D1088" s="35"/>
    </row>
    <row r="1089" spans="3:4" x14ac:dyDescent="0.25">
      <c r="C1089" s="37"/>
      <c r="D1089" s="35"/>
    </row>
    <row r="1090" spans="3:4" x14ac:dyDescent="0.25">
      <c r="C1090" s="37"/>
      <c r="D1090" s="35"/>
    </row>
    <row r="1091" spans="3:4" x14ac:dyDescent="0.25">
      <c r="C1091" s="37"/>
      <c r="D1091" s="35"/>
    </row>
    <row r="1092" spans="3:4" x14ac:dyDescent="0.25">
      <c r="C1092" s="37"/>
      <c r="D1092" s="35"/>
    </row>
    <row r="1093" spans="3:4" x14ac:dyDescent="0.25">
      <c r="C1093" s="37"/>
      <c r="D1093" s="35"/>
    </row>
    <row r="1094" spans="3:4" x14ac:dyDescent="0.25">
      <c r="C1094" s="37"/>
      <c r="D1094" s="35"/>
    </row>
    <row r="1095" spans="3:4" x14ac:dyDescent="0.25">
      <c r="C1095" s="37"/>
      <c r="D1095" s="35"/>
    </row>
    <row r="1096" spans="3:4" x14ac:dyDescent="0.25">
      <c r="C1096" s="37"/>
      <c r="D1096" s="35"/>
    </row>
    <row r="1097" spans="3:4" x14ac:dyDescent="0.25">
      <c r="C1097" s="37"/>
      <c r="D1097" s="35"/>
    </row>
    <row r="1098" spans="3:4" x14ac:dyDescent="0.25">
      <c r="C1098" s="37"/>
      <c r="D1098" s="35"/>
    </row>
    <row r="1099" spans="3:4" x14ac:dyDescent="0.25">
      <c r="C1099" s="37"/>
      <c r="D1099" s="35"/>
    </row>
    <row r="1100" spans="3:4" x14ac:dyDescent="0.25">
      <c r="C1100" s="37"/>
      <c r="D1100" s="35"/>
    </row>
    <row r="1101" spans="3:4" x14ac:dyDescent="0.25">
      <c r="C1101" s="37"/>
      <c r="D1101" s="35"/>
    </row>
    <row r="1102" spans="3:4" x14ac:dyDescent="0.25">
      <c r="C1102" s="37"/>
      <c r="D1102" s="35"/>
    </row>
    <row r="1103" spans="3:4" x14ac:dyDescent="0.25">
      <c r="C1103" s="37"/>
      <c r="D1103" s="35"/>
    </row>
    <row r="1104" spans="3:4" x14ac:dyDescent="0.25">
      <c r="C1104" s="37"/>
      <c r="D1104" s="35"/>
    </row>
    <row r="1105" spans="3:4" x14ac:dyDescent="0.25">
      <c r="C1105" s="37"/>
      <c r="D1105" s="35"/>
    </row>
    <row r="1106" spans="3:4" x14ac:dyDescent="0.25">
      <c r="C1106" s="37"/>
      <c r="D1106" s="35"/>
    </row>
    <row r="1107" spans="3:4" x14ac:dyDescent="0.25">
      <c r="C1107" s="37"/>
      <c r="D1107" s="35"/>
    </row>
    <row r="1108" spans="3:4" x14ac:dyDescent="0.25">
      <c r="C1108" s="37"/>
      <c r="D1108" s="35"/>
    </row>
    <row r="1109" spans="3:4" x14ac:dyDescent="0.25">
      <c r="C1109" s="37"/>
      <c r="D1109" s="35"/>
    </row>
    <row r="1110" spans="3:4" x14ac:dyDescent="0.25">
      <c r="C1110" s="37"/>
      <c r="D1110" s="35"/>
    </row>
    <row r="1111" spans="3:4" x14ac:dyDescent="0.25">
      <c r="C1111" s="37"/>
      <c r="D1111" s="35"/>
    </row>
    <row r="1112" spans="3:4" x14ac:dyDescent="0.25">
      <c r="C1112" s="37"/>
      <c r="D1112" s="35"/>
    </row>
    <row r="1113" spans="3:4" x14ac:dyDescent="0.25">
      <c r="C1113" s="37"/>
      <c r="D1113" s="35"/>
    </row>
    <row r="1114" spans="3:4" x14ac:dyDescent="0.25">
      <c r="C1114" s="37"/>
      <c r="D1114" s="35"/>
    </row>
    <row r="1115" spans="3:4" x14ac:dyDescent="0.25">
      <c r="C1115" s="37"/>
      <c r="D1115" s="35"/>
    </row>
    <row r="1116" spans="3:4" x14ac:dyDescent="0.25">
      <c r="C1116" s="37"/>
      <c r="D1116" s="35"/>
    </row>
    <row r="1117" spans="3:4" x14ac:dyDescent="0.25">
      <c r="C1117" s="37"/>
      <c r="D1117" s="35"/>
    </row>
    <row r="1118" spans="3:4" x14ac:dyDescent="0.25">
      <c r="C1118" s="37"/>
      <c r="D1118" s="35"/>
    </row>
    <row r="1119" spans="3:4" x14ac:dyDescent="0.25">
      <c r="C1119" s="37"/>
      <c r="D1119" s="35"/>
    </row>
    <row r="1120" spans="3:4" x14ac:dyDescent="0.25">
      <c r="C1120" s="37"/>
      <c r="D1120" s="35"/>
    </row>
    <row r="1121" spans="3:4" x14ac:dyDescent="0.25">
      <c r="C1121" s="37"/>
      <c r="D1121" s="35"/>
    </row>
    <row r="1122" spans="3:4" x14ac:dyDescent="0.25">
      <c r="C1122" s="37"/>
      <c r="D1122" s="35"/>
    </row>
    <row r="1123" spans="3:4" x14ac:dyDescent="0.25">
      <c r="C1123" s="37"/>
      <c r="D1123" s="35"/>
    </row>
    <row r="1124" spans="3:4" x14ac:dyDescent="0.25">
      <c r="C1124" s="37"/>
      <c r="D1124" s="35"/>
    </row>
    <row r="1125" spans="3:4" x14ac:dyDescent="0.25">
      <c r="C1125" s="37"/>
      <c r="D1125" s="35"/>
    </row>
    <row r="1126" spans="3:4" x14ac:dyDescent="0.25">
      <c r="C1126" s="37"/>
      <c r="D1126" s="35"/>
    </row>
    <row r="1127" spans="3:4" x14ac:dyDescent="0.25">
      <c r="C1127" s="37"/>
      <c r="D1127" s="35"/>
    </row>
    <row r="1128" spans="3:4" x14ac:dyDescent="0.25">
      <c r="C1128" s="37"/>
      <c r="D1128" s="35"/>
    </row>
    <row r="1129" spans="3:4" x14ac:dyDescent="0.25">
      <c r="C1129" s="37"/>
      <c r="D1129" s="35"/>
    </row>
    <row r="1130" spans="3:4" x14ac:dyDescent="0.25">
      <c r="C1130" s="37"/>
      <c r="D1130" s="35"/>
    </row>
    <row r="1131" spans="3:4" x14ac:dyDescent="0.25">
      <c r="C1131" s="37"/>
      <c r="D1131" s="35"/>
    </row>
    <row r="1132" spans="3:4" x14ac:dyDescent="0.25">
      <c r="C1132" s="37"/>
      <c r="D1132" s="35"/>
    </row>
    <row r="1133" spans="3:4" x14ac:dyDescent="0.25">
      <c r="C1133" s="37"/>
      <c r="D1133" s="35"/>
    </row>
    <row r="1134" spans="3:4" x14ac:dyDescent="0.25">
      <c r="C1134" s="37"/>
      <c r="D1134" s="35"/>
    </row>
    <row r="1135" spans="3:4" x14ac:dyDescent="0.25">
      <c r="C1135" s="37"/>
      <c r="D1135" s="35"/>
    </row>
    <row r="1136" spans="3:4" x14ac:dyDescent="0.25">
      <c r="C1136" s="37"/>
      <c r="D1136" s="35"/>
    </row>
    <row r="1137" spans="3:4" x14ac:dyDescent="0.25">
      <c r="C1137" s="37"/>
      <c r="D1137" s="35"/>
    </row>
    <row r="1138" spans="3:4" x14ac:dyDescent="0.25">
      <c r="C1138" s="37"/>
      <c r="D1138" s="35"/>
    </row>
    <row r="1139" spans="3:4" x14ac:dyDescent="0.25">
      <c r="C1139" s="37"/>
      <c r="D1139" s="35"/>
    </row>
    <row r="1140" spans="3:4" x14ac:dyDescent="0.25">
      <c r="C1140" s="37"/>
      <c r="D1140" s="35"/>
    </row>
    <row r="1141" spans="3:4" x14ac:dyDescent="0.25">
      <c r="C1141" s="37"/>
      <c r="D1141" s="35"/>
    </row>
    <row r="1142" spans="3:4" x14ac:dyDescent="0.25">
      <c r="C1142" s="37"/>
      <c r="D1142" s="35"/>
    </row>
    <row r="1143" spans="3:4" x14ac:dyDescent="0.25">
      <c r="C1143" s="37"/>
      <c r="D1143" s="35"/>
    </row>
    <row r="1144" spans="3:4" x14ac:dyDescent="0.25">
      <c r="C1144" s="37"/>
      <c r="D1144" s="35"/>
    </row>
    <row r="1145" spans="3:4" x14ac:dyDescent="0.25">
      <c r="C1145" s="37"/>
      <c r="D1145" s="35"/>
    </row>
    <row r="1146" spans="3:4" x14ac:dyDescent="0.25">
      <c r="C1146" s="37"/>
      <c r="D1146" s="35"/>
    </row>
    <row r="1147" spans="3:4" x14ac:dyDescent="0.25">
      <c r="C1147" s="37"/>
      <c r="D1147" s="35"/>
    </row>
    <row r="1148" spans="3:4" x14ac:dyDescent="0.25">
      <c r="C1148" s="37"/>
      <c r="D1148" s="35"/>
    </row>
    <row r="1149" spans="3:4" x14ac:dyDescent="0.25">
      <c r="C1149" s="37"/>
      <c r="D1149" s="35"/>
    </row>
    <row r="1150" spans="3:4" x14ac:dyDescent="0.25">
      <c r="C1150" s="37"/>
      <c r="D1150" s="35"/>
    </row>
    <row r="1151" spans="3:4" x14ac:dyDescent="0.25">
      <c r="C1151" s="37"/>
      <c r="D1151" s="35"/>
    </row>
    <row r="1152" spans="3:4" x14ac:dyDescent="0.25">
      <c r="C1152" s="37"/>
      <c r="D1152" s="35"/>
    </row>
    <row r="1153" spans="3:4" x14ac:dyDescent="0.25">
      <c r="C1153" s="37"/>
      <c r="D1153" s="35"/>
    </row>
    <row r="1154" spans="3:4" x14ac:dyDescent="0.25">
      <c r="C1154" s="37"/>
      <c r="D1154" s="35"/>
    </row>
    <row r="1155" spans="3:4" x14ac:dyDescent="0.25">
      <c r="C1155" s="37"/>
      <c r="D1155" s="35"/>
    </row>
    <row r="1156" spans="3:4" x14ac:dyDescent="0.25">
      <c r="C1156" s="37"/>
      <c r="D1156" s="35"/>
    </row>
    <row r="1157" spans="3:4" x14ac:dyDescent="0.25">
      <c r="C1157" s="37"/>
      <c r="D1157" s="35"/>
    </row>
    <row r="1158" spans="3:4" x14ac:dyDescent="0.25">
      <c r="C1158" s="37"/>
      <c r="D1158" s="35"/>
    </row>
    <row r="1159" spans="3:4" x14ac:dyDescent="0.25">
      <c r="C1159" s="37"/>
      <c r="D1159" s="35"/>
    </row>
    <row r="1160" spans="3:4" x14ac:dyDescent="0.25">
      <c r="C1160" s="37"/>
      <c r="D1160" s="35"/>
    </row>
    <row r="1161" spans="3:4" x14ac:dyDescent="0.25">
      <c r="C1161" s="37"/>
      <c r="D1161" s="35"/>
    </row>
    <row r="1162" spans="3:4" x14ac:dyDescent="0.25">
      <c r="C1162" s="37"/>
      <c r="D1162" s="35"/>
    </row>
    <row r="1163" spans="3:4" x14ac:dyDescent="0.25">
      <c r="C1163" s="37"/>
      <c r="D1163" s="35"/>
    </row>
    <row r="1164" spans="3:4" x14ac:dyDescent="0.25">
      <c r="C1164" s="37"/>
      <c r="D1164" s="35"/>
    </row>
    <row r="1165" spans="3:4" x14ac:dyDescent="0.25">
      <c r="C1165" s="37"/>
      <c r="D1165" s="35"/>
    </row>
    <row r="1166" spans="3:4" x14ac:dyDescent="0.25">
      <c r="C1166" s="37"/>
      <c r="D1166" s="35"/>
    </row>
    <row r="1167" spans="3:4" x14ac:dyDescent="0.25">
      <c r="C1167" s="37"/>
      <c r="D1167" s="35"/>
    </row>
    <row r="1168" spans="3:4" x14ac:dyDescent="0.25">
      <c r="C1168" s="37"/>
      <c r="D1168" s="35"/>
    </row>
    <row r="1169" spans="3:4" x14ac:dyDescent="0.25">
      <c r="C1169" s="37"/>
      <c r="D1169" s="35"/>
    </row>
    <row r="1170" spans="3:4" x14ac:dyDescent="0.25">
      <c r="C1170" s="37"/>
      <c r="D1170" s="35"/>
    </row>
    <row r="1171" spans="3:4" x14ac:dyDescent="0.25">
      <c r="C1171" s="37"/>
      <c r="D1171" s="35"/>
    </row>
    <row r="1172" spans="3:4" x14ac:dyDescent="0.25">
      <c r="C1172" s="37"/>
      <c r="D1172" s="35"/>
    </row>
    <row r="1173" spans="3:4" x14ac:dyDescent="0.25">
      <c r="C1173" s="37"/>
      <c r="D1173" s="35"/>
    </row>
    <row r="1174" spans="3:4" x14ac:dyDescent="0.25">
      <c r="C1174" s="37"/>
      <c r="D1174" s="35"/>
    </row>
    <row r="1175" spans="3:4" x14ac:dyDescent="0.25">
      <c r="C1175" s="37"/>
      <c r="D1175" s="35"/>
    </row>
    <row r="1176" spans="3:4" x14ac:dyDescent="0.25">
      <c r="C1176" s="37"/>
      <c r="D1176" s="35"/>
    </row>
    <row r="1177" spans="3:4" x14ac:dyDescent="0.25">
      <c r="C1177" s="37"/>
      <c r="D1177" s="35"/>
    </row>
    <row r="1178" spans="3:4" x14ac:dyDescent="0.25">
      <c r="C1178" s="37"/>
      <c r="D1178" s="35"/>
    </row>
    <row r="1179" spans="3:4" x14ac:dyDescent="0.25">
      <c r="C1179" s="37"/>
      <c r="D1179" s="35"/>
    </row>
    <row r="1180" spans="3:4" x14ac:dyDescent="0.25">
      <c r="C1180" s="37"/>
      <c r="D1180" s="35"/>
    </row>
    <row r="1181" spans="3:4" x14ac:dyDescent="0.25">
      <c r="C1181" s="37"/>
      <c r="D1181" s="35"/>
    </row>
    <row r="1182" spans="3:4" x14ac:dyDescent="0.25">
      <c r="C1182" s="37"/>
      <c r="D1182" s="35"/>
    </row>
    <row r="1183" spans="3:4" x14ac:dyDescent="0.25">
      <c r="C1183" s="37"/>
      <c r="D1183" s="35"/>
    </row>
    <row r="1184" spans="3:4" x14ac:dyDescent="0.25">
      <c r="C1184" s="37"/>
      <c r="D1184" s="35"/>
    </row>
    <row r="1185" spans="3:4" x14ac:dyDescent="0.25">
      <c r="C1185" s="37"/>
      <c r="D1185" s="35"/>
    </row>
    <row r="1186" spans="3:4" x14ac:dyDescent="0.25">
      <c r="C1186" s="37"/>
      <c r="D1186" s="35"/>
    </row>
    <row r="1187" spans="3:4" x14ac:dyDescent="0.25">
      <c r="C1187" s="37"/>
      <c r="D1187" s="35"/>
    </row>
    <row r="1188" spans="3:4" x14ac:dyDescent="0.25">
      <c r="C1188" s="37"/>
      <c r="D1188" s="35"/>
    </row>
    <row r="1189" spans="3:4" x14ac:dyDescent="0.25">
      <c r="C1189" s="37"/>
      <c r="D1189" s="35"/>
    </row>
    <row r="1190" spans="3:4" x14ac:dyDescent="0.25">
      <c r="C1190" s="37"/>
      <c r="D1190" s="35"/>
    </row>
    <row r="1191" spans="3:4" x14ac:dyDescent="0.25">
      <c r="C1191" s="37"/>
      <c r="D1191" s="35"/>
    </row>
    <row r="1192" spans="3:4" x14ac:dyDescent="0.25">
      <c r="C1192" s="37"/>
      <c r="D1192" s="35"/>
    </row>
    <row r="1193" spans="3:4" x14ac:dyDescent="0.25">
      <c r="C1193" s="37"/>
      <c r="D1193" s="35"/>
    </row>
    <row r="1194" spans="3:4" x14ac:dyDescent="0.25">
      <c r="C1194" s="37"/>
      <c r="D1194" s="35"/>
    </row>
    <row r="1195" spans="3:4" x14ac:dyDescent="0.25">
      <c r="C1195" s="37"/>
      <c r="D1195" s="35"/>
    </row>
    <row r="1196" spans="3:4" x14ac:dyDescent="0.25">
      <c r="C1196" s="37"/>
      <c r="D1196" s="35"/>
    </row>
    <row r="1197" spans="3:4" x14ac:dyDescent="0.25">
      <c r="C1197" s="37"/>
      <c r="D1197" s="35"/>
    </row>
    <row r="1198" spans="3:4" x14ac:dyDescent="0.25">
      <c r="C1198" s="37"/>
      <c r="D1198" s="35"/>
    </row>
    <row r="1199" spans="3:4" x14ac:dyDescent="0.25">
      <c r="C1199" s="37"/>
      <c r="D1199" s="35"/>
    </row>
    <row r="1200" spans="3:4" x14ac:dyDescent="0.25">
      <c r="C1200" s="37"/>
      <c r="D1200" s="35"/>
    </row>
    <row r="1201" spans="3:4" x14ac:dyDescent="0.25">
      <c r="C1201" s="37"/>
      <c r="D1201" s="35"/>
    </row>
    <row r="1202" spans="3:4" x14ac:dyDescent="0.25">
      <c r="C1202" s="37"/>
      <c r="D1202" s="35"/>
    </row>
    <row r="1203" spans="3:4" x14ac:dyDescent="0.25">
      <c r="C1203" s="37"/>
      <c r="D1203" s="35"/>
    </row>
    <row r="1204" spans="3:4" x14ac:dyDescent="0.25">
      <c r="C1204" s="37"/>
      <c r="D1204" s="35"/>
    </row>
    <row r="1205" spans="3:4" x14ac:dyDescent="0.25">
      <c r="C1205" s="37"/>
      <c r="D1205" s="35"/>
    </row>
    <row r="1206" spans="3:4" x14ac:dyDescent="0.25">
      <c r="C1206" s="37"/>
      <c r="D1206" s="35"/>
    </row>
    <row r="1207" spans="3:4" x14ac:dyDescent="0.25">
      <c r="C1207" s="37"/>
      <c r="D1207" s="35"/>
    </row>
    <row r="1208" spans="3:4" x14ac:dyDescent="0.25">
      <c r="C1208" s="37"/>
      <c r="D1208" s="35"/>
    </row>
    <row r="1209" spans="3:4" x14ac:dyDescent="0.25">
      <c r="C1209" s="37"/>
      <c r="D1209" s="35"/>
    </row>
    <row r="1210" spans="3:4" x14ac:dyDescent="0.25">
      <c r="C1210" s="37"/>
      <c r="D1210" s="35"/>
    </row>
    <row r="1211" spans="3:4" x14ac:dyDescent="0.25">
      <c r="C1211" s="37"/>
      <c r="D1211" s="35"/>
    </row>
    <row r="1212" spans="3:4" x14ac:dyDescent="0.25">
      <c r="C1212" s="37"/>
      <c r="D1212" s="35"/>
    </row>
    <row r="1213" spans="3:4" x14ac:dyDescent="0.25">
      <c r="C1213" s="37"/>
      <c r="D1213" s="35"/>
    </row>
    <row r="1214" spans="3:4" x14ac:dyDescent="0.25">
      <c r="C1214" s="37"/>
      <c r="D1214" s="35"/>
    </row>
    <row r="1215" spans="3:4" x14ac:dyDescent="0.25">
      <c r="C1215" s="37"/>
      <c r="D1215" s="35"/>
    </row>
    <row r="1216" spans="3:4" x14ac:dyDescent="0.25">
      <c r="C1216" s="37"/>
      <c r="D1216" s="35"/>
    </row>
    <row r="1217" spans="3:4" x14ac:dyDescent="0.25">
      <c r="C1217" s="37"/>
      <c r="D1217" s="35"/>
    </row>
    <row r="1218" spans="3:4" x14ac:dyDescent="0.25">
      <c r="C1218" s="37"/>
      <c r="D1218" s="35"/>
    </row>
    <row r="1219" spans="3:4" x14ac:dyDescent="0.25">
      <c r="C1219" s="37"/>
      <c r="D1219" s="35"/>
    </row>
    <row r="1220" spans="3:4" x14ac:dyDescent="0.25">
      <c r="C1220" s="37"/>
      <c r="D1220" s="35"/>
    </row>
    <row r="1221" spans="3:4" x14ac:dyDescent="0.25">
      <c r="C1221" s="37"/>
      <c r="D1221" s="35"/>
    </row>
    <row r="1222" spans="3:4" x14ac:dyDescent="0.25">
      <c r="C1222" s="37"/>
      <c r="D1222" s="35"/>
    </row>
    <row r="1223" spans="3:4" x14ac:dyDescent="0.25">
      <c r="C1223" s="37"/>
      <c r="D1223" s="35"/>
    </row>
    <row r="1224" spans="3:4" x14ac:dyDescent="0.25">
      <c r="C1224" s="37"/>
      <c r="D1224" s="35"/>
    </row>
    <row r="1225" spans="3:4" x14ac:dyDescent="0.25">
      <c r="C1225" s="37"/>
      <c r="D1225" s="35"/>
    </row>
    <row r="1226" spans="3:4" x14ac:dyDescent="0.25">
      <c r="C1226" s="37"/>
      <c r="D1226" s="35"/>
    </row>
    <row r="1227" spans="3:4" x14ac:dyDescent="0.25">
      <c r="C1227" s="37"/>
      <c r="D1227" s="35"/>
    </row>
    <row r="1228" spans="3:4" x14ac:dyDescent="0.25">
      <c r="C1228" s="37"/>
      <c r="D1228" s="35"/>
    </row>
    <row r="1229" spans="3:4" x14ac:dyDescent="0.25">
      <c r="C1229" s="37"/>
      <c r="D1229" s="35"/>
    </row>
    <row r="1230" spans="3:4" x14ac:dyDescent="0.25">
      <c r="C1230" s="37"/>
      <c r="D1230" s="35"/>
    </row>
    <row r="1231" spans="3:4" x14ac:dyDescent="0.25">
      <c r="C1231" s="37"/>
      <c r="D1231" s="35"/>
    </row>
    <row r="1232" spans="3:4" x14ac:dyDescent="0.25">
      <c r="C1232" s="37"/>
      <c r="D1232" s="35"/>
    </row>
    <row r="1233" spans="3:4" x14ac:dyDescent="0.25">
      <c r="C1233" s="37"/>
      <c r="D1233" s="35"/>
    </row>
    <row r="1234" spans="3:4" x14ac:dyDescent="0.25">
      <c r="C1234" s="37"/>
      <c r="D1234" s="35"/>
    </row>
    <row r="1235" spans="3:4" x14ac:dyDescent="0.25">
      <c r="C1235" s="37"/>
      <c r="D1235" s="35"/>
    </row>
    <row r="1236" spans="3:4" x14ac:dyDescent="0.25">
      <c r="C1236" s="37"/>
      <c r="D1236" s="35"/>
    </row>
    <row r="1237" spans="3:4" x14ac:dyDescent="0.25">
      <c r="C1237" s="37"/>
      <c r="D1237" s="35"/>
    </row>
    <row r="1238" spans="3:4" x14ac:dyDescent="0.25">
      <c r="C1238" s="37"/>
      <c r="D1238" s="35"/>
    </row>
    <row r="1239" spans="3:4" x14ac:dyDescent="0.25">
      <c r="C1239" s="37"/>
      <c r="D1239" s="35"/>
    </row>
    <row r="1240" spans="3:4" x14ac:dyDescent="0.25">
      <c r="C1240" s="37"/>
      <c r="D1240" s="35"/>
    </row>
    <row r="1241" spans="3:4" x14ac:dyDescent="0.25">
      <c r="C1241" s="37"/>
      <c r="D1241" s="35"/>
    </row>
    <row r="1242" spans="3:4" x14ac:dyDescent="0.25">
      <c r="C1242" s="37"/>
      <c r="D1242" s="35"/>
    </row>
    <row r="1243" spans="3:4" x14ac:dyDescent="0.25">
      <c r="C1243" s="37"/>
      <c r="D1243" s="35"/>
    </row>
    <row r="1244" spans="3:4" x14ac:dyDescent="0.25">
      <c r="C1244" s="37"/>
      <c r="D1244" s="35"/>
    </row>
    <row r="1245" spans="3:4" x14ac:dyDescent="0.25">
      <c r="C1245" s="37"/>
      <c r="D1245" s="35"/>
    </row>
    <row r="1246" spans="3:4" x14ac:dyDescent="0.25">
      <c r="C1246" s="37"/>
      <c r="D1246" s="35"/>
    </row>
    <row r="1247" spans="3:4" x14ac:dyDescent="0.25">
      <c r="C1247" s="37"/>
      <c r="D1247" s="35"/>
    </row>
    <row r="1248" spans="3:4" x14ac:dyDescent="0.25">
      <c r="C1248" s="37"/>
      <c r="D1248" s="35"/>
    </row>
    <row r="1249" spans="3:4" x14ac:dyDescent="0.25">
      <c r="C1249" s="37"/>
      <c r="D1249" s="35"/>
    </row>
    <row r="1250" spans="3:4" x14ac:dyDescent="0.25">
      <c r="C1250" s="37"/>
      <c r="D1250" s="35"/>
    </row>
    <row r="1251" spans="3:4" x14ac:dyDescent="0.25">
      <c r="C1251" s="37"/>
      <c r="D1251" s="35"/>
    </row>
    <row r="1252" spans="3:4" x14ac:dyDescent="0.25">
      <c r="C1252" s="37"/>
      <c r="D1252" s="35"/>
    </row>
    <row r="1253" spans="3:4" x14ac:dyDescent="0.25">
      <c r="C1253" s="37"/>
      <c r="D1253" s="35"/>
    </row>
    <row r="1254" spans="3:4" x14ac:dyDescent="0.25">
      <c r="C1254" s="37"/>
      <c r="D1254" s="35"/>
    </row>
    <row r="1255" spans="3:4" x14ac:dyDescent="0.25">
      <c r="C1255" s="37"/>
      <c r="D1255" s="35"/>
    </row>
    <row r="1256" spans="3:4" x14ac:dyDescent="0.25">
      <c r="C1256" s="37"/>
      <c r="D1256" s="35"/>
    </row>
    <row r="1257" spans="3:4" x14ac:dyDescent="0.25">
      <c r="C1257" s="37"/>
      <c r="D1257" s="35"/>
    </row>
    <row r="1258" spans="3:4" x14ac:dyDescent="0.25">
      <c r="C1258" s="37"/>
      <c r="D1258" s="35"/>
    </row>
    <row r="1259" spans="3:4" x14ac:dyDescent="0.25">
      <c r="C1259" s="37"/>
      <c r="D1259" s="35"/>
    </row>
    <row r="1260" spans="3:4" x14ac:dyDescent="0.25">
      <c r="C1260" s="37"/>
      <c r="D1260" s="35"/>
    </row>
    <row r="1261" spans="3:4" x14ac:dyDescent="0.25">
      <c r="C1261" s="37"/>
      <c r="D1261" s="35"/>
    </row>
    <row r="1262" spans="3:4" x14ac:dyDescent="0.25">
      <c r="C1262" s="37"/>
      <c r="D1262" s="35"/>
    </row>
    <row r="1263" spans="3:4" x14ac:dyDescent="0.25">
      <c r="C1263" s="37"/>
      <c r="D1263" s="35"/>
    </row>
    <row r="1264" spans="3:4" x14ac:dyDescent="0.25">
      <c r="C1264" s="37"/>
      <c r="D1264" s="35"/>
    </row>
    <row r="1265" spans="3:4" x14ac:dyDescent="0.25">
      <c r="C1265" s="37"/>
      <c r="D1265" s="35"/>
    </row>
    <row r="1266" spans="3:4" x14ac:dyDescent="0.25">
      <c r="C1266" s="37"/>
      <c r="D1266" s="35"/>
    </row>
    <row r="1267" spans="3:4" x14ac:dyDescent="0.25">
      <c r="C1267" s="37"/>
      <c r="D1267" s="35"/>
    </row>
    <row r="1268" spans="3:4" x14ac:dyDescent="0.25">
      <c r="C1268" s="37"/>
      <c r="D1268" s="35"/>
    </row>
    <row r="1269" spans="3:4" x14ac:dyDescent="0.25">
      <c r="C1269" s="37"/>
      <c r="D1269" s="35"/>
    </row>
    <row r="1270" spans="3:4" x14ac:dyDescent="0.25">
      <c r="C1270" s="37"/>
      <c r="D1270" s="35"/>
    </row>
    <row r="1271" spans="3:4" x14ac:dyDescent="0.25">
      <c r="C1271" s="37"/>
      <c r="D1271" s="35"/>
    </row>
    <row r="1272" spans="3:4" x14ac:dyDescent="0.25">
      <c r="C1272" s="37"/>
      <c r="D1272" s="35"/>
    </row>
    <row r="1273" spans="3:4" x14ac:dyDescent="0.25">
      <c r="C1273" s="37"/>
      <c r="D1273" s="35"/>
    </row>
    <row r="1274" spans="3:4" x14ac:dyDescent="0.25">
      <c r="C1274" s="37"/>
      <c r="D1274" s="35"/>
    </row>
    <row r="1275" spans="3:4" x14ac:dyDescent="0.25">
      <c r="C1275" s="37"/>
      <c r="D1275" s="35"/>
    </row>
    <row r="1276" spans="3:4" x14ac:dyDescent="0.25">
      <c r="C1276" s="37"/>
      <c r="D1276" s="35"/>
    </row>
    <row r="1277" spans="3:4" x14ac:dyDescent="0.25">
      <c r="C1277" s="37"/>
      <c r="D1277" s="35"/>
    </row>
    <row r="1278" spans="3:4" x14ac:dyDescent="0.25">
      <c r="C1278" s="37"/>
      <c r="D1278" s="35"/>
    </row>
    <row r="1279" spans="3:4" x14ac:dyDescent="0.25">
      <c r="C1279" s="37"/>
      <c r="D1279" s="35"/>
    </row>
    <row r="1280" spans="3:4" x14ac:dyDescent="0.25">
      <c r="C1280" s="37"/>
      <c r="D1280" s="35"/>
    </row>
    <row r="1281" spans="3:4" x14ac:dyDescent="0.25">
      <c r="C1281" s="37"/>
      <c r="D1281" s="35"/>
    </row>
    <row r="1282" spans="3:4" x14ac:dyDescent="0.25">
      <c r="C1282" s="37"/>
      <c r="D1282" s="35"/>
    </row>
    <row r="1283" spans="3:4" x14ac:dyDescent="0.25">
      <c r="C1283" s="37"/>
      <c r="D1283" s="35"/>
    </row>
    <row r="1284" spans="3:4" x14ac:dyDescent="0.25">
      <c r="C1284" s="37"/>
      <c r="D1284" s="35"/>
    </row>
    <row r="1285" spans="3:4" x14ac:dyDescent="0.25">
      <c r="C1285" s="37"/>
      <c r="D1285" s="35"/>
    </row>
    <row r="1286" spans="3:4" x14ac:dyDescent="0.25">
      <c r="C1286" s="37"/>
      <c r="D1286" s="35"/>
    </row>
    <row r="1287" spans="3:4" x14ac:dyDescent="0.25">
      <c r="C1287" s="37"/>
      <c r="D1287" s="35"/>
    </row>
    <row r="1288" spans="3:4" x14ac:dyDescent="0.25">
      <c r="C1288" s="37"/>
      <c r="D1288" s="35"/>
    </row>
    <row r="1289" spans="3:4" x14ac:dyDescent="0.25">
      <c r="C1289" s="37"/>
      <c r="D1289" s="35"/>
    </row>
    <row r="1290" spans="3:4" x14ac:dyDescent="0.25">
      <c r="C1290" s="37"/>
      <c r="D1290" s="35"/>
    </row>
    <row r="1291" spans="3:4" x14ac:dyDescent="0.25">
      <c r="C1291" s="37"/>
      <c r="D1291" s="35"/>
    </row>
    <row r="1292" spans="3:4" x14ac:dyDescent="0.25">
      <c r="C1292" s="37"/>
      <c r="D1292" s="35"/>
    </row>
    <row r="1293" spans="3:4" x14ac:dyDescent="0.25">
      <c r="C1293" s="37"/>
      <c r="D1293" s="35"/>
    </row>
    <row r="1294" spans="3:4" x14ac:dyDescent="0.25">
      <c r="C1294" s="37"/>
      <c r="D1294" s="35"/>
    </row>
    <row r="1295" spans="3:4" x14ac:dyDescent="0.25">
      <c r="C1295" s="37"/>
      <c r="D1295" s="35"/>
    </row>
    <row r="1296" spans="3:4" x14ac:dyDescent="0.25">
      <c r="C1296" s="37"/>
      <c r="D1296" s="35"/>
    </row>
    <row r="1297" spans="3:4" x14ac:dyDescent="0.25">
      <c r="C1297" s="37"/>
      <c r="D1297" s="35"/>
    </row>
    <row r="1298" spans="3:4" x14ac:dyDescent="0.25">
      <c r="C1298" s="37"/>
      <c r="D1298" s="35"/>
    </row>
    <row r="1299" spans="3:4" x14ac:dyDescent="0.25">
      <c r="C1299" s="37"/>
      <c r="D1299" s="35"/>
    </row>
    <row r="1300" spans="3:4" x14ac:dyDescent="0.25">
      <c r="C1300" s="37"/>
      <c r="D1300" s="35"/>
    </row>
    <row r="1301" spans="3:4" x14ac:dyDescent="0.25">
      <c r="C1301" s="37"/>
      <c r="D1301" s="35"/>
    </row>
    <row r="1302" spans="3:4" x14ac:dyDescent="0.25">
      <c r="C1302" s="37"/>
      <c r="D1302" s="35"/>
    </row>
    <row r="1303" spans="3:4" x14ac:dyDescent="0.25">
      <c r="C1303" s="37"/>
      <c r="D1303" s="35"/>
    </row>
    <row r="1304" spans="3:4" x14ac:dyDescent="0.25">
      <c r="C1304" s="37"/>
      <c r="D1304" s="35"/>
    </row>
    <row r="1305" spans="3:4" x14ac:dyDescent="0.25">
      <c r="C1305" s="37"/>
      <c r="D1305" s="35"/>
    </row>
    <row r="1306" spans="3:4" x14ac:dyDescent="0.25">
      <c r="C1306" s="37"/>
      <c r="D1306" s="35"/>
    </row>
    <row r="1307" spans="3:4" x14ac:dyDescent="0.25">
      <c r="C1307" s="37"/>
      <c r="D1307" s="35"/>
    </row>
    <row r="1308" spans="3:4" x14ac:dyDescent="0.25">
      <c r="C1308" s="37"/>
      <c r="D1308" s="35"/>
    </row>
    <row r="1309" spans="3:4" x14ac:dyDescent="0.25">
      <c r="C1309" s="37"/>
      <c r="D1309" s="35"/>
    </row>
    <row r="1310" spans="3:4" x14ac:dyDescent="0.25">
      <c r="C1310" s="37"/>
      <c r="D1310" s="35"/>
    </row>
    <row r="1311" spans="3:4" x14ac:dyDescent="0.25">
      <c r="C1311" s="37"/>
      <c r="D1311" s="35"/>
    </row>
    <row r="1312" spans="3:4" x14ac:dyDescent="0.25">
      <c r="C1312" s="37"/>
      <c r="D1312" s="35"/>
    </row>
    <row r="1313" spans="3:4" x14ac:dyDescent="0.25">
      <c r="C1313" s="37"/>
      <c r="D1313" s="35"/>
    </row>
    <row r="1314" spans="3:4" x14ac:dyDescent="0.25">
      <c r="C1314" s="37"/>
      <c r="D1314" s="35"/>
    </row>
    <row r="1315" spans="3:4" x14ac:dyDescent="0.25">
      <c r="C1315" s="37"/>
      <c r="D1315" s="35"/>
    </row>
    <row r="1316" spans="3:4" x14ac:dyDescent="0.25">
      <c r="C1316" s="37"/>
      <c r="D1316" s="35"/>
    </row>
    <row r="1317" spans="3:4" x14ac:dyDescent="0.25">
      <c r="C1317" s="37"/>
      <c r="D1317" s="35"/>
    </row>
    <row r="1318" spans="3:4" x14ac:dyDescent="0.25">
      <c r="C1318" s="37"/>
      <c r="D1318" s="35"/>
    </row>
    <row r="1319" spans="3:4" x14ac:dyDescent="0.25">
      <c r="C1319" s="37"/>
      <c r="D1319" s="35"/>
    </row>
    <row r="1320" spans="3:4" x14ac:dyDescent="0.25">
      <c r="C1320" s="37"/>
      <c r="D1320" s="35"/>
    </row>
    <row r="1321" spans="3:4" x14ac:dyDescent="0.25">
      <c r="C1321" s="37"/>
      <c r="D1321" s="35"/>
    </row>
    <row r="1322" spans="3:4" x14ac:dyDescent="0.25">
      <c r="C1322" s="37"/>
      <c r="D1322" s="35"/>
    </row>
    <row r="1323" spans="3:4" x14ac:dyDescent="0.25">
      <c r="C1323" s="37"/>
      <c r="D1323" s="35"/>
    </row>
    <row r="1324" spans="3:4" x14ac:dyDescent="0.25">
      <c r="C1324" s="37"/>
      <c r="D1324" s="35"/>
    </row>
    <row r="1325" spans="3:4" x14ac:dyDescent="0.25">
      <c r="C1325" s="37"/>
      <c r="D1325" s="35"/>
    </row>
    <row r="1326" spans="3:4" x14ac:dyDescent="0.25">
      <c r="C1326" s="37"/>
      <c r="D1326" s="35"/>
    </row>
    <row r="1327" spans="3:4" x14ac:dyDescent="0.25">
      <c r="C1327" s="37"/>
      <c r="D1327" s="35"/>
    </row>
    <row r="1328" spans="3:4" x14ac:dyDescent="0.25">
      <c r="C1328" s="37"/>
      <c r="D1328" s="35"/>
    </row>
    <row r="1329" spans="3:4" x14ac:dyDescent="0.25">
      <c r="C1329" s="37"/>
      <c r="D1329" s="35"/>
    </row>
    <row r="1330" spans="3:4" x14ac:dyDescent="0.25">
      <c r="C1330" s="37"/>
      <c r="D1330" s="35"/>
    </row>
    <row r="1331" spans="3:4" x14ac:dyDescent="0.25">
      <c r="C1331" s="37"/>
      <c r="D1331" s="35"/>
    </row>
    <row r="1332" spans="3:4" x14ac:dyDescent="0.25">
      <c r="C1332" s="37"/>
      <c r="D1332" s="35"/>
    </row>
    <row r="1333" spans="3:4" x14ac:dyDescent="0.25">
      <c r="C1333" s="37"/>
      <c r="D1333" s="35"/>
    </row>
  </sheetData>
  <mergeCells count="18">
    <mergeCell ref="N2:O2"/>
    <mergeCell ref="D2:E2"/>
    <mergeCell ref="F2:G2"/>
    <mergeCell ref="H2:I2"/>
    <mergeCell ref="J2:K2"/>
    <mergeCell ref="L2:M2"/>
    <mergeCell ref="N29:O29"/>
    <mergeCell ref="D17:E17"/>
    <mergeCell ref="F17:G17"/>
    <mergeCell ref="H17:I17"/>
    <mergeCell ref="J17:K17"/>
    <mergeCell ref="L17:M17"/>
    <mergeCell ref="N17:O17"/>
    <mergeCell ref="D29:E29"/>
    <mergeCell ref="F29:G29"/>
    <mergeCell ref="H29:I29"/>
    <mergeCell ref="J29:K29"/>
    <mergeCell ref="L29:M29"/>
  </mergeCells>
  <conditionalFormatting sqref="Y3:AC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8:AC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0:AC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04E6B-1C4C-4679-8B6F-685B144B3108}">
  <dimension ref="B1:AH1333"/>
  <sheetViews>
    <sheetView workbookViewId="0">
      <selection activeCell="U8" sqref="U8"/>
    </sheetView>
  </sheetViews>
  <sheetFormatPr defaultRowHeight="15" outlineLevelRow="1" outlineLevelCol="1" x14ac:dyDescent="0.25"/>
  <cols>
    <col min="1" max="1" width="2.5703125" customWidth="1"/>
    <col min="2" max="2" width="25.140625" bestFit="1" customWidth="1"/>
    <col min="3" max="3" width="24.28515625" style="11" customWidth="1" outlineLevel="1"/>
    <col min="4" max="4" width="9.42578125" style="6" customWidth="1"/>
    <col min="5" max="5" width="16.85546875" style="11" hidden="1" customWidth="1" outlineLevel="1"/>
    <col min="6" max="6" width="9.28515625" style="6" customWidth="1" collapsed="1"/>
    <col min="7" max="7" width="19.5703125" style="11" hidden="1" customWidth="1" outlineLevel="1"/>
    <col min="8" max="8" width="9.140625" style="6" collapsed="1"/>
    <col min="9" max="9" width="19.5703125" style="11" hidden="1" customWidth="1" outlineLevel="1"/>
    <col min="10" max="10" width="8.140625" style="6" bestFit="1" customWidth="1" collapsed="1"/>
    <col min="11" max="11" width="18" style="11" hidden="1" customWidth="1" outlineLevel="1"/>
    <col min="12" max="12" width="7.140625" style="5" bestFit="1" customWidth="1" collapsed="1"/>
    <col min="13" max="13" width="19.5703125" style="10" hidden="1" customWidth="1" outlineLevel="1"/>
    <col min="14" max="14" width="8.140625" style="10" bestFit="1" customWidth="1" collapsed="1"/>
    <col min="15" max="15" width="19.5703125" style="10" hidden="1" customWidth="1" outlineLevel="1"/>
    <col min="16" max="16" width="2.5703125" customWidth="1" collapsed="1"/>
    <col min="17" max="18" width="7.140625" hidden="1" customWidth="1" outlineLevel="1"/>
    <col min="19" max="19" width="17.85546875" bestFit="1" customWidth="1" collapsed="1"/>
    <col min="20" max="21" width="17.85546875" bestFit="1" customWidth="1"/>
    <col min="22" max="23" width="15.140625" bestFit="1" customWidth="1"/>
    <col min="24" max="24" width="2.5703125" customWidth="1"/>
    <col min="25" max="25" width="7.85546875" bestFit="1" customWidth="1"/>
    <col min="26" max="26" width="11.140625" bestFit="1" customWidth="1"/>
    <col min="27" max="27" width="13.28515625" bestFit="1" customWidth="1"/>
    <col min="28" max="28" width="7.85546875" bestFit="1" customWidth="1"/>
    <col min="29" max="29" width="8.140625" bestFit="1" customWidth="1"/>
    <col min="30" max="30" width="2.5703125" customWidth="1"/>
    <col min="32" max="32" width="16.28515625" bestFit="1" customWidth="1"/>
    <col min="33" max="33" width="5" bestFit="1" customWidth="1"/>
  </cols>
  <sheetData>
    <row r="1" spans="2:34" ht="9" customHeight="1" x14ac:dyDescent="0.25"/>
    <row r="2" spans="2:34" x14ac:dyDescent="0.25">
      <c r="B2" s="4" t="s">
        <v>1</v>
      </c>
      <c r="C2" s="9" t="s">
        <v>4</v>
      </c>
      <c r="D2" s="112" t="s">
        <v>7</v>
      </c>
      <c r="E2" s="112"/>
      <c r="F2" s="112" t="s">
        <v>8</v>
      </c>
      <c r="G2" s="112"/>
      <c r="H2" s="112" t="s">
        <v>10</v>
      </c>
      <c r="I2" s="112"/>
      <c r="J2" s="112" t="s">
        <v>9</v>
      </c>
      <c r="K2" s="112"/>
      <c r="L2" s="112" t="s">
        <v>21</v>
      </c>
      <c r="M2" s="112"/>
      <c r="N2" s="112" t="s">
        <v>55</v>
      </c>
      <c r="O2" s="112"/>
      <c r="Q2" s="1" t="s">
        <v>46</v>
      </c>
      <c r="S2" s="27" t="s">
        <v>49</v>
      </c>
      <c r="T2" s="27" t="s">
        <v>50</v>
      </c>
      <c r="U2" s="27" t="s">
        <v>51</v>
      </c>
      <c r="V2" s="27" t="s">
        <v>52</v>
      </c>
      <c r="W2" s="27" t="s">
        <v>53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1"/>
      <c r="AF2" s="1" t="s">
        <v>20</v>
      </c>
      <c r="AG2" s="1"/>
    </row>
    <row r="3" spans="2:34" x14ac:dyDescent="0.25">
      <c r="B3" s="21" t="s">
        <v>5</v>
      </c>
      <c r="C3" s="65">
        <v>380163386.57999998</v>
      </c>
      <c r="D3" s="59">
        <f>38.7%+1.2%</f>
        <v>0.39900000000000002</v>
      </c>
      <c r="E3" s="65">
        <f>$C3*D3</f>
        <v>151685191.24542001</v>
      </c>
      <c r="F3" s="59">
        <f>10.2%+9.5%+3%</f>
        <v>0.22700000000000001</v>
      </c>
      <c r="G3" s="65">
        <f>$C3*F3</f>
        <v>86297088.753659993</v>
      </c>
      <c r="H3" s="59">
        <f>33.3%+0.8%+0.5%</f>
        <v>0.34599999999999997</v>
      </c>
      <c r="I3" s="65">
        <f>$C3*H3</f>
        <v>131536531.75667998</v>
      </c>
      <c r="J3" s="59">
        <v>2.8000000000000001E-2</v>
      </c>
      <c r="K3" s="65">
        <f>$C3*J3</f>
        <v>10644574.824239999</v>
      </c>
      <c r="L3" s="69"/>
      <c r="M3" s="65">
        <f>$C3*L3</f>
        <v>0</v>
      </c>
      <c r="N3" s="56"/>
      <c r="O3" s="65">
        <f>$C3*N3</f>
        <v>0</v>
      </c>
      <c r="S3" s="12">
        <f>E3-'Dez23'!E3</f>
        <v>33830726.112180009</v>
      </c>
      <c r="T3" s="12">
        <f>G3-'Dez23'!G3</f>
        <v>490767.64787998796</v>
      </c>
      <c r="U3" s="12">
        <f>I3-'Dez23'!I3</f>
        <v>242522.35385994613</v>
      </c>
      <c r="V3" s="12">
        <f>K3-'Dez23'!K3</f>
        <v>995671.24607999809</v>
      </c>
      <c r="W3" s="12">
        <f>+M3-'Dez23'!M3</f>
        <v>0</v>
      </c>
      <c r="Y3" s="28">
        <f>D3-'Dez23'!D3</f>
        <v>5.7000000000000051E-2</v>
      </c>
      <c r="Z3" s="28">
        <f>F3-'Dez23'!F3</f>
        <v>-2.1999999999999992E-2</v>
      </c>
      <c r="AA3" s="28">
        <f>H3-'Dez23'!H3</f>
        <v>-3.5000000000000087E-2</v>
      </c>
      <c r="AB3" s="28">
        <f>J3-'Dez23'!J3</f>
        <v>0</v>
      </c>
      <c r="AC3" s="28">
        <f>L3-'Dez23'!L3</f>
        <v>0</v>
      </c>
      <c r="AE3" t="s">
        <v>11</v>
      </c>
      <c r="AF3" s="2" t="s">
        <v>10</v>
      </c>
      <c r="AG3" t="s">
        <v>9</v>
      </c>
      <c r="AH3" t="s">
        <v>7</v>
      </c>
    </row>
    <row r="4" spans="2:34" x14ac:dyDescent="0.25">
      <c r="B4" s="3" t="s">
        <v>0</v>
      </c>
      <c r="C4" s="57">
        <v>1287340445</v>
      </c>
      <c r="D4" s="56">
        <f>34%</f>
        <v>0.34</v>
      </c>
      <c r="E4" s="57">
        <f>$C4*D4</f>
        <v>437695751.30000001</v>
      </c>
      <c r="F4" s="56">
        <f>6%+3%+2%+1%</f>
        <v>0.12</v>
      </c>
      <c r="G4" s="57">
        <f>$C4*F4</f>
        <v>154480853.40000001</v>
      </c>
      <c r="H4" s="56">
        <f>43%+1%+2%</f>
        <v>0.46</v>
      </c>
      <c r="I4" s="57">
        <f>$C4*H4</f>
        <v>592176604.70000005</v>
      </c>
      <c r="J4" s="56">
        <v>0.08</v>
      </c>
      <c r="K4" s="57">
        <f>$C4*J4</f>
        <v>102987235.60000001</v>
      </c>
      <c r="L4" s="56"/>
      <c r="M4" s="57">
        <f>$C4*L4</f>
        <v>0</v>
      </c>
      <c r="N4" s="56"/>
      <c r="O4" s="57">
        <f>$C4*N4</f>
        <v>0</v>
      </c>
      <c r="S4" s="12">
        <f>E4-'Dez23'!E4</f>
        <v>-11030650.26000005</v>
      </c>
      <c r="T4" s="12">
        <f>G4-'Dez23'!G4</f>
        <v>-43486676.700000018</v>
      </c>
      <c r="U4" s="12">
        <f>I4-'Dez23'!I4</f>
        <v>24669685.080000043</v>
      </c>
      <c r="V4" s="12">
        <f>K4-'Dez23'!K4</f>
        <v>-2595447.1199999899</v>
      </c>
      <c r="W4" s="12">
        <f>+M4-'Dez23'!M4</f>
        <v>0</v>
      </c>
      <c r="Y4" s="28">
        <f>D4-'Dez23'!D4</f>
        <v>0</v>
      </c>
      <c r="Z4" s="28">
        <f>F4-'Dez23'!F4</f>
        <v>-3.0000000000000027E-2</v>
      </c>
      <c r="AA4" s="28">
        <f>H4-'Dez23'!H4</f>
        <v>3.0000000000000027E-2</v>
      </c>
      <c r="AB4" s="28">
        <f>J4-'Dez23'!J4</f>
        <v>0</v>
      </c>
      <c r="AC4" s="28">
        <f>L4-'Dez23'!L4</f>
        <v>0</v>
      </c>
      <c r="AE4" t="s">
        <v>12</v>
      </c>
      <c r="AF4" s="2" t="s">
        <v>16</v>
      </c>
      <c r="AH4" t="s">
        <v>58</v>
      </c>
    </row>
    <row r="5" spans="2:34" x14ac:dyDescent="0.25">
      <c r="B5" s="3" t="s">
        <v>3</v>
      </c>
      <c r="C5" s="57">
        <v>928792741.29999995</v>
      </c>
      <c r="D5" s="56">
        <f>51%</f>
        <v>0.51</v>
      </c>
      <c r="E5" s="57">
        <f t="shared" ref="E5:G14" si="0">$C5*D5</f>
        <v>473684298.06299996</v>
      </c>
      <c r="F5" s="56"/>
      <c r="G5" s="57">
        <f t="shared" si="0"/>
        <v>0</v>
      </c>
      <c r="H5" s="56">
        <f>29%+2%+2%</f>
        <v>0.33</v>
      </c>
      <c r="I5" s="57">
        <f t="shared" ref="I5:I14" si="1">$C5*H5</f>
        <v>306501604.62900001</v>
      </c>
      <c r="J5" s="56">
        <v>0.05</v>
      </c>
      <c r="K5" s="57">
        <f t="shared" ref="K5:K14" si="2">$C5*J5</f>
        <v>46439637.064999998</v>
      </c>
      <c r="L5" s="56">
        <v>0.11</v>
      </c>
      <c r="M5" s="57">
        <f t="shared" ref="M5:M14" si="3">$C5*L5</f>
        <v>102167201.543</v>
      </c>
      <c r="N5" s="56"/>
      <c r="O5" s="57">
        <f t="shared" ref="O5:O14" si="4">$C5*N5</f>
        <v>0</v>
      </c>
      <c r="S5" s="12">
        <f>E5-'Dez23'!E5</f>
        <v>40082943.398999989</v>
      </c>
      <c r="T5" s="12">
        <f>G5-'Dez23'!G5</f>
        <v>0</v>
      </c>
      <c r="U5" s="12">
        <f>I5-'Dez23'!I5</f>
        <v>-88557407.398199975</v>
      </c>
      <c r="V5" s="12">
        <f>K5-'Dez23'!K5</f>
        <v>-1738291.2310000062</v>
      </c>
      <c r="W5" s="12">
        <f>+M5-'Dez23'!M5</f>
        <v>15446930.610200003</v>
      </c>
      <c r="Y5" s="28">
        <f>D5-'Dez23'!D5</f>
        <v>0.06</v>
      </c>
      <c r="Z5" s="28">
        <f>F5-'Dez23'!F5</f>
        <v>0</v>
      </c>
      <c r="AA5" s="28">
        <f>H5-'Dez23'!H5</f>
        <v>-8.0000000000000016E-2</v>
      </c>
      <c r="AB5" s="28">
        <f>J5-'Dez23'!J5</f>
        <v>0</v>
      </c>
      <c r="AC5" s="28">
        <f>L5-'Dez23'!L5</f>
        <v>2.0000000000000004E-2</v>
      </c>
      <c r="AE5" t="s">
        <v>13</v>
      </c>
      <c r="AF5" s="2" t="s">
        <v>17</v>
      </c>
      <c r="AH5" t="s">
        <v>59</v>
      </c>
    </row>
    <row r="6" spans="2:34" x14ac:dyDescent="0.25">
      <c r="B6" s="3" t="s">
        <v>37</v>
      </c>
      <c r="C6" s="57">
        <v>2506810332</v>
      </c>
      <c r="D6" s="56">
        <f>26.2%+1.93%</f>
        <v>0.28129999999999999</v>
      </c>
      <c r="E6" s="57">
        <f t="shared" si="0"/>
        <v>705165746.39160001</v>
      </c>
      <c r="F6" s="56">
        <v>0.20100000000000001</v>
      </c>
      <c r="G6" s="57">
        <f t="shared" si="0"/>
        <v>503868876.73200005</v>
      </c>
      <c r="H6" s="56">
        <f>46.8%+2.3%+2.67%</f>
        <v>0.51769999999999994</v>
      </c>
      <c r="I6" s="57">
        <f t="shared" si="1"/>
        <v>1297775708.8763998</v>
      </c>
      <c r="J6" s="56"/>
      <c r="K6" s="57">
        <f t="shared" si="2"/>
        <v>0</v>
      </c>
      <c r="L6" s="56"/>
      <c r="M6" s="57">
        <f t="shared" si="3"/>
        <v>0</v>
      </c>
      <c r="N6" s="56"/>
      <c r="O6" s="57">
        <f t="shared" si="4"/>
        <v>0</v>
      </c>
      <c r="S6" s="12">
        <f>E6-'Dez23'!E6</f>
        <v>24593061.313599944</v>
      </c>
      <c r="T6" s="12">
        <f>G6-'Dez23'!G6</f>
        <v>4944572.0004000664</v>
      </c>
      <c r="U6" s="12">
        <f>I6-'Dez23'!I6</f>
        <v>42307814.68599987</v>
      </c>
      <c r="V6" s="12">
        <f>K6-'Dez23'!K6</f>
        <v>0</v>
      </c>
      <c r="W6" s="12">
        <f>+M6-'Dez23'!M6</f>
        <v>0</v>
      </c>
      <c r="Y6" s="28">
        <f>D6-'Dez23'!D6</f>
        <v>1.7999999999999683E-3</v>
      </c>
      <c r="Z6" s="28">
        <f>F6-'Dez23'!F6</f>
        <v>-3.8999999999999868E-3</v>
      </c>
      <c r="AA6" s="28">
        <f>H6-'Dez23'!H6</f>
        <v>2.0999999999999908E-3</v>
      </c>
      <c r="AB6" s="28">
        <f>J6-'Dez23'!J6</f>
        <v>0</v>
      </c>
      <c r="AC6" s="28">
        <f>L6-'Dez23'!L6</f>
        <v>0</v>
      </c>
      <c r="AE6" t="s">
        <v>14</v>
      </c>
      <c r="AF6" s="2" t="s">
        <v>18</v>
      </c>
    </row>
    <row r="7" spans="2:34" x14ac:dyDescent="0.25">
      <c r="B7" s="3" t="s">
        <v>22</v>
      </c>
      <c r="C7" s="57">
        <v>868190000</v>
      </c>
      <c r="D7" s="56">
        <f>22.9%</f>
        <v>0.22899999999999998</v>
      </c>
      <c r="E7" s="57">
        <f t="shared" si="0"/>
        <v>198815509.99999997</v>
      </c>
      <c r="F7" s="56">
        <v>0.128</v>
      </c>
      <c r="G7" s="57">
        <f t="shared" si="0"/>
        <v>111128320</v>
      </c>
      <c r="H7" s="56">
        <f>51.1%+9.7%</f>
        <v>0.60799999999999998</v>
      </c>
      <c r="I7" s="57">
        <f t="shared" si="1"/>
        <v>527859520</v>
      </c>
      <c r="J7" s="56">
        <v>3.5000000000000003E-2</v>
      </c>
      <c r="K7" s="57">
        <f t="shared" si="2"/>
        <v>30386650.000000004</v>
      </c>
      <c r="L7" s="56"/>
      <c r="M7" s="57">
        <f t="shared" si="3"/>
        <v>0</v>
      </c>
      <c r="N7" s="56"/>
      <c r="O7" s="57">
        <f t="shared" si="4"/>
        <v>0</v>
      </c>
      <c r="S7" s="12">
        <f>E7-'Dez23'!E7</f>
        <v>-53514940</v>
      </c>
      <c r="T7" s="12">
        <f>G7-'Dez23'!G7</f>
        <v>16393730</v>
      </c>
      <c r="U7" s="12">
        <f>I7-'Dez23'!I7</f>
        <v>21427880.00000006</v>
      </c>
      <c r="V7" s="12">
        <f>K7-'Dez23'!K7</f>
        <v>-1486669.9999999925</v>
      </c>
      <c r="W7" s="12">
        <f>+M7-'Dez23'!M7</f>
        <v>0</v>
      </c>
      <c r="Y7" s="28">
        <f>D7-'Dez23'!D7</f>
        <v>-5.5999999999999994E-2</v>
      </c>
      <c r="Z7" s="28">
        <f>F7-'Dez23'!F7</f>
        <v>2.1000000000000005E-2</v>
      </c>
      <c r="AA7" s="28">
        <f>H7-'Dez23'!H7</f>
        <v>3.6000000000000032E-2</v>
      </c>
      <c r="AB7" s="28">
        <f>J7-'Dez23'!J7</f>
        <v>-9.9999999999999395E-4</v>
      </c>
      <c r="AC7" s="28">
        <f>L7-'Dez23'!L7</f>
        <v>0</v>
      </c>
      <c r="AE7" t="s">
        <v>15</v>
      </c>
      <c r="AF7" s="2" t="s">
        <v>19</v>
      </c>
    </row>
    <row r="8" spans="2:34" x14ac:dyDescent="0.25">
      <c r="B8" s="3" t="s">
        <v>23</v>
      </c>
      <c r="C8" s="57">
        <v>1331384279.52</v>
      </c>
      <c r="D8" s="56">
        <v>0.26</v>
      </c>
      <c r="E8" s="57">
        <f t="shared" si="0"/>
        <v>346159912.67519999</v>
      </c>
      <c r="F8" s="56">
        <f>0.5%+20%+5%</f>
        <v>0.255</v>
      </c>
      <c r="G8" s="57">
        <f t="shared" si="0"/>
        <v>339502991.27759999</v>
      </c>
      <c r="H8" s="56">
        <v>0.375</v>
      </c>
      <c r="I8" s="57">
        <f t="shared" si="1"/>
        <v>499269104.81999999</v>
      </c>
      <c r="J8" s="56">
        <v>0.06</v>
      </c>
      <c r="K8" s="57">
        <f t="shared" si="2"/>
        <v>79883056.771200001</v>
      </c>
      <c r="L8" s="56">
        <v>0.05</v>
      </c>
      <c r="M8" s="57">
        <f t="shared" si="3"/>
        <v>66569213.976000004</v>
      </c>
      <c r="N8" s="56"/>
      <c r="O8" s="57">
        <f t="shared" si="4"/>
        <v>0</v>
      </c>
      <c r="S8" s="12">
        <f>E8-'Dez23'!E8</f>
        <v>143577244.71279997</v>
      </c>
      <c r="T8" s="12">
        <f>G8-'Dez23'!G8</f>
        <v>-12037520.774800062</v>
      </c>
      <c r="U8" s="12">
        <f>I8-'Dez23'!I8</f>
        <v>-25062506.376800001</v>
      </c>
      <c r="V8" s="12">
        <f>K8-'Dez23'!K8</f>
        <v>-9491649.6827999949</v>
      </c>
      <c r="W8" s="12">
        <f>+M8-'Dez23'!M8</f>
        <v>42735958.921599999</v>
      </c>
      <c r="Y8" s="28">
        <f>D8-'Dez23'!D8</f>
        <v>0.09</v>
      </c>
      <c r="Z8" s="28">
        <f>F8-'Dez23'!F8</f>
        <v>-4.0000000000000036E-2</v>
      </c>
      <c r="AA8" s="28">
        <f>H8-'Dez23'!H8</f>
        <v>-6.5000000000000002E-2</v>
      </c>
      <c r="AB8" s="28">
        <f>J8-'Dez23'!J8</f>
        <v>-1.4999999999999999E-2</v>
      </c>
      <c r="AC8" s="28">
        <f>L8-'Dez23'!L8</f>
        <v>3.0000000000000002E-2</v>
      </c>
      <c r="AE8" t="s">
        <v>57</v>
      </c>
    </row>
    <row r="9" spans="2:34" x14ac:dyDescent="0.25">
      <c r="B9" s="3" t="s">
        <v>24</v>
      </c>
      <c r="C9" s="57">
        <v>1847750118</v>
      </c>
      <c r="D9" s="56">
        <v>0.314</v>
      </c>
      <c r="E9" s="57">
        <f t="shared" si="0"/>
        <v>580193537.05200005</v>
      </c>
      <c r="F9" s="56">
        <v>0.20599999999999999</v>
      </c>
      <c r="G9" s="57">
        <f t="shared" si="0"/>
        <v>380636524.30799997</v>
      </c>
      <c r="H9" s="56">
        <v>0.42370000000000002</v>
      </c>
      <c r="I9" s="57">
        <f t="shared" si="1"/>
        <v>782891724.99660003</v>
      </c>
      <c r="J9" s="56">
        <v>5.6300000000000003E-2</v>
      </c>
      <c r="K9" s="57">
        <f t="shared" si="2"/>
        <v>104028331.6434</v>
      </c>
      <c r="L9" s="56"/>
      <c r="M9" s="57">
        <f t="shared" si="3"/>
        <v>0</v>
      </c>
      <c r="N9" s="56"/>
      <c r="O9" s="57">
        <f t="shared" si="4"/>
        <v>0</v>
      </c>
      <c r="S9" s="12">
        <f>E9-'Dez23'!E9</f>
        <v>-20522850.275999904</v>
      </c>
      <c r="T9" s="12">
        <f>G9-'Dez23'!G9</f>
        <v>-11237056.488000035</v>
      </c>
      <c r="U9" s="12">
        <f>I9-'Dez23'!I9</f>
        <v>-73402890.924399972</v>
      </c>
      <c r="V9" s="12">
        <f>K9-'Dez23'!K9</f>
        <v>-2544074.3115999997</v>
      </c>
      <c r="W9" s="12">
        <f>+M9-'Dez23'!M9</f>
        <v>0</v>
      </c>
      <c r="Y9" s="28">
        <f>D9-'Dez23'!D9</f>
        <v>6.8000000000000282E-3</v>
      </c>
      <c r="Z9" s="28">
        <f>F9-'Dez23'!F9</f>
        <v>5.5999999999999939E-3</v>
      </c>
      <c r="AA9" s="28">
        <f>H9-'Dez23'!H9</f>
        <v>-1.419999999999999E-2</v>
      </c>
      <c r="AB9" s="28">
        <f>J9-'Dez23'!J9</f>
        <v>1.800000000000003E-3</v>
      </c>
      <c r="AC9" s="28">
        <f>L9-'Dez23'!L9</f>
        <v>0</v>
      </c>
    </row>
    <row r="10" spans="2:34" x14ac:dyDescent="0.25">
      <c r="B10" s="3" t="s">
        <v>25</v>
      </c>
      <c r="C10" s="57">
        <v>128551849</v>
      </c>
      <c r="D10" s="56">
        <v>0.51</v>
      </c>
      <c r="E10" s="57">
        <f t="shared" si="0"/>
        <v>65561442.990000002</v>
      </c>
      <c r="F10" s="56">
        <f>5%+4%</f>
        <v>0.09</v>
      </c>
      <c r="G10" s="57">
        <f t="shared" si="0"/>
        <v>11569666.41</v>
      </c>
      <c r="H10" s="56">
        <v>0.36</v>
      </c>
      <c r="I10" s="57">
        <f t="shared" si="1"/>
        <v>46278665.640000001</v>
      </c>
      <c r="J10" s="56">
        <f>4%</f>
        <v>0.04</v>
      </c>
      <c r="K10" s="57">
        <f t="shared" si="2"/>
        <v>5142073.96</v>
      </c>
      <c r="L10" s="56"/>
      <c r="M10" s="57">
        <f t="shared" si="3"/>
        <v>0</v>
      </c>
      <c r="N10" s="56"/>
      <c r="O10" s="57">
        <f t="shared" si="4"/>
        <v>0</v>
      </c>
      <c r="S10" s="12">
        <f>E10-'Dez23'!E10</f>
        <v>-16641076.830000006</v>
      </c>
      <c r="T10" s="12">
        <f>G10-'Dez23'!G10</f>
        <v>-838261.1099999994</v>
      </c>
      <c r="U10" s="12">
        <f>I10-'Dez23'!I10</f>
        <v>-4904035.3800000027</v>
      </c>
      <c r="V10" s="12">
        <f>K10-'Dez23'!K10</f>
        <v>-4163871.6799999988</v>
      </c>
      <c r="W10" s="12">
        <f>+M10-'Dez23'!M10</f>
        <v>0</v>
      </c>
      <c r="Y10" s="28">
        <f>D10-'Dez23'!D10</f>
        <v>-2.0000000000000018E-2</v>
      </c>
      <c r="Z10" s="28">
        <f>F10-'Dez23'!F10</f>
        <v>9.999999999999995E-3</v>
      </c>
      <c r="AA10" s="28">
        <f>H10-'Dez23'!H10</f>
        <v>2.9999999999999971E-2</v>
      </c>
      <c r="AB10" s="28">
        <f>J10-'Dez23'!J10</f>
        <v>-1.9999999999999997E-2</v>
      </c>
      <c r="AC10" s="28">
        <f>L10-'Dez23'!L10</f>
        <v>0</v>
      </c>
    </row>
    <row r="11" spans="2:34" x14ac:dyDescent="0.25">
      <c r="B11" s="3" t="s">
        <v>29</v>
      </c>
      <c r="C11" s="57">
        <v>5258089412.6499996</v>
      </c>
      <c r="D11" s="56">
        <f>37.2%</f>
        <v>0.37200000000000005</v>
      </c>
      <c r="E11" s="57">
        <f t="shared" si="0"/>
        <v>1956009261.5058002</v>
      </c>
      <c r="F11" s="56">
        <f>28.8%+3.8%</f>
        <v>0.32600000000000001</v>
      </c>
      <c r="G11" s="57">
        <f t="shared" si="0"/>
        <v>1714137148.5239</v>
      </c>
      <c r="H11" s="56">
        <f>27.4%+1%</f>
        <v>0.28399999999999997</v>
      </c>
      <c r="I11" s="57">
        <f t="shared" si="1"/>
        <v>1493297393.1925998</v>
      </c>
      <c r="J11" s="56">
        <v>1.9E-2</v>
      </c>
      <c r="K11" s="57">
        <f t="shared" si="2"/>
        <v>99903698.840349987</v>
      </c>
      <c r="L11" s="56"/>
      <c r="M11" s="57">
        <f t="shared" si="3"/>
        <v>0</v>
      </c>
      <c r="N11" s="56"/>
      <c r="O11" s="57">
        <f t="shared" si="4"/>
        <v>0</v>
      </c>
      <c r="S11" s="12">
        <f>E11-'Dez23'!E11</f>
        <v>613662336.46257019</v>
      </c>
      <c r="T11" s="12">
        <f>G11-'Dez23'!G11</f>
        <v>375971989.60229969</v>
      </c>
      <c r="U11" s="12">
        <f>I11-'Dez23'!I11</f>
        <v>96587508.568179607</v>
      </c>
      <c r="V11" s="12">
        <f>K11-'Dez23'!K11</f>
        <v>-4640454.2004000247</v>
      </c>
      <c r="W11" s="12">
        <f>+M11-'Dez23'!M11</f>
        <v>0</v>
      </c>
      <c r="Y11" s="28">
        <f>D11-'Dez23'!D11</f>
        <v>5.1000000000000045E-2</v>
      </c>
      <c r="Z11" s="28">
        <f>F11-'Dez23'!F11</f>
        <v>5.9999999999999498E-3</v>
      </c>
      <c r="AA11" s="28">
        <f>H11-'Dez23'!H11</f>
        <v>-5.0000000000000044E-2</v>
      </c>
      <c r="AB11" s="28">
        <f>J11-'Dez23'!J11</f>
        <v>-6.0000000000000019E-3</v>
      </c>
      <c r="AC11" s="28">
        <f>L11-'Dez23'!L11</f>
        <v>0</v>
      </c>
    </row>
    <row r="12" spans="2:34" x14ac:dyDescent="0.25">
      <c r="B12" s="3" t="s">
        <v>47</v>
      </c>
      <c r="C12" s="57">
        <v>1556325771.95</v>
      </c>
      <c r="D12" s="56">
        <v>0.64</v>
      </c>
      <c r="E12" s="57">
        <f t="shared" si="0"/>
        <v>996048494.0480001</v>
      </c>
      <c r="F12" s="56">
        <v>0.12</v>
      </c>
      <c r="G12" s="57">
        <f t="shared" si="0"/>
        <v>186759092.634</v>
      </c>
      <c r="H12" s="56">
        <v>0.24</v>
      </c>
      <c r="I12" s="57">
        <f t="shared" si="1"/>
        <v>373518185.26800001</v>
      </c>
      <c r="J12" s="56"/>
      <c r="K12" s="57">
        <f t="shared" si="2"/>
        <v>0</v>
      </c>
      <c r="L12" s="70"/>
      <c r="M12" s="57">
        <f t="shared" si="3"/>
        <v>0</v>
      </c>
      <c r="N12" s="56"/>
      <c r="O12" s="57">
        <f t="shared" si="4"/>
        <v>0</v>
      </c>
      <c r="S12" s="12">
        <f>E12-'Dez23'!E12</f>
        <v>16942634.891200066</v>
      </c>
      <c r="T12" s="12">
        <f>G12-'Dez23'!G12</f>
        <v>-18537297.189200014</v>
      </c>
      <c r="U12" s="12">
        <f>I12-'Dez23'!I12</f>
        <v>-21282564.39200002</v>
      </c>
      <c r="V12" s="12">
        <f>K12-'Dez23'!K12</f>
        <v>0</v>
      </c>
      <c r="W12" s="12">
        <f>+M12-'Dez23'!M12</f>
        <v>0</v>
      </c>
      <c r="Y12" s="28">
        <f>D12-'Dez23'!D12</f>
        <v>2.0000000000000018E-2</v>
      </c>
      <c r="Z12" s="28">
        <f>F12-'Dez23'!F12</f>
        <v>-1.0000000000000009E-2</v>
      </c>
      <c r="AA12" s="28">
        <f>H12-'Dez23'!H12</f>
        <v>-1.0000000000000009E-2</v>
      </c>
      <c r="AB12" s="28">
        <f>J12-'Dez23'!J12</f>
        <v>0</v>
      </c>
      <c r="AC12" s="28">
        <f>L12-'Dez23'!L12</f>
        <v>0</v>
      </c>
    </row>
    <row r="13" spans="2:34" x14ac:dyDescent="0.25">
      <c r="B13" s="3" t="s">
        <v>30</v>
      </c>
      <c r="C13" s="57">
        <v>834070000</v>
      </c>
      <c r="D13" s="56">
        <v>0.28999999999999998</v>
      </c>
      <c r="E13" s="57">
        <f t="shared" si="0"/>
        <v>241880299.99999997</v>
      </c>
      <c r="F13" s="56">
        <f>18%+1%</f>
        <v>0.19</v>
      </c>
      <c r="G13" s="57">
        <f t="shared" si="0"/>
        <v>158473300</v>
      </c>
      <c r="H13" s="56">
        <v>0.51</v>
      </c>
      <c r="I13" s="57">
        <f t="shared" si="1"/>
        <v>425375700</v>
      </c>
      <c r="J13" s="56">
        <v>0.01</v>
      </c>
      <c r="K13" s="57">
        <f t="shared" si="2"/>
        <v>8340700</v>
      </c>
      <c r="L13" s="56"/>
      <c r="M13" s="57">
        <f t="shared" si="3"/>
        <v>0</v>
      </c>
      <c r="N13" s="56"/>
      <c r="O13" s="57">
        <f t="shared" si="4"/>
        <v>0</v>
      </c>
      <c r="S13" s="12">
        <f>E13-'Dez23'!E13</f>
        <v>8340699.9999999404</v>
      </c>
      <c r="T13" s="12">
        <f>G13-'Dez23'!G13</f>
        <v>0</v>
      </c>
      <c r="U13" s="12">
        <f>I13-'Dez23'!I13</f>
        <v>-8340700</v>
      </c>
      <c r="V13" s="12">
        <f>K13-'Dez23'!K13</f>
        <v>0</v>
      </c>
      <c r="W13" s="12">
        <f>+M13-'Dez23'!M13</f>
        <v>0</v>
      </c>
      <c r="Y13" s="28">
        <f>D13-'Dez23'!D13</f>
        <v>9.9999999999999534E-3</v>
      </c>
      <c r="Z13" s="28">
        <f>F13-'Dez23'!F13</f>
        <v>0</v>
      </c>
      <c r="AA13" s="28">
        <f>H13-'Dez23'!H13</f>
        <v>-1.0000000000000009E-2</v>
      </c>
      <c r="AB13" s="28">
        <f>J13-'Dez23'!J13</f>
        <v>0</v>
      </c>
      <c r="AC13" s="28">
        <f>L13-'Dez23'!L13</f>
        <v>0</v>
      </c>
    </row>
    <row r="14" spans="2:34" x14ac:dyDescent="0.25">
      <c r="B14" s="3" t="s">
        <v>31</v>
      </c>
      <c r="C14" s="57">
        <v>52228064.939999998</v>
      </c>
      <c r="D14" s="56">
        <v>0.48599999999999999</v>
      </c>
      <c r="E14" s="57">
        <f t="shared" si="0"/>
        <v>25382839.560839999</v>
      </c>
      <c r="F14" s="56">
        <v>0.105</v>
      </c>
      <c r="G14" s="57">
        <f t="shared" si="0"/>
        <v>5483946.8186999997</v>
      </c>
      <c r="H14" s="56">
        <v>0.40899999999999997</v>
      </c>
      <c r="I14" s="57">
        <f t="shared" si="1"/>
        <v>21361278.560459998</v>
      </c>
      <c r="J14" s="56"/>
      <c r="K14" s="57">
        <f t="shared" si="2"/>
        <v>0</v>
      </c>
      <c r="L14" s="56"/>
      <c r="M14" s="57">
        <f t="shared" si="3"/>
        <v>0</v>
      </c>
      <c r="N14" s="56"/>
      <c r="O14" s="57">
        <f t="shared" si="4"/>
        <v>0</v>
      </c>
      <c r="S14" s="12">
        <f>E14-'Dez23'!E14</f>
        <v>2142809.0719400011</v>
      </c>
      <c r="T14" s="12">
        <f>G14-'Dez23'!G14</f>
        <v>12751.736000000499</v>
      </c>
      <c r="U14" s="12">
        <f>I14-'Dez23'!I14</f>
        <v>78831.633260000497</v>
      </c>
      <c r="V14" s="12">
        <f>K14-'Dez23'!K14</f>
        <v>-200777.80119999999</v>
      </c>
      <c r="W14" s="12">
        <f>+M14-'Dez23'!M14</f>
        <v>0</v>
      </c>
      <c r="Y14" s="28">
        <f>D14-'Dez23'!D14</f>
        <v>2.2999999999999965E-2</v>
      </c>
      <c r="Z14" s="28">
        <f>F14-'Dez23'!F14</f>
        <v>-4.0000000000000036E-3</v>
      </c>
      <c r="AA14" s="28">
        <f>H14-'Dez23'!H14</f>
        <v>-1.5000000000000013E-2</v>
      </c>
      <c r="AB14" s="28">
        <f>J14-'Dez23'!J14</f>
        <v>-4.0000000000000001E-3</v>
      </c>
      <c r="AC14" s="28">
        <f>L14-'Dez23'!L14</f>
        <v>0</v>
      </c>
    </row>
    <row r="15" spans="2:34" s="8" customFormat="1" x14ac:dyDescent="0.25">
      <c r="B15" s="21" t="s">
        <v>45</v>
      </c>
      <c r="C15" s="62">
        <f>SUM(C3:C14)</f>
        <v>16979696400.940001</v>
      </c>
      <c r="D15" s="67">
        <f>E15/$C$15</f>
        <v>0.36386294188922186</v>
      </c>
      <c r="E15" s="63">
        <f>SUM(E3:E14)</f>
        <v>6178282284.8318605</v>
      </c>
      <c r="F15" s="67">
        <f>G15/$C$15</f>
        <v>0.21510030112527012</v>
      </c>
      <c r="G15" s="62">
        <f>SUM(G3:G14)</f>
        <v>3652337808.8578596</v>
      </c>
      <c r="H15" s="67">
        <f>I15/$C$15</f>
        <v>0.38268305092192451</v>
      </c>
      <c r="I15" s="63">
        <f>SUM(I3:I14)</f>
        <v>6497842022.4397402</v>
      </c>
      <c r="J15" s="67">
        <f>K15/$C$15</f>
        <v>2.8725835090737409E-2</v>
      </c>
      <c r="K15" s="63">
        <f>SUM(K3:K14)</f>
        <v>487755958.70418996</v>
      </c>
      <c r="L15" s="67">
        <f>M15/$C$15</f>
        <v>9.937540197106156E-3</v>
      </c>
      <c r="M15" s="63">
        <f>SUM(M3:M14)</f>
        <v>168736415.51899999</v>
      </c>
      <c r="N15" s="67">
        <f>O15/$C$15</f>
        <v>0</v>
      </c>
      <c r="O15" s="63">
        <f>SUM(O3:O14)</f>
        <v>0</v>
      </c>
      <c r="S15" s="12">
        <f>E15-'Dez23'!E15</f>
        <v>781462938.59729004</v>
      </c>
      <c r="T15" s="12">
        <f>G15-'Dez23'!G15</f>
        <v>311676998.72457886</v>
      </c>
      <c r="U15" s="12">
        <f>I15-'Dez23'!I15</f>
        <v>-36235862.150099754</v>
      </c>
      <c r="V15" s="12">
        <f>K15-'Dez23'!K15</f>
        <v>-25865564.780920029</v>
      </c>
      <c r="W15" s="12">
        <f>+M15-'Dez23'!M15</f>
        <v>58182889.531800002</v>
      </c>
      <c r="Y15" s="28">
        <f>D15-'Dez23'!D15</f>
        <v>2.4349229905487269E-2</v>
      </c>
      <c r="Z15" s="28">
        <f>F15-'Dez23'!F15</f>
        <v>4.9394490822448067E-3</v>
      </c>
      <c r="AA15" s="28">
        <f>H15-'Dez23'!H15</f>
        <v>-2.8375555020803023E-2</v>
      </c>
      <c r="AB15" s="28">
        <f>J15-'Dez23'!J15</f>
        <v>-3.5860765753143453E-3</v>
      </c>
      <c r="AC15" s="28">
        <f>L15-'Dez23'!L15</f>
        <v>2.982621832645283E-3</v>
      </c>
    </row>
    <row r="16" spans="2:34" x14ac:dyDescent="0.25">
      <c r="C16" s="10"/>
      <c r="D16" s="10"/>
      <c r="E16" s="10"/>
      <c r="F16" s="5"/>
      <c r="G16" s="10"/>
      <c r="H16" s="10"/>
      <c r="I16" s="10"/>
      <c r="J16" s="5"/>
      <c r="K16" s="10"/>
    </row>
    <row r="17" spans="2:29" x14ac:dyDescent="0.25">
      <c r="B17" s="4" t="s">
        <v>2</v>
      </c>
      <c r="C17" s="9" t="s">
        <v>4</v>
      </c>
      <c r="D17" s="112" t="s">
        <v>7</v>
      </c>
      <c r="E17" s="112"/>
      <c r="F17" s="112" t="s">
        <v>8</v>
      </c>
      <c r="G17" s="112"/>
      <c r="H17" s="112" t="s">
        <v>10</v>
      </c>
      <c r="I17" s="112"/>
      <c r="J17" s="112" t="s">
        <v>9</v>
      </c>
      <c r="K17" s="112"/>
      <c r="L17" s="112" t="s">
        <v>21</v>
      </c>
      <c r="M17" s="112"/>
      <c r="N17" s="112" t="s">
        <v>55</v>
      </c>
      <c r="O17" s="112"/>
      <c r="S17" s="27" t="s">
        <v>49</v>
      </c>
      <c r="T17" s="27" t="s">
        <v>50</v>
      </c>
      <c r="U17" s="27" t="s">
        <v>51</v>
      </c>
      <c r="V17" s="27" t="s">
        <v>52</v>
      </c>
      <c r="W17" s="27" t="s">
        <v>53</v>
      </c>
      <c r="Y17" s="27" t="s">
        <v>49</v>
      </c>
      <c r="Z17" s="27" t="s">
        <v>50</v>
      </c>
      <c r="AA17" s="27" t="s">
        <v>51</v>
      </c>
      <c r="AB17" s="27" t="s">
        <v>52</v>
      </c>
      <c r="AC17" s="27" t="s">
        <v>53</v>
      </c>
    </row>
    <row r="18" spans="2:29" x14ac:dyDescent="0.25">
      <c r="B18" s="21" t="s">
        <v>6</v>
      </c>
      <c r="C18" s="58">
        <v>236626819.88</v>
      </c>
      <c r="D18" s="59">
        <f>11.77%+0.73%</f>
        <v>0.125</v>
      </c>
      <c r="E18" s="58">
        <f>D18*$C18</f>
        <v>29578352.484999999</v>
      </c>
      <c r="F18" s="59">
        <f>9.96%+8.55%+6.52%</f>
        <v>0.25030000000000002</v>
      </c>
      <c r="G18" s="58">
        <f>F18*$C18</f>
        <v>59227693.015964001</v>
      </c>
      <c r="H18" s="59">
        <f>49.84%+1.16%</f>
        <v>0.51</v>
      </c>
      <c r="I18" s="58">
        <f>H18*$C18</f>
        <v>120679678.1388</v>
      </c>
      <c r="J18" s="59">
        <v>7.2999999999999995E-2</v>
      </c>
      <c r="K18" s="58">
        <f>J18*$C18</f>
        <v>17273757.851239998</v>
      </c>
      <c r="L18" s="59"/>
      <c r="M18" s="58">
        <f>L18*$C18</f>
        <v>0</v>
      </c>
      <c r="N18" s="59">
        <f>-2.45%+6.63%</f>
        <v>4.1799999999999997E-2</v>
      </c>
      <c r="O18" s="68">
        <f>N18*$C18</f>
        <v>9891001.0709839985</v>
      </c>
      <c r="S18" s="12">
        <f>E18-'Dez23'!E18</f>
        <v>-6905939.8511840031</v>
      </c>
      <c r="T18" s="12">
        <f>G18-'Dez23'!G18</f>
        <v>-4400693.6934619993</v>
      </c>
      <c r="U18" s="12">
        <f>I18-'Dez23'!I18</f>
        <v>-17423776.785404027</v>
      </c>
      <c r="V18" s="12">
        <f>K18-'Dez23'!K18</f>
        <v>948954.3734879978</v>
      </c>
      <c r="W18" s="12">
        <f>+M18-'Dez23'!M18</f>
        <v>0</v>
      </c>
      <c r="Y18" s="28">
        <f>D18-'Dez23'!D18</f>
        <v>-8.2000000000000128E-3</v>
      </c>
      <c r="Z18" s="28">
        <f>F18-'Dez23'!F18</f>
        <v>1.8000000000000016E-2</v>
      </c>
      <c r="AA18" s="28">
        <f>H18-'Dez23'!H18</f>
        <v>5.7999999999999163E-3</v>
      </c>
      <c r="AB18" s="28">
        <f>J18-'Dez23'!J18</f>
        <v>1.3399999999999995E-2</v>
      </c>
      <c r="AC18" s="28">
        <f>L18-'Dez23'!L18</f>
        <v>0</v>
      </c>
    </row>
    <row r="19" spans="2:29" x14ac:dyDescent="0.25">
      <c r="B19" s="3" t="s">
        <v>26</v>
      </c>
      <c r="C19" s="57">
        <v>403672918.47000003</v>
      </c>
      <c r="D19" s="56">
        <v>0.125</v>
      </c>
      <c r="E19" s="57">
        <f>D19*$C19</f>
        <v>50459114.808750004</v>
      </c>
      <c r="F19" s="56">
        <f>14%</f>
        <v>0.14000000000000001</v>
      </c>
      <c r="G19" s="57">
        <f>F19*$C19</f>
        <v>56514208.585800007</v>
      </c>
      <c r="H19" s="56">
        <f>2.5%+45%</f>
        <v>0.47500000000000003</v>
      </c>
      <c r="I19" s="57">
        <f>H19*$C19</f>
        <v>191744636.27325001</v>
      </c>
      <c r="J19" s="56">
        <v>0.15</v>
      </c>
      <c r="K19" s="57">
        <f>J19*$C19</f>
        <v>60550937.770500004</v>
      </c>
      <c r="L19" s="56">
        <v>0.11</v>
      </c>
      <c r="M19" s="57">
        <f>L19*$C19</f>
        <v>44404021.0317</v>
      </c>
      <c r="N19" s="56"/>
      <c r="O19" s="12">
        <f>N19*$C19</f>
        <v>0</v>
      </c>
      <c r="S19" s="12">
        <f>E19-'Dez23'!E19</f>
        <v>11617115.954750001</v>
      </c>
      <c r="T19" s="12">
        <f>G19-'Dez23'!G19</f>
        <v>2135410.190200001</v>
      </c>
      <c r="U19" s="12">
        <f>I19-'Dez23'!I19</f>
        <v>-2465357.9967499971</v>
      </c>
      <c r="V19" s="12">
        <f>K19-'Dez23'!K19</f>
        <v>2287939.4895000011</v>
      </c>
      <c r="W19" s="12">
        <f>+M19-'Dez23'!M19</f>
        <v>1677822.2923000008</v>
      </c>
      <c r="Y19" s="28">
        <f>D19-'Dez23'!D19</f>
        <v>2.4999999999999994E-2</v>
      </c>
      <c r="Z19" s="28">
        <f>F19-'Dez23'!F19</f>
        <v>0</v>
      </c>
      <c r="AA19" s="28">
        <f>H19-'Dez23'!H19</f>
        <v>-2.4999999999999967E-2</v>
      </c>
      <c r="AB19" s="28">
        <f>J19-'Dez23'!J19</f>
        <v>0</v>
      </c>
      <c r="AC19" s="28">
        <f>L19-'Dez23'!L19</f>
        <v>0</v>
      </c>
    </row>
    <row r="20" spans="2:29" x14ac:dyDescent="0.25">
      <c r="B20" s="3" t="s">
        <v>27</v>
      </c>
      <c r="C20" s="60">
        <f>368875215+371330718</f>
        <v>740205933</v>
      </c>
      <c r="D20" s="56">
        <v>5.0200000000000002E-2</v>
      </c>
      <c r="E20" s="57">
        <f t="shared" ref="E20:G26" si="5">D20*$C20</f>
        <v>37158337.836599998</v>
      </c>
      <c r="F20" s="56">
        <v>0.26019999999999999</v>
      </c>
      <c r="G20" s="57">
        <f t="shared" si="5"/>
        <v>192601583.76659998</v>
      </c>
      <c r="H20" s="56">
        <f>58.69%+2.34%+1.88%</f>
        <v>0.62909999999999999</v>
      </c>
      <c r="I20" s="57">
        <f t="shared" ref="I20:I26" si="6">H20*$C20</f>
        <v>465663552.45029998</v>
      </c>
      <c r="J20" s="56">
        <v>6.0499999999999998E-2</v>
      </c>
      <c r="K20" s="57">
        <f t="shared" ref="K20:K26" si="7">J20*$C20</f>
        <v>44782458.946499996</v>
      </c>
      <c r="L20" s="56"/>
      <c r="M20" s="57">
        <f t="shared" ref="M20:M26" si="8">L20*$C20</f>
        <v>0</v>
      </c>
      <c r="N20" s="56"/>
      <c r="O20" s="12">
        <f t="shared" ref="O20:O26" si="9">N20*$C20</f>
        <v>0</v>
      </c>
      <c r="S20" s="12">
        <f>E20-'Dez23'!E20</f>
        <v>-35996735.363400005</v>
      </c>
      <c r="T20" s="12">
        <f>G20-'Dez23'!G20</f>
        <v>-48643896.263400018</v>
      </c>
      <c r="U20" s="12">
        <f>I20-'Dez23'!I20</f>
        <v>-5771015.8646999598</v>
      </c>
      <c r="V20" s="12">
        <f>K20-'Dez23'!K20</f>
        <v>-690069.50850000232</v>
      </c>
      <c r="W20" s="12">
        <f>+M20-'Dez23'!M20</f>
        <v>0</v>
      </c>
      <c r="Y20" s="28">
        <f>D20-'Dez23'!D20</f>
        <v>-3.7799999999999993E-2</v>
      </c>
      <c r="Z20" s="28">
        <f>F20-'Dez23'!F20</f>
        <v>-3.0000000000000027E-2</v>
      </c>
      <c r="AA20" s="28">
        <f>H20-'Dez23'!H20</f>
        <v>6.2000000000000055E-2</v>
      </c>
      <c r="AB20" s="28">
        <f>J20-'Dez23'!J20</f>
        <v>5.7999999999999996E-3</v>
      </c>
      <c r="AC20" s="28">
        <f>L20-'Dez23'!L20</f>
        <v>0</v>
      </c>
    </row>
    <row r="21" spans="2:29" x14ac:dyDescent="0.25">
      <c r="B21" s="3" t="s">
        <v>28</v>
      </c>
      <c r="C21" s="60">
        <v>1058461267</v>
      </c>
      <c r="D21" s="56">
        <f>14%+1%</f>
        <v>0.15000000000000002</v>
      </c>
      <c r="E21" s="57">
        <f t="shared" si="5"/>
        <v>158769190.05000001</v>
      </c>
      <c r="F21" s="56">
        <f>7%+2%+1%+6%</f>
        <v>0.16</v>
      </c>
      <c r="G21" s="57">
        <f t="shared" si="5"/>
        <v>169353802.72</v>
      </c>
      <c r="H21" s="56">
        <v>0.56000000000000005</v>
      </c>
      <c r="I21" s="57">
        <f t="shared" si="6"/>
        <v>592738309.5200001</v>
      </c>
      <c r="J21" s="56">
        <v>0.13</v>
      </c>
      <c r="K21" s="57">
        <f t="shared" si="7"/>
        <v>137599964.71000001</v>
      </c>
      <c r="L21" s="56"/>
      <c r="M21" s="57">
        <f t="shared" si="8"/>
        <v>0</v>
      </c>
      <c r="N21" s="56"/>
      <c r="O21" s="12">
        <f t="shared" si="9"/>
        <v>0</v>
      </c>
      <c r="S21" s="12">
        <f>E21-'Dez23'!E21</f>
        <v>18944238.420000017</v>
      </c>
      <c r="T21" s="12">
        <f>G21-'Dez23'!G21</f>
        <v>-13494210.950000018</v>
      </c>
      <c r="U21" s="12">
        <f>I21-'Dez23'!I21</f>
        <v>-20340324.549999952</v>
      </c>
      <c r="V21" s="12">
        <f>K21-'Dez23'!K21</f>
        <v>-2224986.9199999869</v>
      </c>
      <c r="W21" s="12">
        <f>+M21-'Dez23'!M21</f>
        <v>0</v>
      </c>
      <c r="Y21" s="28">
        <f>D21-'Dez23'!D21</f>
        <v>2.0000000000000018E-2</v>
      </c>
      <c r="Z21" s="28">
        <f>F21-'Dez23'!F21</f>
        <v>-1.0000000000000009E-2</v>
      </c>
      <c r="AA21" s="28">
        <f>H21-'Dez23'!H21</f>
        <v>-1.0000000000000009E-2</v>
      </c>
      <c r="AB21" s="28">
        <f>J21-'Dez23'!J21</f>
        <v>0</v>
      </c>
      <c r="AC21" s="28">
        <f>L21-'Dez23'!L21</f>
        <v>0</v>
      </c>
    </row>
    <row r="22" spans="2:29" x14ac:dyDescent="0.25">
      <c r="B22" s="3" t="s">
        <v>32</v>
      </c>
      <c r="C22" s="60">
        <v>262710000</v>
      </c>
      <c r="D22" s="56">
        <v>0.09</v>
      </c>
      <c r="E22" s="57">
        <f t="shared" si="5"/>
        <v>23643900</v>
      </c>
      <c r="F22" s="56">
        <v>0.11</v>
      </c>
      <c r="G22" s="57">
        <f t="shared" si="5"/>
        <v>28898100</v>
      </c>
      <c r="H22" s="56">
        <f>61%+6%</f>
        <v>0.66999999999999993</v>
      </c>
      <c r="I22" s="57">
        <f t="shared" si="6"/>
        <v>176015699.99999997</v>
      </c>
      <c r="J22" s="56">
        <v>0.13</v>
      </c>
      <c r="K22" s="57">
        <f t="shared" si="7"/>
        <v>34152300</v>
      </c>
      <c r="L22" s="56"/>
      <c r="M22" s="57">
        <f t="shared" si="8"/>
        <v>0</v>
      </c>
      <c r="N22" s="56"/>
      <c r="O22" s="12">
        <f t="shared" si="9"/>
        <v>0</v>
      </c>
      <c r="S22" s="12">
        <f>E22-'Dez23'!E22</f>
        <v>-3819100</v>
      </c>
      <c r="T22" s="12">
        <f>G22-'Dez23'!G22</f>
        <v>-1311200</v>
      </c>
      <c r="U22" s="12">
        <f>I22-'Dez23'!I22</f>
        <v>-5240100</v>
      </c>
      <c r="V22" s="12">
        <f>K22-'Dez23'!K22</f>
        <v>-1549600</v>
      </c>
      <c r="W22" s="12">
        <f>+M22-'Dez23'!M22</f>
        <v>0</v>
      </c>
      <c r="Y22" s="28">
        <f>D22-'Dez23'!D22</f>
        <v>-1.0000000000000009E-2</v>
      </c>
      <c r="Z22" s="28">
        <f>F22-'Dez23'!F22</f>
        <v>0</v>
      </c>
      <c r="AA22" s="28">
        <f>H22-'Dez23'!H22</f>
        <v>1.0000000000000009E-2</v>
      </c>
      <c r="AB22" s="28">
        <f>J22-'Dez23'!J22</f>
        <v>0</v>
      </c>
      <c r="AC22" s="28">
        <f>L22-'Dez23'!L22</f>
        <v>0</v>
      </c>
    </row>
    <row r="23" spans="2:29" x14ac:dyDescent="0.25">
      <c r="B23" s="3" t="s">
        <v>33</v>
      </c>
      <c r="C23" s="60">
        <v>637100000</v>
      </c>
      <c r="D23" s="56">
        <v>0.22</v>
      </c>
      <c r="E23" s="57">
        <f t="shared" si="5"/>
        <v>140162000</v>
      </c>
      <c r="F23" s="56">
        <v>0.21</v>
      </c>
      <c r="G23" s="57">
        <f t="shared" si="5"/>
        <v>133791000</v>
      </c>
      <c r="H23" s="56">
        <v>0.55000000000000004</v>
      </c>
      <c r="I23" s="57">
        <f t="shared" si="6"/>
        <v>350405000</v>
      </c>
      <c r="J23" s="56">
        <v>0.02</v>
      </c>
      <c r="K23" s="57">
        <f t="shared" si="7"/>
        <v>12742000</v>
      </c>
      <c r="L23" s="56"/>
      <c r="M23" s="57">
        <f t="shared" si="8"/>
        <v>0</v>
      </c>
      <c r="N23" s="56"/>
      <c r="O23" s="12">
        <f t="shared" si="9"/>
        <v>0</v>
      </c>
      <c r="S23" s="12">
        <f>E23-'Dez23'!E23</f>
        <v>29498000</v>
      </c>
      <c r="T23" s="12">
        <f>G23-'Dez23'!G23</f>
        <v>16979000</v>
      </c>
      <c r="U23" s="12">
        <f>I23-'Dez23'!I23</f>
        <v>-18475000</v>
      </c>
      <c r="V23" s="12">
        <f>K23-'Dez23'!K23</f>
        <v>-5702000</v>
      </c>
      <c r="W23" s="12">
        <f>+M23-'Dez23'!M23</f>
        <v>0</v>
      </c>
      <c r="Y23" s="28">
        <f>D23-'Dez23'!D23</f>
        <v>4.0000000000000008E-2</v>
      </c>
      <c r="Z23" s="28">
        <f>F23-'Dez23'!F23</f>
        <v>1.999999999999999E-2</v>
      </c>
      <c r="AA23" s="28">
        <f>H23-'Dez23'!H23</f>
        <v>-4.9999999999999933E-2</v>
      </c>
      <c r="AB23" s="28">
        <f>J23-'Dez23'!J23</f>
        <v>-9.9999999999999985E-3</v>
      </c>
      <c r="AC23" s="28">
        <f>L23-'Dez23'!L23</f>
        <v>0</v>
      </c>
    </row>
    <row r="24" spans="2:29" x14ac:dyDescent="0.25">
      <c r="B24" s="3" t="s">
        <v>34</v>
      </c>
      <c r="C24" s="60">
        <v>289651050</v>
      </c>
      <c r="D24" s="56">
        <v>0.1656</v>
      </c>
      <c r="E24" s="57">
        <f t="shared" si="5"/>
        <v>47966213.880000003</v>
      </c>
      <c r="F24" s="56">
        <v>0.16869999999999999</v>
      </c>
      <c r="G24" s="57">
        <f t="shared" si="5"/>
        <v>48864132.134999998</v>
      </c>
      <c r="H24" s="56">
        <f>52.14%+0.05%</f>
        <v>0.52189999999999992</v>
      </c>
      <c r="I24" s="57">
        <f t="shared" si="6"/>
        <v>151168882.99499997</v>
      </c>
      <c r="J24" s="56">
        <v>0.14380000000000001</v>
      </c>
      <c r="K24" s="57">
        <f t="shared" si="7"/>
        <v>41651820.990000002</v>
      </c>
      <c r="L24" s="56"/>
      <c r="M24" s="57">
        <f t="shared" si="8"/>
        <v>0</v>
      </c>
      <c r="N24" s="56"/>
      <c r="O24" s="12">
        <f t="shared" si="9"/>
        <v>0</v>
      </c>
      <c r="S24" s="12">
        <f>E24-'Dez23'!E24</f>
        <v>16457483.885400005</v>
      </c>
      <c r="T24" s="12">
        <f>G24-'Dez23'!G24</f>
        <v>10750952.185199998</v>
      </c>
      <c r="U24" s="12">
        <f>I24-'Dez23'!I24</f>
        <v>22519701.57599999</v>
      </c>
      <c r="V24" s="12">
        <f>K24-'Dez23'!K24</f>
        <v>10601733.353400003</v>
      </c>
      <c r="W24" s="12">
        <f>+M24-'Dez23'!M24</f>
        <v>0</v>
      </c>
      <c r="Y24" s="28">
        <f>D24-'Dez23'!D24</f>
        <v>2.8200000000000003E-2</v>
      </c>
      <c r="Z24" s="28">
        <f>F24-'Dez23'!F24</f>
        <v>2.5000000000000022E-3</v>
      </c>
      <c r="AA24" s="28">
        <f>H24-'Dez23'!H24</f>
        <v>-3.9100000000000024E-2</v>
      </c>
      <c r="AB24" s="28">
        <f>J24-'Dez23'!J24</f>
        <v>8.4000000000000186E-3</v>
      </c>
      <c r="AC24" s="28">
        <f>L24-'Dez23'!L24</f>
        <v>0</v>
      </c>
    </row>
    <row r="25" spans="2:29" x14ac:dyDescent="0.25">
      <c r="B25" s="3" t="s">
        <v>35</v>
      </c>
      <c r="C25" s="60">
        <v>289651050</v>
      </c>
      <c r="D25" s="56">
        <v>9.8000000000000004E-2</v>
      </c>
      <c r="E25" s="57">
        <f t="shared" si="5"/>
        <v>28385802.900000002</v>
      </c>
      <c r="F25" s="56">
        <f>39.2%+6.5%+1.3%</f>
        <v>0.47000000000000003</v>
      </c>
      <c r="G25" s="57">
        <f t="shared" si="5"/>
        <v>136135993.5</v>
      </c>
      <c r="H25" s="56">
        <v>0.39700000000000002</v>
      </c>
      <c r="I25" s="57">
        <f t="shared" si="6"/>
        <v>114991466.85000001</v>
      </c>
      <c r="J25" s="56">
        <v>3.5999999999999997E-2</v>
      </c>
      <c r="K25" s="57">
        <f t="shared" si="7"/>
        <v>10427437.799999999</v>
      </c>
      <c r="L25" s="56"/>
      <c r="M25" s="57">
        <f t="shared" si="8"/>
        <v>0</v>
      </c>
      <c r="N25" s="56"/>
      <c r="O25" s="12">
        <f t="shared" si="9"/>
        <v>0</v>
      </c>
      <c r="S25" s="12">
        <f>E25-'Dez23'!E25</f>
        <v>1922810.2479999997</v>
      </c>
      <c r="T25" s="12">
        <f>G25-'Dez23'!G25</f>
        <v>41690485.241999999</v>
      </c>
      <c r="U25" s="12">
        <f>I25-'Dez23'!I25</f>
        <v>17124019.887000009</v>
      </c>
      <c r="V25" s="12">
        <f>K25-'Dez23'!K25</f>
        <v>1074138.6729999986</v>
      </c>
      <c r="W25" s="12">
        <f>+M25-'Dez23'!M25</f>
        <v>0</v>
      </c>
      <c r="Y25" s="28">
        <f>D25-'Dez23'!D25</f>
        <v>-1.8000000000000002E-2</v>
      </c>
      <c r="Z25" s="28">
        <f>F25-'Dez23'!F25</f>
        <v>5.5999999999999994E-2</v>
      </c>
      <c r="AA25" s="28">
        <f>H25-'Dez23'!H25</f>
        <v>-3.1999999999999973E-2</v>
      </c>
      <c r="AB25" s="28">
        <f>J25-'Dez23'!J25</f>
        <v>-5.0000000000000044E-3</v>
      </c>
      <c r="AC25" s="28">
        <f>L25-'Dez23'!L25</f>
        <v>0</v>
      </c>
    </row>
    <row r="26" spans="2:29" x14ac:dyDescent="0.25">
      <c r="B26" s="3" t="s">
        <v>36</v>
      </c>
      <c r="C26" s="60">
        <v>463960000</v>
      </c>
      <c r="D26" s="61">
        <v>0.12</v>
      </c>
      <c r="E26" s="57">
        <f t="shared" si="5"/>
        <v>55675200</v>
      </c>
      <c r="F26" s="61">
        <v>0.18</v>
      </c>
      <c r="G26" s="57">
        <f t="shared" si="5"/>
        <v>83512800</v>
      </c>
      <c r="H26" s="61">
        <f>59%+4%</f>
        <v>0.63</v>
      </c>
      <c r="I26" s="57">
        <f t="shared" si="6"/>
        <v>292294800</v>
      </c>
      <c r="J26" s="61">
        <v>7.0000000000000007E-2</v>
      </c>
      <c r="K26" s="57">
        <f t="shared" si="7"/>
        <v>32477200.000000004</v>
      </c>
      <c r="L26" s="61"/>
      <c r="M26" s="57">
        <f t="shared" si="8"/>
        <v>0</v>
      </c>
      <c r="N26" s="61"/>
      <c r="O26" s="12">
        <f t="shared" si="9"/>
        <v>0</v>
      </c>
      <c r="S26" s="12">
        <f>E26-'Dez23'!E26</f>
        <v>-16340800</v>
      </c>
      <c r="T26" s="12">
        <f>G26-'Dez23'!G26</f>
        <v>11496800</v>
      </c>
      <c r="U26" s="12">
        <f>I26-'Dez23'!I26</f>
        <v>17733800</v>
      </c>
      <c r="V26" s="12">
        <f>K26-'Dez23'!K26</f>
        <v>970200</v>
      </c>
      <c r="W26" s="12">
        <f>+M26-'Dez23'!M26</f>
        <v>0</v>
      </c>
      <c r="Y26" s="28">
        <f>D26-'Dez23'!D26</f>
        <v>-4.0000000000000008E-2</v>
      </c>
      <c r="Z26" s="28">
        <f>F26-'Dez23'!F26</f>
        <v>1.999999999999999E-2</v>
      </c>
      <c r="AA26" s="28">
        <f>H26-'Dez23'!H26</f>
        <v>2.0000000000000018E-2</v>
      </c>
      <c r="AB26" s="28">
        <f>J26-'Dez23'!J26</f>
        <v>0</v>
      </c>
      <c r="AC26" s="28">
        <f>L26-'Dez23'!L26</f>
        <v>0</v>
      </c>
    </row>
    <row r="27" spans="2:29" s="8" customFormat="1" x14ac:dyDescent="0.25">
      <c r="B27" s="21" t="s">
        <v>45</v>
      </c>
      <c r="C27" s="62">
        <f>SUM(C18:C26)</f>
        <v>4382039038.3500004</v>
      </c>
      <c r="D27" s="67">
        <f>+E27/$C27</f>
        <v>0.13048676813606233</v>
      </c>
      <c r="E27" s="63">
        <f>SUM(E18:E26)</f>
        <v>571798111.96035004</v>
      </c>
      <c r="F27" s="67">
        <f>+G27/$C27</f>
        <v>0.20741470027286615</v>
      </c>
      <c r="G27" s="62">
        <f>SUM(G18:G26)</f>
        <v>908899313.723364</v>
      </c>
      <c r="H27" s="67">
        <f>+I27/$C27</f>
        <v>0.56040167710418487</v>
      </c>
      <c r="I27" s="63">
        <f>SUM(I18:I26)</f>
        <v>2455702026.2273498</v>
      </c>
      <c r="J27" s="67">
        <f>+K27/$C27</f>
        <v>8.937799837942878E-2</v>
      </c>
      <c r="K27" s="63">
        <f>SUM(K18:K26)</f>
        <v>391657878.06823999</v>
      </c>
      <c r="L27" s="67">
        <f>+M27/$C27</f>
        <v>1.0133187003377257E-2</v>
      </c>
      <c r="M27" s="63">
        <f>SUM(M18:M26)</f>
        <v>44404021.0317</v>
      </c>
      <c r="N27" s="67">
        <f>+O27/$C27</f>
        <v>2.257168634149897E-3</v>
      </c>
      <c r="O27" s="17">
        <f>SUM(O18:O26)</f>
        <v>9891001.0709839985</v>
      </c>
      <c r="S27" s="12">
        <f>E27-'Dez23'!E27</f>
        <v>15377073.293565989</v>
      </c>
      <c r="T27" s="12">
        <f>G27-'Dez23'!G27</f>
        <v>15202646.71053791</v>
      </c>
      <c r="U27" s="12">
        <f>I27-'Dez23'!I27</f>
        <v>-12338053.733854294</v>
      </c>
      <c r="V27" s="12">
        <f>K27-'Dez23'!K27</f>
        <v>5716309.4608879685</v>
      </c>
      <c r="W27" s="12">
        <f>+M27-'Dez23'!M27</f>
        <v>1677822.2923000008</v>
      </c>
      <c r="Y27" s="28">
        <f>D27-'Dez23'!D27</f>
        <v>3.0482124032002456E-3</v>
      </c>
      <c r="Z27" s="28">
        <f>F27-'Dez23'!F27</f>
        <v>2.729031340797522E-3</v>
      </c>
      <c r="AA27" s="28">
        <f>H27-'Dez23'!H27</f>
        <v>-4.8599528922097512E-3</v>
      </c>
      <c r="AB27" s="28">
        <f>J27-'Dez23'!J27</f>
        <v>9.8479847734839199E-4</v>
      </c>
      <c r="AC27" s="28">
        <f>L27-'Dez23'!L27</f>
        <v>3.4749472914044968E-4</v>
      </c>
    </row>
    <row r="28" spans="2:29" x14ac:dyDescent="0.25">
      <c r="C28" s="10"/>
      <c r="D28" s="10"/>
      <c r="E28" s="10"/>
      <c r="F28" s="5"/>
      <c r="G28" s="10"/>
      <c r="H28" s="10"/>
      <c r="I28" s="10"/>
      <c r="J28" s="5"/>
      <c r="K28" s="10"/>
    </row>
    <row r="29" spans="2:29" x14ac:dyDescent="0.25">
      <c r="B29" s="4" t="s">
        <v>38</v>
      </c>
      <c r="C29" s="9" t="s">
        <v>4</v>
      </c>
      <c r="D29" s="113" t="s">
        <v>7</v>
      </c>
      <c r="E29" s="113"/>
      <c r="F29" s="112" t="s">
        <v>8</v>
      </c>
      <c r="G29" s="112"/>
      <c r="H29" s="112" t="s">
        <v>10</v>
      </c>
      <c r="I29" s="112"/>
      <c r="J29" s="112" t="s">
        <v>9</v>
      </c>
      <c r="K29" s="112"/>
      <c r="L29" s="112" t="s">
        <v>40</v>
      </c>
      <c r="M29" s="112"/>
      <c r="N29" s="112" t="s">
        <v>55</v>
      </c>
      <c r="O29" s="112"/>
      <c r="S29" s="27" t="s">
        <v>49</v>
      </c>
      <c r="T29" s="27" t="s">
        <v>50</v>
      </c>
      <c r="U29" s="27" t="s">
        <v>51</v>
      </c>
      <c r="V29" s="27" t="s">
        <v>52</v>
      </c>
      <c r="W29" s="27" t="s">
        <v>54</v>
      </c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</row>
    <row r="30" spans="2:29" x14ac:dyDescent="0.25">
      <c r="B30" s="21" t="s">
        <v>39</v>
      </c>
      <c r="C30" s="64">
        <v>214842336.47999999</v>
      </c>
      <c r="D30" s="59">
        <f>5.8%+2.7%</f>
        <v>8.4999999999999992E-2</v>
      </c>
      <c r="E30" s="65">
        <f>$C30*D30</f>
        <v>18261598.600799996</v>
      </c>
      <c r="F30" s="59">
        <f>9.4%+4.7%+4.5%+1.1%</f>
        <v>0.19700000000000001</v>
      </c>
      <c r="G30" s="65">
        <f>$C30*F30</f>
        <v>42323940.286559999</v>
      </c>
      <c r="H30" s="59">
        <f>57.8%+5.7%+2.2%</f>
        <v>0.65700000000000003</v>
      </c>
      <c r="I30" s="65">
        <f>$C30*H30</f>
        <v>141151415.06736001</v>
      </c>
      <c r="J30" s="59">
        <v>0.11799999999999999</v>
      </c>
      <c r="K30" s="65">
        <f>$C30*J30</f>
        <v>25351395.704639997</v>
      </c>
      <c r="L30" s="66">
        <v>4.9000000000000002E-2</v>
      </c>
      <c r="M30" s="65">
        <f>$C30*L30</f>
        <v>10527274.48752</v>
      </c>
      <c r="N30" s="59">
        <f>-13%+3%</f>
        <v>-0.1</v>
      </c>
      <c r="O30" s="65">
        <f>$C30*N30</f>
        <v>-21484233.648000002</v>
      </c>
      <c r="S30" s="12">
        <f>E30-'Dez23'!E30</f>
        <v>-1634394.0217500031</v>
      </c>
      <c r="T30" s="12">
        <f>G30-'Dez23'!G30</f>
        <v>20333632.651110001</v>
      </c>
      <c r="U30" s="12">
        <f>I30-'Dez23'!I30</f>
        <v>-16550505.404009968</v>
      </c>
      <c r="V30" s="12">
        <f>K30-'Dez23'!K30</f>
        <v>2732793.5653200001</v>
      </c>
      <c r="W30" s="12">
        <f>+M30-'Dez23'!M30</f>
        <v>-1410321.0860099997</v>
      </c>
      <c r="Y30" s="28">
        <f>D30-'Dez23'!D30</f>
        <v>-1.0000000000000009E-2</v>
      </c>
      <c r="Z30" s="28">
        <f>F30-'Dez23'!F30</f>
        <v>9.2000000000000012E-2</v>
      </c>
      <c r="AA30" s="28">
        <f>H30-'Dez23'!H30</f>
        <v>-9.5999999999999974E-2</v>
      </c>
      <c r="AB30" s="28">
        <f>J30-'Dez23'!J30</f>
        <v>9.999999999999995E-3</v>
      </c>
      <c r="AC30" s="28">
        <f>L30-'Dez23'!L30</f>
        <v>-8.0000000000000002E-3</v>
      </c>
    </row>
    <row r="31" spans="2:29" hidden="1" outlineLevel="1" x14ac:dyDescent="0.25">
      <c r="B31" s="3" t="s">
        <v>56</v>
      </c>
      <c r="C31" s="57"/>
      <c r="D31" s="56"/>
      <c r="E31" s="57"/>
      <c r="F31" s="56"/>
      <c r="G31" s="57"/>
      <c r="H31" s="56"/>
      <c r="I31" s="57"/>
      <c r="J31" s="56"/>
      <c r="K31" s="57"/>
      <c r="L31" s="56"/>
      <c r="M31" s="57"/>
      <c r="N31" s="56"/>
      <c r="O31" s="57"/>
      <c r="S31" s="12">
        <f>E31-'Dez23'!E31</f>
        <v>0</v>
      </c>
      <c r="T31" s="12">
        <f>G31-'Dez23'!G31</f>
        <v>0</v>
      </c>
      <c r="U31" s="12">
        <f>I31-'Dez23'!I31</f>
        <v>0</v>
      </c>
      <c r="V31" s="12">
        <f>K31-'Dez23'!K31</f>
        <v>0</v>
      </c>
      <c r="W31" s="12">
        <f>+M31-'Dez23'!M31</f>
        <v>0</v>
      </c>
      <c r="Y31" s="28">
        <f>D31-'Dez23'!D31</f>
        <v>0</v>
      </c>
      <c r="Z31" s="28">
        <f>F31-'Dez23'!F31</f>
        <v>0</v>
      </c>
      <c r="AA31" s="28">
        <f>H31-'Dez23'!H31</f>
        <v>0</v>
      </c>
      <c r="AB31" s="28">
        <f>J31-'Dez23'!J31</f>
        <v>0</v>
      </c>
      <c r="AC31" s="28">
        <f>L31-'Dez23'!L31</f>
        <v>0</v>
      </c>
    </row>
    <row r="32" spans="2:29" collapsed="1" x14ac:dyDescent="0.25">
      <c r="B32" s="3" t="s">
        <v>42</v>
      </c>
      <c r="C32" s="60">
        <v>258197162</v>
      </c>
      <c r="D32" s="56">
        <v>7.0000000000000007E-2</v>
      </c>
      <c r="E32" s="57">
        <f>$C32*D32</f>
        <v>18073801.340000004</v>
      </c>
      <c r="F32" s="56">
        <v>0.11</v>
      </c>
      <c r="G32" s="57">
        <f>$C32*F32</f>
        <v>28401687.82</v>
      </c>
      <c r="H32" s="56">
        <f>51%+6%</f>
        <v>0.57000000000000006</v>
      </c>
      <c r="I32" s="57">
        <f>$C32*H32</f>
        <v>147172382.34</v>
      </c>
      <c r="J32" s="56">
        <v>7.0000000000000007E-2</v>
      </c>
      <c r="K32" s="57">
        <f>$C32*J32</f>
        <v>18073801.340000004</v>
      </c>
      <c r="L32" s="56">
        <v>0.12</v>
      </c>
      <c r="M32" s="57">
        <f>$C32*L32</f>
        <v>30983659.439999998</v>
      </c>
      <c r="N32" s="56">
        <v>0.06</v>
      </c>
      <c r="O32" s="57">
        <f>$C32*N32</f>
        <v>15491829.719999999</v>
      </c>
      <c r="S32" s="12">
        <f>E32-'Dez23'!E32</f>
        <v>4965775.3900000025</v>
      </c>
      <c r="T32" s="12">
        <f>G32-'Dez23'!G32</f>
        <v>-435969.26999999955</v>
      </c>
      <c r="U32" s="12">
        <f>I32-'Dez23'!I32</f>
        <v>-7502323.869999975</v>
      </c>
      <c r="V32" s="12">
        <f>K32-'Dez23'!K32</f>
        <v>4965775.3900000025</v>
      </c>
      <c r="W32" s="12">
        <f>+M32-'Dez23'!M32</f>
        <v>-3097208.0300000012</v>
      </c>
      <c r="Y32" s="28">
        <f>D32-'Dez23'!D32</f>
        <v>2.0000000000000004E-2</v>
      </c>
      <c r="Z32" s="28">
        <f>F32-'Dez23'!F32</f>
        <v>0</v>
      </c>
      <c r="AA32" s="28">
        <f>H32-'Dez23'!H32</f>
        <v>-1.9999999999999907E-2</v>
      </c>
      <c r="AB32" s="28">
        <f>J32-'Dez23'!J32</f>
        <v>2.0000000000000004E-2</v>
      </c>
      <c r="AC32" s="28">
        <f>L32-'Dez23'!L32</f>
        <v>-1.0000000000000009E-2</v>
      </c>
    </row>
    <row r="33" spans="2:29" x14ac:dyDescent="0.25">
      <c r="B33" s="3" t="s">
        <v>43</v>
      </c>
      <c r="C33" s="60">
        <v>552087382</v>
      </c>
      <c r="D33" s="56">
        <v>0.12</v>
      </c>
      <c r="E33" s="57">
        <f t="shared" ref="E33:E34" si="10">$C33*D33</f>
        <v>66250485.839999996</v>
      </c>
      <c r="F33" s="56">
        <f>10%+1%+1%</f>
        <v>0.12</v>
      </c>
      <c r="G33" s="57">
        <f t="shared" ref="G33:G34" si="11">$C33*F33</f>
        <v>66250485.839999996</v>
      </c>
      <c r="H33" s="56">
        <f>57%+2%</f>
        <v>0.59</v>
      </c>
      <c r="I33" s="57">
        <f>$C33*H33</f>
        <v>325731555.38</v>
      </c>
      <c r="J33" s="56">
        <v>0.16</v>
      </c>
      <c r="K33" s="57">
        <f t="shared" ref="K33:K34" si="12">$C33*J33</f>
        <v>88333981.120000005</v>
      </c>
      <c r="L33" s="56">
        <v>0.01</v>
      </c>
      <c r="M33" s="57">
        <f t="shared" ref="M33:M34" si="13">$C33*L33</f>
        <v>5520873.8200000003</v>
      </c>
      <c r="N33" s="56"/>
      <c r="O33" s="57"/>
      <c r="S33" s="12">
        <f>E33-'Dez23'!E33</f>
        <v>25002952.109999992</v>
      </c>
      <c r="T33" s="12">
        <f>G33-'Dez23'!G33</f>
        <v>25002952.109999992</v>
      </c>
      <c r="U33" s="12">
        <f>I33-'Dez23'!I33</f>
        <v>141704097.20000002</v>
      </c>
      <c r="V33" s="12">
        <f>K33-'Dez23'!K33</f>
        <v>37567785.760000005</v>
      </c>
      <c r="W33" s="12">
        <f>+M33-'Dez23'!M33</f>
        <v>5520873.8200000003</v>
      </c>
      <c r="Y33" s="28">
        <f>D33-'Dez23'!D33</f>
        <v>-1.0000000000000009E-2</v>
      </c>
      <c r="Z33" s="28">
        <f>F33-'Dez23'!F33</f>
        <v>-1.0000000000000009E-2</v>
      </c>
      <c r="AA33" s="28">
        <f>H33-'Dez23'!H33</f>
        <v>1.0000000000000009E-2</v>
      </c>
      <c r="AB33" s="28">
        <f>J33-'Dez23'!J33</f>
        <v>0</v>
      </c>
      <c r="AC33" s="28">
        <f>L33-'Dez23'!L33</f>
        <v>0.01</v>
      </c>
    </row>
    <row r="34" spans="2:29" x14ac:dyDescent="0.25">
      <c r="B34" s="3" t="s">
        <v>44</v>
      </c>
      <c r="C34" s="60">
        <v>17900000</v>
      </c>
      <c r="D34" s="56">
        <v>0.28999999999999998</v>
      </c>
      <c r="E34" s="57">
        <f t="shared" si="10"/>
        <v>5191000</v>
      </c>
      <c r="F34" s="56"/>
      <c r="G34" s="57">
        <f t="shared" si="11"/>
        <v>0</v>
      </c>
      <c r="H34" s="56">
        <v>0.48</v>
      </c>
      <c r="I34" s="57">
        <f>$C34*H34</f>
        <v>8592000</v>
      </c>
      <c r="J34" s="56">
        <v>0.06</v>
      </c>
      <c r="K34" s="57">
        <f t="shared" si="12"/>
        <v>1074000</v>
      </c>
      <c r="L34" s="56">
        <v>0.17</v>
      </c>
      <c r="M34" s="57">
        <f t="shared" si="13"/>
        <v>3043000</v>
      </c>
      <c r="N34" s="56"/>
      <c r="O34" s="57"/>
      <c r="S34" s="12">
        <f>E34-'Dez23'!E34</f>
        <v>2263000</v>
      </c>
      <c r="T34" s="12">
        <f>G34-'Dez23'!G34</f>
        <v>0</v>
      </c>
      <c r="U34" s="12">
        <f>I34-'Dez23'!I34</f>
        <v>-375000</v>
      </c>
      <c r="V34" s="12">
        <f>K34-'Dez23'!K34</f>
        <v>-24000</v>
      </c>
      <c r="W34" s="12">
        <f>+M34-'Dez23'!M34</f>
        <v>-2264000</v>
      </c>
      <c r="Y34" s="28">
        <f>D34-'Dez23'!D34</f>
        <v>0.12999999999999998</v>
      </c>
      <c r="Z34" s="28">
        <f>F34-'Dez23'!F34</f>
        <v>0</v>
      </c>
      <c r="AA34" s="28">
        <f>H34-'Dez23'!H34</f>
        <v>-1.0000000000000009E-2</v>
      </c>
      <c r="AB34" s="28">
        <f>J34-'Dez23'!J34</f>
        <v>0</v>
      </c>
      <c r="AC34" s="28">
        <f>L34-'Dez23'!L34</f>
        <v>-0.11999999999999997</v>
      </c>
    </row>
    <row r="35" spans="2:29" s="8" customFormat="1" x14ac:dyDescent="0.25">
      <c r="B35" s="3" t="s">
        <v>45</v>
      </c>
      <c r="C35" s="63">
        <f>SUM(C30:C34)</f>
        <v>1043026880.48</v>
      </c>
      <c r="D35" s="67">
        <f>+E35/$C35</f>
        <v>0.10333088034241376</v>
      </c>
      <c r="E35" s="63">
        <f>SUM(E30:E34)</f>
        <v>107776885.78079998</v>
      </c>
      <c r="F35" s="67">
        <f>+G35/$C35</f>
        <v>0.13132558375055847</v>
      </c>
      <c r="G35" s="63">
        <f>SUM(G30:G34)</f>
        <v>136976113.94656</v>
      </c>
      <c r="H35" s="67">
        <f>+I35/$C35</f>
        <v>0.59696194263068103</v>
      </c>
      <c r="I35" s="63">
        <f>SUM(I30:I34)</f>
        <v>622647352.78735995</v>
      </c>
      <c r="J35" s="67">
        <f>+K35/$C35</f>
        <v>0.127353552099741</v>
      </c>
      <c r="K35" s="63">
        <f>SUM(K30:K34)</f>
        <v>132833178.16464001</v>
      </c>
      <c r="L35" s="67">
        <f>+M35/$C35</f>
        <v>4.800912486979781E-2</v>
      </c>
      <c r="M35" s="63">
        <f>SUM(M30:M34)</f>
        <v>50074807.74752</v>
      </c>
      <c r="N35" s="67">
        <f>+O35/$C35</f>
        <v>-5.7452056511163975E-3</v>
      </c>
      <c r="O35" s="63">
        <f>SUM(O30:O34)</f>
        <v>-5992403.9280000031</v>
      </c>
      <c r="S35" s="12">
        <f>E35-'Dez23'!E35</f>
        <v>30597333.478249982</v>
      </c>
      <c r="T35" s="12">
        <f>G35-'Dez23'!G35</f>
        <v>44900615.491109997</v>
      </c>
      <c r="U35" s="12">
        <f>I35-'Dez23'!I35</f>
        <v>117276267.92598999</v>
      </c>
      <c r="V35" s="12">
        <f>K35-'Dez23'!K35</f>
        <v>45242354.715320021</v>
      </c>
      <c r="W35" s="12">
        <f>+M35-'Dez23'!M35</f>
        <v>-1250655.2960100025</v>
      </c>
      <c r="Y35" s="28">
        <f>D35-'Dez23'!D35</f>
        <v>7.7146839262243611E-3</v>
      </c>
      <c r="Z35" s="28">
        <f>F35-'Dez23'!F35</f>
        <v>1.7255098981188141E-2</v>
      </c>
      <c r="AA35" s="28">
        <f>H35-'Dez23'!H35</f>
        <v>-2.9132138917534078E-2</v>
      </c>
      <c r="AB35" s="28">
        <f>J35-'Dez23'!J35</f>
        <v>1.8839041075436491E-2</v>
      </c>
      <c r="AC35" s="28">
        <f>L35-'Dez23'!L35</f>
        <v>-1.5576959904107908E-2</v>
      </c>
    </row>
    <row r="37" spans="2:29" x14ac:dyDescent="0.25">
      <c r="E37"/>
    </row>
    <row r="38" spans="2:29" x14ac:dyDescent="0.25">
      <c r="D38" s="38"/>
    </row>
    <row r="39" spans="2:29" x14ac:dyDescent="0.25">
      <c r="C39" s="30"/>
      <c r="D39" s="35"/>
    </row>
    <row r="40" spans="2:29" x14ac:dyDescent="0.25">
      <c r="C40" s="37"/>
      <c r="D40" s="35"/>
    </row>
    <row r="41" spans="2:29" x14ac:dyDescent="0.25">
      <c r="C41" s="37"/>
      <c r="D41" s="35"/>
    </row>
    <row r="42" spans="2:29" x14ac:dyDescent="0.25">
      <c r="C42" s="37"/>
      <c r="D42" s="35"/>
    </row>
    <row r="43" spans="2:29" x14ac:dyDescent="0.25">
      <c r="C43" s="37"/>
      <c r="D43" s="35"/>
    </row>
    <row r="44" spans="2:29" x14ac:dyDescent="0.25">
      <c r="C44" s="37"/>
      <c r="D44" s="35"/>
      <c r="E44" s="37"/>
    </row>
    <row r="45" spans="2:29" x14ac:dyDescent="0.25">
      <c r="C45" s="37"/>
      <c r="D45" s="35"/>
    </row>
    <row r="46" spans="2:29" x14ac:dyDescent="0.25">
      <c r="C46" s="37"/>
      <c r="D46" s="35"/>
    </row>
    <row r="47" spans="2:29" x14ac:dyDescent="0.25">
      <c r="C47" s="37"/>
      <c r="D47" s="35"/>
    </row>
    <row r="48" spans="2:29" x14ac:dyDescent="0.25">
      <c r="C48" s="37"/>
      <c r="D48" s="35"/>
    </row>
    <row r="49" spans="3:4" x14ac:dyDescent="0.25">
      <c r="C49" s="37"/>
      <c r="D49" s="35"/>
    </row>
    <row r="50" spans="3:4" x14ac:dyDescent="0.25">
      <c r="C50" s="37"/>
      <c r="D50" s="35"/>
    </row>
    <row r="51" spans="3:4" x14ac:dyDescent="0.25">
      <c r="C51" s="37"/>
      <c r="D51" s="35"/>
    </row>
    <row r="52" spans="3:4" x14ac:dyDescent="0.25">
      <c r="C52" s="37"/>
      <c r="D52" s="35"/>
    </row>
    <row r="53" spans="3:4" x14ac:dyDescent="0.25">
      <c r="C53" s="37"/>
      <c r="D53" s="35"/>
    </row>
    <row r="54" spans="3:4" x14ac:dyDescent="0.25">
      <c r="C54" s="37"/>
      <c r="D54" s="35"/>
    </row>
    <row r="55" spans="3:4" x14ac:dyDescent="0.25">
      <c r="C55" s="37"/>
      <c r="D55" s="35"/>
    </row>
    <row r="56" spans="3:4" x14ac:dyDescent="0.25">
      <c r="C56" s="37"/>
      <c r="D56" s="35"/>
    </row>
    <row r="57" spans="3:4" x14ac:dyDescent="0.25">
      <c r="C57" s="37"/>
      <c r="D57" s="35"/>
    </row>
    <row r="58" spans="3:4" x14ac:dyDescent="0.25">
      <c r="C58" s="37"/>
      <c r="D58" s="35"/>
    </row>
    <row r="59" spans="3:4" x14ac:dyDescent="0.25">
      <c r="C59" s="37"/>
      <c r="D59" s="35"/>
    </row>
    <row r="60" spans="3:4" x14ac:dyDescent="0.25">
      <c r="C60" s="37"/>
      <c r="D60" s="35"/>
    </row>
    <row r="61" spans="3:4" x14ac:dyDescent="0.25">
      <c r="C61" s="37"/>
      <c r="D61" s="35"/>
    </row>
    <row r="62" spans="3:4" x14ac:dyDescent="0.25">
      <c r="C62" s="37"/>
      <c r="D62" s="35"/>
    </row>
    <row r="63" spans="3:4" x14ac:dyDescent="0.25">
      <c r="C63" s="37"/>
      <c r="D63" s="35"/>
    </row>
    <row r="64" spans="3:4" x14ac:dyDescent="0.25">
      <c r="C64" s="37"/>
      <c r="D64" s="35"/>
    </row>
    <row r="65" spans="3:4" x14ac:dyDescent="0.25">
      <c r="C65" s="37"/>
      <c r="D65" s="35"/>
    </row>
    <row r="66" spans="3:4" x14ac:dyDescent="0.25">
      <c r="C66" s="37"/>
      <c r="D66" s="35"/>
    </row>
    <row r="67" spans="3:4" x14ac:dyDescent="0.25">
      <c r="C67" s="37"/>
      <c r="D67" s="35"/>
    </row>
    <row r="68" spans="3:4" x14ac:dyDescent="0.25">
      <c r="C68" s="37"/>
      <c r="D68" s="35"/>
    </row>
    <row r="69" spans="3:4" x14ac:dyDescent="0.25">
      <c r="C69" s="37"/>
      <c r="D69" s="35"/>
    </row>
    <row r="70" spans="3:4" x14ac:dyDescent="0.25">
      <c r="C70" s="37"/>
      <c r="D70" s="35"/>
    </row>
    <row r="71" spans="3:4" x14ac:dyDescent="0.25">
      <c r="C71" s="37"/>
      <c r="D71" s="35"/>
    </row>
    <row r="72" spans="3:4" x14ac:dyDescent="0.25">
      <c r="C72" s="37"/>
      <c r="D72" s="35"/>
    </row>
    <row r="73" spans="3:4" x14ac:dyDescent="0.25">
      <c r="C73" s="37"/>
      <c r="D73" s="35"/>
    </row>
    <row r="74" spans="3:4" x14ac:dyDescent="0.25">
      <c r="C74" s="37"/>
      <c r="D74" s="35"/>
    </row>
    <row r="75" spans="3:4" x14ac:dyDescent="0.25">
      <c r="C75" s="37"/>
      <c r="D75" s="35"/>
    </row>
    <row r="76" spans="3:4" x14ac:dyDescent="0.25">
      <c r="C76" s="37"/>
      <c r="D76" s="35"/>
    </row>
    <row r="77" spans="3:4" x14ac:dyDescent="0.25">
      <c r="C77" s="37"/>
      <c r="D77" s="35"/>
    </row>
    <row r="78" spans="3:4" x14ac:dyDescent="0.25">
      <c r="C78" s="37"/>
      <c r="D78" s="35"/>
    </row>
    <row r="79" spans="3:4" x14ac:dyDescent="0.25">
      <c r="C79" s="37"/>
      <c r="D79" s="35"/>
    </row>
    <row r="80" spans="3:4" x14ac:dyDescent="0.25">
      <c r="C80" s="37"/>
      <c r="D80" s="35"/>
    </row>
    <row r="81" spans="3:4" x14ac:dyDescent="0.25">
      <c r="C81" s="37"/>
      <c r="D81" s="35"/>
    </row>
    <row r="82" spans="3:4" x14ac:dyDescent="0.25">
      <c r="C82" s="37"/>
      <c r="D82" s="35"/>
    </row>
    <row r="83" spans="3:4" x14ac:dyDescent="0.25">
      <c r="C83" s="37"/>
      <c r="D83" s="35"/>
    </row>
    <row r="84" spans="3:4" x14ac:dyDescent="0.25">
      <c r="C84" s="37"/>
      <c r="D84" s="35"/>
    </row>
    <row r="85" spans="3:4" x14ac:dyDescent="0.25">
      <c r="C85" s="37"/>
      <c r="D85" s="35"/>
    </row>
    <row r="86" spans="3:4" x14ac:dyDescent="0.25">
      <c r="C86" s="37"/>
      <c r="D86" s="35"/>
    </row>
    <row r="87" spans="3:4" x14ac:dyDescent="0.25">
      <c r="C87" s="37"/>
      <c r="D87" s="35"/>
    </row>
    <row r="88" spans="3:4" x14ac:dyDescent="0.25">
      <c r="C88" s="37"/>
      <c r="D88" s="35"/>
    </row>
    <row r="89" spans="3:4" x14ac:dyDescent="0.25">
      <c r="C89" s="37"/>
      <c r="D89" s="35"/>
    </row>
    <row r="90" spans="3:4" x14ac:dyDescent="0.25">
      <c r="C90" s="37"/>
      <c r="D90" s="35"/>
    </row>
    <row r="91" spans="3:4" x14ac:dyDescent="0.25">
      <c r="C91" s="37"/>
      <c r="D91" s="35"/>
    </row>
    <row r="92" spans="3:4" x14ac:dyDescent="0.25">
      <c r="C92" s="37"/>
      <c r="D92" s="35"/>
    </row>
    <row r="93" spans="3:4" x14ac:dyDescent="0.25">
      <c r="C93" s="37"/>
      <c r="D93" s="35"/>
    </row>
    <row r="94" spans="3:4" x14ac:dyDescent="0.25">
      <c r="C94" s="37"/>
      <c r="D94" s="35"/>
    </row>
    <row r="95" spans="3:4" x14ac:dyDescent="0.25">
      <c r="C95" s="37"/>
      <c r="D95" s="35"/>
    </row>
    <row r="96" spans="3:4" x14ac:dyDescent="0.25">
      <c r="C96" s="37"/>
      <c r="D96" s="35"/>
    </row>
    <row r="97" spans="3:4" x14ac:dyDescent="0.25">
      <c r="C97" s="37"/>
      <c r="D97" s="35"/>
    </row>
    <row r="98" spans="3:4" x14ac:dyDescent="0.25">
      <c r="C98" s="37"/>
      <c r="D98" s="35"/>
    </row>
    <row r="99" spans="3:4" x14ac:dyDescent="0.25">
      <c r="C99" s="37"/>
      <c r="D99" s="35"/>
    </row>
    <row r="100" spans="3:4" x14ac:dyDescent="0.25">
      <c r="C100" s="37"/>
      <c r="D100" s="35"/>
    </row>
    <row r="101" spans="3:4" x14ac:dyDescent="0.25">
      <c r="C101" s="37"/>
      <c r="D101" s="35"/>
    </row>
    <row r="102" spans="3:4" x14ac:dyDescent="0.25">
      <c r="C102" s="37"/>
      <c r="D102" s="35"/>
    </row>
    <row r="103" spans="3:4" x14ac:dyDescent="0.25">
      <c r="C103" s="37"/>
      <c r="D103" s="35"/>
    </row>
    <row r="104" spans="3:4" x14ac:dyDescent="0.25">
      <c r="C104" s="37"/>
      <c r="D104" s="35"/>
    </row>
    <row r="105" spans="3:4" x14ac:dyDescent="0.25">
      <c r="C105" s="37"/>
      <c r="D105" s="35"/>
    </row>
    <row r="106" spans="3:4" x14ac:dyDescent="0.25">
      <c r="C106" s="37"/>
      <c r="D106" s="35"/>
    </row>
    <row r="107" spans="3:4" x14ac:dyDescent="0.25">
      <c r="C107" s="37"/>
      <c r="D107" s="35"/>
    </row>
    <row r="108" spans="3:4" x14ac:dyDescent="0.25">
      <c r="C108" s="37"/>
      <c r="D108" s="35"/>
    </row>
    <row r="109" spans="3:4" x14ac:dyDescent="0.25">
      <c r="C109" s="37"/>
      <c r="D109" s="35"/>
    </row>
    <row r="110" spans="3:4" x14ac:dyDescent="0.25">
      <c r="C110" s="37"/>
      <c r="D110" s="35"/>
    </row>
    <row r="111" spans="3:4" x14ac:dyDescent="0.25">
      <c r="C111" s="37"/>
      <c r="D111" s="35"/>
    </row>
    <row r="112" spans="3:4" x14ac:dyDescent="0.25">
      <c r="C112" s="37"/>
      <c r="D112" s="35"/>
    </row>
    <row r="113" spans="3:4" x14ac:dyDescent="0.25">
      <c r="C113" s="37"/>
      <c r="D113" s="35"/>
    </row>
    <row r="114" spans="3:4" x14ac:dyDescent="0.25">
      <c r="C114" s="37"/>
      <c r="D114" s="35"/>
    </row>
    <row r="115" spans="3:4" x14ac:dyDescent="0.25">
      <c r="C115" s="37"/>
      <c r="D115" s="35"/>
    </row>
    <row r="116" spans="3:4" x14ac:dyDescent="0.25">
      <c r="C116" s="37"/>
      <c r="D116" s="35"/>
    </row>
    <row r="117" spans="3:4" x14ac:dyDescent="0.25">
      <c r="C117" s="37"/>
      <c r="D117" s="35"/>
    </row>
    <row r="118" spans="3:4" x14ac:dyDescent="0.25">
      <c r="C118" s="37"/>
      <c r="D118" s="35"/>
    </row>
    <row r="119" spans="3:4" x14ac:dyDescent="0.25">
      <c r="C119" s="37"/>
      <c r="D119" s="35"/>
    </row>
    <row r="120" spans="3:4" x14ac:dyDescent="0.25">
      <c r="C120" s="37"/>
      <c r="D120" s="35"/>
    </row>
    <row r="121" spans="3:4" x14ac:dyDescent="0.25">
      <c r="C121" s="37"/>
      <c r="D121" s="35"/>
    </row>
    <row r="122" spans="3:4" x14ac:dyDescent="0.25">
      <c r="C122" s="37"/>
      <c r="D122" s="35"/>
    </row>
    <row r="123" spans="3:4" x14ac:dyDescent="0.25">
      <c r="C123" s="37"/>
      <c r="D123" s="35"/>
    </row>
    <row r="124" spans="3:4" x14ac:dyDescent="0.25">
      <c r="C124" s="37"/>
      <c r="D124" s="35"/>
    </row>
    <row r="125" spans="3:4" x14ac:dyDescent="0.25">
      <c r="C125" s="37"/>
      <c r="D125" s="35"/>
    </row>
    <row r="126" spans="3:4" x14ac:dyDescent="0.25">
      <c r="C126" s="37"/>
      <c r="D126" s="35"/>
    </row>
    <row r="127" spans="3:4" x14ac:dyDescent="0.25">
      <c r="C127" s="37"/>
      <c r="D127" s="35"/>
    </row>
    <row r="128" spans="3:4" x14ac:dyDescent="0.25">
      <c r="C128" s="37"/>
      <c r="D128" s="35"/>
    </row>
    <row r="129" spans="3:4" x14ac:dyDescent="0.25">
      <c r="C129" s="37"/>
      <c r="D129" s="35"/>
    </row>
    <row r="130" spans="3:4" x14ac:dyDescent="0.25">
      <c r="C130" s="37"/>
      <c r="D130" s="35"/>
    </row>
    <row r="131" spans="3:4" x14ac:dyDescent="0.25">
      <c r="C131" s="37"/>
      <c r="D131" s="35"/>
    </row>
    <row r="132" spans="3:4" x14ac:dyDescent="0.25">
      <c r="C132" s="37"/>
      <c r="D132" s="35"/>
    </row>
    <row r="133" spans="3:4" x14ac:dyDescent="0.25">
      <c r="C133" s="37"/>
      <c r="D133" s="35"/>
    </row>
    <row r="134" spans="3:4" x14ac:dyDescent="0.25">
      <c r="C134" s="37"/>
      <c r="D134" s="35"/>
    </row>
    <row r="135" spans="3:4" x14ac:dyDescent="0.25">
      <c r="C135" s="37"/>
      <c r="D135" s="35"/>
    </row>
    <row r="136" spans="3:4" x14ac:dyDescent="0.25">
      <c r="C136" s="37"/>
      <c r="D136" s="35"/>
    </row>
    <row r="137" spans="3:4" x14ac:dyDescent="0.25">
      <c r="C137" s="37"/>
      <c r="D137" s="35"/>
    </row>
    <row r="138" spans="3:4" x14ac:dyDescent="0.25">
      <c r="C138" s="37"/>
      <c r="D138" s="35"/>
    </row>
    <row r="139" spans="3:4" x14ac:dyDescent="0.25">
      <c r="C139" s="37"/>
      <c r="D139" s="35"/>
    </row>
    <row r="140" spans="3:4" x14ac:dyDescent="0.25">
      <c r="C140" s="37"/>
      <c r="D140" s="35"/>
    </row>
    <row r="141" spans="3:4" x14ac:dyDescent="0.25">
      <c r="C141" s="37"/>
      <c r="D141" s="35"/>
    </row>
    <row r="142" spans="3:4" x14ac:dyDescent="0.25">
      <c r="C142" s="37"/>
      <c r="D142" s="35"/>
    </row>
    <row r="143" spans="3:4" x14ac:dyDescent="0.25">
      <c r="C143" s="37"/>
      <c r="D143" s="35"/>
    </row>
    <row r="144" spans="3:4" x14ac:dyDescent="0.25">
      <c r="C144" s="37"/>
      <c r="D144" s="35"/>
    </row>
    <row r="145" spans="3:4" x14ac:dyDescent="0.25">
      <c r="C145" s="37"/>
      <c r="D145" s="35"/>
    </row>
    <row r="146" spans="3:4" x14ac:dyDescent="0.25">
      <c r="C146" s="37"/>
      <c r="D146" s="35"/>
    </row>
    <row r="147" spans="3:4" x14ac:dyDescent="0.25">
      <c r="C147" s="37"/>
      <c r="D147" s="35"/>
    </row>
    <row r="148" spans="3:4" x14ac:dyDescent="0.25">
      <c r="C148" s="37"/>
      <c r="D148" s="35"/>
    </row>
    <row r="149" spans="3:4" x14ac:dyDescent="0.25">
      <c r="C149" s="37"/>
      <c r="D149" s="35"/>
    </row>
    <row r="150" spans="3:4" x14ac:dyDescent="0.25">
      <c r="C150" s="37"/>
      <c r="D150" s="35"/>
    </row>
    <row r="151" spans="3:4" x14ac:dyDescent="0.25">
      <c r="C151" s="37"/>
      <c r="D151" s="35"/>
    </row>
    <row r="152" spans="3:4" x14ac:dyDescent="0.25">
      <c r="C152" s="37"/>
      <c r="D152" s="35"/>
    </row>
    <row r="153" spans="3:4" x14ac:dyDescent="0.25">
      <c r="C153" s="37"/>
      <c r="D153" s="35"/>
    </row>
    <row r="154" spans="3:4" x14ac:dyDescent="0.25">
      <c r="C154" s="37"/>
      <c r="D154" s="35"/>
    </row>
    <row r="155" spans="3:4" x14ac:dyDescent="0.25">
      <c r="C155" s="37"/>
      <c r="D155" s="35"/>
    </row>
    <row r="156" spans="3:4" x14ac:dyDescent="0.25">
      <c r="C156" s="37"/>
      <c r="D156" s="35"/>
    </row>
    <row r="157" spans="3:4" x14ac:dyDescent="0.25">
      <c r="C157" s="37"/>
      <c r="D157" s="35"/>
    </row>
    <row r="158" spans="3:4" x14ac:dyDescent="0.25">
      <c r="C158" s="37"/>
      <c r="D158" s="35"/>
    </row>
    <row r="159" spans="3:4" x14ac:dyDescent="0.25">
      <c r="C159" s="37"/>
      <c r="D159" s="35"/>
    </row>
    <row r="160" spans="3:4" x14ac:dyDescent="0.25">
      <c r="C160" s="37"/>
      <c r="D160" s="35"/>
    </row>
    <row r="161" spans="3:4" x14ac:dyDescent="0.25">
      <c r="C161" s="37"/>
      <c r="D161" s="35"/>
    </row>
    <row r="162" spans="3:4" x14ac:dyDescent="0.25">
      <c r="C162" s="37"/>
      <c r="D162" s="35"/>
    </row>
    <row r="163" spans="3:4" x14ac:dyDescent="0.25">
      <c r="C163" s="37"/>
      <c r="D163" s="35"/>
    </row>
    <row r="164" spans="3:4" x14ac:dyDescent="0.25">
      <c r="C164" s="37"/>
      <c r="D164" s="35"/>
    </row>
    <row r="165" spans="3:4" x14ac:dyDescent="0.25">
      <c r="C165" s="37"/>
      <c r="D165" s="35"/>
    </row>
    <row r="166" spans="3:4" x14ac:dyDescent="0.25">
      <c r="C166" s="37"/>
      <c r="D166" s="35"/>
    </row>
    <row r="167" spans="3:4" x14ac:dyDescent="0.25">
      <c r="C167" s="37"/>
      <c r="D167" s="35"/>
    </row>
    <row r="168" spans="3:4" x14ac:dyDescent="0.25">
      <c r="C168" s="37"/>
      <c r="D168" s="35"/>
    </row>
    <row r="169" spans="3:4" x14ac:dyDescent="0.25">
      <c r="C169" s="37"/>
      <c r="D169" s="35"/>
    </row>
    <row r="170" spans="3:4" x14ac:dyDescent="0.25">
      <c r="C170" s="37"/>
      <c r="D170" s="35"/>
    </row>
    <row r="171" spans="3:4" x14ac:dyDescent="0.25">
      <c r="C171" s="37"/>
      <c r="D171" s="35"/>
    </row>
    <row r="172" spans="3:4" x14ac:dyDescent="0.25">
      <c r="C172" s="37"/>
      <c r="D172" s="35"/>
    </row>
    <row r="173" spans="3:4" x14ac:dyDescent="0.25">
      <c r="C173" s="37"/>
      <c r="D173" s="35"/>
    </row>
    <row r="174" spans="3:4" x14ac:dyDescent="0.25">
      <c r="C174" s="37"/>
      <c r="D174" s="35"/>
    </row>
    <row r="175" spans="3:4" x14ac:dyDescent="0.25">
      <c r="C175" s="37"/>
      <c r="D175" s="35"/>
    </row>
    <row r="176" spans="3:4" x14ac:dyDescent="0.25">
      <c r="C176" s="37"/>
      <c r="D176" s="35"/>
    </row>
    <row r="177" spans="3:4" x14ac:dyDescent="0.25">
      <c r="C177" s="37"/>
      <c r="D177" s="35"/>
    </row>
    <row r="178" spans="3:4" x14ac:dyDescent="0.25">
      <c r="C178" s="37"/>
      <c r="D178" s="35"/>
    </row>
    <row r="179" spans="3:4" x14ac:dyDescent="0.25">
      <c r="C179" s="37"/>
      <c r="D179" s="35"/>
    </row>
    <row r="180" spans="3:4" x14ac:dyDescent="0.25">
      <c r="C180" s="37"/>
      <c r="D180" s="35"/>
    </row>
    <row r="181" spans="3:4" x14ac:dyDescent="0.25">
      <c r="C181" s="37"/>
      <c r="D181" s="35"/>
    </row>
    <row r="182" spans="3:4" x14ac:dyDescent="0.25">
      <c r="C182" s="37"/>
      <c r="D182" s="35"/>
    </row>
    <row r="183" spans="3:4" x14ac:dyDescent="0.25">
      <c r="C183" s="37"/>
      <c r="D183" s="35"/>
    </row>
    <row r="184" spans="3:4" x14ac:dyDescent="0.25">
      <c r="C184" s="37"/>
      <c r="D184" s="35"/>
    </row>
    <row r="185" spans="3:4" x14ac:dyDescent="0.25">
      <c r="C185" s="37"/>
      <c r="D185" s="35"/>
    </row>
    <row r="186" spans="3:4" x14ac:dyDescent="0.25">
      <c r="C186" s="37"/>
      <c r="D186" s="35"/>
    </row>
    <row r="187" spans="3:4" x14ac:dyDescent="0.25">
      <c r="C187" s="37"/>
      <c r="D187" s="35"/>
    </row>
    <row r="188" spans="3:4" x14ac:dyDescent="0.25">
      <c r="C188" s="37"/>
      <c r="D188" s="35"/>
    </row>
    <row r="189" spans="3:4" x14ac:dyDescent="0.25">
      <c r="C189" s="37"/>
      <c r="D189" s="35"/>
    </row>
    <row r="190" spans="3:4" x14ac:dyDescent="0.25">
      <c r="C190" s="37"/>
      <c r="D190" s="35"/>
    </row>
    <row r="191" spans="3:4" x14ac:dyDescent="0.25">
      <c r="C191" s="37"/>
      <c r="D191" s="35"/>
    </row>
    <row r="192" spans="3:4" x14ac:dyDescent="0.25">
      <c r="C192" s="37"/>
      <c r="D192" s="35"/>
    </row>
    <row r="193" spans="3:4" x14ac:dyDescent="0.25">
      <c r="C193" s="37"/>
      <c r="D193" s="35"/>
    </row>
    <row r="194" spans="3:4" x14ac:dyDescent="0.25">
      <c r="C194" s="37"/>
      <c r="D194" s="35"/>
    </row>
    <row r="195" spans="3:4" x14ac:dyDescent="0.25">
      <c r="C195" s="37"/>
      <c r="D195" s="35"/>
    </row>
    <row r="196" spans="3:4" x14ac:dyDescent="0.25">
      <c r="C196" s="37"/>
      <c r="D196" s="35"/>
    </row>
    <row r="197" spans="3:4" x14ac:dyDescent="0.25">
      <c r="C197" s="37"/>
      <c r="D197" s="35"/>
    </row>
    <row r="198" spans="3:4" x14ac:dyDescent="0.25">
      <c r="C198" s="37"/>
      <c r="D198" s="35"/>
    </row>
    <row r="199" spans="3:4" x14ac:dyDescent="0.25">
      <c r="C199" s="37"/>
      <c r="D199" s="35"/>
    </row>
    <row r="200" spans="3:4" x14ac:dyDescent="0.25">
      <c r="C200" s="37"/>
      <c r="D200" s="35"/>
    </row>
    <row r="201" spans="3:4" x14ac:dyDescent="0.25">
      <c r="C201" s="37"/>
      <c r="D201" s="35"/>
    </row>
    <row r="202" spans="3:4" x14ac:dyDescent="0.25">
      <c r="C202" s="37"/>
      <c r="D202" s="35"/>
    </row>
    <row r="203" spans="3:4" x14ac:dyDescent="0.25">
      <c r="C203" s="37"/>
      <c r="D203" s="35"/>
    </row>
    <row r="204" spans="3:4" x14ac:dyDescent="0.25">
      <c r="C204" s="37"/>
      <c r="D204" s="35"/>
    </row>
    <row r="205" spans="3:4" x14ac:dyDescent="0.25">
      <c r="C205" s="37"/>
      <c r="D205" s="35"/>
    </row>
    <row r="206" spans="3:4" x14ac:dyDescent="0.25">
      <c r="C206" s="37"/>
      <c r="D206" s="35"/>
    </row>
    <row r="207" spans="3:4" x14ac:dyDescent="0.25">
      <c r="C207" s="37"/>
      <c r="D207" s="35"/>
    </row>
    <row r="208" spans="3:4" x14ac:dyDescent="0.25">
      <c r="C208" s="37"/>
      <c r="D208" s="35"/>
    </row>
    <row r="209" spans="3:4" x14ac:dyDescent="0.25">
      <c r="C209" s="37"/>
      <c r="D209" s="35"/>
    </row>
    <row r="210" spans="3:4" x14ac:dyDescent="0.25">
      <c r="C210" s="37"/>
      <c r="D210" s="35"/>
    </row>
    <row r="211" spans="3:4" x14ac:dyDescent="0.25">
      <c r="C211" s="37"/>
      <c r="D211" s="35"/>
    </row>
    <row r="212" spans="3:4" x14ac:dyDescent="0.25">
      <c r="C212" s="37"/>
      <c r="D212" s="35"/>
    </row>
    <row r="213" spans="3:4" x14ac:dyDescent="0.25">
      <c r="C213" s="37"/>
      <c r="D213" s="35"/>
    </row>
    <row r="214" spans="3:4" x14ac:dyDescent="0.25">
      <c r="C214" s="37"/>
      <c r="D214" s="35"/>
    </row>
    <row r="215" spans="3:4" x14ac:dyDescent="0.25">
      <c r="C215" s="37"/>
      <c r="D215" s="35"/>
    </row>
    <row r="216" spans="3:4" x14ac:dyDescent="0.25">
      <c r="C216" s="37"/>
      <c r="D216" s="35"/>
    </row>
    <row r="217" spans="3:4" x14ac:dyDescent="0.25">
      <c r="C217" s="37"/>
      <c r="D217" s="35"/>
    </row>
    <row r="218" spans="3:4" x14ac:dyDescent="0.25">
      <c r="C218" s="37"/>
      <c r="D218" s="35"/>
    </row>
    <row r="219" spans="3:4" x14ac:dyDescent="0.25">
      <c r="C219" s="37"/>
      <c r="D219" s="35"/>
    </row>
    <row r="220" spans="3:4" x14ac:dyDescent="0.25">
      <c r="C220" s="37"/>
      <c r="D220" s="35"/>
    </row>
    <row r="221" spans="3:4" x14ac:dyDescent="0.25">
      <c r="C221" s="37"/>
      <c r="D221" s="35"/>
    </row>
    <row r="222" spans="3:4" x14ac:dyDescent="0.25">
      <c r="C222" s="37"/>
      <c r="D222" s="35"/>
    </row>
    <row r="223" spans="3:4" x14ac:dyDescent="0.25">
      <c r="C223" s="37"/>
      <c r="D223" s="35"/>
    </row>
    <row r="224" spans="3:4" x14ac:dyDescent="0.25">
      <c r="C224" s="37"/>
      <c r="D224" s="35"/>
    </row>
    <row r="225" spans="3:4" x14ac:dyDescent="0.25">
      <c r="C225" s="37"/>
      <c r="D225" s="35"/>
    </row>
    <row r="226" spans="3:4" x14ac:dyDescent="0.25">
      <c r="C226" s="37"/>
      <c r="D226" s="35"/>
    </row>
    <row r="227" spans="3:4" x14ac:dyDescent="0.25">
      <c r="C227" s="37"/>
      <c r="D227" s="35"/>
    </row>
    <row r="228" spans="3:4" x14ac:dyDescent="0.25">
      <c r="C228" s="37"/>
      <c r="D228" s="35"/>
    </row>
    <row r="229" spans="3:4" x14ac:dyDescent="0.25">
      <c r="C229" s="37"/>
      <c r="D229" s="35"/>
    </row>
    <row r="230" spans="3:4" x14ac:dyDescent="0.25">
      <c r="C230" s="37"/>
      <c r="D230" s="35"/>
    </row>
    <row r="231" spans="3:4" x14ac:dyDescent="0.25">
      <c r="C231" s="37"/>
      <c r="D231" s="35"/>
    </row>
    <row r="232" spans="3:4" x14ac:dyDescent="0.25">
      <c r="C232" s="37"/>
      <c r="D232" s="35"/>
    </row>
    <row r="233" spans="3:4" x14ac:dyDescent="0.25">
      <c r="C233" s="37"/>
      <c r="D233" s="35"/>
    </row>
    <row r="234" spans="3:4" x14ac:dyDescent="0.25">
      <c r="C234" s="37"/>
      <c r="D234" s="35"/>
    </row>
    <row r="235" spans="3:4" x14ac:dyDescent="0.25">
      <c r="C235" s="37"/>
      <c r="D235" s="35"/>
    </row>
    <row r="236" spans="3:4" x14ac:dyDescent="0.25">
      <c r="C236" s="37"/>
      <c r="D236" s="35"/>
    </row>
    <row r="237" spans="3:4" x14ac:dyDescent="0.25">
      <c r="C237" s="37"/>
      <c r="D237" s="35"/>
    </row>
    <row r="238" spans="3:4" x14ac:dyDescent="0.25">
      <c r="C238" s="37"/>
      <c r="D238" s="35"/>
    </row>
    <row r="239" spans="3:4" x14ac:dyDescent="0.25">
      <c r="C239" s="37"/>
      <c r="D239" s="35"/>
    </row>
    <row r="240" spans="3:4" x14ac:dyDescent="0.25">
      <c r="C240" s="37"/>
      <c r="D240" s="35"/>
    </row>
    <row r="241" spans="3:4" x14ac:dyDescent="0.25">
      <c r="C241" s="37"/>
      <c r="D241" s="35"/>
    </row>
    <row r="242" spans="3:4" x14ac:dyDescent="0.25">
      <c r="C242" s="37"/>
      <c r="D242" s="35"/>
    </row>
    <row r="243" spans="3:4" x14ac:dyDescent="0.25">
      <c r="C243" s="37"/>
      <c r="D243" s="35"/>
    </row>
    <row r="244" spans="3:4" x14ac:dyDescent="0.25">
      <c r="C244" s="37"/>
      <c r="D244" s="35"/>
    </row>
    <row r="245" spans="3:4" x14ac:dyDescent="0.25">
      <c r="C245" s="37"/>
      <c r="D245" s="35"/>
    </row>
    <row r="246" spans="3:4" x14ac:dyDescent="0.25">
      <c r="C246" s="37"/>
      <c r="D246" s="35"/>
    </row>
    <row r="247" spans="3:4" x14ac:dyDescent="0.25">
      <c r="C247" s="37"/>
      <c r="D247" s="35"/>
    </row>
    <row r="248" spans="3:4" x14ac:dyDescent="0.25">
      <c r="C248" s="37"/>
      <c r="D248" s="35"/>
    </row>
    <row r="249" spans="3:4" x14ac:dyDescent="0.25">
      <c r="C249" s="37"/>
      <c r="D249" s="35"/>
    </row>
    <row r="250" spans="3:4" x14ac:dyDescent="0.25">
      <c r="C250" s="37"/>
      <c r="D250" s="35"/>
    </row>
    <row r="251" spans="3:4" x14ac:dyDescent="0.25">
      <c r="C251" s="37"/>
      <c r="D251" s="35"/>
    </row>
    <row r="252" spans="3:4" x14ac:dyDescent="0.25">
      <c r="C252" s="37"/>
      <c r="D252" s="35"/>
    </row>
    <row r="253" spans="3:4" x14ac:dyDescent="0.25">
      <c r="C253" s="37"/>
      <c r="D253" s="35"/>
    </row>
    <row r="254" spans="3:4" x14ac:dyDescent="0.25">
      <c r="C254" s="37"/>
      <c r="D254" s="35"/>
    </row>
    <row r="255" spans="3:4" x14ac:dyDescent="0.25">
      <c r="C255" s="37"/>
      <c r="D255" s="35"/>
    </row>
    <row r="256" spans="3:4" x14ac:dyDescent="0.25">
      <c r="C256" s="37"/>
      <c r="D256" s="35"/>
    </row>
    <row r="257" spans="3:4" x14ac:dyDescent="0.25">
      <c r="C257" s="37"/>
      <c r="D257" s="35"/>
    </row>
    <row r="258" spans="3:4" x14ac:dyDescent="0.25">
      <c r="C258" s="37"/>
      <c r="D258" s="35"/>
    </row>
    <row r="259" spans="3:4" x14ac:dyDescent="0.25">
      <c r="C259" s="37"/>
      <c r="D259" s="35"/>
    </row>
    <row r="260" spans="3:4" x14ac:dyDescent="0.25">
      <c r="C260" s="37"/>
      <c r="D260" s="35"/>
    </row>
    <row r="261" spans="3:4" x14ac:dyDescent="0.25">
      <c r="C261" s="37"/>
      <c r="D261" s="35"/>
    </row>
    <row r="262" spans="3:4" x14ac:dyDescent="0.25">
      <c r="C262" s="37"/>
      <c r="D262" s="35"/>
    </row>
    <row r="263" spans="3:4" x14ac:dyDescent="0.25">
      <c r="C263" s="37"/>
      <c r="D263" s="35"/>
    </row>
    <row r="264" spans="3:4" x14ac:dyDescent="0.25">
      <c r="C264" s="37"/>
      <c r="D264" s="35"/>
    </row>
    <row r="265" spans="3:4" x14ac:dyDescent="0.25">
      <c r="C265" s="37"/>
      <c r="D265" s="35"/>
    </row>
    <row r="266" spans="3:4" x14ac:dyDescent="0.25">
      <c r="C266" s="37"/>
      <c r="D266" s="35"/>
    </row>
    <row r="267" spans="3:4" x14ac:dyDescent="0.25">
      <c r="C267" s="37"/>
      <c r="D267" s="35"/>
    </row>
    <row r="268" spans="3:4" x14ac:dyDescent="0.25">
      <c r="C268" s="37"/>
      <c r="D268" s="35"/>
    </row>
    <row r="269" spans="3:4" x14ac:dyDescent="0.25">
      <c r="C269" s="37"/>
      <c r="D269" s="35"/>
    </row>
    <row r="270" spans="3:4" x14ac:dyDescent="0.25">
      <c r="C270" s="37"/>
      <c r="D270" s="35"/>
    </row>
    <row r="271" spans="3:4" x14ac:dyDescent="0.25">
      <c r="C271" s="37"/>
      <c r="D271" s="35"/>
    </row>
    <row r="272" spans="3:4" x14ac:dyDescent="0.25">
      <c r="C272" s="37"/>
      <c r="D272" s="35"/>
    </row>
    <row r="273" spans="3:4" x14ac:dyDescent="0.25">
      <c r="C273" s="37"/>
      <c r="D273" s="35"/>
    </row>
    <row r="274" spans="3:4" x14ac:dyDescent="0.25">
      <c r="C274" s="37"/>
      <c r="D274" s="35"/>
    </row>
    <row r="275" spans="3:4" x14ac:dyDescent="0.25">
      <c r="C275" s="37"/>
      <c r="D275" s="35"/>
    </row>
    <row r="276" spans="3:4" x14ac:dyDescent="0.25">
      <c r="C276" s="37"/>
      <c r="D276" s="35"/>
    </row>
    <row r="277" spans="3:4" x14ac:dyDescent="0.25">
      <c r="C277" s="37"/>
      <c r="D277" s="35"/>
    </row>
    <row r="278" spans="3:4" x14ac:dyDescent="0.25">
      <c r="C278" s="37"/>
      <c r="D278" s="35"/>
    </row>
    <row r="279" spans="3:4" x14ac:dyDescent="0.25">
      <c r="C279" s="37"/>
      <c r="D279" s="35"/>
    </row>
    <row r="280" spans="3:4" x14ac:dyDescent="0.25">
      <c r="C280" s="37"/>
      <c r="D280" s="35"/>
    </row>
    <row r="281" spans="3:4" x14ac:dyDescent="0.25">
      <c r="C281" s="37"/>
      <c r="D281" s="35"/>
    </row>
    <row r="282" spans="3:4" x14ac:dyDescent="0.25">
      <c r="C282" s="37"/>
      <c r="D282" s="35"/>
    </row>
    <row r="283" spans="3:4" x14ac:dyDescent="0.25">
      <c r="C283" s="37"/>
      <c r="D283" s="35"/>
    </row>
    <row r="284" spans="3:4" x14ac:dyDescent="0.25">
      <c r="C284" s="37"/>
      <c r="D284" s="35"/>
    </row>
    <row r="285" spans="3:4" x14ac:dyDescent="0.25">
      <c r="C285" s="37"/>
      <c r="D285" s="35"/>
    </row>
    <row r="286" spans="3:4" x14ac:dyDescent="0.25">
      <c r="C286" s="37"/>
      <c r="D286" s="35"/>
    </row>
    <row r="287" spans="3:4" x14ac:dyDescent="0.25">
      <c r="C287" s="37"/>
      <c r="D287" s="35"/>
    </row>
    <row r="288" spans="3:4" x14ac:dyDescent="0.25">
      <c r="C288" s="37"/>
      <c r="D288" s="35"/>
    </row>
    <row r="289" spans="3:4" x14ac:dyDescent="0.25">
      <c r="C289" s="37"/>
      <c r="D289" s="35"/>
    </row>
    <row r="290" spans="3:4" x14ac:dyDescent="0.25">
      <c r="C290" s="37"/>
      <c r="D290" s="35"/>
    </row>
    <row r="291" spans="3:4" x14ac:dyDescent="0.25">
      <c r="C291" s="37"/>
      <c r="D291" s="35"/>
    </row>
    <row r="292" spans="3:4" x14ac:dyDescent="0.25">
      <c r="C292" s="37"/>
      <c r="D292" s="35"/>
    </row>
    <row r="293" spans="3:4" x14ac:dyDescent="0.25">
      <c r="C293" s="37"/>
      <c r="D293" s="35"/>
    </row>
    <row r="294" spans="3:4" x14ac:dyDescent="0.25">
      <c r="C294" s="37"/>
      <c r="D294" s="35"/>
    </row>
    <row r="295" spans="3:4" x14ac:dyDescent="0.25">
      <c r="C295" s="37"/>
      <c r="D295" s="35"/>
    </row>
    <row r="296" spans="3:4" x14ac:dyDescent="0.25">
      <c r="C296" s="37"/>
      <c r="D296" s="35"/>
    </row>
    <row r="297" spans="3:4" x14ac:dyDescent="0.25">
      <c r="C297" s="37"/>
      <c r="D297" s="35"/>
    </row>
    <row r="298" spans="3:4" x14ac:dyDescent="0.25">
      <c r="C298" s="37"/>
      <c r="D298" s="35"/>
    </row>
    <row r="299" spans="3:4" x14ac:dyDescent="0.25">
      <c r="C299" s="37"/>
      <c r="D299" s="35"/>
    </row>
    <row r="300" spans="3:4" x14ac:dyDescent="0.25">
      <c r="C300" s="37"/>
      <c r="D300" s="35"/>
    </row>
    <row r="301" spans="3:4" x14ac:dyDescent="0.25">
      <c r="C301" s="37"/>
      <c r="D301" s="35"/>
    </row>
    <row r="302" spans="3:4" x14ac:dyDescent="0.25">
      <c r="C302" s="37"/>
      <c r="D302" s="35"/>
    </row>
    <row r="303" spans="3:4" x14ac:dyDescent="0.25">
      <c r="C303" s="37"/>
      <c r="D303" s="35"/>
    </row>
    <row r="304" spans="3:4" x14ac:dyDescent="0.25">
      <c r="C304" s="37"/>
      <c r="D304" s="35"/>
    </row>
    <row r="305" spans="3:6" x14ac:dyDescent="0.25">
      <c r="C305" s="37"/>
      <c r="D305" s="35"/>
    </row>
    <row r="306" spans="3:6" x14ac:dyDescent="0.25">
      <c r="C306" s="37"/>
      <c r="D306" s="35"/>
    </row>
    <row r="307" spans="3:6" x14ac:dyDescent="0.25">
      <c r="C307" s="37"/>
      <c r="D307" s="35"/>
    </row>
    <row r="308" spans="3:6" x14ac:dyDescent="0.25">
      <c r="C308" s="37"/>
      <c r="D308" s="35"/>
    </row>
    <row r="309" spans="3:6" x14ac:dyDescent="0.25">
      <c r="C309" s="37"/>
      <c r="D309" s="35"/>
    </row>
    <row r="310" spans="3:6" x14ac:dyDescent="0.25">
      <c r="C310" s="37"/>
      <c r="D310" s="35"/>
    </row>
    <row r="311" spans="3:6" x14ac:dyDescent="0.25">
      <c r="C311" s="37"/>
      <c r="D311" s="35"/>
      <c r="F311" s="36"/>
    </row>
    <row r="312" spans="3:6" x14ac:dyDescent="0.25">
      <c r="C312" s="37"/>
      <c r="D312" s="35"/>
    </row>
    <row r="313" spans="3:6" x14ac:dyDescent="0.25">
      <c r="C313" s="37"/>
      <c r="D313" s="35"/>
    </row>
    <row r="314" spans="3:6" x14ac:dyDescent="0.25">
      <c r="C314" s="37"/>
      <c r="D314" s="35"/>
    </row>
    <row r="315" spans="3:6" x14ac:dyDescent="0.25">
      <c r="C315" s="37"/>
      <c r="D315" s="35"/>
    </row>
    <row r="316" spans="3:6" x14ac:dyDescent="0.25">
      <c r="C316" s="37"/>
      <c r="D316" s="35"/>
    </row>
    <row r="317" spans="3:6" x14ac:dyDescent="0.25">
      <c r="C317" s="37"/>
      <c r="D317" s="35"/>
    </row>
    <row r="318" spans="3:6" x14ac:dyDescent="0.25">
      <c r="C318" s="37"/>
      <c r="D318" s="35"/>
    </row>
    <row r="319" spans="3:6" x14ac:dyDescent="0.25">
      <c r="C319" s="37"/>
      <c r="D319" s="35"/>
    </row>
    <row r="320" spans="3:6" x14ac:dyDescent="0.25">
      <c r="C320" s="37"/>
      <c r="D320" s="35"/>
    </row>
    <row r="321" spans="3:4" x14ac:dyDescent="0.25">
      <c r="C321" s="37"/>
      <c r="D321" s="35"/>
    </row>
    <row r="322" spans="3:4" x14ac:dyDescent="0.25">
      <c r="C322" s="37"/>
      <c r="D322" s="35"/>
    </row>
    <row r="323" spans="3:4" x14ac:dyDescent="0.25">
      <c r="C323" s="37"/>
      <c r="D323" s="35"/>
    </row>
    <row r="324" spans="3:4" x14ac:dyDescent="0.25">
      <c r="C324" s="37"/>
      <c r="D324" s="35"/>
    </row>
    <row r="325" spans="3:4" x14ac:dyDescent="0.25">
      <c r="C325" s="37"/>
      <c r="D325" s="35"/>
    </row>
    <row r="326" spans="3:4" x14ac:dyDescent="0.25">
      <c r="C326" s="37"/>
      <c r="D326" s="35"/>
    </row>
    <row r="327" spans="3:4" x14ac:dyDescent="0.25">
      <c r="C327" s="37"/>
      <c r="D327" s="35"/>
    </row>
    <row r="328" spans="3:4" x14ac:dyDescent="0.25">
      <c r="C328" s="37"/>
      <c r="D328" s="35"/>
    </row>
    <row r="329" spans="3:4" x14ac:dyDescent="0.25">
      <c r="C329" s="37"/>
      <c r="D329" s="35"/>
    </row>
    <row r="330" spans="3:4" x14ac:dyDescent="0.25">
      <c r="C330" s="37"/>
      <c r="D330" s="35"/>
    </row>
    <row r="331" spans="3:4" x14ac:dyDescent="0.25">
      <c r="C331" s="37"/>
      <c r="D331" s="35"/>
    </row>
    <row r="332" spans="3:4" x14ac:dyDescent="0.25">
      <c r="C332" s="37"/>
      <c r="D332" s="35"/>
    </row>
    <row r="333" spans="3:4" x14ac:dyDescent="0.25">
      <c r="C333" s="37"/>
      <c r="D333" s="35"/>
    </row>
    <row r="334" spans="3:4" x14ac:dyDescent="0.25">
      <c r="C334" s="37"/>
      <c r="D334" s="35"/>
    </row>
    <row r="335" spans="3:4" x14ac:dyDescent="0.25">
      <c r="C335" s="37"/>
      <c r="D335" s="35"/>
    </row>
    <row r="336" spans="3:4" x14ac:dyDescent="0.25">
      <c r="C336" s="37"/>
      <c r="D336" s="35"/>
    </row>
    <row r="337" spans="3:4" x14ac:dyDescent="0.25">
      <c r="C337" s="37"/>
      <c r="D337" s="35"/>
    </row>
    <row r="338" spans="3:4" x14ac:dyDescent="0.25">
      <c r="C338" s="37"/>
      <c r="D338" s="35"/>
    </row>
    <row r="339" spans="3:4" x14ac:dyDescent="0.25">
      <c r="C339" s="37"/>
      <c r="D339" s="35"/>
    </row>
    <row r="340" spans="3:4" x14ac:dyDescent="0.25">
      <c r="C340" s="37"/>
      <c r="D340" s="35"/>
    </row>
    <row r="341" spans="3:4" x14ac:dyDescent="0.25">
      <c r="C341" s="37"/>
      <c r="D341" s="35"/>
    </row>
    <row r="342" spans="3:4" x14ac:dyDescent="0.25">
      <c r="C342" s="37"/>
      <c r="D342" s="35"/>
    </row>
    <row r="343" spans="3:4" x14ac:dyDescent="0.25">
      <c r="C343" s="37"/>
      <c r="D343" s="35"/>
    </row>
    <row r="344" spans="3:4" x14ac:dyDescent="0.25">
      <c r="C344" s="37"/>
      <c r="D344" s="35"/>
    </row>
    <row r="345" spans="3:4" x14ac:dyDescent="0.25">
      <c r="C345" s="37"/>
      <c r="D345" s="35"/>
    </row>
    <row r="346" spans="3:4" x14ac:dyDescent="0.25">
      <c r="C346" s="37"/>
      <c r="D346" s="35"/>
    </row>
    <row r="347" spans="3:4" x14ac:dyDescent="0.25">
      <c r="C347" s="37"/>
      <c r="D347" s="35"/>
    </row>
    <row r="348" spans="3:4" x14ac:dyDescent="0.25">
      <c r="C348" s="37"/>
      <c r="D348" s="35"/>
    </row>
    <row r="349" spans="3:4" x14ac:dyDescent="0.25">
      <c r="C349" s="37"/>
      <c r="D349" s="35"/>
    </row>
    <row r="350" spans="3:4" x14ac:dyDescent="0.25">
      <c r="C350" s="37"/>
      <c r="D350" s="35"/>
    </row>
    <row r="351" spans="3:4" x14ac:dyDescent="0.25">
      <c r="C351" s="37"/>
      <c r="D351" s="35"/>
    </row>
    <row r="352" spans="3:4" x14ac:dyDescent="0.25">
      <c r="C352" s="37"/>
      <c r="D352" s="35"/>
    </row>
    <row r="353" spans="3:4" x14ac:dyDescent="0.25">
      <c r="C353" s="37"/>
      <c r="D353" s="35"/>
    </row>
    <row r="354" spans="3:4" x14ac:dyDescent="0.25">
      <c r="C354" s="37"/>
      <c r="D354" s="35"/>
    </row>
    <row r="355" spans="3:4" x14ac:dyDescent="0.25">
      <c r="C355" s="37"/>
      <c r="D355" s="35"/>
    </row>
    <row r="356" spans="3:4" x14ac:dyDescent="0.25">
      <c r="C356" s="37"/>
      <c r="D356" s="35"/>
    </row>
    <row r="357" spans="3:4" x14ac:dyDescent="0.25">
      <c r="C357" s="37"/>
      <c r="D357" s="35"/>
    </row>
    <row r="358" spans="3:4" x14ac:dyDescent="0.25">
      <c r="C358" s="37"/>
      <c r="D358" s="35"/>
    </row>
    <row r="359" spans="3:4" x14ac:dyDescent="0.25">
      <c r="C359" s="37"/>
      <c r="D359" s="35"/>
    </row>
    <row r="360" spans="3:4" x14ac:dyDescent="0.25">
      <c r="C360" s="37"/>
      <c r="D360" s="35"/>
    </row>
    <row r="361" spans="3:4" x14ac:dyDescent="0.25">
      <c r="C361" s="37"/>
      <c r="D361" s="35"/>
    </row>
    <row r="362" spans="3:4" x14ac:dyDescent="0.25">
      <c r="C362" s="37"/>
      <c r="D362" s="35"/>
    </row>
    <row r="363" spans="3:4" x14ac:dyDescent="0.25">
      <c r="C363" s="37"/>
      <c r="D363" s="35"/>
    </row>
    <row r="364" spans="3:4" x14ac:dyDescent="0.25">
      <c r="C364" s="37"/>
      <c r="D364" s="35"/>
    </row>
    <row r="365" spans="3:4" x14ac:dyDescent="0.25">
      <c r="C365" s="37"/>
      <c r="D365" s="35"/>
    </row>
    <row r="366" spans="3:4" x14ac:dyDescent="0.25">
      <c r="C366" s="37"/>
      <c r="D366" s="35"/>
    </row>
    <row r="367" spans="3:4" x14ac:dyDescent="0.25">
      <c r="C367" s="37"/>
      <c r="D367" s="35"/>
    </row>
    <row r="368" spans="3:4" x14ac:dyDescent="0.25">
      <c r="C368" s="37"/>
      <c r="D368" s="35"/>
    </row>
    <row r="369" spans="3:4" x14ac:dyDescent="0.25">
      <c r="C369" s="37"/>
      <c r="D369" s="35"/>
    </row>
    <row r="370" spans="3:4" x14ac:dyDescent="0.25">
      <c r="C370" s="37"/>
      <c r="D370" s="35"/>
    </row>
    <row r="371" spans="3:4" x14ac:dyDescent="0.25">
      <c r="C371" s="37"/>
      <c r="D371" s="35"/>
    </row>
    <row r="372" spans="3:4" x14ac:dyDescent="0.25">
      <c r="C372" s="37"/>
      <c r="D372" s="35"/>
    </row>
    <row r="373" spans="3:4" x14ac:dyDescent="0.25">
      <c r="C373" s="37"/>
      <c r="D373" s="35"/>
    </row>
    <row r="374" spans="3:4" x14ac:dyDescent="0.25">
      <c r="C374" s="37"/>
      <c r="D374" s="35"/>
    </row>
    <row r="375" spans="3:4" x14ac:dyDescent="0.25">
      <c r="C375" s="37"/>
      <c r="D375" s="35"/>
    </row>
    <row r="376" spans="3:4" x14ac:dyDescent="0.25">
      <c r="C376" s="37"/>
      <c r="D376" s="35"/>
    </row>
    <row r="377" spans="3:4" x14ac:dyDescent="0.25">
      <c r="C377" s="37"/>
      <c r="D377" s="35"/>
    </row>
    <row r="378" spans="3:4" x14ac:dyDescent="0.25">
      <c r="C378" s="37"/>
      <c r="D378" s="35"/>
    </row>
    <row r="379" spans="3:4" x14ac:dyDescent="0.25">
      <c r="C379" s="37"/>
      <c r="D379" s="35"/>
    </row>
    <row r="380" spans="3:4" x14ac:dyDescent="0.25">
      <c r="C380" s="37"/>
      <c r="D380" s="35"/>
    </row>
    <row r="381" spans="3:4" x14ac:dyDescent="0.25">
      <c r="C381" s="37"/>
      <c r="D381" s="35"/>
    </row>
    <row r="382" spans="3:4" x14ac:dyDescent="0.25">
      <c r="C382" s="37"/>
      <c r="D382" s="35"/>
    </row>
    <row r="383" spans="3:4" x14ac:dyDescent="0.25">
      <c r="C383" s="37"/>
      <c r="D383" s="35"/>
    </row>
    <row r="384" spans="3:4" x14ac:dyDescent="0.25">
      <c r="C384" s="37"/>
      <c r="D384" s="35"/>
    </row>
    <row r="385" spans="3:4" x14ac:dyDescent="0.25">
      <c r="C385" s="37"/>
      <c r="D385" s="35"/>
    </row>
    <row r="386" spans="3:4" x14ac:dyDescent="0.25">
      <c r="C386" s="37"/>
      <c r="D386" s="35"/>
    </row>
    <row r="387" spans="3:4" x14ac:dyDescent="0.25">
      <c r="C387" s="37"/>
      <c r="D387" s="35"/>
    </row>
    <row r="388" spans="3:4" x14ac:dyDescent="0.25">
      <c r="C388" s="37"/>
      <c r="D388" s="35"/>
    </row>
    <row r="389" spans="3:4" x14ac:dyDescent="0.25">
      <c r="C389" s="37"/>
      <c r="D389" s="35"/>
    </row>
    <row r="390" spans="3:4" x14ac:dyDescent="0.25">
      <c r="C390" s="37"/>
      <c r="D390" s="35"/>
    </row>
    <row r="391" spans="3:4" x14ac:dyDescent="0.25">
      <c r="C391" s="37"/>
      <c r="D391" s="35"/>
    </row>
    <row r="392" spans="3:4" x14ac:dyDescent="0.25">
      <c r="C392" s="37"/>
      <c r="D392" s="35"/>
    </row>
    <row r="393" spans="3:4" x14ac:dyDescent="0.25">
      <c r="C393" s="37"/>
      <c r="D393" s="35"/>
    </row>
    <row r="394" spans="3:4" x14ac:dyDescent="0.25">
      <c r="C394" s="37"/>
      <c r="D394" s="35"/>
    </row>
    <row r="395" spans="3:4" x14ac:dyDescent="0.25">
      <c r="C395" s="37"/>
      <c r="D395" s="35"/>
    </row>
    <row r="396" spans="3:4" x14ac:dyDescent="0.25">
      <c r="C396" s="37"/>
      <c r="D396" s="35"/>
    </row>
    <row r="397" spans="3:4" x14ac:dyDescent="0.25">
      <c r="C397" s="37"/>
      <c r="D397" s="35"/>
    </row>
    <row r="398" spans="3:4" x14ac:dyDescent="0.25">
      <c r="C398" s="37"/>
      <c r="D398" s="35"/>
    </row>
    <row r="399" spans="3:4" x14ac:dyDescent="0.25">
      <c r="C399" s="37"/>
      <c r="D399" s="35"/>
    </row>
    <row r="400" spans="3:4" x14ac:dyDescent="0.25">
      <c r="C400" s="37"/>
      <c r="D400" s="35"/>
    </row>
    <row r="401" spans="3:4" x14ac:dyDescent="0.25">
      <c r="C401" s="37"/>
      <c r="D401" s="35"/>
    </row>
    <row r="402" spans="3:4" x14ac:dyDescent="0.25">
      <c r="C402" s="37"/>
      <c r="D402" s="35"/>
    </row>
    <row r="403" spans="3:4" x14ac:dyDescent="0.25">
      <c r="C403" s="37"/>
      <c r="D403" s="35"/>
    </row>
    <row r="404" spans="3:4" x14ac:dyDescent="0.25">
      <c r="C404" s="37"/>
      <c r="D404" s="35"/>
    </row>
    <row r="405" spans="3:4" x14ac:dyDescent="0.25">
      <c r="C405" s="37"/>
      <c r="D405" s="35"/>
    </row>
    <row r="406" spans="3:4" x14ac:dyDescent="0.25">
      <c r="C406" s="37"/>
      <c r="D406" s="35"/>
    </row>
    <row r="407" spans="3:4" x14ac:dyDescent="0.25">
      <c r="C407" s="37"/>
      <c r="D407" s="35"/>
    </row>
    <row r="408" spans="3:4" x14ac:dyDescent="0.25">
      <c r="C408" s="37"/>
      <c r="D408" s="35"/>
    </row>
    <row r="409" spans="3:4" x14ac:dyDescent="0.25">
      <c r="C409" s="37"/>
      <c r="D409" s="35"/>
    </row>
    <row r="410" spans="3:4" x14ac:dyDescent="0.25">
      <c r="C410" s="37"/>
      <c r="D410" s="35"/>
    </row>
    <row r="411" spans="3:4" x14ac:dyDescent="0.25">
      <c r="C411" s="37"/>
      <c r="D411" s="35"/>
    </row>
    <row r="412" spans="3:4" x14ac:dyDescent="0.25">
      <c r="C412" s="37"/>
      <c r="D412" s="35"/>
    </row>
    <row r="413" spans="3:4" x14ac:dyDescent="0.25">
      <c r="C413" s="37"/>
      <c r="D413" s="35"/>
    </row>
    <row r="414" spans="3:4" x14ac:dyDescent="0.25">
      <c r="C414" s="37"/>
      <c r="D414" s="35"/>
    </row>
    <row r="415" spans="3:4" x14ac:dyDescent="0.25">
      <c r="C415" s="37"/>
      <c r="D415" s="35"/>
    </row>
    <row r="416" spans="3:4" x14ac:dyDescent="0.25">
      <c r="C416" s="37"/>
      <c r="D416" s="35"/>
    </row>
    <row r="417" spans="3:4" x14ac:dyDescent="0.25">
      <c r="C417" s="37"/>
      <c r="D417" s="35"/>
    </row>
    <row r="418" spans="3:4" x14ac:dyDescent="0.25">
      <c r="C418" s="37"/>
      <c r="D418" s="35"/>
    </row>
    <row r="419" spans="3:4" x14ac:dyDescent="0.25">
      <c r="C419" s="37"/>
      <c r="D419" s="35"/>
    </row>
    <row r="420" spans="3:4" x14ac:dyDescent="0.25">
      <c r="C420" s="37"/>
      <c r="D420" s="35"/>
    </row>
    <row r="421" spans="3:4" x14ac:dyDescent="0.25">
      <c r="C421" s="37"/>
      <c r="D421" s="35"/>
    </row>
    <row r="422" spans="3:4" x14ac:dyDescent="0.25">
      <c r="C422" s="37"/>
      <c r="D422" s="35"/>
    </row>
    <row r="423" spans="3:4" x14ac:dyDescent="0.25">
      <c r="C423" s="37"/>
      <c r="D423" s="35"/>
    </row>
    <row r="424" spans="3:4" x14ac:dyDescent="0.25">
      <c r="C424" s="37"/>
      <c r="D424" s="35"/>
    </row>
    <row r="425" spans="3:4" x14ac:dyDescent="0.25">
      <c r="C425" s="37"/>
      <c r="D425" s="35"/>
    </row>
    <row r="426" spans="3:4" x14ac:dyDescent="0.25">
      <c r="C426" s="37"/>
      <c r="D426" s="35"/>
    </row>
    <row r="427" spans="3:4" x14ac:dyDescent="0.25">
      <c r="C427" s="37"/>
      <c r="D427" s="35"/>
    </row>
    <row r="428" spans="3:4" x14ac:dyDescent="0.25">
      <c r="C428" s="37"/>
      <c r="D428" s="35"/>
    </row>
    <row r="429" spans="3:4" x14ac:dyDescent="0.25">
      <c r="C429" s="37"/>
      <c r="D429" s="35"/>
    </row>
    <row r="430" spans="3:4" x14ac:dyDescent="0.25">
      <c r="C430" s="37"/>
      <c r="D430" s="35"/>
    </row>
    <row r="431" spans="3:4" x14ac:dyDescent="0.25">
      <c r="C431" s="37"/>
      <c r="D431" s="35"/>
    </row>
    <row r="432" spans="3:4" x14ac:dyDescent="0.25">
      <c r="C432" s="37"/>
      <c r="D432" s="35"/>
    </row>
    <row r="433" spans="3:4" x14ac:dyDescent="0.25">
      <c r="C433" s="37"/>
      <c r="D433" s="35"/>
    </row>
    <row r="434" spans="3:4" x14ac:dyDescent="0.25">
      <c r="C434" s="37"/>
      <c r="D434" s="35"/>
    </row>
    <row r="435" spans="3:4" x14ac:dyDescent="0.25">
      <c r="C435" s="37"/>
      <c r="D435" s="35"/>
    </row>
    <row r="436" spans="3:4" x14ac:dyDescent="0.25">
      <c r="C436" s="37"/>
      <c r="D436" s="35"/>
    </row>
    <row r="437" spans="3:4" x14ac:dyDescent="0.25">
      <c r="C437" s="37"/>
      <c r="D437" s="35"/>
    </row>
    <row r="438" spans="3:4" x14ac:dyDescent="0.25">
      <c r="C438" s="37"/>
      <c r="D438" s="35"/>
    </row>
    <row r="439" spans="3:4" x14ac:dyDescent="0.25">
      <c r="C439" s="37"/>
      <c r="D439" s="35"/>
    </row>
    <row r="440" spans="3:4" x14ac:dyDescent="0.25">
      <c r="C440" s="37"/>
      <c r="D440" s="35"/>
    </row>
    <row r="441" spans="3:4" x14ac:dyDescent="0.25">
      <c r="C441" s="37"/>
      <c r="D441" s="35"/>
    </row>
    <row r="442" spans="3:4" x14ac:dyDescent="0.25">
      <c r="C442" s="37"/>
      <c r="D442" s="35"/>
    </row>
    <row r="443" spans="3:4" x14ac:dyDescent="0.25">
      <c r="C443" s="37"/>
      <c r="D443" s="35"/>
    </row>
    <row r="444" spans="3:4" x14ac:dyDescent="0.25">
      <c r="C444" s="37"/>
      <c r="D444" s="35"/>
    </row>
    <row r="445" spans="3:4" x14ac:dyDescent="0.25">
      <c r="C445" s="37"/>
      <c r="D445" s="35"/>
    </row>
    <row r="446" spans="3:4" x14ac:dyDescent="0.25">
      <c r="C446" s="37"/>
      <c r="D446" s="35"/>
    </row>
    <row r="447" spans="3:4" x14ac:dyDescent="0.25">
      <c r="C447" s="37"/>
      <c r="D447" s="35"/>
    </row>
    <row r="448" spans="3:4" x14ac:dyDescent="0.25">
      <c r="C448" s="37"/>
      <c r="D448" s="35"/>
    </row>
    <row r="449" spans="3:4" x14ac:dyDescent="0.25">
      <c r="C449" s="37"/>
      <c r="D449" s="35"/>
    </row>
    <row r="450" spans="3:4" x14ac:dyDescent="0.25">
      <c r="C450" s="37"/>
      <c r="D450" s="35"/>
    </row>
    <row r="451" spans="3:4" x14ac:dyDescent="0.25">
      <c r="C451" s="37"/>
      <c r="D451" s="35"/>
    </row>
    <row r="452" spans="3:4" x14ac:dyDescent="0.25">
      <c r="C452" s="37"/>
      <c r="D452" s="35"/>
    </row>
    <row r="453" spans="3:4" x14ac:dyDescent="0.25">
      <c r="C453" s="37"/>
      <c r="D453" s="35"/>
    </row>
    <row r="454" spans="3:4" x14ac:dyDescent="0.25">
      <c r="C454" s="37"/>
      <c r="D454" s="35"/>
    </row>
    <row r="455" spans="3:4" x14ac:dyDescent="0.25">
      <c r="C455" s="37"/>
      <c r="D455" s="35"/>
    </row>
    <row r="456" spans="3:4" x14ac:dyDescent="0.25">
      <c r="C456" s="37"/>
      <c r="D456" s="35"/>
    </row>
    <row r="457" spans="3:4" x14ac:dyDescent="0.25">
      <c r="C457" s="37"/>
      <c r="D457" s="35"/>
    </row>
    <row r="458" spans="3:4" x14ac:dyDescent="0.25">
      <c r="C458" s="37"/>
      <c r="D458" s="35"/>
    </row>
    <row r="459" spans="3:4" x14ac:dyDescent="0.25">
      <c r="C459" s="37"/>
      <c r="D459" s="35"/>
    </row>
    <row r="460" spans="3:4" x14ac:dyDescent="0.25">
      <c r="C460" s="37"/>
      <c r="D460" s="35"/>
    </row>
    <row r="461" spans="3:4" x14ac:dyDescent="0.25">
      <c r="C461" s="37"/>
      <c r="D461" s="35"/>
    </row>
    <row r="462" spans="3:4" x14ac:dyDescent="0.25">
      <c r="C462" s="37"/>
      <c r="D462" s="35"/>
    </row>
    <row r="463" spans="3:4" x14ac:dyDescent="0.25">
      <c r="C463" s="37"/>
      <c r="D463" s="35"/>
    </row>
    <row r="464" spans="3:4" x14ac:dyDescent="0.25">
      <c r="C464" s="37"/>
      <c r="D464" s="35"/>
    </row>
    <row r="465" spans="3:4" x14ac:dyDescent="0.25">
      <c r="C465" s="37"/>
      <c r="D465" s="35"/>
    </row>
    <row r="466" spans="3:4" x14ac:dyDescent="0.25">
      <c r="C466" s="37"/>
      <c r="D466" s="35"/>
    </row>
    <row r="467" spans="3:4" x14ac:dyDescent="0.25">
      <c r="C467" s="37"/>
      <c r="D467" s="35"/>
    </row>
    <row r="468" spans="3:4" x14ac:dyDescent="0.25">
      <c r="C468" s="37"/>
      <c r="D468" s="35"/>
    </row>
    <row r="469" spans="3:4" x14ac:dyDescent="0.25">
      <c r="C469" s="37"/>
      <c r="D469" s="35"/>
    </row>
    <row r="470" spans="3:4" x14ac:dyDescent="0.25">
      <c r="C470" s="37"/>
      <c r="D470" s="35"/>
    </row>
    <row r="471" spans="3:4" x14ac:dyDescent="0.25">
      <c r="C471" s="37"/>
      <c r="D471" s="35"/>
    </row>
    <row r="472" spans="3:4" x14ac:dyDescent="0.25">
      <c r="C472" s="37"/>
      <c r="D472" s="35"/>
    </row>
    <row r="473" spans="3:4" x14ac:dyDescent="0.25">
      <c r="C473" s="37"/>
      <c r="D473" s="35"/>
    </row>
    <row r="474" spans="3:4" x14ac:dyDescent="0.25">
      <c r="C474" s="37"/>
      <c r="D474" s="35"/>
    </row>
    <row r="475" spans="3:4" x14ac:dyDescent="0.25">
      <c r="C475" s="37"/>
      <c r="D475" s="35"/>
    </row>
    <row r="476" spans="3:4" x14ac:dyDescent="0.25">
      <c r="C476" s="37"/>
      <c r="D476" s="35"/>
    </row>
    <row r="477" spans="3:4" x14ac:dyDescent="0.25">
      <c r="C477" s="37"/>
      <c r="D477" s="35"/>
    </row>
    <row r="478" spans="3:4" x14ac:dyDescent="0.25">
      <c r="C478" s="37"/>
      <c r="D478" s="35"/>
    </row>
    <row r="479" spans="3:4" x14ac:dyDescent="0.25">
      <c r="C479" s="37"/>
      <c r="D479" s="35"/>
    </row>
    <row r="480" spans="3:4" x14ac:dyDescent="0.25">
      <c r="C480" s="37"/>
      <c r="D480" s="35"/>
    </row>
    <row r="481" spans="3:4" x14ac:dyDescent="0.25">
      <c r="C481" s="37"/>
      <c r="D481" s="35"/>
    </row>
    <row r="482" spans="3:4" x14ac:dyDescent="0.25">
      <c r="C482" s="37"/>
      <c r="D482" s="35"/>
    </row>
    <row r="483" spans="3:4" x14ac:dyDescent="0.25">
      <c r="C483" s="37"/>
      <c r="D483" s="35"/>
    </row>
    <row r="484" spans="3:4" x14ac:dyDescent="0.25">
      <c r="C484" s="37"/>
      <c r="D484" s="35"/>
    </row>
    <row r="485" spans="3:4" x14ac:dyDescent="0.25">
      <c r="C485" s="37"/>
      <c r="D485" s="35"/>
    </row>
    <row r="486" spans="3:4" x14ac:dyDescent="0.25">
      <c r="C486" s="37"/>
      <c r="D486" s="35"/>
    </row>
    <row r="487" spans="3:4" x14ac:dyDescent="0.25">
      <c r="C487" s="37"/>
      <c r="D487" s="35"/>
    </row>
    <row r="488" spans="3:4" x14ac:dyDescent="0.25">
      <c r="C488" s="37"/>
      <c r="D488" s="35"/>
    </row>
    <row r="489" spans="3:4" x14ac:dyDescent="0.25">
      <c r="C489" s="37"/>
      <c r="D489" s="35"/>
    </row>
    <row r="490" spans="3:4" x14ac:dyDescent="0.25">
      <c r="C490" s="37"/>
      <c r="D490" s="35"/>
    </row>
    <row r="491" spans="3:4" x14ac:dyDescent="0.25">
      <c r="C491" s="37"/>
      <c r="D491" s="35"/>
    </row>
    <row r="492" spans="3:4" x14ac:dyDescent="0.25">
      <c r="C492" s="37"/>
      <c r="D492" s="35"/>
    </row>
    <row r="493" spans="3:4" x14ac:dyDescent="0.25">
      <c r="C493" s="37"/>
      <c r="D493" s="35"/>
    </row>
    <row r="494" spans="3:4" x14ac:dyDescent="0.25">
      <c r="C494" s="37"/>
      <c r="D494" s="35"/>
    </row>
    <row r="495" spans="3:4" x14ac:dyDescent="0.25">
      <c r="C495" s="37"/>
      <c r="D495" s="35"/>
    </row>
    <row r="496" spans="3:4" x14ac:dyDescent="0.25">
      <c r="C496" s="37"/>
      <c r="D496" s="35"/>
    </row>
    <row r="497" spans="3:4" x14ac:dyDescent="0.25">
      <c r="C497" s="37"/>
      <c r="D497" s="35"/>
    </row>
    <row r="498" spans="3:4" x14ac:dyDescent="0.25">
      <c r="C498" s="37"/>
      <c r="D498" s="35"/>
    </row>
    <row r="499" spans="3:4" x14ac:dyDescent="0.25">
      <c r="C499" s="37"/>
      <c r="D499" s="35"/>
    </row>
    <row r="500" spans="3:4" x14ac:dyDescent="0.25">
      <c r="C500" s="37"/>
      <c r="D500" s="35"/>
    </row>
    <row r="501" spans="3:4" x14ac:dyDescent="0.25">
      <c r="C501" s="37"/>
      <c r="D501" s="35"/>
    </row>
    <row r="502" spans="3:4" x14ac:dyDescent="0.25">
      <c r="C502" s="37"/>
      <c r="D502" s="35"/>
    </row>
    <row r="503" spans="3:4" x14ac:dyDescent="0.25">
      <c r="C503" s="37"/>
      <c r="D503" s="35"/>
    </row>
    <row r="504" spans="3:4" x14ac:dyDescent="0.25">
      <c r="C504" s="37"/>
      <c r="D504" s="35"/>
    </row>
    <row r="505" spans="3:4" x14ac:dyDescent="0.25">
      <c r="C505" s="37"/>
      <c r="D505" s="35"/>
    </row>
    <row r="506" spans="3:4" x14ac:dyDescent="0.25">
      <c r="C506" s="37"/>
      <c r="D506" s="35"/>
    </row>
    <row r="507" spans="3:4" x14ac:dyDescent="0.25">
      <c r="C507" s="37"/>
      <c r="D507" s="35"/>
    </row>
    <row r="508" spans="3:4" x14ac:dyDescent="0.25">
      <c r="C508" s="37"/>
      <c r="D508" s="35"/>
    </row>
    <row r="509" spans="3:4" x14ac:dyDescent="0.25">
      <c r="C509" s="37"/>
      <c r="D509" s="35"/>
    </row>
    <row r="510" spans="3:4" x14ac:dyDescent="0.25">
      <c r="C510" s="37"/>
      <c r="D510" s="35"/>
    </row>
    <row r="511" spans="3:4" x14ac:dyDescent="0.25">
      <c r="C511" s="37"/>
      <c r="D511" s="35"/>
    </row>
    <row r="512" spans="3:4" x14ac:dyDescent="0.25">
      <c r="C512" s="37"/>
      <c r="D512" s="35"/>
    </row>
    <row r="513" spans="3:4" x14ac:dyDescent="0.25">
      <c r="C513" s="37"/>
      <c r="D513" s="35"/>
    </row>
    <row r="514" spans="3:4" x14ac:dyDescent="0.25">
      <c r="C514" s="37"/>
      <c r="D514" s="35"/>
    </row>
    <row r="515" spans="3:4" x14ac:dyDescent="0.25">
      <c r="C515" s="37"/>
      <c r="D515" s="35"/>
    </row>
    <row r="516" spans="3:4" x14ac:dyDescent="0.25">
      <c r="C516" s="37"/>
      <c r="D516" s="35"/>
    </row>
    <row r="517" spans="3:4" x14ac:dyDescent="0.25">
      <c r="C517" s="37"/>
      <c r="D517" s="35"/>
    </row>
    <row r="518" spans="3:4" x14ac:dyDescent="0.25">
      <c r="C518" s="37"/>
      <c r="D518" s="35"/>
    </row>
    <row r="519" spans="3:4" x14ac:dyDescent="0.25">
      <c r="C519" s="37"/>
      <c r="D519" s="35"/>
    </row>
    <row r="520" spans="3:4" x14ac:dyDescent="0.25">
      <c r="C520" s="37"/>
      <c r="D520" s="35"/>
    </row>
    <row r="521" spans="3:4" x14ac:dyDescent="0.25">
      <c r="C521" s="37"/>
      <c r="D521" s="35"/>
    </row>
    <row r="522" spans="3:4" x14ac:dyDescent="0.25">
      <c r="C522" s="37"/>
      <c r="D522" s="35"/>
    </row>
    <row r="523" spans="3:4" x14ac:dyDescent="0.25">
      <c r="C523" s="37"/>
      <c r="D523" s="35"/>
    </row>
    <row r="524" spans="3:4" x14ac:dyDescent="0.25">
      <c r="C524" s="37"/>
      <c r="D524" s="35"/>
    </row>
    <row r="525" spans="3:4" x14ac:dyDescent="0.25">
      <c r="C525" s="37"/>
      <c r="D525" s="35"/>
    </row>
    <row r="526" spans="3:4" x14ac:dyDescent="0.25">
      <c r="C526" s="37"/>
      <c r="D526" s="35"/>
    </row>
    <row r="527" spans="3:4" x14ac:dyDescent="0.25">
      <c r="C527" s="37"/>
      <c r="D527" s="35"/>
    </row>
    <row r="528" spans="3:4" x14ac:dyDescent="0.25">
      <c r="C528" s="37"/>
      <c r="D528" s="35"/>
    </row>
    <row r="529" spans="3:4" x14ac:dyDescent="0.25">
      <c r="C529" s="37"/>
      <c r="D529" s="35"/>
    </row>
    <row r="530" spans="3:4" x14ac:dyDescent="0.25">
      <c r="C530" s="37"/>
      <c r="D530" s="35"/>
    </row>
    <row r="531" spans="3:4" x14ac:dyDescent="0.25">
      <c r="C531" s="37"/>
      <c r="D531" s="35"/>
    </row>
    <row r="532" spans="3:4" x14ac:dyDescent="0.25">
      <c r="C532" s="37"/>
      <c r="D532" s="35"/>
    </row>
    <row r="533" spans="3:4" x14ac:dyDescent="0.25">
      <c r="C533" s="37"/>
      <c r="D533" s="35"/>
    </row>
    <row r="534" spans="3:4" x14ac:dyDescent="0.25">
      <c r="C534" s="37"/>
      <c r="D534" s="35"/>
    </row>
    <row r="535" spans="3:4" x14ac:dyDescent="0.25">
      <c r="C535" s="37"/>
      <c r="D535" s="35"/>
    </row>
    <row r="536" spans="3:4" x14ac:dyDescent="0.25">
      <c r="C536" s="37"/>
      <c r="D536" s="35"/>
    </row>
    <row r="537" spans="3:4" x14ac:dyDescent="0.25">
      <c r="C537" s="37"/>
      <c r="D537" s="35"/>
    </row>
    <row r="538" spans="3:4" x14ac:dyDescent="0.25">
      <c r="C538" s="37"/>
      <c r="D538" s="35"/>
    </row>
    <row r="539" spans="3:4" x14ac:dyDescent="0.25">
      <c r="C539" s="37"/>
      <c r="D539" s="35"/>
    </row>
    <row r="540" spans="3:4" x14ac:dyDescent="0.25">
      <c r="C540" s="37"/>
      <c r="D540" s="35"/>
    </row>
    <row r="541" spans="3:4" x14ac:dyDescent="0.25">
      <c r="C541" s="37"/>
      <c r="D541" s="35"/>
    </row>
    <row r="542" spans="3:4" x14ac:dyDescent="0.25">
      <c r="C542" s="37"/>
      <c r="D542" s="35"/>
    </row>
    <row r="543" spans="3:4" x14ac:dyDescent="0.25">
      <c r="C543" s="37"/>
      <c r="D543" s="35"/>
    </row>
    <row r="544" spans="3:4" x14ac:dyDescent="0.25">
      <c r="C544" s="37"/>
      <c r="D544" s="35"/>
    </row>
    <row r="545" spans="3:4" x14ac:dyDescent="0.25">
      <c r="C545" s="37"/>
      <c r="D545" s="35"/>
    </row>
    <row r="546" spans="3:4" x14ac:dyDescent="0.25">
      <c r="C546" s="37"/>
      <c r="D546" s="35"/>
    </row>
    <row r="547" spans="3:4" x14ac:dyDescent="0.25">
      <c r="C547" s="37"/>
      <c r="D547" s="35"/>
    </row>
    <row r="548" spans="3:4" x14ac:dyDescent="0.25">
      <c r="C548" s="37"/>
      <c r="D548" s="35"/>
    </row>
    <row r="549" spans="3:4" x14ac:dyDescent="0.25">
      <c r="C549" s="37"/>
      <c r="D549" s="35"/>
    </row>
    <row r="550" spans="3:4" x14ac:dyDescent="0.25">
      <c r="C550" s="37"/>
      <c r="D550" s="35"/>
    </row>
    <row r="551" spans="3:4" x14ac:dyDescent="0.25">
      <c r="C551" s="37"/>
      <c r="D551" s="35"/>
    </row>
    <row r="552" spans="3:4" x14ac:dyDescent="0.25">
      <c r="C552" s="37"/>
      <c r="D552" s="35"/>
    </row>
    <row r="553" spans="3:4" x14ac:dyDescent="0.25">
      <c r="C553" s="37"/>
      <c r="D553" s="35"/>
    </row>
    <row r="554" spans="3:4" x14ac:dyDescent="0.25">
      <c r="C554" s="37"/>
      <c r="D554" s="35"/>
    </row>
    <row r="555" spans="3:4" x14ac:dyDescent="0.25">
      <c r="C555" s="37"/>
      <c r="D555" s="35"/>
    </row>
    <row r="556" spans="3:4" x14ac:dyDescent="0.25">
      <c r="C556" s="37"/>
      <c r="D556" s="35"/>
    </row>
    <row r="557" spans="3:4" x14ac:dyDescent="0.25">
      <c r="C557" s="37"/>
      <c r="D557" s="35"/>
    </row>
    <row r="558" spans="3:4" x14ac:dyDescent="0.25">
      <c r="C558" s="37"/>
      <c r="D558" s="35"/>
    </row>
    <row r="559" spans="3:4" x14ac:dyDescent="0.25">
      <c r="C559" s="37"/>
      <c r="D559" s="35"/>
    </row>
    <row r="560" spans="3:4" x14ac:dyDescent="0.25">
      <c r="C560" s="37"/>
      <c r="D560" s="35"/>
    </row>
    <row r="561" spans="3:4" x14ac:dyDescent="0.25">
      <c r="C561" s="37"/>
      <c r="D561" s="35"/>
    </row>
    <row r="562" spans="3:4" x14ac:dyDescent="0.25">
      <c r="C562" s="37"/>
      <c r="D562" s="35"/>
    </row>
    <row r="563" spans="3:4" x14ac:dyDescent="0.25">
      <c r="C563" s="37"/>
      <c r="D563" s="35"/>
    </row>
    <row r="564" spans="3:4" x14ac:dyDescent="0.25">
      <c r="C564" s="37"/>
      <c r="D564" s="35"/>
    </row>
    <row r="565" spans="3:4" x14ac:dyDescent="0.25">
      <c r="C565" s="37"/>
      <c r="D565" s="35"/>
    </row>
    <row r="566" spans="3:4" x14ac:dyDescent="0.25">
      <c r="C566" s="37"/>
      <c r="D566" s="35"/>
    </row>
    <row r="567" spans="3:4" x14ac:dyDescent="0.25">
      <c r="C567" s="37"/>
      <c r="D567" s="35"/>
    </row>
    <row r="568" spans="3:4" x14ac:dyDescent="0.25">
      <c r="C568" s="37"/>
      <c r="D568" s="35"/>
    </row>
    <row r="569" spans="3:4" x14ac:dyDescent="0.25">
      <c r="C569" s="37"/>
      <c r="D569" s="35"/>
    </row>
    <row r="570" spans="3:4" x14ac:dyDescent="0.25">
      <c r="C570" s="37"/>
      <c r="D570" s="35"/>
    </row>
    <row r="571" spans="3:4" x14ac:dyDescent="0.25">
      <c r="C571" s="37"/>
      <c r="D571" s="35"/>
    </row>
    <row r="572" spans="3:4" x14ac:dyDescent="0.25">
      <c r="C572" s="37"/>
      <c r="D572" s="35"/>
    </row>
    <row r="573" spans="3:4" x14ac:dyDescent="0.25">
      <c r="C573" s="37"/>
      <c r="D573" s="35"/>
    </row>
    <row r="574" spans="3:4" x14ac:dyDescent="0.25">
      <c r="C574" s="37"/>
      <c r="D574" s="35"/>
    </row>
    <row r="575" spans="3:4" x14ac:dyDescent="0.25">
      <c r="C575" s="37"/>
      <c r="D575" s="35"/>
    </row>
    <row r="576" spans="3:4" x14ac:dyDescent="0.25">
      <c r="C576" s="37"/>
      <c r="D576" s="35"/>
    </row>
    <row r="577" spans="3:4" x14ac:dyDescent="0.25">
      <c r="C577" s="37"/>
      <c r="D577" s="35"/>
    </row>
    <row r="578" spans="3:4" x14ac:dyDescent="0.25">
      <c r="C578" s="37"/>
      <c r="D578" s="35"/>
    </row>
    <row r="579" spans="3:4" x14ac:dyDescent="0.25">
      <c r="C579" s="37"/>
      <c r="D579" s="35"/>
    </row>
    <row r="580" spans="3:4" x14ac:dyDescent="0.25">
      <c r="C580" s="37"/>
      <c r="D580" s="35"/>
    </row>
    <row r="581" spans="3:4" x14ac:dyDescent="0.25">
      <c r="C581" s="37"/>
      <c r="D581" s="35"/>
    </row>
    <row r="582" spans="3:4" x14ac:dyDescent="0.25">
      <c r="C582" s="37"/>
      <c r="D582" s="35"/>
    </row>
    <row r="583" spans="3:4" x14ac:dyDescent="0.25">
      <c r="C583" s="37"/>
      <c r="D583" s="35"/>
    </row>
    <row r="584" spans="3:4" x14ac:dyDescent="0.25">
      <c r="C584" s="37"/>
      <c r="D584" s="35"/>
    </row>
    <row r="585" spans="3:4" x14ac:dyDescent="0.25">
      <c r="C585" s="37"/>
      <c r="D585" s="35"/>
    </row>
    <row r="586" spans="3:4" x14ac:dyDescent="0.25">
      <c r="C586" s="37"/>
      <c r="D586" s="35"/>
    </row>
    <row r="587" spans="3:4" x14ac:dyDescent="0.25">
      <c r="C587" s="37"/>
      <c r="D587" s="35"/>
    </row>
    <row r="588" spans="3:4" x14ac:dyDescent="0.25">
      <c r="C588" s="37"/>
      <c r="D588" s="35"/>
    </row>
    <row r="589" spans="3:4" x14ac:dyDescent="0.25">
      <c r="C589" s="37"/>
      <c r="D589" s="35"/>
    </row>
    <row r="590" spans="3:4" x14ac:dyDescent="0.25">
      <c r="C590" s="37"/>
      <c r="D590" s="35"/>
    </row>
    <row r="591" spans="3:4" x14ac:dyDescent="0.25">
      <c r="C591" s="37"/>
      <c r="D591" s="35"/>
    </row>
    <row r="592" spans="3:4" x14ac:dyDescent="0.25">
      <c r="C592" s="37"/>
      <c r="D592" s="35"/>
    </row>
    <row r="593" spans="3:4" x14ac:dyDescent="0.25">
      <c r="C593" s="37"/>
      <c r="D593" s="35"/>
    </row>
    <row r="594" spans="3:4" x14ac:dyDescent="0.25">
      <c r="C594" s="37"/>
      <c r="D594" s="35"/>
    </row>
    <row r="595" spans="3:4" x14ac:dyDescent="0.25">
      <c r="C595" s="37"/>
      <c r="D595" s="35"/>
    </row>
    <row r="596" spans="3:4" x14ac:dyDescent="0.25">
      <c r="C596" s="37"/>
      <c r="D596" s="35"/>
    </row>
    <row r="597" spans="3:4" x14ac:dyDescent="0.25">
      <c r="C597" s="37"/>
      <c r="D597" s="35"/>
    </row>
    <row r="598" spans="3:4" x14ac:dyDescent="0.25">
      <c r="C598" s="37"/>
      <c r="D598" s="35"/>
    </row>
    <row r="599" spans="3:4" x14ac:dyDescent="0.25">
      <c r="C599" s="37"/>
      <c r="D599" s="35"/>
    </row>
    <row r="600" spans="3:4" x14ac:dyDescent="0.25">
      <c r="C600" s="37"/>
      <c r="D600" s="35"/>
    </row>
    <row r="601" spans="3:4" x14ac:dyDescent="0.25">
      <c r="C601" s="37"/>
      <c r="D601" s="35"/>
    </row>
    <row r="602" spans="3:4" x14ac:dyDescent="0.25">
      <c r="C602" s="37"/>
      <c r="D602" s="35"/>
    </row>
    <row r="603" spans="3:4" x14ac:dyDescent="0.25">
      <c r="C603" s="37"/>
      <c r="D603" s="35"/>
    </row>
    <row r="604" spans="3:4" x14ac:dyDescent="0.25">
      <c r="C604" s="37"/>
      <c r="D604" s="35"/>
    </row>
    <row r="605" spans="3:4" x14ac:dyDescent="0.25">
      <c r="C605" s="37"/>
      <c r="D605" s="35"/>
    </row>
    <row r="606" spans="3:4" x14ac:dyDescent="0.25">
      <c r="C606" s="37"/>
      <c r="D606" s="35"/>
    </row>
    <row r="607" spans="3:4" x14ac:dyDescent="0.25">
      <c r="C607" s="37"/>
      <c r="D607" s="35"/>
    </row>
    <row r="608" spans="3:4" x14ac:dyDescent="0.25">
      <c r="C608" s="37"/>
      <c r="D608" s="35"/>
    </row>
    <row r="609" spans="3:4" x14ac:dyDescent="0.25">
      <c r="C609" s="37"/>
      <c r="D609" s="35"/>
    </row>
    <row r="610" spans="3:4" x14ac:dyDescent="0.25">
      <c r="C610" s="37"/>
      <c r="D610" s="35"/>
    </row>
    <row r="611" spans="3:4" x14ac:dyDescent="0.25">
      <c r="C611" s="37"/>
      <c r="D611" s="35"/>
    </row>
    <row r="612" spans="3:4" x14ac:dyDescent="0.25">
      <c r="C612" s="37"/>
      <c r="D612" s="35"/>
    </row>
    <row r="613" spans="3:4" x14ac:dyDescent="0.25">
      <c r="C613" s="37"/>
      <c r="D613" s="35"/>
    </row>
    <row r="614" spans="3:4" x14ac:dyDescent="0.25">
      <c r="C614" s="37"/>
      <c r="D614" s="35"/>
    </row>
    <row r="615" spans="3:4" x14ac:dyDescent="0.25">
      <c r="C615" s="37"/>
      <c r="D615" s="35"/>
    </row>
    <row r="616" spans="3:4" x14ac:dyDescent="0.25">
      <c r="C616" s="37"/>
      <c r="D616" s="35"/>
    </row>
    <row r="617" spans="3:4" x14ac:dyDescent="0.25">
      <c r="C617" s="37"/>
      <c r="D617" s="35"/>
    </row>
    <row r="618" spans="3:4" x14ac:dyDescent="0.25">
      <c r="C618" s="37"/>
      <c r="D618" s="35"/>
    </row>
    <row r="619" spans="3:4" x14ac:dyDescent="0.25">
      <c r="C619" s="37"/>
      <c r="D619" s="35"/>
    </row>
    <row r="620" spans="3:4" x14ac:dyDescent="0.25">
      <c r="C620" s="37"/>
      <c r="D620" s="35"/>
    </row>
    <row r="621" spans="3:4" x14ac:dyDescent="0.25">
      <c r="C621" s="37"/>
      <c r="D621" s="35"/>
    </row>
    <row r="622" spans="3:4" x14ac:dyDescent="0.25">
      <c r="C622" s="37"/>
      <c r="D622" s="35"/>
    </row>
    <row r="623" spans="3:4" x14ac:dyDescent="0.25">
      <c r="C623" s="37"/>
      <c r="D623" s="35"/>
    </row>
    <row r="624" spans="3:4" x14ac:dyDescent="0.25">
      <c r="C624" s="37"/>
      <c r="D624" s="35"/>
    </row>
    <row r="625" spans="3:4" x14ac:dyDescent="0.25">
      <c r="C625" s="37"/>
      <c r="D625" s="35"/>
    </row>
    <row r="626" spans="3:4" x14ac:dyDescent="0.25">
      <c r="C626" s="37"/>
      <c r="D626" s="35"/>
    </row>
    <row r="627" spans="3:4" x14ac:dyDescent="0.25">
      <c r="C627" s="37"/>
      <c r="D627" s="35"/>
    </row>
    <row r="628" spans="3:4" x14ac:dyDescent="0.25">
      <c r="C628" s="37"/>
      <c r="D628" s="35"/>
    </row>
    <row r="629" spans="3:4" x14ac:dyDescent="0.25">
      <c r="C629" s="37"/>
      <c r="D629" s="35"/>
    </row>
    <row r="630" spans="3:4" x14ac:dyDescent="0.25">
      <c r="C630" s="37"/>
      <c r="D630" s="35"/>
    </row>
    <row r="631" spans="3:4" x14ac:dyDescent="0.25">
      <c r="C631" s="37"/>
      <c r="D631" s="35"/>
    </row>
    <row r="632" spans="3:4" x14ac:dyDescent="0.25">
      <c r="C632" s="37"/>
      <c r="D632" s="35"/>
    </row>
    <row r="633" spans="3:4" x14ac:dyDescent="0.25">
      <c r="C633" s="37"/>
      <c r="D633" s="35"/>
    </row>
    <row r="634" spans="3:4" x14ac:dyDescent="0.25">
      <c r="C634" s="37"/>
      <c r="D634" s="35"/>
    </row>
    <row r="635" spans="3:4" x14ac:dyDescent="0.25">
      <c r="C635" s="37"/>
      <c r="D635" s="35"/>
    </row>
    <row r="636" spans="3:4" x14ac:dyDescent="0.25">
      <c r="C636" s="37"/>
      <c r="D636" s="35"/>
    </row>
    <row r="637" spans="3:4" x14ac:dyDescent="0.25">
      <c r="C637" s="37"/>
      <c r="D637" s="35"/>
    </row>
    <row r="638" spans="3:4" x14ac:dyDescent="0.25">
      <c r="C638" s="37"/>
      <c r="D638" s="35"/>
    </row>
    <row r="639" spans="3:4" x14ac:dyDescent="0.25">
      <c r="C639" s="37"/>
      <c r="D639" s="35"/>
    </row>
    <row r="640" spans="3:4" x14ac:dyDescent="0.25">
      <c r="C640" s="37"/>
      <c r="D640" s="35"/>
    </row>
    <row r="641" spans="3:4" x14ac:dyDescent="0.25">
      <c r="C641" s="37"/>
      <c r="D641" s="35"/>
    </row>
    <row r="642" spans="3:4" x14ac:dyDescent="0.25">
      <c r="C642" s="37"/>
      <c r="D642" s="35"/>
    </row>
    <row r="643" spans="3:4" x14ac:dyDescent="0.25">
      <c r="C643" s="37"/>
      <c r="D643" s="35"/>
    </row>
    <row r="644" spans="3:4" x14ac:dyDescent="0.25">
      <c r="C644" s="37"/>
      <c r="D644" s="35"/>
    </row>
    <row r="645" spans="3:4" x14ac:dyDescent="0.25">
      <c r="C645" s="37"/>
      <c r="D645" s="35"/>
    </row>
    <row r="646" spans="3:4" x14ac:dyDescent="0.25">
      <c r="C646" s="37"/>
      <c r="D646" s="35"/>
    </row>
    <row r="647" spans="3:4" x14ac:dyDescent="0.25">
      <c r="C647" s="37"/>
      <c r="D647" s="35"/>
    </row>
    <row r="648" spans="3:4" x14ac:dyDescent="0.25">
      <c r="C648" s="37"/>
      <c r="D648" s="35"/>
    </row>
    <row r="649" spans="3:4" x14ac:dyDescent="0.25">
      <c r="C649" s="37"/>
      <c r="D649" s="35"/>
    </row>
    <row r="650" spans="3:4" x14ac:dyDescent="0.25">
      <c r="C650" s="37"/>
      <c r="D650" s="35"/>
    </row>
    <row r="651" spans="3:4" x14ac:dyDescent="0.25">
      <c r="C651" s="37"/>
      <c r="D651" s="35"/>
    </row>
    <row r="652" spans="3:4" x14ac:dyDescent="0.25">
      <c r="C652" s="37"/>
      <c r="D652" s="35"/>
    </row>
    <row r="653" spans="3:4" x14ac:dyDescent="0.25">
      <c r="C653" s="37"/>
      <c r="D653" s="35"/>
    </row>
    <row r="654" spans="3:4" x14ac:dyDescent="0.25">
      <c r="C654" s="37"/>
      <c r="D654" s="35"/>
    </row>
    <row r="655" spans="3:4" x14ac:dyDescent="0.25">
      <c r="C655" s="37"/>
      <c r="D655" s="35"/>
    </row>
    <row r="656" spans="3:4" x14ac:dyDescent="0.25">
      <c r="C656" s="37"/>
      <c r="D656" s="35"/>
    </row>
    <row r="657" spans="3:4" x14ac:dyDescent="0.25">
      <c r="C657" s="37"/>
      <c r="D657" s="35"/>
    </row>
    <row r="658" spans="3:4" x14ac:dyDescent="0.25">
      <c r="C658" s="37"/>
      <c r="D658" s="35"/>
    </row>
    <row r="659" spans="3:4" x14ac:dyDescent="0.25">
      <c r="C659" s="37"/>
      <c r="D659" s="35"/>
    </row>
    <row r="660" spans="3:4" x14ac:dyDescent="0.25">
      <c r="C660" s="37"/>
      <c r="D660" s="35"/>
    </row>
    <row r="661" spans="3:4" x14ac:dyDescent="0.25">
      <c r="C661" s="37"/>
      <c r="D661" s="35"/>
    </row>
    <row r="662" spans="3:4" x14ac:dyDescent="0.25">
      <c r="C662" s="37"/>
      <c r="D662" s="35"/>
    </row>
    <row r="663" spans="3:4" x14ac:dyDescent="0.25">
      <c r="C663" s="37"/>
      <c r="D663" s="35"/>
    </row>
    <row r="664" spans="3:4" x14ac:dyDescent="0.25">
      <c r="C664" s="37"/>
      <c r="D664" s="35"/>
    </row>
    <row r="665" spans="3:4" x14ac:dyDescent="0.25">
      <c r="C665" s="37"/>
      <c r="D665" s="35"/>
    </row>
    <row r="666" spans="3:4" x14ac:dyDescent="0.25">
      <c r="C666" s="37"/>
      <c r="D666" s="35"/>
    </row>
    <row r="667" spans="3:4" x14ac:dyDescent="0.25">
      <c r="C667" s="37"/>
      <c r="D667" s="35"/>
    </row>
    <row r="668" spans="3:4" x14ac:dyDescent="0.25">
      <c r="C668" s="37"/>
      <c r="D668" s="35"/>
    </row>
    <row r="669" spans="3:4" x14ac:dyDescent="0.25">
      <c r="C669" s="37"/>
      <c r="D669" s="35"/>
    </row>
    <row r="670" spans="3:4" x14ac:dyDescent="0.25">
      <c r="C670" s="37"/>
      <c r="D670" s="35"/>
    </row>
    <row r="671" spans="3:4" x14ac:dyDescent="0.25">
      <c r="C671" s="37"/>
      <c r="D671" s="35"/>
    </row>
    <row r="672" spans="3:4" x14ac:dyDescent="0.25">
      <c r="C672" s="37"/>
      <c r="D672" s="35"/>
    </row>
    <row r="673" spans="3:4" x14ac:dyDescent="0.25">
      <c r="C673" s="37"/>
      <c r="D673" s="35"/>
    </row>
    <row r="674" spans="3:4" x14ac:dyDescent="0.25">
      <c r="C674" s="37"/>
      <c r="D674" s="35"/>
    </row>
    <row r="675" spans="3:4" x14ac:dyDescent="0.25">
      <c r="C675" s="37"/>
      <c r="D675" s="35"/>
    </row>
    <row r="676" spans="3:4" x14ac:dyDescent="0.25">
      <c r="C676" s="37"/>
      <c r="D676" s="35"/>
    </row>
    <row r="677" spans="3:4" x14ac:dyDescent="0.25">
      <c r="C677" s="37"/>
      <c r="D677" s="35"/>
    </row>
    <row r="678" spans="3:4" x14ac:dyDescent="0.25">
      <c r="C678" s="37"/>
      <c r="D678" s="35"/>
    </row>
    <row r="679" spans="3:4" x14ac:dyDescent="0.25">
      <c r="C679" s="37"/>
      <c r="D679" s="35"/>
    </row>
    <row r="680" spans="3:4" x14ac:dyDescent="0.25">
      <c r="C680" s="37"/>
      <c r="D680" s="35"/>
    </row>
    <row r="681" spans="3:4" x14ac:dyDescent="0.25">
      <c r="C681" s="37"/>
      <c r="D681" s="35"/>
    </row>
    <row r="682" spans="3:4" x14ac:dyDescent="0.25">
      <c r="C682" s="37"/>
      <c r="D682" s="35"/>
    </row>
    <row r="683" spans="3:4" x14ac:dyDescent="0.25">
      <c r="C683" s="37"/>
      <c r="D683" s="35"/>
    </row>
    <row r="684" spans="3:4" x14ac:dyDescent="0.25">
      <c r="C684" s="37"/>
      <c r="D684" s="35"/>
    </row>
    <row r="685" spans="3:4" x14ac:dyDescent="0.25">
      <c r="C685" s="37"/>
      <c r="D685" s="35"/>
    </row>
    <row r="686" spans="3:4" x14ac:dyDescent="0.25">
      <c r="C686" s="37"/>
      <c r="D686" s="35"/>
    </row>
    <row r="687" spans="3:4" x14ac:dyDescent="0.25">
      <c r="C687" s="37"/>
      <c r="D687" s="35"/>
    </row>
    <row r="688" spans="3:4" x14ac:dyDescent="0.25">
      <c r="C688" s="37"/>
      <c r="D688" s="35"/>
    </row>
    <row r="689" spans="3:4" x14ac:dyDescent="0.25">
      <c r="C689" s="37"/>
      <c r="D689" s="35"/>
    </row>
    <row r="690" spans="3:4" x14ac:dyDescent="0.25">
      <c r="C690" s="37"/>
      <c r="D690" s="35"/>
    </row>
    <row r="691" spans="3:4" x14ac:dyDescent="0.25">
      <c r="C691" s="37"/>
      <c r="D691" s="35"/>
    </row>
    <row r="692" spans="3:4" x14ac:dyDescent="0.25">
      <c r="C692" s="37"/>
      <c r="D692" s="35"/>
    </row>
    <row r="693" spans="3:4" x14ac:dyDescent="0.25">
      <c r="C693" s="37"/>
      <c r="D693" s="35"/>
    </row>
    <row r="694" spans="3:4" x14ac:dyDescent="0.25">
      <c r="C694" s="37"/>
      <c r="D694" s="35"/>
    </row>
    <row r="695" spans="3:4" x14ac:dyDescent="0.25">
      <c r="C695" s="37"/>
      <c r="D695" s="35"/>
    </row>
    <row r="696" spans="3:4" x14ac:dyDescent="0.25">
      <c r="C696" s="37"/>
      <c r="D696" s="35"/>
    </row>
    <row r="697" spans="3:4" x14ac:dyDescent="0.25">
      <c r="C697" s="37"/>
      <c r="D697" s="35"/>
    </row>
    <row r="698" spans="3:4" x14ac:dyDescent="0.25">
      <c r="C698" s="37"/>
      <c r="D698" s="35"/>
    </row>
    <row r="699" spans="3:4" x14ac:dyDescent="0.25">
      <c r="C699" s="37"/>
      <c r="D699" s="35"/>
    </row>
    <row r="700" spans="3:4" x14ac:dyDescent="0.25">
      <c r="C700" s="37"/>
      <c r="D700" s="35"/>
    </row>
    <row r="701" spans="3:4" x14ac:dyDescent="0.25">
      <c r="C701" s="37"/>
      <c r="D701" s="35"/>
    </row>
    <row r="702" spans="3:4" x14ac:dyDescent="0.25">
      <c r="C702" s="37"/>
      <c r="D702" s="35"/>
    </row>
    <row r="703" spans="3:4" x14ac:dyDescent="0.25">
      <c r="C703" s="37"/>
      <c r="D703" s="35"/>
    </row>
    <row r="704" spans="3:4" x14ac:dyDescent="0.25">
      <c r="C704" s="37"/>
      <c r="D704" s="35"/>
    </row>
    <row r="705" spans="3:4" x14ac:dyDescent="0.25">
      <c r="C705" s="37"/>
      <c r="D705" s="35"/>
    </row>
    <row r="706" spans="3:4" x14ac:dyDescent="0.25">
      <c r="C706" s="37"/>
      <c r="D706" s="35"/>
    </row>
    <row r="707" spans="3:4" x14ac:dyDescent="0.25">
      <c r="C707" s="37"/>
      <c r="D707" s="35"/>
    </row>
    <row r="708" spans="3:4" x14ac:dyDescent="0.25">
      <c r="C708" s="37"/>
      <c r="D708" s="35"/>
    </row>
    <row r="709" spans="3:4" x14ac:dyDescent="0.25">
      <c r="C709" s="37"/>
      <c r="D709" s="35"/>
    </row>
    <row r="710" spans="3:4" x14ac:dyDescent="0.25">
      <c r="C710" s="37"/>
      <c r="D710" s="35"/>
    </row>
    <row r="711" spans="3:4" x14ac:dyDescent="0.25">
      <c r="C711" s="37"/>
      <c r="D711" s="35"/>
    </row>
    <row r="712" spans="3:4" x14ac:dyDescent="0.25">
      <c r="C712" s="37"/>
      <c r="D712" s="35"/>
    </row>
    <row r="713" spans="3:4" x14ac:dyDescent="0.25">
      <c r="C713" s="37"/>
      <c r="D713" s="35"/>
    </row>
    <row r="714" spans="3:4" x14ac:dyDescent="0.25">
      <c r="C714" s="37"/>
      <c r="D714" s="35"/>
    </row>
    <row r="715" spans="3:4" x14ac:dyDescent="0.25">
      <c r="C715" s="37"/>
      <c r="D715" s="35"/>
    </row>
    <row r="716" spans="3:4" x14ac:dyDescent="0.25">
      <c r="C716" s="37"/>
      <c r="D716" s="35"/>
    </row>
    <row r="717" spans="3:4" x14ac:dyDescent="0.25">
      <c r="C717" s="37"/>
      <c r="D717" s="35"/>
    </row>
    <row r="718" spans="3:4" x14ac:dyDescent="0.25">
      <c r="C718" s="37"/>
      <c r="D718" s="35"/>
    </row>
    <row r="719" spans="3:4" x14ac:dyDescent="0.25">
      <c r="C719" s="37"/>
      <c r="D719" s="35"/>
    </row>
    <row r="720" spans="3:4" x14ac:dyDescent="0.25">
      <c r="C720" s="37"/>
      <c r="D720" s="35"/>
    </row>
    <row r="721" spans="3:4" x14ac:dyDescent="0.25">
      <c r="C721" s="37"/>
      <c r="D721" s="35"/>
    </row>
    <row r="722" spans="3:4" x14ac:dyDescent="0.25">
      <c r="C722" s="37"/>
      <c r="D722" s="35"/>
    </row>
    <row r="723" spans="3:4" x14ac:dyDescent="0.25">
      <c r="C723" s="37"/>
      <c r="D723" s="35"/>
    </row>
    <row r="724" spans="3:4" x14ac:dyDescent="0.25">
      <c r="C724" s="37"/>
      <c r="D724" s="35"/>
    </row>
    <row r="725" spans="3:4" x14ac:dyDescent="0.25">
      <c r="C725" s="37"/>
      <c r="D725" s="35"/>
    </row>
    <row r="726" spans="3:4" x14ac:dyDescent="0.25">
      <c r="C726" s="37"/>
      <c r="D726" s="35"/>
    </row>
    <row r="727" spans="3:4" x14ac:dyDescent="0.25">
      <c r="C727" s="37"/>
      <c r="D727" s="35"/>
    </row>
    <row r="728" spans="3:4" x14ac:dyDescent="0.25">
      <c r="C728" s="37"/>
      <c r="D728" s="35"/>
    </row>
    <row r="729" spans="3:4" x14ac:dyDescent="0.25">
      <c r="C729" s="37"/>
      <c r="D729" s="35"/>
    </row>
    <row r="730" spans="3:4" x14ac:dyDescent="0.25">
      <c r="C730" s="37"/>
      <c r="D730" s="35"/>
    </row>
    <row r="731" spans="3:4" x14ac:dyDescent="0.25">
      <c r="C731" s="37"/>
      <c r="D731" s="35"/>
    </row>
    <row r="732" spans="3:4" x14ac:dyDescent="0.25">
      <c r="C732" s="37"/>
      <c r="D732" s="35"/>
    </row>
    <row r="733" spans="3:4" x14ac:dyDescent="0.25">
      <c r="C733" s="37"/>
      <c r="D733" s="35"/>
    </row>
    <row r="734" spans="3:4" x14ac:dyDescent="0.25">
      <c r="C734" s="37"/>
      <c r="D734" s="35"/>
    </row>
    <row r="735" spans="3:4" x14ac:dyDescent="0.25">
      <c r="C735" s="37"/>
      <c r="D735" s="35"/>
    </row>
    <row r="736" spans="3:4" x14ac:dyDescent="0.25">
      <c r="C736" s="37"/>
      <c r="D736" s="35"/>
    </row>
    <row r="737" spans="3:4" x14ac:dyDescent="0.25">
      <c r="C737" s="37"/>
      <c r="D737" s="35"/>
    </row>
    <row r="738" spans="3:4" x14ac:dyDescent="0.25">
      <c r="C738" s="37"/>
      <c r="D738" s="35"/>
    </row>
    <row r="739" spans="3:4" x14ac:dyDescent="0.25">
      <c r="C739" s="37"/>
      <c r="D739" s="35"/>
    </row>
    <row r="740" spans="3:4" x14ac:dyDescent="0.25">
      <c r="C740" s="37"/>
      <c r="D740" s="35"/>
    </row>
    <row r="741" spans="3:4" x14ac:dyDescent="0.25">
      <c r="C741" s="37"/>
      <c r="D741" s="35"/>
    </row>
    <row r="742" spans="3:4" x14ac:dyDescent="0.25">
      <c r="C742" s="37"/>
      <c r="D742" s="35"/>
    </row>
    <row r="743" spans="3:4" x14ac:dyDescent="0.25">
      <c r="C743" s="37"/>
      <c r="D743" s="35"/>
    </row>
    <row r="744" spans="3:4" x14ac:dyDescent="0.25">
      <c r="C744" s="37"/>
      <c r="D744" s="35"/>
    </row>
    <row r="745" spans="3:4" x14ac:dyDescent="0.25">
      <c r="C745" s="37"/>
      <c r="D745" s="35"/>
    </row>
    <row r="746" spans="3:4" x14ac:dyDescent="0.25">
      <c r="C746" s="37"/>
      <c r="D746" s="35"/>
    </row>
    <row r="747" spans="3:4" x14ac:dyDescent="0.25">
      <c r="C747" s="37"/>
      <c r="D747" s="35"/>
    </row>
    <row r="748" spans="3:4" x14ac:dyDescent="0.25">
      <c r="C748" s="37"/>
      <c r="D748" s="35"/>
    </row>
    <row r="749" spans="3:4" x14ac:dyDescent="0.25">
      <c r="C749" s="37"/>
      <c r="D749" s="35"/>
    </row>
    <row r="750" spans="3:4" x14ac:dyDescent="0.25">
      <c r="C750" s="37"/>
      <c r="D750" s="35"/>
    </row>
    <row r="751" spans="3:4" x14ac:dyDescent="0.25">
      <c r="C751" s="37"/>
      <c r="D751" s="35"/>
    </row>
    <row r="752" spans="3:4" x14ac:dyDescent="0.25">
      <c r="C752" s="37"/>
      <c r="D752" s="35"/>
    </row>
    <row r="753" spans="3:4" x14ac:dyDescent="0.25">
      <c r="C753" s="37"/>
      <c r="D753" s="35"/>
    </row>
    <row r="754" spans="3:4" x14ac:dyDescent="0.25">
      <c r="C754" s="37"/>
      <c r="D754" s="35"/>
    </row>
    <row r="755" spans="3:4" x14ac:dyDescent="0.25">
      <c r="C755" s="37"/>
      <c r="D755" s="35"/>
    </row>
    <row r="756" spans="3:4" x14ac:dyDescent="0.25">
      <c r="C756" s="37"/>
      <c r="D756" s="35"/>
    </row>
    <row r="757" spans="3:4" x14ac:dyDescent="0.25">
      <c r="C757" s="37"/>
      <c r="D757" s="35"/>
    </row>
    <row r="758" spans="3:4" x14ac:dyDescent="0.25">
      <c r="C758" s="37"/>
      <c r="D758" s="35"/>
    </row>
    <row r="759" spans="3:4" x14ac:dyDescent="0.25">
      <c r="C759" s="37"/>
      <c r="D759" s="35"/>
    </row>
    <row r="760" spans="3:4" x14ac:dyDescent="0.25">
      <c r="C760" s="37"/>
      <c r="D760" s="35"/>
    </row>
    <row r="761" spans="3:4" x14ac:dyDescent="0.25">
      <c r="C761" s="37"/>
      <c r="D761" s="35"/>
    </row>
    <row r="762" spans="3:4" x14ac:dyDescent="0.25">
      <c r="C762" s="37"/>
      <c r="D762" s="35"/>
    </row>
    <row r="763" spans="3:4" x14ac:dyDescent="0.25">
      <c r="C763" s="37"/>
      <c r="D763" s="35"/>
    </row>
    <row r="764" spans="3:4" x14ac:dyDescent="0.25">
      <c r="C764" s="37"/>
      <c r="D764" s="35"/>
    </row>
    <row r="765" spans="3:4" x14ac:dyDescent="0.25">
      <c r="C765" s="37"/>
      <c r="D765" s="35"/>
    </row>
    <row r="766" spans="3:4" x14ac:dyDescent="0.25">
      <c r="C766" s="37"/>
      <c r="D766" s="35"/>
    </row>
    <row r="767" spans="3:4" x14ac:dyDescent="0.25">
      <c r="C767" s="37"/>
      <c r="D767" s="35"/>
    </row>
    <row r="768" spans="3:4" x14ac:dyDescent="0.25">
      <c r="C768" s="37"/>
      <c r="D768" s="35"/>
    </row>
    <row r="769" spans="3:4" x14ac:dyDescent="0.25">
      <c r="C769" s="37"/>
      <c r="D769" s="35"/>
    </row>
    <row r="770" spans="3:4" x14ac:dyDescent="0.25">
      <c r="C770" s="37"/>
      <c r="D770" s="35"/>
    </row>
    <row r="771" spans="3:4" x14ac:dyDescent="0.25">
      <c r="C771" s="37"/>
      <c r="D771" s="35"/>
    </row>
    <row r="772" spans="3:4" x14ac:dyDescent="0.25">
      <c r="C772" s="37"/>
      <c r="D772" s="35"/>
    </row>
    <row r="773" spans="3:4" x14ac:dyDescent="0.25">
      <c r="C773" s="37"/>
      <c r="D773" s="35"/>
    </row>
    <row r="774" spans="3:4" x14ac:dyDescent="0.25">
      <c r="C774" s="37"/>
      <c r="D774" s="35"/>
    </row>
    <row r="775" spans="3:4" x14ac:dyDescent="0.25">
      <c r="C775" s="37"/>
      <c r="D775" s="35"/>
    </row>
    <row r="776" spans="3:4" x14ac:dyDescent="0.25">
      <c r="C776" s="37"/>
      <c r="D776" s="35"/>
    </row>
    <row r="777" spans="3:4" x14ac:dyDescent="0.25">
      <c r="C777" s="37"/>
      <c r="D777" s="35"/>
    </row>
    <row r="778" spans="3:4" x14ac:dyDescent="0.25">
      <c r="C778" s="37"/>
      <c r="D778" s="35"/>
    </row>
    <row r="779" spans="3:4" x14ac:dyDescent="0.25">
      <c r="C779" s="37"/>
      <c r="D779" s="35"/>
    </row>
    <row r="780" spans="3:4" x14ac:dyDescent="0.25">
      <c r="C780" s="37"/>
      <c r="D780" s="35"/>
    </row>
    <row r="781" spans="3:4" x14ac:dyDescent="0.25">
      <c r="C781" s="37"/>
      <c r="D781" s="35"/>
    </row>
    <row r="782" spans="3:4" x14ac:dyDescent="0.25">
      <c r="C782" s="37"/>
      <c r="D782" s="35"/>
    </row>
    <row r="783" spans="3:4" x14ac:dyDescent="0.25">
      <c r="C783" s="37"/>
      <c r="D783" s="35"/>
    </row>
    <row r="784" spans="3:4" x14ac:dyDescent="0.25">
      <c r="C784" s="37"/>
      <c r="D784" s="35"/>
    </row>
    <row r="785" spans="3:4" x14ac:dyDescent="0.25">
      <c r="C785" s="37"/>
      <c r="D785" s="35"/>
    </row>
    <row r="786" spans="3:4" x14ac:dyDescent="0.25">
      <c r="C786" s="37"/>
      <c r="D786" s="35"/>
    </row>
    <row r="787" spans="3:4" x14ac:dyDescent="0.25">
      <c r="C787" s="37"/>
      <c r="D787" s="35"/>
    </row>
    <row r="788" spans="3:4" x14ac:dyDescent="0.25">
      <c r="C788" s="37"/>
      <c r="D788" s="35"/>
    </row>
    <row r="789" spans="3:4" x14ac:dyDescent="0.25">
      <c r="C789" s="37"/>
      <c r="D789" s="35"/>
    </row>
    <row r="790" spans="3:4" x14ac:dyDescent="0.25">
      <c r="C790" s="37"/>
      <c r="D790" s="35"/>
    </row>
    <row r="791" spans="3:4" x14ac:dyDescent="0.25">
      <c r="C791" s="37"/>
      <c r="D791" s="35"/>
    </row>
    <row r="792" spans="3:4" x14ac:dyDescent="0.25">
      <c r="C792" s="37"/>
      <c r="D792" s="35"/>
    </row>
    <row r="793" spans="3:4" x14ac:dyDescent="0.25">
      <c r="C793" s="37"/>
      <c r="D793" s="35"/>
    </row>
    <row r="794" spans="3:4" x14ac:dyDescent="0.25">
      <c r="C794" s="37"/>
      <c r="D794" s="35"/>
    </row>
    <row r="795" spans="3:4" x14ac:dyDescent="0.25">
      <c r="C795" s="37"/>
      <c r="D795" s="35"/>
    </row>
    <row r="796" spans="3:4" x14ac:dyDescent="0.25">
      <c r="C796" s="37"/>
      <c r="D796" s="35"/>
    </row>
    <row r="797" spans="3:4" x14ac:dyDescent="0.25">
      <c r="C797" s="37"/>
      <c r="D797" s="35"/>
    </row>
    <row r="798" spans="3:4" x14ac:dyDescent="0.25">
      <c r="C798" s="37"/>
      <c r="D798" s="35"/>
    </row>
    <row r="799" spans="3:4" x14ac:dyDescent="0.25">
      <c r="C799" s="37"/>
      <c r="D799" s="35"/>
    </row>
    <row r="800" spans="3:4" x14ac:dyDescent="0.25">
      <c r="C800" s="37"/>
      <c r="D800" s="35"/>
    </row>
    <row r="801" spans="3:4" x14ac:dyDescent="0.25">
      <c r="C801" s="37"/>
      <c r="D801" s="35"/>
    </row>
    <row r="802" spans="3:4" x14ac:dyDescent="0.25">
      <c r="C802" s="37"/>
      <c r="D802" s="35"/>
    </row>
    <row r="803" spans="3:4" x14ac:dyDescent="0.25">
      <c r="C803" s="37"/>
      <c r="D803" s="35"/>
    </row>
    <row r="804" spans="3:4" x14ac:dyDescent="0.25">
      <c r="C804" s="37"/>
      <c r="D804" s="35"/>
    </row>
    <row r="805" spans="3:4" x14ac:dyDescent="0.25">
      <c r="C805" s="37"/>
      <c r="D805" s="35"/>
    </row>
    <row r="806" spans="3:4" x14ac:dyDescent="0.25">
      <c r="C806" s="37"/>
      <c r="D806" s="35"/>
    </row>
    <row r="807" spans="3:4" x14ac:dyDescent="0.25">
      <c r="C807" s="37"/>
      <c r="D807" s="35"/>
    </row>
    <row r="808" spans="3:4" x14ac:dyDescent="0.25">
      <c r="C808" s="37"/>
      <c r="D808" s="35"/>
    </row>
    <row r="809" spans="3:4" x14ac:dyDescent="0.25">
      <c r="C809" s="37"/>
      <c r="D809" s="35"/>
    </row>
    <row r="810" spans="3:4" x14ac:dyDescent="0.25">
      <c r="C810" s="37"/>
      <c r="D810" s="35"/>
    </row>
    <row r="811" spans="3:4" x14ac:dyDescent="0.25">
      <c r="C811" s="37"/>
      <c r="D811" s="35"/>
    </row>
    <row r="812" spans="3:4" x14ac:dyDescent="0.25">
      <c r="C812" s="37"/>
      <c r="D812" s="35"/>
    </row>
    <row r="813" spans="3:4" x14ac:dyDescent="0.25">
      <c r="C813" s="37"/>
      <c r="D813" s="35"/>
    </row>
    <row r="814" spans="3:4" x14ac:dyDescent="0.25">
      <c r="C814" s="37"/>
      <c r="D814" s="35"/>
    </row>
    <row r="815" spans="3:4" x14ac:dyDescent="0.25">
      <c r="C815" s="37"/>
      <c r="D815" s="35"/>
    </row>
    <row r="816" spans="3:4" x14ac:dyDescent="0.25">
      <c r="C816" s="37"/>
      <c r="D816" s="35"/>
    </row>
    <row r="817" spans="3:4" x14ac:dyDescent="0.25">
      <c r="C817" s="37"/>
      <c r="D817" s="35"/>
    </row>
    <row r="818" spans="3:4" x14ac:dyDescent="0.25">
      <c r="C818" s="37"/>
      <c r="D818" s="35"/>
    </row>
    <row r="819" spans="3:4" x14ac:dyDescent="0.25">
      <c r="C819" s="37"/>
      <c r="D819" s="35"/>
    </row>
    <row r="820" spans="3:4" x14ac:dyDescent="0.25">
      <c r="C820" s="37"/>
      <c r="D820" s="35"/>
    </row>
    <row r="821" spans="3:4" x14ac:dyDescent="0.25">
      <c r="C821" s="37"/>
      <c r="D821" s="35"/>
    </row>
    <row r="822" spans="3:4" x14ac:dyDescent="0.25">
      <c r="C822" s="37"/>
      <c r="D822" s="35"/>
    </row>
    <row r="823" spans="3:4" x14ac:dyDescent="0.25">
      <c r="C823" s="37"/>
      <c r="D823" s="35"/>
    </row>
    <row r="824" spans="3:4" x14ac:dyDescent="0.25">
      <c r="C824" s="37"/>
      <c r="D824" s="35"/>
    </row>
    <row r="825" spans="3:4" x14ac:dyDescent="0.25">
      <c r="C825" s="37"/>
      <c r="D825" s="35"/>
    </row>
    <row r="826" spans="3:4" x14ac:dyDescent="0.25">
      <c r="C826" s="37"/>
      <c r="D826" s="35"/>
    </row>
    <row r="827" spans="3:4" x14ac:dyDescent="0.25">
      <c r="C827" s="37"/>
      <c r="D827" s="35"/>
    </row>
    <row r="828" spans="3:4" x14ac:dyDescent="0.25">
      <c r="C828" s="37"/>
      <c r="D828" s="35"/>
    </row>
    <row r="829" spans="3:4" x14ac:dyDescent="0.25">
      <c r="C829" s="37"/>
      <c r="D829" s="35"/>
    </row>
    <row r="830" spans="3:4" x14ac:dyDescent="0.25">
      <c r="C830" s="37"/>
      <c r="D830" s="35"/>
    </row>
    <row r="831" spans="3:4" x14ac:dyDescent="0.25">
      <c r="C831" s="37"/>
      <c r="D831" s="35"/>
    </row>
    <row r="832" spans="3:4" x14ac:dyDescent="0.25">
      <c r="C832" s="37"/>
      <c r="D832" s="35"/>
    </row>
    <row r="833" spans="3:4" x14ac:dyDescent="0.25">
      <c r="C833" s="37"/>
      <c r="D833" s="35"/>
    </row>
    <row r="834" spans="3:4" x14ac:dyDescent="0.25">
      <c r="C834" s="37"/>
      <c r="D834" s="35"/>
    </row>
    <row r="835" spans="3:4" x14ac:dyDescent="0.25">
      <c r="C835" s="37"/>
      <c r="D835" s="35"/>
    </row>
    <row r="836" spans="3:4" x14ac:dyDescent="0.25">
      <c r="C836" s="37"/>
      <c r="D836" s="35"/>
    </row>
    <row r="837" spans="3:4" x14ac:dyDescent="0.25">
      <c r="C837" s="37"/>
      <c r="D837" s="35"/>
    </row>
    <row r="838" spans="3:4" x14ac:dyDescent="0.25">
      <c r="C838" s="37"/>
      <c r="D838" s="35"/>
    </row>
    <row r="839" spans="3:4" x14ac:dyDescent="0.25">
      <c r="C839" s="37"/>
      <c r="D839" s="35"/>
    </row>
    <row r="840" spans="3:4" x14ac:dyDescent="0.25">
      <c r="C840" s="37"/>
      <c r="D840" s="35"/>
    </row>
    <row r="841" spans="3:4" x14ac:dyDescent="0.25">
      <c r="C841" s="37"/>
      <c r="D841" s="35"/>
    </row>
    <row r="842" spans="3:4" x14ac:dyDescent="0.25">
      <c r="C842" s="37"/>
      <c r="D842" s="35"/>
    </row>
    <row r="843" spans="3:4" x14ac:dyDescent="0.25">
      <c r="C843" s="37"/>
      <c r="D843" s="35"/>
    </row>
    <row r="844" spans="3:4" x14ac:dyDescent="0.25">
      <c r="C844" s="37"/>
      <c r="D844" s="35"/>
    </row>
    <row r="845" spans="3:4" x14ac:dyDescent="0.25">
      <c r="C845" s="37"/>
      <c r="D845" s="35"/>
    </row>
    <row r="846" spans="3:4" x14ac:dyDescent="0.25">
      <c r="C846" s="37"/>
      <c r="D846" s="35"/>
    </row>
    <row r="847" spans="3:4" x14ac:dyDescent="0.25">
      <c r="C847" s="37"/>
      <c r="D847" s="35"/>
    </row>
    <row r="848" spans="3:4" x14ac:dyDescent="0.25">
      <c r="C848" s="37"/>
      <c r="D848" s="35"/>
    </row>
    <row r="849" spans="3:4" x14ac:dyDescent="0.25">
      <c r="C849" s="37"/>
      <c r="D849" s="35"/>
    </row>
    <row r="850" spans="3:4" x14ac:dyDescent="0.25">
      <c r="C850" s="37"/>
      <c r="D850" s="35"/>
    </row>
    <row r="851" spans="3:4" x14ac:dyDescent="0.25">
      <c r="C851" s="37"/>
      <c r="D851" s="35"/>
    </row>
    <row r="852" spans="3:4" x14ac:dyDescent="0.25">
      <c r="C852" s="37"/>
      <c r="D852" s="35"/>
    </row>
    <row r="853" spans="3:4" x14ac:dyDescent="0.25">
      <c r="C853" s="37"/>
      <c r="D853" s="35"/>
    </row>
    <row r="854" spans="3:4" x14ac:dyDescent="0.25">
      <c r="C854" s="37"/>
      <c r="D854" s="35"/>
    </row>
    <row r="855" spans="3:4" x14ac:dyDescent="0.25">
      <c r="C855" s="37"/>
      <c r="D855" s="35"/>
    </row>
    <row r="856" spans="3:4" x14ac:dyDescent="0.25">
      <c r="C856" s="37"/>
      <c r="D856" s="35"/>
    </row>
    <row r="857" spans="3:4" x14ac:dyDescent="0.25">
      <c r="C857" s="37"/>
      <c r="D857" s="35"/>
    </row>
    <row r="858" spans="3:4" x14ac:dyDescent="0.25">
      <c r="C858" s="37"/>
      <c r="D858" s="35"/>
    </row>
    <row r="859" spans="3:4" x14ac:dyDescent="0.25">
      <c r="C859" s="37"/>
      <c r="D859" s="35"/>
    </row>
    <row r="860" spans="3:4" x14ac:dyDescent="0.25">
      <c r="C860" s="37"/>
      <c r="D860" s="35"/>
    </row>
    <row r="861" spans="3:4" x14ac:dyDescent="0.25">
      <c r="C861" s="37"/>
      <c r="D861" s="35"/>
    </row>
    <row r="862" spans="3:4" x14ac:dyDescent="0.25">
      <c r="C862" s="37"/>
      <c r="D862" s="35"/>
    </row>
    <row r="863" spans="3:4" x14ac:dyDescent="0.25">
      <c r="C863" s="37"/>
      <c r="D863" s="35"/>
    </row>
    <row r="864" spans="3:4" x14ac:dyDescent="0.25">
      <c r="C864" s="37"/>
      <c r="D864" s="35"/>
    </row>
    <row r="865" spans="3:4" x14ac:dyDescent="0.25">
      <c r="C865" s="37"/>
      <c r="D865" s="35"/>
    </row>
    <row r="866" spans="3:4" x14ac:dyDescent="0.25">
      <c r="C866" s="37"/>
      <c r="D866" s="35"/>
    </row>
    <row r="867" spans="3:4" x14ac:dyDescent="0.25">
      <c r="C867" s="37"/>
      <c r="D867" s="35"/>
    </row>
    <row r="868" spans="3:4" x14ac:dyDescent="0.25">
      <c r="C868" s="37"/>
      <c r="D868" s="35"/>
    </row>
    <row r="869" spans="3:4" x14ac:dyDescent="0.25">
      <c r="C869" s="37"/>
      <c r="D869" s="35"/>
    </row>
    <row r="870" spans="3:4" x14ac:dyDescent="0.25">
      <c r="C870" s="37"/>
      <c r="D870" s="35"/>
    </row>
    <row r="871" spans="3:4" x14ac:dyDescent="0.25">
      <c r="C871" s="37"/>
      <c r="D871" s="35"/>
    </row>
    <row r="872" spans="3:4" x14ac:dyDescent="0.25">
      <c r="C872" s="37"/>
      <c r="D872" s="35"/>
    </row>
    <row r="873" spans="3:4" x14ac:dyDescent="0.25">
      <c r="C873" s="37"/>
      <c r="D873" s="35"/>
    </row>
    <row r="874" spans="3:4" x14ac:dyDescent="0.25">
      <c r="C874" s="37"/>
      <c r="D874" s="35"/>
    </row>
    <row r="875" spans="3:4" x14ac:dyDescent="0.25">
      <c r="C875" s="37"/>
      <c r="D875" s="35"/>
    </row>
    <row r="876" spans="3:4" x14ac:dyDescent="0.25">
      <c r="C876" s="37"/>
      <c r="D876" s="35"/>
    </row>
    <row r="877" spans="3:4" x14ac:dyDescent="0.25">
      <c r="C877" s="37"/>
      <c r="D877" s="35"/>
    </row>
    <row r="878" spans="3:4" x14ac:dyDescent="0.25">
      <c r="C878" s="37"/>
      <c r="D878" s="35"/>
    </row>
    <row r="879" spans="3:4" x14ac:dyDescent="0.25">
      <c r="C879" s="37"/>
      <c r="D879" s="35"/>
    </row>
    <row r="880" spans="3:4" x14ac:dyDescent="0.25">
      <c r="C880" s="37"/>
      <c r="D880" s="35"/>
    </row>
    <row r="881" spans="3:4" x14ac:dyDescent="0.25">
      <c r="C881" s="37"/>
      <c r="D881" s="35"/>
    </row>
    <row r="882" spans="3:4" x14ac:dyDescent="0.25">
      <c r="C882" s="37"/>
      <c r="D882" s="35"/>
    </row>
    <row r="883" spans="3:4" x14ac:dyDescent="0.25">
      <c r="C883" s="37"/>
      <c r="D883" s="35"/>
    </row>
    <row r="884" spans="3:4" x14ac:dyDescent="0.25">
      <c r="C884" s="37"/>
      <c r="D884" s="35"/>
    </row>
    <row r="885" spans="3:4" x14ac:dyDescent="0.25">
      <c r="C885" s="37"/>
      <c r="D885" s="35"/>
    </row>
    <row r="886" spans="3:4" x14ac:dyDescent="0.25">
      <c r="C886" s="37"/>
      <c r="D886" s="35"/>
    </row>
    <row r="887" spans="3:4" x14ac:dyDescent="0.25">
      <c r="C887" s="37"/>
      <c r="D887" s="35"/>
    </row>
    <row r="888" spans="3:4" x14ac:dyDescent="0.25">
      <c r="C888" s="37"/>
      <c r="D888" s="35"/>
    </row>
    <row r="889" spans="3:4" x14ac:dyDescent="0.25">
      <c r="C889" s="37"/>
      <c r="D889" s="35"/>
    </row>
    <row r="890" spans="3:4" x14ac:dyDescent="0.25">
      <c r="C890" s="37"/>
      <c r="D890" s="35"/>
    </row>
    <row r="891" spans="3:4" x14ac:dyDescent="0.25">
      <c r="C891" s="37"/>
      <c r="D891" s="35"/>
    </row>
    <row r="892" spans="3:4" x14ac:dyDescent="0.25">
      <c r="C892" s="37"/>
      <c r="D892" s="35"/>
    </row>
    <row r="893" spans="3:4" x14ac:dyDescent="0.25">
      <c r="C893" s="37"/>
      <c r="D893" s="35"/>
    </row>
    <row r="894" spans="3:4" x14ac:dyDescent="0.25">
      <c r="C894" s="37"/>
      <c r="D894" s="35"/>
    </row>
    <row r="895" spans="3:4" x14ac:dyDescent="0.25">
      <c r="C895" s="37"/>
      <c r="D895" s="35"/>
    </row>
    <row r="896" spans="3:4" x14ac:dyDescent="0.25">
      <c r="C896" s="37"/>
      <c r="D896" s="35"/>
    </row>
    <row r="897" spans="3:4" x14ac:dyDescent="0.25">
      <c r="C897" s="37"/>
      <c r="D897" s="35"/>
    </row>
    <row r="898" spans="3:4" x14ac:dyDescent="0.25">
      <c r="C898" s="37"/>
      <c r="D898" s="35"/>
    </row>
    <row r="899" spans="3:4" x14ac:dyDescent="0.25">
      <c r="C899" s="37"/>
      <c r="D899" s="35"/>
    </row>
    <row r="900" spans="3:4" x14ac:dyDescent="0.25">
      <c r="C900" s="37"/>
      <c r="D900" s="35"/>
    </row>
    <row r="901" spans="3:4" x14ac:dyDescent="0.25">
      <c r="C901" s="37"/>
      <c r="D901" s="35"/>
    </row>
    <row r="902" spans="3:4" x14ac:dyDescent="0.25">
      <c r="C902" s="37"/>
      <c r="D902" s="35"/>
    </row>
    <row r="903" spans="3:4" x14ac:dyDescent="0.25">
      <c r="C903" s="37"/>
      <c r="D903" s="35"/>
    </row>
    <row r="904" spans="3:4" x14ac:dyDescent="0.25">
      <c r="C904" s="37"/>
      <c r="D904" s="35"/>
    </row>
    <row r="905" spans="3:4" x14ac:dyDescent="0.25">
      <c r="C905" s="37"/>
      <c r="D905" s="35"/>
    </row>
    <row r="906" spans="3:4" x14ac:dyDescent="0.25">
      <c r="C906" s="37"/>
      <c r="D906" s="35"/>
    </row>
    <row r="907" spans="3:4" x14ac:dyDescent="0.25">
      <c r="C907" s="37"/>
      <c r="D907" s="35"/>
    </row>
    <row r="908" spans="3:4" x14ac:dyDescent="0.25">
      <c r="C908" s="37"/>
      <c r="D908" s="35"/>
    </row>
    <row r="909" spans="3:4" x14ac:dyDescent="0.25">
      <c r="C909" s="37"/>
      <c r="D909" s="35"/>
    </row>
    <row r="910" spans="3:4" x14ac:dyDescent="0.25">
      <c r="C910" s="37"/>
      <c r="D910" s="35"/>
    </row>
    <row r="911" spans="3:4" x14ac:dyDescent="0.25">
      <c r="C911" s="37"/>
      <c r="D911" s="35"/>
    </row>
    <row r="912" spans="3:4" x14ac:dyDescent="0.25">
      <c r="C912" s="37"/>
      <c r="D912" s="35"/>
    </row>
    <row r="913" spans="3:4" x14ac:dyDescent="0.25">
      <c r="C913" s="37"/>
      <c r="D913" s="35"/>
    </row>
    <row r="914" spans="3:4" x14ac:dyDescent="0.25">
      <c r="C914" s="37"/>
      <c r="D914" s="35"/>
    </row>
    <row r="915" spans="3:4" x14ac:dyDescent="0.25">
      <c r="C915" s="37"/>
      <c r="D915" s="35"/>
    </row>
    <row r="916" spans="3:4" x14ac:dyDescent="0.25">
      <c r="C916" s="37"/>
      <c r="D916" s="35"/>
    </row>
    <row r="917" spans="3:4" x14ac:dyDescent="0.25">
      <c r="C917" s="37"/>
      <c r="D917" s="35"/>
    </row>
    <row r="918" spans="3:4" x14ac:dyDescent="0.25">
      <c r="C918" s="37"/>
      <c r="D918" s="35"/>
    </row>
    <row r="919" spans="3:4" x14ac:dyDescent="0.25">
      <c r="C919" s="37"/>
      <c r="D919" s="35"/>
    </row>
    <row r="920" spans="3:4" x14ac:dyDescent="0.25">
      <c r="C920" s="37"/>
      <c r="D920" s="35"/>
    </row>
    <row r="921" spans="3:4" x14ac:dyDescent="0.25">
      <c r="C921" s="37"/>
      <c r="D921" s="35"/>
    </row>
    <row r="922" spans="3:4" x14ac:dyDescent="0.25">
      <c r="C922" s="37"/>
      <c r="D922" s="35"/>
    </row>
    <row r="923" spans="3:4" x14ac:dyDescent="0.25">
      <c r="C923" s="37"/>
      <c r="D923" s="35"/>
    </row>
    <row r="924" spans="3:4" x14ac:dyDescent="0.25">
      <c r="C924" s="37"/>
      <c r="D924" s="35"/>
    </row>
    <row r="925" spans="3:4" x14ac:dyDescent="0.25">
      <c r="C925" s="37"/>
      <c r="D925" s="35"/>
    </row>
    <row r="926" spans="3:4" x14ac:dyDescent="0.25">
      <c r="C926" s="37"/>
      <c r="D926" s="35"/>
    </row>
    <row r="927" spans="3:4" x14ac:dyDescent="0.25">
      <c r="C927" s="37"/>
      <c r="D927" s="35"/>
    </row>
    <row r="928" spans="3:4" x14ac:dyDescent="0.25">
      <c r="C928" s="37"/>
      <c r="D928" s="35"/>
    </row>
    <row r="929" spans="3:4" x14ac:dyDescent="0.25">
      <c r="C929" s="37"/>
      <c r="D929" s="35"/>
    </row>
    <row r="930" spans="3:4" x14ac:dyDescent="0.25">
      <c r="C930" s="37"/>
      <c r="D930" s="35"/>
    </row>
    <row r="931" spans="3:4" x14ac:dyDescent="0.25">
      <c r="C931" s="37"/>
      <c r="D931" s="35"/>
    </row>
    <row r="932" spans="3:4" x14ac:dyDescent="0.25">
      <c r="C932" s="37"/>
      <c r="D932" s="35"/>
    </row>
    <row r="933" spans="3:4" x14ac:dyDescent="0.25">
      <c r="C933" s="37"/>
      <c r="D933" s="35"/>
    </row>
    <row r="934" spans="3:4" x14ac:dyDescent="0.25">
      <c r="C934" s="37"/>
      <c r="D934" s="35"/>
    </row>
    <row r="935" spans="3:4" x14ac:dyDescent="0.25">
      <c r="C935" s="37"/>
      <c r="D935" s="35"/>
    </row>
    <row r="936" spans="3:4" x14ac:dyDescent="0.25">
      <c r="C936" s="37"/>
      <c r="D936" s="35"/>
    </row>
    <row r="937" spans="3:4" x14ac:dyDescent="0.25">
      <c r="C937" s="37"/>
      <c r="D937" s="35"/>
    </row>
    <row r="938" spans="3:4" x14ac:dyDescent="0.25">
      <c r="C938" s="37"/>
      <c r="D938" s="35"/>
    </row>
    <row r="939" spans="3:4" x14ac:dyDescent="0.25">
      <c r="C939" s="37"/>
      <c r="D939" s="35"/>
    </row>
    <row r="940" spans="3:4" x14ac:dyDescent="0.25">
      <c r="C940" s="37"/>
      <c r="D940" s="35"/>
    </row>
    <row r="941" spans="3:4" x14ac:dyDescent="0.25">
      <c r="C941" s="37"/>
      <c r="D941" s="35"/>
    </row>
    <row r="942" spans="3:4" x14ac:dyDescent="0.25">
      <c r="C942" s="37"/>
      <c r="D942" s="35"/>
    </row>
    <row r="943" spans="3:4" x14ac:dyDescent="0.25">
      <c r="C943" s="37"/>
      <c r="D943" s="35"/>
    </row>
    <row r="944" spans="3:4" x14ac:dyDescent="0.25">
      <c r="C944" s="37"/>
      <c r="D944" s="35"/>
    </row>
    <row r="945" spans="3:4" x14ac:dyDescent="0.25">
      <c r="C945" s="37"/>
      <c r="D945" s="35"/>
    </row>
    <row r="946" spans="3:4" x14ac:dyDescent="0.25">
      <c r="C946" s="37"/>
      <c r="D946" s="35"/>
    </row>
    <row r="947" spans="3:4" x14ac:dyDescent="0.25">
      <c r="C947" s="37"/>
      <c r="D947" s="35"/>
    </row>
    <row r="948" spans="3:4" x14ac:dyDescent="0.25">
      <c r="C948" s="37"/>
      <c r="D948" s="35"/>
    </row>
    <row r="949" spans="3:4" x14ac:dyDescent="0.25">
      <c r="C949" s="37"/>
      <c r="D949" s="35"/>
    </row>
    <row r="950" spans="3:4" x14ac:dyDescent="0.25">
      <c r="C950" s="37"/>
      <c r="D950" s="35"/>
    </row>
    <row r="951" spans="3:4" x14ac:dyDescent="0.25">
      <c r="C951" s="37"/>
      <c r="D951" s="35"/>
    </row>
    <row r="952" spans="3:4" x14ac:dyDescent="0.25">
      <c r="C952" s="37"/>
      <c r="D952" s="35"/>
    </row>
    <row r="953" spans="3:4" x14ac:dyDescent="0.25">
      <c r="C953" s="37"/>
      <c r="D953" s="35"/>
    </row>
    <row r="954" spans="3:4" x14ac:dyDescent="0.25">
      <c r="C954" s="37"/>
      <c r="D954" s="35"/>
    </row>
    <row r="955" spans="3:4" x14ac:dyDescent="0.25">
      <c r="C955" s="37"/>
      <c r="D955" s="35"/>
    </row>
    <row r="956" spans="3:4" x14ac:dyDescent="0.25">
      <c r="C956" s="37"/>
      <c r="D956" s="35"/>
    </row>
    <row r="957" spans="3:4" x14ac:dyDescent="0.25">
      <c r="C957" s="37"/>
      <c r="D957" s="35"/>
    </row>
    <row r="958" spans="3:4" x14ac:dyDescent="0.25">
      <c r="C958" s="37"/>
      <c r="D958" s="35"/>
    </row>
    <row r="959" spans="3:4" x14ac:dyDescent="0.25">
      <c r="C959" s="37"/>
      <c r="D959" s="35"/>
    </row>
    <row r="960" spans="3:4" x14ac:dyDescent="0.25">
      <c r="C960" s="37"/>
      <c r="D960" s="35"/>
    </row>
    <row r="961" spans="3:4" x14ac:dyDescent="0.25">
      <c r="C961" s="37"/>
      <c r="D961" s="35"/>
    </row>
    <row r="962" spans="3:4" x14ac:dyDescent="0.25">
      <c r="C962" s="37"/>
      <c r="D962" s="35"/>
    </row>
    <row r="963" spans="3:4" x14ac:dyDescent="0.25">
      <c r="C963" s="37"/>
      <c r="D963" s="35"/>
    </row>
    <row r="964" spans="3:4" x14ac:dyDescent="0.25">
      <c r="C964" s="37"/>
      <c r="D964" s="35"/>
    </row>
    <row r="965" spans="3:4" x14ac:dyDescent="0.25">
      <c r="C965" s="37"/>
      <c r="D965" s="35"/>
    </row>
    <row r="966" spans="3:4" x14ac:dyDescent="0.25">
      <c r="C966" s="37"/>
      <c r="D966" s="35"/>
    </row>
    <row r="967" spans="3:4" x14ac:dyDescent="0.25">
      <c r="C967" s="37"/>
      <c r="D967" s="35"/>
    </row>
    <row r="968" spans="3:4" x14ac:dyDescent="0.25">
      <c r="C968" s="37"/>
      <c r="D968" s="35"/>
    </row>
    <row r="969" spans="3:4" x14ac:dyDescent="0.25">
      <c r="C969" s="37"/>
      <c r="D969" s="35"/>
    </row>
    <row r="970" spans="3:4" x14ac:dyDescent="0.25">
      <c r="C970" s="37"/>
      <c r="D970" s="35"/>
    </row>
    <row r="971" spans="3:4" x14ac:dyDescent="0.25">
      <c r="C971" s="37"/>
      <c r="D971" s="35"/>
    </row>
    <row r="972" spans="3:4" x14ac:dyDescent="0.25">
      <c r="C972" s="37"/>
      <c r="D972" s="35"/>
    </row>
    <row r="973" spans="3:4" x14ac:dyDescent="0.25">
      <c r="C973" s="37"/>
      <c r="D973" s="35"/>
    </row>
    <row r="974" spans="3:4" x14ac:dyDescent="0.25">
      <c r="C974" s="37"/>
      <c r="D974" s="35"/>
    </row>
    <row r="975" spans="3:4" x14ac:dyDescent="0.25">
      <c r="C975" s="37"/>
      <c r="D975" s="35"/>
    </row>
    <row r="976" spans="3:4" x14ac:dyDescent="0.25">
      <c r="C976" s="37"/>
      <c r="D976" s="35"/>
    </row>
    <row r="977" spans="3:4" x14ac:dyDescent="0.25">
      <c r="C977" s="37"/>
      <c r="D977" s="35"/>
    </row>
    <row r="978" spans="3:4" x14ac:dyDescent="0.25">
      <c r="C978" s="37"/>
      <c r="D978" s="35"/>
    </row>
    <row r="979" spans="3:4" x14ac:dyDescent="0.25">
      <c r="C979" s="37"/>
      <c r="D979" s="35"/>
    </row>
    <row r="980" spans="3:4" x14ac:dyDescent="0.25">
      <c r="C980" s="37"/>
      <c r="D980" s="35"/>
    </row>
    <row r="981" spans="3:4" x14ac:dyDescent="0.25">
      <c r="C981" s="37"/>
      <c r="D981" s="35"/>
    </row>
    <row r="982" spans="3:4" x14ac:dyDescent="0.25">
      <c r="C982" s="37"/>
      <c r="D982" s="35"/>
    </row>
    <row r="983" spans="3:4" x14ac:dyDescent="0.25">
      <c r="C983" s="37"/>
      <c r="D983" s="35"/>
    </row>
    <row r="984" spans="3:4" x14ac:dyDescent="0.25">
      <c r="C984" s="37"/>
      <c r="D984" s="35"/>
    </row>
    <row r="985" spans="3:4" x14ac:dyDescent="0.25">
      <c r="C985" s="37"/>
      <c r="D985" s="35"/>
    </row>
    <row r="986" spans="3:4" x14ac:dyDescent="0.25">
      <c r="C986" s="37"/>
      <c r="D986" s="35"/>
    </row>
    <row r="987" spans="3:4" x14ac:dyDescent="0.25">
      <c r="C987" s="37"/>
      <c r="D987" s="35"/>
    </row>
    <row r="988" spans="3:4" x14ac:dyDescent="0.25">
      <c r="C988" s="37"/>
      <c r="D988" s="35"/>
    </row>
    <row r="989" spans="3:4" x14ac:dyDescent="0.25">
      <c r="C989" s="37"/>
      <c r="D989" s="35"/>
    </row>
    <row r="990" spans="3:4" x14ac:dyDescent="0.25">
      <c r="C990" s="37"/>
      <c r="D990" s="35"/>
    </row>
    <row r="991" spans="3:4" x14ac:dyDescent="0.25">
      <c r="C991" s="37"/>
      <c r="D991" s="35"/>
    </row>
    <row r="992" spans="3:4" x14ac:dyDescent="0.25">
      <c r="C992" s="37"/>
      <c r="D992" s="35"/>
    </row>
    <row r="993" spans="3:4" x14ac:dyDescent="0.25">
      <c r="C993" s="37"/>
      <c r="D993" s="35"/>
    </row>
    <row r="994" spans="3:4" x14ac:dyDescent="0.25">
      <c r="C994" s="37"/>
      <c r="D994" s="35"/>
    </row>
    <row r="995" spans="3:4" x14ac:dyDescent="0.25">
      <c r="C995" s="37"/>
      <c r="D995" s="35"/>
    </row>
    <row r="996" spans="3:4" x14ac:dyDescent="0.25">
      <c r="C996" s="37"/>
      <c r="D996" s="35"/>
    </row>
    <row r="997" spans="3:4" x14ac:dyDescent="0.25">
      <c r="C997" s="37"/>
      <c r="D997" s="35"/>
    </row>
    <row r="998" spans="3:4" x14ac:dyDescent="0.25">
      <c r="C998" s="37"/>
      <c r="D998" s="35"/>
    </row>
    <row r="999" spans="3:4" x14ac:dyDescent="0.25">
      <c r="C999" s="37"/>
      <c r="D999" s="35"/>
    </row>
    <row r="1000" spans="3:4" x14ac:dyDescent="0.25">
      <c r="C1000" s="37"/>
      <c r="D1000" s="35"/>
    </row>
    <row r="1001" spans="3:4" x14ac:dyDescent="0.25">
      <c r="C1001" s="37"/>
      <c r="D1001" s="35"/>
    </row>
    <row r="1002" spans="3:4" x14ac:dyDescent="0.25">
      <c r="C1002" s="37"/>
      <c r="D1002" s="35"/>
    </row>
    <row r="1003" spans="3:4" x14ac:dyDescent="0.25">
      <c r="C1003" s="37"/>
      <c r="D1003" s="35"/>
    </row>
    <row r="1004" spans="3:4" x14ac:dyDescent="0.25">
      <c r="C1004" s="37"/>
      <c r="D1004" s="35"/>
    </row>
    <row r="1005" spans="3:4" x14ac:dyDescent="0.25">
      <c r="C1005" s="37"/>
      <c r="D1005" s="35"/>
    </row>
    <row r="1006" spans="3:4" x14ac:dyDescent="0.25">
      <c r="C1006" s="37"/>
      <c r="D1006" s="35"/>
    </row>
    <row r="1007" spans="3:4" x14ac:dyDescent="0.25">
      <c r="C1007" s="37"/>
      <c r="D1007" s="35"/>
    </row>
    <row r="1008" spans="3:4" x14ac:dyDescent="0.25">
      <c r="C1008" s="37"/>
      <c r="D1008" s="35"/>
    </row>
    <row r="1009" spans="3:4" x14ac:dyDescent="0.25">
      <c r="C1009" s="37"/>
      <c r="D1009" s="35"/>
    </row>
    <row r="1010" spans="3:4" x14ac:dyDescent="0.25">
      <c r="C1010" s="37"/>
      <c r="D1010" s="35"/>
    </row>
    <row r="1011" spans="3:4" x14ac:dyDescent="0.25">
      <c r="C1011" s="37"/>
      <c r="D1011" s="35"/>
    </row>
    <row r="1012" spans="3:4" x14ac:dyDescent="0.25">
      <c r="C1012" s="37"/>
      <c r="D1012" s="35"/>
    </row>
    <row r="1013" spans="3:4" x14ac:dyDescent="0.25">
      <c r="C1013" s="37"/>
      <c r="D1013" s="35"/>
    </row>
    <row r="1014" spans="3:4" x14ac:dyDescent="0.25">
      <c r="C1014" s="37"/>
      <c r="D1014" s="35"/>
    </row>
    <row r="1015" spans="3:4" x14ac:dyDescent="0.25">
      <c r="C1015" s="37"/>
      <c r="D1015" s="35"/>
    </row>
    <row r="1016" spans="3:4" x14ac:dyDescent="0.25">
      <c r="C1016" s="37"/>
      <c r="D1016" s="35"/>
    </row>
    <row r="1017" spans="3:4" x14ac:dyDescent="0.25">
      <c r="C1017" s="37"/>
      <c r="D1017" s="35"/>
    </row>
    <row r="1018" spans="3:4" x14ac:dyDescent="0.25">
      <c r="C1018" s="37"/>
      <c r="D1018" s="35"/>
    </row>
    <row r="1019" spans="3:4" x14ac:dyDescent="0.25">
      <c r="C1019" s="37"/>
      <c r="D1019" s="35"/>
    </row>
    <row r="1020" spans="3:4" x14ac:dyDescent="0.25">
      <c r="C1020" s="37"/>
      <c r="D1020" s="35"/>
    </row>
    <row r="1021" spans="3:4" x14ac:dyDescent="0.25">
      <c r="C1021" s="37"/>
      <c r="D1021" s="35"/>
    </row>
    <row r="1022" spans="3:4" x14ac:dyDescent="0.25">
      <c r="C1022" s="37"/>
      <c r="D1022" s="35"/>
    </row>
    <row r="1023" spans="3:4" x14ac:dyDescent="0.25">
      <c r="C1023" s="37"/>
      <c r="D1023" s="35"/>
    </row>
    <row r="1024" spans="3:4" x14ac:dyDescent="0.25">
      <c r="C1024" s="37"/>
      <c r="D1024" s="35"/>
    </row>
    <row r="1025" spans="3:4" x14ac:dyDescent="0.25">
      <c r="C1025" s="37"/>
      <c r="D1025" s="35"/>
    </row>
    <row r="1026" spans="3:4" x14ac:dyDescent="0.25">
      <c r="C1026" s="37"/>
      <c r="D1026" s="35"/>
    </row>
    <row r="1027" spans="3:4" x14ac:dyDescent="0.25">
      <c r="C1027" s="37"/>
      <c r="D1027" s="35"/>
    </row>
    <row r="1028" spans="3:4" x14ac:dyDescent="0.25">
      <c r="C1028" s="37"/>
      <c r="D1028" s="35"/>
    </row>
    <row r="1029" spans="3:4" x14ac:dyDescent="0.25">
      <c r="C1029" s="37"/>
      <c r="D1029" s="35"/>
    </row>
    <row r="1030" spans="3:4" x14ac:dyDescent="0.25">
      <c r="C1030" s="37"/>
      <c r="D1030" s="35"/>
    </row>
    <row r="1031" spans="3:4" x14ac:dyDescent="0.25">
      <c r="C1031" s="37"/>
      <c r="D1031" s="35"/>
    </row>
    <row r="1032" spans="3:4" x14ac:dyDescent="0.25">
      <c r="C1032" s="37"/>
      <c r="D1032" s="35"/>
    </row>
    <row r="1033" spans="3:4" x14ac:dyDescent="0.25">
      <c r="C1033" s="37"/>
      <c r="D1033" s="35"/>
    </row>
    <row r="1034" spans="3:4" x14ac:dyDescent="0.25">
      <c r="C1034" s="37"/>
      <c r="D1034" s="35"/>
    </row>
    <row r="1035" spans="3:4" x14ac:dyDescent="0.25">
      <c r="C1035" s="37"/>
      <c r="D1035" s="35"/>
    </row>
    <row r="1036" spans="3:4" x14ac:dyDescent="0.25">
      <c r="C1036" s="37"/>
      <c r="D1036" s="35"/>
    </row>
    <row r="1037" spans="3:4" x14ac:dyDescent="0.25">
      <c r="C1037" s="37"/>
      <c r="D1037" s="35"/>
    </row>
    <row r="1038" spans="3:4" x14ac:dyDescent="0.25">
      <c r="C1038" s="37"/>
      <c r="D1038" s="35"/>
    </row>
    <row r="1039" spans="3:4" x14ac:dyDescent="0.25">
      <c r="C1039" s="37"/>
      <c r="D1039" s="35"/>
    </row>
    <row r="1040" spans="3:4" x14ac:dyDescent="0.25">
      <c r="C1040" s="37"/>
      <c r="D1040" s="35"/>
    </row>
    <row r="1041" spans="3:4" x14ac:dyDescent="0.25">
      <c r="C1041" s="37"/>
      <c r="D1041" s="35"/>
    </row>
    <row r="1042" spans="3:4" x14ac:dyDescent="0.25">
      <c r="C1042" s="37"/>
      <c r="D1042" s="35"/>
    </row>
    <row r="1043" spans="3:4" x14ac:dyDescent="0.25">
      <c r="C1043" s="37"/>
      <c r="D1043" s="35"/>
    </row>
    <row r="1044" spans="3:4" x14ac:dyDescent="0.25">
      <c r="C1044" s="37"/>
      <c r="D1044" s="35"/>
    </row>
    <row r="1045" spans="3:4" x14ac:dyDescent="0.25">
      <c r="C1045" s="37"/>
      <c r="D1045" s="35"/>
    </row>
    <row r="1046" spans="3:4" x14ac:dyDescent="0.25">
      <c r="C1046" s="37"/>
      <c r="D1046" s="35"/>
    </row>
    <row r="1047" spans="3:4" x14ac:dyDescent="0.25">
      <c r="C1047" s="37"/>
      <c r="D1047" s="35"/>
    </row>
    <row r="1048" spans="3:4" x14ac:dyDescent="0.25">
      <c r="C1048" s="37"/>
      <c r="D1048" s="35"/>
    </row>
    <row r="1049" spans="3:4" x14ac:dyDescent="0.25">
      <c r="C1049" s="37"/>
      <c r="D1049" s="35"/>
    </row>
    <row r="1050" spans="3:4" x14ac:dyDescent="0.25">
      <c r="C1050" s="37"/>
      <c r="D1050" s="35"/>
    </row>
    <row r="1051" spans="3:4" x14ac:dyDescent="0.25">
      <c r="C1051" s="37"/>
      <c r="D1051" s="35"/>
    </row>
    <row r="1052" spans="3:4" x14ac:dyDescent="0.25">
      <c r="C1052" s="37"/>
      <c r="D1052" s="35"/>
    </row>
    <row r="1053" spans="3:4" x14ac:dyDescent="0.25">
      <c r="C1053" s="37"/>
      <c r="D1053" s="35"/>
    </row>
    <row r="1054" spans="3:4" x14ac:dyDescent="0.25">
      <c r="C1054" s="37"/>
      <c r="D1054" s="35"/>
    </row>
    <row r="1055" spans="3:4" x14ac:dyDescent="0.25">
      <c r="C1055" s="37"/>
      <c r="D1055" s="35"/>
    </row>
    <row r="1056" spans="3:4" x14ac:dyDescent="0.25">
      <c r="C1056" s="37"/>
      <c r="D1056" s="35"/>
    </row>
    <row r="1057" spans="3:4" x14ac:dyDescent="0.25">
      <c r="C1057" s="37"/>
      <c r="D1057" s="35"/>
    </row>
    <row r="1058" spans="3:4" x14ac:dyDescent="0.25">
      <c r="C1058" s="37"/>
      <c r="D1058" s="35"/>
    </row>
    <row r="1059" spans="3:4" x14ac:dyDescent="0.25">
      <c r="C1059" s="37"/>
      <c r="D1059" s="35"/>
    </row>
    <row r="1060" spans="3:4" x14ac:dyDescent="0.25">
      <c r="C1060" s="37"/>
      <c r="D1060" s="35"/>
    </row>
    <row r="1061" spans="3:4" x14ac:dyDescent="0.25">
      <c r="C1061" s="37"/>
      <c r="D1061" s="35"/>
    </row>
    <row r="1062" spans="3:4" x14ac:dyDescent="0.25">
      <c r="C1062" s="37"/>
      <c r="D1062" s="35"/>
    </row>
    <row r="1063" spans="3:4" x14ac:dyDescent="0.25">
      <c r="C1063" s="37"/>
      <c r="D1063" s="35"/>
    </row>
    <row r="1064" spans="3:4" x14ac:dyDescent="0.25">
      <c r="C1064" s="37"/>
      <c r="D1064" s="35"/>
    </row>
    <row r="1065" spans="3:4" x14ac:dyDescent="0.25">
      <c r="C1065" s="37"/>
      <c r="D1065" s="35"/>
    </row>
    <row r="1066" spans="3:4" x14ac:dyDescent="0.25">
      <c r="C1066" s="37"/>
      <c r="D1066" s="35"/>
    </row>
    <row r="1067" spans="3:4" x14ac:dyDescent="0.25">
      <c r="C1067" s="37"/>
      <c r="D1067" s="35"/>
    </row>
    <row r="1068" spans="3:4" x14ac:dyDescent="0.25">
      <c r="C1068" s="37"/>
      <c r="D1068" s="35"/>
    </row>
    <row r="1069" spans="3:4" x14ac:dyDescent="0.25">
      <c r="C1069" s="37"/>
      <c r="D1069" s="35"/>
    </row>
    <row r="1070" spans="3:4" x14ac:dyDescent="0.25">
      <c r="C1070" s="37"/>
      <c r="D1070" s="35"/>
    </row>
    <row r="1071" spans="3:4" x14ac:dyDescent="0.25">
      <c r="C1071" s="37"/>
      <c r="D1071" s="35"/>
    </row>
    <row r="1072" spans="3:4" x14ac:dyDescent="0.25">
      <c r="C1072" s="37"/>
      <c r="D1072" s="35"/>
    </row>
    <row r="1073" spans="3:4" x14ac:dyDescent="0.25">
      <c r="C1073" s="37"/>
      <c r="D1073" s="35"/>
    </row>
    <row r="1074" spans="3:4" x14ac:dyDescent="0.25">
      <c r="C1074" s="37"/>
      <c r="D1074" s="35"/>
    </row>
    <row r="1075" spans="3:4" x14ac:dyDescent="0.25">
      <c r="C1075" s="37"/>
      <c r="D1075" s="35"/>
    </row>
    <row r="1076" spans="3:4" x14ac:dyDescent="0.25">
      <c r="C1076" s="37"/>
      <c r="D1076" s="35"/>
    </row>
    <row r="1077" spans="3:4" x14ac:dyDescent="0.25">
      <c r="C1077" s="37"/>
      <c r="D1077" s="35"/>
    </row>
    <row r="1078" spans="3:4" x14ac:dyDescent="0.25">
      <c r="C1078" s="37"/>
      <c r="D1078" s="35"/>
    </row>
    <row r="1079" spans="3:4" x14ac:dyDescent="0.25">
      <c r="C1079" s="37"/>
      <c r="D1079" s="35"/>
    </row>
    <row r="1080" spans="3:4" x14ac:dyDescent="0.25">
      <c r="C1080" s="37"/>
      <c r="D1080" s="35"/>
    </row>
    <row r="1081" spans="3:4" x14ac:dyDescent="0.25">
      <c r="C1081" s="37"/>
      <c r="D1081" s="35"/>
    </row>
    <row r="1082" spans="3:4" x14ac:dyDescent="0.25">
      <c r="C1082" s="37"/>
      <c r="D1082" s="35"/>
    </row>
    <row r="1083" spans="3:4" x14ac:dyDescent="0.25">
      <c r="C1083" s="37"/>
      <c r="D1083" s="35"/>
    </row>
    <row r="1084" spans="3:4" x14ac:dyDescent="0.25">
      <c r="C1084" s="37"/>
      <c r="D1084" s="35"/>
    </row>
    <row r="1085" spans="3:4" x14ac:dyDescent="0.25">
      <c r="C1085" s="37"/>
      <c r="D1085" s="35"/>
    </row>
    <row r="1086" spans="3:4" x14ac:dyDescent="0.25">
      <c r="C1086" s="37"/>
      <c r="D1086" s="35"/>
    </row>
    <row r="1087" spans="3:4" x14ac:dyDescent="0.25">
      <c r="C1087" s="37"/>
      <c r="D1087" s="35"/>
    </row>
    <row r="1088" spans="3:4" x14ac:dyDescent="0.25">
      <c r="C1088" s="37"/>
      <c r="D1088" s="35"/>
    </row>
    <row r="1089" spans="3:4" x14ac:dyDescent="0.25">
      <c r="C1089" s="37"/>
      <c r="D1089" s="35"/>
    </row>
    <row r="1090" spans="3:4" x14ac:dyDescent="0.25">
      <c r="C1090" s="37"/>
      <c r="D1090" s="35"/>
    </row>
    <row r="1091" spans="3:4" x14ac:dyDescent="0.25">
      <c r="C1091" s="37"/>
      <c r="D1091" s="35"/>
    </row>
    <row r="1092" spans="3:4" x14ac:dyDescent="0.25">
      <c r="C1092" s="37"/>
      <c r="D1092" s="35"/>
    </row>
    <row r="1093" spans="3:4" x14ac:dyDescent="0.25">
      <c r="C1093" s="37"/>
      <c r="D1093" s="35"/>
    </row>
    <row r="1094" spans="3:4" x14ac:dyDescent="0.25">
      <c r="C1094" s="37"/>
      <c r="D1094" s="35"/>
    </row>
    <row r="1095" spans="3:4" x14ac:dyDescent="0.25">
      <c r="C1095" s="37"/>
      <c r="D1095" s="35"/>
    </row>
    <row r="1096" spans="3:4" x14ac:dyDescent="0.25">
      <c r="C1096" s="37"/>
      <c r="D1096" s="35"/>
    </row>
    <row r="1097" spans="3:4" x14ac:dyDescent="0.25">
      <c r="C1097" s="37"/>
      <c r="D1097" s="35"/>
    </row>
    <row r="1098" spans="3:4" x14ac:dyDescent="0.25">
      <c r="C1098" s="37"/>
      <c r="D1098" s="35"/>
    </row>
    <row r="1099" spans="3:4" x14ac:dyDescent="0.25">
      <c r="C1099" s="37"/>
      <c r="D1099" s="35"/>
    </row>
    <row r="1100" spans="3:4" x14ac:dyDescent="0.25">
      <c r="C1100" s="37"/>
      <c r="D1100" s="35"/>
    </row>
    <row r="1101" spans="3:4" x14ac:dyDescent="0.25">
      <c r="C1101" s="37"/>
      <c r="D1101" s="35"/>
    </row>
    <row r="1102" spans="3:4" x14ac:dyDescent="0.25">
      <c r="C1102" s="37"/>
      <c r="D1102" s="35"/>
    </row>
    <row r="1103" spans="3:4" x14ac:dyDescent="0.25">
      <c r="C1103" s="37"/>
      <c r="D1103" s="35"/>
    </row>
    <row r="1104" spans="3:4" x14ac:dyDescent="0.25">
      <c r="C1104" s="37"/>
      <c r="D1104" s="35"/>
    </row>
    <row r="1105" spans="3:4" x14ac:dyDescent="0.25">
      <c r="C1105" s="37"/>
      <c r="D1105" s="35"/>
    </row>
    <row r="1106" spans="3:4" x14ac:dyDescent="0.25">
      <c r="C1106" s="37"/>
      <c r="D1106" s="35"/>
    </row>
    <row r="1107" spans="3:4" x14ac:dyDescent="0.25">
      <c r="C1107" s="37"/>
      <c r="D1107" s="35"/>
    </row>
    <row r="1108" spans="3:4" x14ac:dyDescent="0.25">
      <c r="C1108" s="37"/>
      <c r="D1108" s="35"/>
    </row>
    <row r="1109" spans="3:4" x14ac:dyDescent="0.25">
      <c r="C1109" s="37"/>
      <c r="D1109" s="35"/>
    </row>
    <row r="1110" spans="3:4" x14ac:dyDescent="0.25">
      <c r="C1110" s="37"/>
      <c r="D1110" s="35"/>
    </row>
    <row r="1111" spans="3:4" x14ac:dyDescent="0.25">
      <c r="C1111" s="37"/>
      <c r="D1111" s="35"/>
    </row>
    <row r="1112" spans="3:4" x14ac:dyDescent="0.25">
      <c r="C1112" s="37"/>
      <c r="D1112" s="35"/>
    </row>
    <row r="1113" spans="3:4" x14ac:dyDescent="0.25">
      <c r="C1113" s="37"/>
      <c r="D1113" s="35"/>
    </row>
    <row r="1114" spans="3:4" x14ac:dyDescent="0.25">
      <c r="C1114" s="37"/>
      <c r="D1114" s="35"/>
    </row>
    <row r="1115" spans="3:4" x14ac:dyDescent="0.25">
      <c r="C1115" s="37"/>
      <c r="D1115" s="35"/>
    </row>
    <row r="1116" spans="3:4" x14ac:dyDescent="0.25">
      <c r="C1116" s="37"/>
      <c r="D1116" s="35"/>
    </row>
    <row r="1117" spans="3:4" x14ac:dyDescent="0.25">
      <c r="C1117" s="37"/>
      <c r="D1117" s="35"/>
    </row>
    <row r="1118" spans="3:4" x14ac:dyDescent="0.25">
      <c r="C1118" s="37"/>
      <c r="D1118" s="35"/>
    </row>
    <row r="1119" spans="3:4" x14ac:dyDescent="0.25">
      <c r="C1119" s="37"/>
      <c r="D1119" s="35"/>
    </row>
    <row r="1120" spans="3:4" x14ac:dyDescent="0.25">
      <c r="C1120" s="37"/>
      <c r="D1120" s="35"/>
    </row>
    <row r="1121" spans="3:4" x14ac:dyDescent="0.25">
      <c r="C1121" s="37"/>
      <c r="D1121" s="35"/>
    </row>
    <row r="1122" spans="3:4" x14ac:dyDescent="0.25">
      <c r="C1122" s="37"/>
      <c r="D1122" s="35"/>
    </row>
    <row r="1123" spans="3:4" x14ac:dyDescent="0.25">
      <c r="C1123" s="37"/>
      <c r="D1123" s="35"/>
    </row>
    <row r="1124" spans="3:4" x14ac:dyDescent="0.25">
      <c r="C1124" s="37"/>
      <c r="D1124" s="35"/>
    </row>
    <row r="1125" spans="3:4" x14ac:dyDescent="0.25">
      <c r="C1125" s="37"/>
      <c r="D1125" s="35"/>
    </row>
    <row r="1126" spans="3:4" x14ac:dyDescent="0.25">
      <c r="C1126" s="37"/>
      <c r="D1126" s="35"/>
    </row>
    <row r="1127" spans="3:4" x14ac:dyDescent="0.25">
      <c r="C1127" s="37"/>
      <c r="D1127" s="35"/>
    </row>
    <row r="1128" spans="3:4" x14ac:dyDescent="0.25">
      <c r="C1128" s="37"/>
      <c r="D1128" s="35"/>
    </row>
    <row r="1129" spans="3:4" x14ac:dyDescent="0.25">
      <c r="C1129" s="37"/>
      <c r="D1129" s="35"/>
    </row>
    <row r="1130" spans="3:4" x14ac:dyDescent="0.25">
      <c r="C1130" s="37"/>
      <c r="D1130" s="35"/>
    </row>
    <row r="1131" spans="3:4" x14ac:dyDescent="0.25">
      <c r="C1131" s="37"/>
      <c r="D1131" s="35"/>
    </row>
    <row r="1132" spans="3:4" x14ac:dyDescent="0.25">
      <c r="C1132" s="37"/>
      <c r="D1132" s="35"/>
    </row>
    <row r="1133" spans="3:4" x14ac:dyDescent="0.25">
      <c r="C1133" s="37"/>
      <c r="D1133" s="35"/>
    </row>
    <row r="1134" spans="3:4" x14ac:dyDescent="0.25">
      <c r="C1134" s="37"/>
      <c r="D1134" s="35"/>
    </row>
    <row r="1135" spans="3:4" x14ac:dyDescent="0.25">
      <c r="C1135" s="37"/>
      <c r="D1135" s="35"/>
    </row>
    <row r="1136" spans="3:4" x14ac:dyDescent="0.25">
      <c r="C1136" s="37"/>
      <c r="D1136" s="35"/>
    </row>
    <row r="1137" spans="3:4" x14ac:dyDescent="0.25">
      <c r="C1137" s="37"/>
      <c r="D1137" s="35"/>
    </row>
    <row r="1138" spans="3:4" x14ac:dyDescent="0.25">
      <c r="C1138" s="37"/>
      <c r="D1138" s="35"/>
    </row>
    <row r="1139" spans="3:4" x14ac:dyDescent="0.25">
      <c r="C1139" s="37"/>
      <c r="D1139" s="35"/>
    </row>
    <row r="1140" spans="3:4" x14ac:dyDescent="0.25">
      <c r="C1140" s="37"/>
      <c r="D1140" s="35"/>
    </row>
    <row r="1141" spans="3:4" x14ac:dyDescent="0.25">
      <c r="C1141" s="37"/>
      <c r="D1141" s="35"/>
    </row>
    <row r="1142" spans="3:4" x14ac:dyDescent="0.25">
      <c r="C1142" s="37"/>
      <c r="D1142" s="35"/>
    </row>
    <row r="1143" spans="3:4" x14ac:dyDescent="0.25">
      <c r="C1143" s="37"/>
      <c r="D1143" s="35"/>
    </row>
    <row r="1144" spans="3:4" x14ac:dyDescent="0.25">
      <c r="C1144" s="37"/>
      <c r="D1144" s="35"/>
    </row>
    <row r="1145" spans="3:4" x14ac:dyDescent="0.25">
      <c r="C1145" s="37"/>
      <c r="D1145" s="35"/>
    </row>
    <row r="1146" spans="3:4" x14ac:dyDescent="0.25">
      <c r="C1146" s="37"/>
      <c r="D1146" s="35"/>
    </row>
    <row r="1147" spans="3:4" x14ac:dyDescent="0.25">
      <c r="C1147" s="37"/>
      <c r="D1147" s="35"/>
    </row>
    <row r="1148" spans="3:4" x14ac:dyDescent="0.25">
      <c r="C1148" s="37"/>
      <c r="D1148" s="35"/>
    </row>
    <row r="1149" spans="3:4" x14ac:dyDescent="0.25">
      <c r="C1149" s="37"/>
      <c r="D1149" s="35"/>
    </row>
    <row r="1150" spans="3:4" x14ac:dyDescent="0.25">
      <c r="C1150" s="37"/>
      <c r="D1150" s="35"/>
    </row>
    <row r="1151" spans="3:4" x14ac:dyDescent="0.25">
      <c r="C1151" s="37"/>
      <c r="D1151" s="35"/>
    </row>
    <row r="1152" spans="3:4" x14ac:dyDescent="0.25">
      <c r="C1152" s="37"/>
      <c r="D1152" s="35"/>
    </row>
    <row r="1153" spans="3:4" x14ac:dyDescent="0.25">
      <c r="C1153" s="37"/>
      <c r="D1153" s="35"/>
    </row>
    <row r="1154" spans="3:4" x14ac:dyDescent="0.25">
      <c r="C1154" s="37"/>
      <c r="D1154" s="35"/>
    </row>
    <row r="1155" spans="3:4" x14ac:dyDescent="0.25">
      <c r="C1155" s="37"/>
      <c r="D1155" s="35"/>
    </row>
    <row r="1156" spans="3:4" x14ac:dyDescent="0.25">
      <c r="C1156" s="37"/>
      <c r="D1156" s="35"/>
    </row>
    <row r="1157" spans="3:4" x14ac:dyDescent="0.25">
      <c r="C1157" s="37"/>
      <c r="D1157" s="35"/>
    </row>
    <row r="1158" spans="3:4" x14ac:dyDescent="0.25">
      <c r="C1158" s="37"/>
      <c r="D1158" s="35"/>
    </row>
    <row r="1159" spans="3:4" x14ac:dyDescent="0.25">
      <c r="C1159" s="37"/>
      <c r="D1159" s="35"/>
    </row>
    <row r="1160" spans="3:4" x14ac:dyDescent="0.25">
      <c r="C1160" s="37"/>
      <c r="D1160" s="35"/>
    </row>
    <row r="1161" spans="3:4" x14ac:dyDescent="0.25">
      <c r="C1161" s="37"/>
      <c r="D1161" s="35"/>
    </row>
    <row r="1162" spans="3:4" x14ac:dyDescent="0.25">
      <c r="C1162" s="37"/>
      <c r="D1162" s="35"/>
    </row>
    <row r="1163" spans="3:4" x14ac:dyDescent="0.25">
      <c r="C1163" s="37"/>
      <c r="D1163" s="35"/>
    </row>
    <row r="1164" spans="3:4" x14ac:dyDescent="0.25">
      <c r="C1164" s="37"/>
      <c r="D1164" s="35"/>
    </row>
    <row r="1165" spans="3:4" x14ac:dyDescent="0.25">
      <c r="C1165" s="37"/>
      <c r="D1165" s="35"/>
    </row>
    <row r="1166" spans="3:4" x14ac:dyDescent="0.25">
      <c r="C1166" s="37"/>
      <c r="D1166" s="35"/>
    </row>
    <row r="1167" spans="3:4" x14ac:dyDescent="0.25">
      <c r="C1167" s="37"/>
      <c r="D1167" s="35"/>
    </row>
    <row r="1168" spans="3:4" x14ac:dyDescent="0.25">
      <c r="C1168" s="37"/>
      <c r="D1168" s="35"/>
    </row>
    <row r="1169" spans="3:4" x14ac:dyDescent="0.25">
      <c r="C1169" s="37"/>
      <c r="D1169" s="35"/>
    </row>
    <row r="1170" spans="3:4" x14ac:dyDescent="0.25">
      <c r="C1170" s="37"/>
      <c r="D1170" s="35"/>
    </row>
    <row r="1171" spans="3:4" x14ac:dyDescent="0.25">
      <c r="C1171" s="37"/>
      <c r="D1171" s="35"/>
    </row>
    <row r="1172" spans="3:4" x14ac:dyDescent="0.25">
      <c r="C1172" s="37"/>
      <c r="D1172" s="35"/>
    </row>
    <row r="1173" spans="3:4" x14ac:dyDescent="0.25">
      <c r="C1173" s="37"/>
      <c r="D1173" s="35"/>
    </row>
    <row r="1174" spans="3:4" x14ac:dyDescent="0.25">
      <c r="C1174" s="37"/>
      <c r="D1174" s="35"/>
    </row>
    <row r="1175" spans="3:4" x14ac:dyDescent="0.25">
      <c r="C1175" s="37"/>
      <c r="D1175" s="35"/>
    </row>
    <row r="1176" spans="3:4" x14ac:dyDescent="0.25">
      <c r="C1176" s="37"/>
      <c r="D1176" s="35"/>
    </row>
    <row r="1177" spans="3:4" x14ac:dyDescent="0.25">
      <c r="C1177" s="37"/>
      <c r="D1177" s="35"/>
    </row>
    <row r="1178" spans="3:4" x14ac:dyDescent="0.25">
      <c r="C1178" s="37"/>
      <c r="D1178" s="35"/>
    </row>
    <row r="1179" spans="3:4" x14ac:dyDescent="0.25">
      <c r="C1179" s="37"/>
      <c r="D1179" s="35"/>
    </row>
    <row r="1180" spans="3:4" x14ac:dyDescent="0.25">
      <c r="C1180" s="37"/>
      <c r="D1180" s="35"/>
    </row>
    <row r="1181" spans="3:4" x14ac:dyDescent="0.25">
      <c r="C1181" s="37"/>
      <c r="D1181" s="35"/>
    </row>
    <row r="1182" spans="3:4" x14ac:dyDescent="0.25">
      <c r="C1182" s="37"/>
      <c r="D1182" s="35"/>
    </row>
    <row r="1183" spans="3:4" x14ac:dyDescent="0.25">
      <c r="C1183" s="37"/>
      <c r="D1183" s="35"/>
    </row>
    <row r="1184" spans="3:4" x14ac:dyDescent="0.25">
      <c r="C1184" s="37"/>
      <c r="D1184" s="35"/>
    </row>
    <row r="1185" spans="3:4" x14ac:dyDescent="0.25">
      <c r="C1185" s="37"/>
      <c r="D1185" s="35"/>
    </row>
    <row r="1186" spans="3:4" x14ac:dyDescent="0.25">
      <c r="C1186" s="37"/>
      <c r="D1186" s="35"/>
    </row>
    <row r="1187" spans="3:4" x14ac:dyDescent="0.25">
      <c r="C1187" s="37"/>
      <c r="D1187" s="35"/>
    </row>
    <row r="1188" spans="3:4" x14ac:dyDescent="0.25">
      <c r="C1188" s="37"/>
      <c r="D1188" s="35"/>
    </row>
    <row r="1189" spans="3:4" x14ac:dyDescent="0.25">
      <c r="C1189" s="37"/>
      <c r="D1189" s="35"/>
    </row>
    <row r="1190" spans="3:4" x14ac:dyDescent="0.25">
      <c r="C1190" s="37"/>
      <c r="D1190" s="35"/>
    </row>
    <row r="1191" spans="3:4" x14ac:dyDescent="0.25">
      <c r="C1191" s="37"/>
      <c r="D1191" s="35"/>
    </row>
    <row r="1192" spans="3:4" x14ac:dyDescent="0.25">
      <c r="C1192" s="37"/>
      <c r="D1192" s="35"/>
    </row>
    <row r="1193" spans="3:4" x14ac:dyDescent="0.25">
      <c r="C1193" s="37"/>
      <c r="D1193" s="35"/>
    </row>
    <row r="1194" spans="3:4" x14ac:dyDescent="0.25">
      <c r="C1194" s="37"/>
      <c r="D1194" s="35"/>
    </row>
    <row r="1195" spans="3:4" x14ac:dyDescent="0.25">
      <c r="C1195" s="37"/>
      <c r="D1195" s="35"/>
    </row>
    <row r="1196" spans="3:4" x14ac:dyDescent="0.25">
      <c r="C1196" s="37"/>
      <c r="D1196" s="35"/>
    </row>
    <row r="1197" spans="3:4" x14ac:dyDescent="0.25">
      <c r="C1197" s="37"/>
      <c r="D1197" s="35"/>
    </row>
    <row r="1198" spans="3:4" x14ac:dyDescent="0.25">
      <c r="C1198" s="37"/>
      <c r="D1198" s="35"/>
    </row>
    <row r="1199" spans="3:4" x14ac:dyDescent="0.25">
      <c r="C1199" s="37"/>
      <c r="D1199" s="35"/>
    </row>
    <row r="1200" spans="3:4" x14ac:dyDescent="0.25">
      <c r="C1200" s="37"/>
      <c r="D1200" s="35"/>
    </row>
    <row r="1201" spans="3:4" x14ac:dyDescent="0.25">
      <c r="C1201" s="37"/>
      <c r="D1201" s="35"/>
    </row>
    <row r="1202" spans="3:4" x14ac:dyDescent="0.25">
      <c r="C1202" s="37"/>
      <c r="D1202" s="35"/>
    </row>
    <row r="1203" spans="3:4" x14ac:dyDescent="0.25">
      <c r="C1203" s="37"/>
      <c r="D1203" s="35"/>
    </row>
    <row r="1204" spans="3:4" x14ac:dyDescent="0.25">
      <c r="C1204" s="37"/>
      <c r="D1204" s="35"/>
    </row>
    <row r="1205" spans="3:4" x14ac:dyDescent="0.25">
      <c r="C1205" s="37"/>
      <c r="D1205" s="35"/>
    </row>
    <row r="1206" spans="3:4" x14ac:dyDescent="0.25">
      <c r="C1206" s="37"/>
      <c r="D1206" s="35"/>
    </row>
    <row r="1207" spans="3:4" x14ac:dyDescent="0.25">
      <c r="C1207" s="37"/>
      <c r="D1207" s="35"/>
    </row>
    <row r="1208" spans="3:4" x14ac:dyDescent="0.25">
      <c r="C1208" s="37"/>
      <c r="D1208" s="35"/>
    </row>
    <row r="1209" spans="3:4" x14ac:dyDescent="0.25">
      <c r="C1209" s="37"/>
      <c r="D1209" s="35"/>
    </row>
    <row r="1210" spans="3:4" x14ac:dyDescent="0.25">
      <c r="C1210" s="37"/>
      <c r="D1210" s="35"/>
    </row>
    <row r="1211" spans="3:4" x14ac:dyDescent="0.25">
      <c r="C1211" s="37"/>
      <c r="D1211" s="35"/>
    </row>
    <row r="1212" spans="3:4" x14ac:dyDescent="0.25">
      <c r="C1212" s="37"/>
      <c r="D1212" s="35"/>
    </row>
    <row r="1213" spans="3:4" x14ac:dyDescent="0.25">
      <c r="C1213" s="37"/>
      <c r="D1213" s="35"/>
    </row>
    <row r="1214" spans="3:4" x14ac:dyDescent="0.25">
      <c r="C1214" s="37"/>
      <c r="D1214" s="35"/>
    </row>
    <row r="1215" spans="3:4" x14ac:dyDescent="0.25">
      <c r="C1215" s="37"/>
      <c r="D1215" s="35"/>
    </row>
    <row r="1216" spans="3:4" x14ac:dyDescent="0.25">
      <c r="C1216" s="37"/>
      <c r="D1216" s="35"/>
    </row>
    <row r="1217" spans="3:4" x14ac:dyDescent="0.25">
      <c r="C1217" s="37"/>
      <c r="D1217" s="35"/>
    </row>
    <row r="1218" spans="3:4" x14ac:dyDescent="0.25">
      <c r="C1218" s="37"/>
      <c r="D1218" s="35"/>
    </row>
    <row r="1219" spans="3:4" x14ac:dyDescent="0.25">
      <c r="C1219" s="37"/>
      <c r="D1219" s="35"/>
    </row>
    <row r="1220" spans="3:4" x14ac:dyDescent="0.25">
      <c r="C1220" s="37"/>
      <c r="D1220" s="35"/>
    </row>
    <row r="1221" spans="3:4" x14ac:dyDescent="0.25">
      <c r="C1221" s="37"/>
      <c r="D1221" s="35"/>
    </row>
    <row r="1222" spans="3:4" x14ac:dyDescent="0.25">
      <c r="C1222" s="37"/>
      <c r="D1222" s="35"/>
    </row>
    <row r="1223" spans="3:4" x14ac:dyDescent="0.25">
      <c r="C1223" s="37"/>
      <c r="D1223" s="35"/>
    </row>
    <row r="1224" spans="3:4" x14ac:dyDescent="0.25">
      <c r="C1224" s="37"/>
      <c r="D1224" s="35"/>
    </row>
    <row r="1225" spans="3:4" x14ac:dyDescent="0.25">
      <c r="C1225" s="37"/>
      <c r="D1225" s="35"/>
    </row>
    <row r="1226" spans="3:4" x14ac:dyDescent="0.25">
      <c r="C1226" s="37"/>
      <c r="D1226" s="35"/>
    </row>
    <row r="1227" spans="3:4" x14ac:dyDescent="0.25">
      <c r="C1227" s="37"/>
      <c r="D1227" s="35"/>
    </row>
    <row r="1228" spans="3:4" x14ac:dyDescent="0.25">
      <c r="C1228" s="37"/>
      <c r="D1228" s="35"/>
    </row>
    <row r="1229" spans="3:4" x14ac:dyDescent="0.25">
      <c r="C1229" s="37"/>
      <c r="D1229" s="35"/>
    </row>
    <row r="1230" spans="3:4" x14ac:dyDescent="0.25">
      <c r="C1230" s="37"/>
      <c r="D1230" s="35"/>
    </row>
    <row r="1231" spans="3:4" x14ac:dyDescent="0.25">
      <c r="C1231" s="37"/>
      <c r="D1231" s="35"/>
    </row>
    <row r="1232" spans="3:4" x14ac:dyDescent="0.25">
      <c r="C1232" s="37"/>
      <c r="D1232" s="35"/>
    </row>
    <row r="1233" spans="3:4" x14ac:dyDescent="0.25">
      <c r="C1233" s="37"/>
      <c r="D1233" s="35"/>
    </row>
    <row r="1234" spans="3:4" x14ac:dyDescent="0.25">
      <c r="C1234" s="37"/>
      <c r="D1234" s="35"/>
    </row>
    <row r="1235" spans="3:4" x14ac:dyDescent="0.25">
      <c r="C1235" s="37"/>
      <c r="D1235" s="35"/>
    </row>
    <row r="1236" spans="3:4" x14ac:dyDescent="0.25">
      <c r="C1236" s="37"/>
      <c r="D1236" s="35"/>
    </row>
    <row r="1237" spans="3:4" x14ac:dyDescent="0.25">
      <c r="C1237" s="37"/>
      <c r="D1237" s="35"/>
    </row>
    <row r="1238" spans="3:4" x14ac:dyDescent="0.25">
      <c r="C1238" s="37"/>
      <c r="D1238" s="35"/>
    </row>
    <row r="1239" spans="3:4" x14ac:dyDescent="0.25">
      <c r="C1239" s="37"/>
      <c r="D1239" s="35"/>
    </row>
    <row r="1240" spans="3:4" x14ac:dyDescent="0.25">
      <c r="C1240" s="37"/>
      <c r="D1240" s="35"/>
    </row>
    <row r="1241" spans="3:4" x14ac:dyDescent="0.25">
      <c r="C1241" s="37"/>
      <c r="D1241" s="35"/>
    </row>
    <row r="1242" spans="3:4" x14ac:dyDescent="0.25">
      <c r="C1242" s="37"/>
      <c r="D1242" s="35"/>
    </row>
    <row r="1243" spans="3:4" x14ac:dyDescent="0.25">
      <c r="C1243" s="37"/>
      <c r="D1243" s="35"/>
    </row>
    <row r="1244" spans="3:4" x14ac:dyDescent="0.25">
      <c r="C1244" s="37"/>
      <c r="D1244" s="35"/>
    </row>
    <row r="1245" spans="3:4" x14ac:dyDescent="0.25">
      <c r="C1245" s="37"/>
      <c r="D1245" s="35"/>
    </row>
    <row r="1246" spans="3:4" x14ac:dyDescent="0.25">
      <c r="C1246" s="37"/>
      <c r="D1246" s="35"/>
    </row>
    <row r="1247" spans="3:4" x14ac:dyDescent="0.25">
      <c r="C1247" s="37"/>
      <c r="D1247" s="35"/>
    </row>
    <row r="1248" spans="3:4" x14ac:dyDescent="0.25">
      <c r="C1248" s="37"/>
      <c r="D1248" s="35"/>
    </row>
    <row r="1249" spans="3:4" x14ac:dyDescent="0.25">
      <c r="C1249" s="37"/>
      <c r="D1249" s="35"/>
    </row>
    <row r="1250" spans="3:4" x14ac:dyDescent="0.25">
      <c r="C1250" s="37"/>
      <c r="D1250" s="35"/>
    </row>
    <row r="1251" spans="3:4" x14ac:dyDescent="0.25">
      <c r="C1251" s="37"/>
      <c r="D1251" s="35"/>
    </row>
    <row r="1252" spans="3:4" x14ac:dyDescent="0.25">
      <c r="C1252" s="37"/>
      <c r="D1252" s="35"/>
    </row>
    <row r="1253" spans="3:4" x14ac:dyDescent="0.25">
      <c r="C1253" s="37"/>
      <c r="D1253" s="35"/>
    </row>
    <row r="1254" spans="3:4" x14ac:dyDescent="0.25">
      <c r="C1254" s="37"/>
      <c r="D1254" s="35"/>
    </row>
    <row r="1255" spans="3:4" x14ac:dyDescent="0.25">
      <c r="C1255" s="37"/>
      <c r="D1255" s="35"/>
    </row>
    <row r="1256" spans="3:4" x14ac:dyDescent="0.25">
      <c r="C1256" s="37"/>
      <c r="D1256" s="35"/>
    </row>
    <row r="1257" spans="3:4" x14ac:dyDescent="0.25">
      <c r="C1257" s="37"/>
      <c r="D1257" s="35"/>
    </row>
    <row r="1258" spans="3:4" x14ac:dyDescent="0.25">
      <c r="C1258" s="37"/>
      <c r="D1258" s="35"/>
    </row>
    <row r="1259" spans="3:4" x14ac:dyDescent="0.25">
      <c r="C1259" s="37"/>
      <c r="D1259" s="35"/>
    </row>
    <row r="1260" spans="3:4" x14ac:dyDescent="0.25">
      <c r="C1260" s="37"/>
      <c r="D1260" s="35"/>
    </row>
    <row r="1261" spans="3:4" x14ac:dyDescent="0.25">
      <c r="C1261" s="37"/>
      <c r="D1261" s="35"/>
    </row>
    <row r="1262" spans="3:4" x14ac:dyDescent="0.25">
      <c r="C1262" s="37"/>
      <c r="D1262" s="35"/>
    </row>
    <row r="1263" spans="3:4" x14ac:dyDescent="0.25">
      <c r="C1263" s="37"/>
      <c r="D1263" s="35"/>
    </row>
    <row r="1264" spans="3:4" x14ac:dyDescent="0.25">
      <c r="C1264" s="37"/>
      <c r="D1264" s="35"/>
    </row>
    <row r="1265" spans="3:4" x14ac:dyDescent="0.25">
      <c r="C1265" s="37"/>
      <c r="D1265" s="35"/>
    </row>
    <row r="1266" spans="3:4" x14ac:dyDescent="0.25">
      <c r="C1266" s="37"/>
      <c r="D1266" s="35"/>
    </row>
    <row r="1267" spans="3:4" x14ac:dyDescent="0.25">
      <c r="C1267" s="37"/>
      <c r="D1267" s="35"/>
    </row>
    <row r="1268" spans="3:4" x14ac:dyDescent="0.25">
      <c r="C1268" s="37"/>
      <c r="D1268" s="35"/>
    </row>
    <row r="1269" spans="3:4" x14ac:dyDescent="0.25">
      <c r="C1269" s="37"/>
      <c r="D1269" s="35"/>
    </row>
    <row r="1270" spans="3:4" x14ac:dyDescent="0.25">
      <c r="C1270" s="37"/>
      <c r="D1270" s="35"/>
    </row>
    <row r="1271" spans="3:4" x14ac:dyDescent="0.25">
      <c r="C1271" s="37"/>
      <c r="D1271" s="35"/>
    </row>
    <row r="1272" spans="3:4" x14ac:dyDescent="0.25">
      <c r="C1272" s="37"/>
      <c r="D1272" s="35"/>
    </row>
    <row r="1273" spans="3:4" x14ac:dyDescent="0.25">
      <c r="C1273" s="37"/>
      <c r="D1273" s="35"/>
    </row>
    <row r="1274" spans="3:4" x14ac:dyDescent="0.25">
      <c r="C1274" s="37"/>
      <c r="D1274" s="35"/>
    </row>
    <row r="1275" spans="3:4" x14ac:dyDescent="0.25">
      <c r="C1275" s="37"/>
      <c r="D1275" s="35"/>
    </row>
    <row r="1276" spans="3:4" x14ac:dyDescent="0.25">
      <c r="C1276" s="37"/>
      <c r="D1276" s="35"/>
    </row>
    <row r="1277" spans="3:4" x14ac:dyDescent="0.25">
      <c r="C1277" s="37"/>
      <c r="D1277" s="35"/>
    </row>
    <row r="1278" spans="3:4" x14ac:dyDescent="0.25">
      <c r="C1278" s="37"/>
      <c r="D1278" s="35"/>
    </row>
    <row r="1279" spans="3:4" x14ac:dyDescent="0.25">
      <c r="C1279" s="37"/>
      <c r="D1279" s="35"/>
    </row>
    <row r="1280" spans="3:4" x14ac:dyDescent="0.25">
      <c r="C1280" s="37"/>
      <c r="D1280" s="35"/>
    </row>
    <row r="1281" spans="3:4" x14ac:dyDescent="0.25">
      <c r="C1281" s="37"/>
      <c r="D1281" s="35"/>
    </row>
    <row r="1282" spans="3:4" x14ac:dyDescent="0.25">
      <c r="C1282" s="37"/>
      <c r="D1282" s="35"/>
    </row>
    <row r="1283" spans="3:4" x14ac:dyDescent="0.25">
      <c r="C1283" s="37"/>
      <c r="D1283" s="35"/>
    </row>
    <row r="1284" spans="3:4" x14ac:dyDescent="0.25">
      <c r="C1284" s="37"/>
      <c r="D1284" s="35"/>
    </row>
    <row r="1285" spans="3:4" x14ac:dyDescent="0.25">
      <c r="C1285" s="37"/>
      <c r="D1285" s="35"/>
    </row>
    <row r="1286" spans="3:4" x14ac:dyDescent="0.25">
      <c r="C1286" s="37"/>
      <c r="D1286" s="35"/>
    </row>
    <row r="1287" spans="3:4" x14ac:dyDescent="0.25">
      <c r="C1287" s="37"/>
      <c r="D1287" s="35"/>
    </row>
    <row r="1288" spans="3:4" x14ac:dyDescent="0.25">
      <c r="C1288" s="37"/>
      <c r="D1288" s="35"/>
    </row>
    <row r="1289" spans="3:4" x14ac:dyDescent="0.25">
      <c r="C1289" s="37"/>
      <c r="D1289" s="35"/>
    </row>
    <row r="1290" spans="3:4" x14ac:dyDescent="0.25">
      <c r="C1290" s="37"/>
      <c r="D1290" s="35"/>
    </row>
    <row r="1291" spans="3:4" x14ac:dyDescent="0.25">
      <c r="C1291" s="37"/>
      <c r="D1291" s="35"/>
    </row>
    <row r="1292" spans="3:4" x14ac:dyDescent="0.25">
      <c r="C1292" s="37"/>
      <c r="D1292" s="35"/>
    </row>
    <row r="1293" spans="3:4" x14ac:dyDescent="0.25">
      <c r="C1293" s="37"/>
      <c r="D1293" s="35"/>
    </row>
    <row r="1294" spans="3:4" x14ac:dyDescent="0.25">
      <c r="C1294" s="37"/>
      <c r="D1294" s="35"/>
    </row>
    <row r="1295" spans="3:4" x14ac:dyDescent="0.25">
      <c r="C1295" s="37"/>
      <c r="D1295" s="35"/>
    </row>
    <row r="1296" spans="3:4" x14ac:dyDescent="0.25">
      <c r="C1296" s="37"/>
      <c r="D1296" s="35"/>
    </row>
    <row r="1297" spans="3:4" x14ac:dyDescent="0.25">
      <c r="C1297" s="37"/>
      <c r="D1297" s="35"/>
    </row>
    <row r="1298" spans="3:4" x14ac:dyDescent="0.25">
      <c r="C1298" s="37"/>
      <c r="D1298" s="35"/>
    </row>
    <row r="1299" spans="3:4" x14ac:dyDescent="0.25">
      <c r="C1299" s="37"/>
      <c r="D1299" s="35"/>
    </row>
    <row r="1300" spans="3:4" x14ac:dyDescent="0.25">
      <c r="C1300" s="37"/>
      <c r="D1300" s="35"/>
    </row>
    <row r="1301" spans="3:4" x14ac:dyDescent="0.25">
      <c r="C1301" s="37"/>
      <c r="D1301" s="35"/>
    </row>
    <row r="1302" spans="3:4" x14ac:dyDescent="0.25">
      <c r="C1302" s="37"/>
      <c r="D1302" s="35"/>
    </row>
    <row r="1303" spans="3:4" x14ac:dyDescent="0.25">
      <c r="C1303" s="37"/>
      <c r="D1303" s="35"/>
    </row>
    <row r="1304" spans="3:4" x14ac:dyDescent="0.25">
      <c r="C1304" s="37"/>
      <c r="D1304" s="35"/>
    </row>
    <row r="1305" spans="3:4" x14ac:dyDescent="0.25">
      <c r="C1305" s="37"/>
      <c r="D1305" s="35"/>
    </row>
    <row r="1306" spans="3:4" x14ac:dyDescent="0.25">
      <c r="C1306" s="37"/>
      <c r="D1306" s="35"/>
    </row>
    <row r="1307" spans="3:4" x14ac:dyDescent="0.25">
      <c r="C1307" s="37"/>
      <c r="D1307" s="35"/>
    </row>
    <row r="1308" spans="3:4" x14ac:dyDescent="0.25">
      <c r="C1308" s="37"/>
      <c r="D1308" s="35"/>
    </row>
    <row r="1309" spans="3:4" x14ac:dyDescent="0.25">
      <c r="C1309" s="37"/>
      <c r="D1309" s="35"/>
    </row>
    <row r="1310" spans="3:4" x14ac:dyDescent="0.25">
      <c r="C1310" s="37"/>
      <c r="D1310" s="35"/>
    </row>
    <row r="1311" spans="3:4" x14ac:dyDescent="0.25">
      <c r="C1311" s="37"/>
      <c r="D1311" s="35"/>
    </row>
    <row r="1312" spans="3:4" x14ac:dyDescent="0.25">
      <c r="C1312" s="37"/>
      <c r="D1312" s="35"/>
    </row>
    <row r="1313" spans="3:4" x14ac:dyDescent="0.25">
      <c r="C1313" s="37"/>
      <c r="D1313" s="35"/>
    </row>
    <row r="1314" spans="3:4" x14ac:dyDescent="0.25">
      <c r="C1314" s="37"/>
      <c r="D1314" s="35"/>
    </row>
    <row r="1315" spans="3:4" x14ac:dyDescent="0.25">
      <c r="C1315" s="37"/>
      <c r="D1315" s="35"/>
    </row>
    <row r="1316" spans="3:4" x14ac:dyDescent="0.25">
      <c r="C1316" s="37"/>
      <c r="D1316" s="35"/>
    </row>
    <row r="1317" spans="3:4" x14ac:dyDescent="0.25">
      <c r="C1317" s="37"/>
      <c r="D1317" s="35"/>
    </row>
    <row r="1318" spans="3:4" x14ac:dyDescent="0.25">
      <c r="C1318" s="37"/>
      <c r="D1318" s="35"/>
    </row>
    <row r="1319" spans="3:4" x14ac:dyDescent="0.25">
      <c r="C1319" s="37"/>
      <c r="D1319" s="35"/>
    </row>
    <row r="1320" spans="3:4" x14ac:dyDescent="0.25">
      <c r="C1320" s="37"/>
      <c r="D1320" s="35"/>
    </row>
    <row r="1321" spans="3:4" x14ac:dyDescent="0.25">
      <c r="C1321" s="37"/>
      <c r="D1321" s="35"/>
    </row>
    <row r="1322" spans="3:4" x14ac:dyDescent="0.25">
      <c r="C1322" s="37"/>
      <c r="D1322" s="35"/>
    </row>
    <row r="1323" spans="3:4" x14ac:dyDescent="0.25">
      <c r="C1323" s="37"/>
      <c r="D1323" s="35"/>
    </row>
    <row r="1324" spans="3:4" x14ac:dyDescent="0.25">
      <c r="C1324" s="37"/>
      <c r="D1324" s="35"/>
    </row>
    <row r="1325" spans="3:4" x14ac:dyDescent="0.25">
      <c r="C1325" s="37"/>
      <c r="D1325" s="35"/>
    </row>
    <row r="1326" spans="3:4" x14ac:dyDescent="0.25">
      <c r="C1326" s="37"/>
      <c r="D1326" s="35"/>
    </row>
    <row r="1327" spans="3:4" x14ac:dyDescent="0.25">
      <c r="C1327" s="37"/>
      <c r="D1327" s="35"/>
    </row>
    <row r="1328" spans="3:4" x14ac:dyDescent="0.25">
      <c r="C1328" s="37"/>
      <c r="D1328" s="35"/>
    </row>
    <row r="1329" spans="3:4" x14ac:dyDescent="0.25">
      <c r="C1329" s="37"/>
      <c r="D1329" s="35"/>
    </row>
    <row r="1330" spans="3:4" x14ac:dyDescent="0.25">
      <c r="C1330" s="37"/>
      <c r="D1330" s="35"/>
    </row>
    <row r="1331" spans="3:4" x14ac:dyDescent="0.25">
      <c r="C1331" s="37"/>
      <c r="D1331" s="35"/>
    </row>
    <row r="1332" spans="3:4" x14ac:dyDescent="0.25">
      <c r="C1332" s="37"/>
      <c r="D1332" s="35"/>
    </row>
    <row r="1333" spans="3:4" x14ac:dyDescent="0.25">
      <c r="C1333" s="37"/>
      <c r="D1333" s="35"/>
    </row>
  </sheetData>
  <mergeCells count="18">
    <mergeCell ref="N29:O29"/>
    <mergeCell ref="D17:E17"/>
    <mergeCell ref="F17:G17"/>
    <mergeCell ref="H17:I17"/>
    <mergeCell ref="J17:K17"/>
    <mergeCell ref="L17:M17"/>
    <mergeCell ref="N17:O17"/>
    <mergeCell ref="D29:E29"/>
    <mergeCell ref="F29:G29"/>
    <mergeCell ref="H29:I29"/>
    <mergeCell ref="J29:K29"/>
    <mergeCell ref="L29:M29"/>
    <mergeCell ref="N2:O2"/>
    <mergeCell ref="D2:E2"/>
    <mergeCell ref="F2:G2"/>
    <mergeCell ref="H2:I2"/>
    <mergeCell ref="J2:K2"/>
    <mergeCell ref="L2:M2"/>
  </mergeCells>
  <conditionalFormatting sqref="Y3:AC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8:AC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0:AC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CDB75-190E-40D8-8E21-14DBF531A51E}">
  <dimension ref="A1:AH1333"/>
  <sheetViews>
    <sheetView topLeftCell="O1" workbookViewId="0">
      <selection activeCell="V10" sqref="V10"/>
    </sheetView>
  </sheetViews>
  <sheetFormatPr defaultRowHeight="15" outlineLevelRow="1" outlineLevelCol="1" x14ac:dyDescent="0.25"/>
  <cols>
    <col min="1" max="1" width="8.140625" style="5" bestFit="1" customWidth="1"/>
    <col min="2" max="2" width="25.140625" bestFit="1" customWidth="1"/>
    <col min="3" max="3" width="24.28515625" style="11" customWidth="1" outlineLevel="1"/>
    <col min="4" max="4" width="9.42578125" style="6" customWidth="1"/>
    <col min="5" max="5" width="16.85546875" style="11" customWidth="1" outlineLevel="1"/>
    <col min="6" max="6" width="9.28515625" style="6" customWidth="1"/>
    <col min="7" max="7" width="19.5703125" style="11" customWidth="1" outlineLevel="1"/>
    <col min="8" max="8" width="9.140625" style="6"/>
    <col min="9" max="9" width="19.5703125" style="11" customWidth="1" outlineLevel="1"/>
    <col min="10" max="10" width="7.140625" style="6" bestFit="1" customWidth="1"/>
    <col min="11" max="11" width="18" style="11" customWidth="1" outlineLevel="1"/>
    <col min="12" max="12" width="7.140625" style="5" bestFit="1" customWidth="1"/>
    <col min="13" max="13" width="19.5703125" style="10" customWidth="1" outlineLevel="1"/>
    <col min="14" max="14" width="8.140625" style="10" bestFit="1" customWidth="1"/>
    <col min="15" max="15" width="19.5703125" style="10" customWidth="1" outlineLevel="1"/>
    <col min="16" max="16" width="7.140625" bestFit="1" customWidth="1"/>
    <col min="17" max="18" width="7.140625" customWidth="1" outlineLevel="1"/>
    <col min="19" max="19" width="18" bestFit="1" customWidth="1"/>
    <col min="20" max="20" width="16.85546875" bestFit="1" customWidth="1"/>
    <col min="21" max="21" width="18" bestFit="1" customWidth="1"/>
    <col min="22" max="22" width="16.85546875" bestFit="1" customWidth="1"/>
    <col min="23" max="23" width="15.28515625" bestFit="1" customWidth="1"/>
    <col min="25" max="25" width="7.85546875" bestFit="1" customWidth="1"/>
    <col min="26" max="26" width="11.140625" bestFit="1" customWidth="1"/>
    <col min="27" max="27" width="13.28515625" bestFit="1" customWidth="1"/>
    <col min="28" max="28" width="7.85546875" bestFit="1" customWidth="1"/>
    <col min="29" max="29" width="8.140625" bestFit="1" customWidth="1"/>
    <col min="32" max="32" width="16.28515625" bestFit="1" customWidth="1"/>
    <col min="33" max="33" width="5" bestFit="1" customWidth="1"/>
  </cols>
  <sheetData>
    <row r="1" spans="1:34" ht="9" customHeight="1" x14ac:dyDescent="0.25"/>
    <row r="2" spans="1:34" x14ac:dyDescent="0.25">
      <c r="B2" s="4" t="s">
        <v>1</v>
      </c>
      <c r="C2" s="9" t="s">
        <v>4</v>
      </c>
      <c r="D2" s="112" t="s">
        <v>7</v>
      </c>
      <c r="E2" s="112"/>
      <c r="F2" s="112" t="s">
        <v>8</v>
      </c>
      <c r="G2" s="112"/>
      <c r="H2" s="112" t="s">
        <v>10</v>
      </c>
      <c r="I2" s="112"/>
      <c r="J2" s="112" t="s">
        <v>9</v>
      </c>
      <c r="K2" s="112"/>
      <c r="L2" s="112" t="s">
        <v>21</v>
      </c>
      <c r="M2" s="112"/>
      <c r="N2" s="112" t="s">
        <v>55</v>
      </c>
      <c r="O2" s="112"/>
      <c r="Q2" s="1" t="s">
        <v>46</v>
      </c>
      <c r="S2" s="27" t="s">
        <v>49</v>
      </c>
      <c r="T2" s="27" t="s">
        <v>50</v>
      </c>
      <c r="U2" s="27" t="s">
        <v>51</v>
      </c>
      <c r="V2" s="27" t="s">
        <v>52</v>
      </c>
      <c r="W2" s="27" t="s">
        <v>53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1"/>
      <c r="AF2" s="1" t="s">
        <v>20</v>
      </c>
      <c r="AG2" s="1"/>
    </row>
    <row r="3" spans="1:34" x14ac:dyDescent="0.25">
      <c r="A3" s="52"/>
      <c r="B3" s="21" t="s">
        <v>5</v>
      </c>
      <c r="C3" s="23">
        <v>344603699.22000003</v>
      </c>
      <c r="D3" s="26">
        <f>32.9%+1.3%</f>
        <v>0.34199999999999997</v>
      </c>
      <c r="E3" s="23">
        <f>$C3*D3</f>
        <v>117854465.13324</v>
      </c>
      <c r="F3" s="26">
        <f>11%+10.6%+2.6%+0.7%</f>
        <v>0.249</v>
      </c>
      <c r="G3" s="23">
        <f>$C3*F3</f>
        <v>85806321.105780005</v>
      </c>
      <c r="H3" s="26">
        <f>37.2%+0.9%</f>
        <v>0.38100000000000006</v>
      </c>
      <c r="I3" s="23">
        <f>$C3*H3</f>
        <v>131294009.40282004</v>
      </c>
      <c r="J3" s="26">
        <v>2.8000000000000001E-2</v>
      </c>
      <c r="K3" s="23">
        <f>$C3*J3</f>
        <v>9648903.578160001</v>
      </c>
      <c r="L3" s="53">
        <v>0</v>
      </c>
      <c r="M3" s="23">
        <f>$C3*L3</f>
        <v>0</v>
      </c>
      <c r="N3" s="14"/>
      <c r="O3" s="23">
        <f>$C3*N3</f>
        <v>0</v>
      </c>
      <c r="S3" s="12">
        <f>E3-'Nov23'!E3</f>
        <v>199611.02189999819</v>
      </c>
      <c r="T3" s="12">
        <f>G3-'Nov23'!G3</f>
        <v>738088.39554001391</v>
      </c>
      <c r="U3" s="12">
        <f>I3-'Nov23'!I3</f>
        <v>-424544.47109995782</v>
      </c>
      <c r="V3" s="12">
        <f>K3-'Nov23'!K3</f>
        <v>-298591.37586000003</v>
      </c>
      <c r="W3" s="12">
        <f>+M3-'Nov23'!M3</f>
        <v>0</v>
      </c>
      <c r="Y3" s="28">
        <f>D3-'Nov23'!D3</f>
        <v>-1.0000000000000564E-3</v>
      </c>
      <c r="Z3" s="28">
        <f>F3-'Nov23'!F3</f>
        <v>1.0000000000000009E-3</v>
      </c>
      <c r="AA3" s="28">
        <f>H3-'Nov23'!H3</f>
        <v>-2.9999999999999472E-3</v>
      </c>
      <c r="AB3" s="28">
        <f>J3-'Nov23'!J3</f>
        <v>-1.0000000000000009E-3</v>
      </c>
      <c r="AC3" s="28">
        <f>L3-'Nov23'!L3</f>
        <v>0</v>
      </c>
      <c r="AE3" t="s">
        <v>11</v>
      </c>
      <c r="AF3" s="2" t="s">
        <v>10</v>
      </c>
      <c r="AG3" t="s">
        <v>9</v>
      </c>
      <c r="AH3" t="s">
        <v>7</v>
      </c>
    </row>
    <row r="4" spans="1:34" x14ac:dyDescent="0.25">
      <c r="A4" s="52"/>
      <c r="B4" s="3" t="s">
        <v>0</v>
      </c>
      <c r="C4" s="55">
        <v>1319783534</v>
      </c>
      <c r="D4" s="14">
        <v>0.34</v>
      </c>
      <c r="E4" s="12">
        <f>$C4*D4</f>
        <v>448726401.56000006</v>
      </c>
      <c r="F4" s="14">
        <f>3%+2%+6%+2%+1%+1%</f>
        <v>0.15000000000000002</v>
      </c>
      <c r="G4" s="12">
        <f>$C4*F4</f>
        <v>197967530.10000002</v>
      </c>
      <c r="H4" s="14">
        <f>42%+1%</f>
        <v>0.43</v>
      </c>
      <c r="I4" s="12">
        <f>$C4*H4</f>
        <v>567506919.62</v>
      </c>
      <c r="J4" s="14">
        <v>0.08</v>
      </c>
      <c r="K4" s="12">
        <f>$C4*J4</f>
        <v>105582682.72</v>
      </c>
      <c r="L4" s="14"/>
      <c r="M4" s="12">
        <f>$C4*L4</f>
        <v>0</v>
      </c>
      <c r="N4" s="14"/>
      <c r="O4" s="12">
        <f>$C4*N4</f>
        <v>0</v>
      </c>
      <c r="S4" s="12">
        <f>E4-'Nov23'!E4</f>
        <v>4978558.3400000334</v>
      </c>
      <c r="T4" s="12">
        <f>G4-'Nov23'!G4</f>
        <v>-3736035</v>
      </c>
      <c r="U4" s="12">
        <f>I4-'Nov23'!I4</f>
        <v>-37603775.680000067</v>
      </c>
      <c r="V4" s="12">
        <f>K4-'Nov23'!K4</f>
        <v>-1992552</v>
      </c>
      <c r="W4" s="12">
        <f>+M4-'Nov23'!M4</f>
        <v>0</v>
      </c>
      <c r="Y4" s="28">
        <f>D4-'Nov23'!D4</f>
        <v>1.0000000000000009E-2</v>
      </c>
      <c r="Z4" s="28">
        <f>F4-'Nov23'!F4</f>
        <v>0</v>
      </c>
      <c r="AA4" s="28">
        <f>H4-'Nov23'!H4</f>
        <v>-2.0000000000000018E-2</v>
      </c>
      <c r="AB4" s="28">
        <f>J4-'Nov23'!J4</f>
        <v>0</v>
      </c>
      <c r="AC4" s="28">
        <f>L4-'Nov23'!L4</f>
        <v>0</v>
      </c>
      <c r="AE4" t="s">
        <v>12</v>
      </c>
      <c r="AF4" s="2" t="s">
        <v>16</v>
      </c>
      <c r="AH4" t="s">
        <v>58</v>
      </c>
    </row>
    <row r="5" spans="1:34" x14ac:dyDescent="0.25">
      <c r="A5" s="52"/>
      <c r="B5" s="3" t="s">
        <v>3</v>
      </c>
      <c r="C5" s="12">
        <v>963558565.91999996</v>
      </c>
      <c r="D5" s="14">
        <v>0.45</v>
      </c>
      <c r="E5" s="12">
        <f t="shared" ref="E5:G14" si="0">$C5*D5</f>
        <v>433601354.66399997</v>
      </c>
      <c r="F5" s="14"/>
      <c r="G5" s="12">
        <f t="shared" si="0"/>
        <v>0</v>
      </c>
      <c r="H5" s="14">
        <f>37%+2%+1%+1%</f>
        <v>0.41000000000000003</v>
      </c>
      <c r="I5" s="12">
        <f t="shared" ref="I5" si="1">$C5*H5</f>
        <v>395059012.02719998</v>
      </c>
      <c r="J5" s="14">
        <v>0.05</v>
      </c>
      <c r="K5" s="12">
        <f t="shared" ref="K5" si="2">$C5*J5</f>
        <v>48177928.296000004</v>
      </c>
      <c r="L5" s="14">
        <v>0.09</v>
      </c>
      <c r="M5" s="12">
        <f t="shared" ref="M5" si="3">$C5*L5</f>
        <v>86720270.932799995</v>
      </c>
      <c r="N5" s="14"/>
      <c r="O5" s="12">
        <f t="shared" ref="O5" si="4">$C5*N5</f>
        <v>0</v>
      </c>
      <c r="P5" s="5"/>
      <c r="S5" s="12">
        <f>E5-'Nov23'!E5</f>
        <v>-10775114.031899989</v>
      </c>
      <c r="T5" s="12">
        <f>G5-'Nov23'!G5</f>
        <v>0</v>
      </c>
      <c r="U5" s="12">
        <f>I5-'Nov23'!I5</f>
        <v>-38983120.187400043</v>
      </c>
      <c r="V5" s="12">
        <f>K5-'Nov23'!K5</f>
        <v>-13828090.591799997</v>
      </c>
      <c r="W5" s="12">
        <f>+M5-'Nov23'!M5</f>
        <v>-6288757.3989000022</v>
      </c>
      <c r="Y5" s="28">
        <f>D5-'Nov23'!D5</f>
        <v>2.0000000000000018E-2</v>
      </c>
      <c r="Z5" s="28">
        <f>F5-'Nov23'!F5</f>
        <v>0</v>
      </c>
      <c r="AA5" s="28">
        <f>H5-'Nov23'!H5</f>
        <v>-1.0000000000000009E-2</v>
      </c>
      <c r="AB5" s="28">
        <f>J5-'Nov23'!J5</f>
        <v>-9.999999999999995E-3</v>
      </c>
      <c r="AC5" s="28">
        <f>L5-'Nov23'!L5</f>
        <v>0</v>
      </c>
      <c r="AE5" t="s">
        <v>13</v>
      </c>
      <c r="AF5" s="2" t="s">
        <v>17</v>
      </c>
      <c r="AH5" t="s">
        <v>59</v>
      </c>
    </row>
    <row r="6" spans="1:34" x14ac:dyDescent="0.25">
      <c r="A6" s="52"/>
      <c r="B6" s="3" t="s">
        <v>37</v>
      </c>
      <c r="C6" s="55">
        <v>2434964884</v>
      </c>
      <c r="D6" s="14">
        <v>0.27950000000000003</v>
      </c>
      <c r="E6" s="12">
        <f t="shared" si="0"/>
        <v>680572685.07800007</v>
      </c>
      <c r="F6" s="14">
        <v>0.2049</v>
      </c>
      <c r="G6" s="12">
        <f t="shared" si="0"/>
        <v>498924304.73159999</v>
      </c>
      <c r="H6" s="14">
        <f>44.71%+2.38%+2.13%+2.34%</f>
        <v>0.51559999999999995</v>
      </c>
      <c r="I6" s="12">
        <f t="shared" ref="I6" si="5">$C6*H6</f>
        <v>1255467894.1903999</v>
      </c>
      <c r="J6" s="14"/>
      <c r="K6" s="12">
        <f t="shared" ref="K6" si="6">$C6*J6</f>
        <v>0</v>
      </c>
      <c r="L6" s="14"/>
      <c r="M6" s="12">
        <f t="shared" ref="M6" si="7">$C6*L6</f>
        <v>0</v>
      </c>
      <c r="N6" s="14"/>
      <c r="O6" s="12">
        <f t="shared" ref="O6" si="8">$C6*N6</f>
        <v>0</v>
      </c>
      <c r="P6" s="7"/>
      <c r="S6" s="12">
        <f>E6-'Nov23'!E6</f>
        <v>-84581447.657999873</v>
      </c>
      <c r="T6" s="12">
        <f>G6-'Nov23'!G6</f>
        <v>3587681.9603999853</v>
      </c>
      <c r="U6" s="12">
        <f>I6-'Nov23'!I6</f>
        <v>-995734.30240011215</v>
      </c>
      <c r="V6" s="12">
        <f>K6-'Nov23'!K6</f>
        <v>0</v>
      </c>
      <c r="W6" s="12">
        <f>+M6-'Nov23'!M6</f>
        <v>0</v>
      </c>
      <c r="Y6" s="28">
        <f>D6-'Nov23'!D6</f>
        <v>-2.4499999999999966E-2</v>
      </c>
      <c r="Z6" s="28">
        <f>F6-'Nov23'!F6</f>
        <v>8.0999999999999961E-3</v>
      </c>
      <c r="AA6" s="28">
        <f>H6-'Nov23'!H6</f>
        <v>1.639999999999997E-2</v>
      </c>
      <c r="AB6" s="28">
        <f>J6-'Nov23'!J6</f>
        <v>0</v>
      </c>
      <c r="AC6" s="28">
        <f>L6-'Nov23'!L6</f>
        <v>0</v>
      </c>
      <c r="AE6" t="s">
        <v>14</v>
      </c>
      <c r="AF6" s="2" t="s">
        <v>18</v>
      </c>
    </row>
    <row r="7" spans="1:34" x14ac:dyDescent="0.25">
      <c r="A7" s="52"/>
      <c r="B7" s="3" t="s">
        <v>22</v>
      </c>
      <c r="C7" s="12">
        <v>885370000</v>
      </c>
      <c r="D7" s="14">
        <v>0.28499999999999998</v>
      </c>
      <c r="E7" s="12">
        <f t="shared" si="0"/>
        <v>252330449.99999997</v>
      </c>
      <c r="F7" s="14">
        <v>0.107</v>
      </c>
      <c r="G7" s="12">
        <f t="shared" si="0"/>
        <v>94734590</v>
      </c>
      <c r="H7" s="14">
        <f>47.5%+9.7%</f>
        <v>0.57199999999999995</v>
      </c>
      <c r="I7" s="12">
        <f t="shared" ref="I7" si="9">$C7*H7</f>
        <v>506431639.99999994</v>
      </c>
      <c r="J7" s="14">
        <v>3.5999999999999997E-2</v>
      </c>
      <c r="K7" s="12">
        <f t="shared" ref="K7" si="10">$C7*J7</f>
        <v>31873319.999999996</v>
      </c>
      <c r="L7" s="16"/>
      <c r="M7" s="12">
        <f t="shared" ref="M7" si="11">$C7*L7</f>
        <v>0</v>
      </c>
      <c r="N7" s="14"/>
      <c r="O7" s="12">
        <f t="shared" ref="O7" si="12">$C7*N7</f>
        <v>0</v>
      </c>
      <c r="S7" s="12">
        <f>E7-'Nov23'!E7</f>
        <v>-29666450.000000149</v>
      </c>
      <c r="T7" s="12">
        <f>G7-'Nov23'!G7</f>
        <v>427430</v>
      </c>
      <c r="U7" s="12">
        <f>I7-'Nov23'!I7</f>
        <v>-3936520</v>
      </c>
      <c r="V7" s="12">
        <f>K7-'Nov23'!K7</f>
        <v>-6034460.0000000037</v>
      </c>
      <c r="W7" s="12">
        <f>+M7-'Nov23'!M7</f>
        <v>0</v>
      </c>
      <c r="Y7" s="28">
        <f>D7-'Nov23'!D7</f>
        <v>-2.0000000000000129E-2</v>
      </c>
      <c r="Z7" s="28">
        <f>F7-'Nov23'!F7</f>
        <v>5.0000000000000044E-3</v>
      </c>
      <c r="AA7" s="28">
        <f>H7-'Nov23'!H7</f>
        <v>2.0000000000000018E-2</v>
      </c>
      <c r="AB7" s="28">
        <f>J7-'Nov23'!J7</f>
        <v>-5.0000000000000044E-3</v>
      </c>
      <c r="AC7" s="28">
        <f>L7-'Nov23'!L7</f>
        <v>0</v>
      </c>
      <c r="AE7" t="s">
        <v>15</v>
      </c>
      <c r="AF7" s="2" t="s">
        <v>19</v>
      </c>
    </row>
    <row r="8" spans="1:34" x14ac:dyDescent="0.25">
      <c r="A8" s="52"/>
      <c r="B8" s="3" t="s">
        <v>23</v>
      </c>
      <c r="C8" s="40">
        <v>1191662752.72</v>
      </c>
      <c r="D8" s="14">
        <f>17%</f>
        <v>0.17</v>
      </c>
      <c r="E8" s="12">
        <f t="shared" si="0"/>
        <v>202582667.96240002</v>
      </c>
      <c r="F8" s="14">
        <f>22%+7%+0.5%</f>
        <v>0.29500000000000004</v>
      </c>
      <c r="G8" s="12">
        <f t="shared" si="0"/>
        <v>351540512.05240005</v>
      </c>
      <c r="H8" s="14">
        <v>0.44</v>
      </c>
      <c r="I8" s="12">
        <f t="shared" ref="I8" si="13">$C8*H8</f>
        <v>524331611.19679999</v>
      </c>
      <c r="J8" s="14">
        <v>7.4999999999999997E-2</v>
      </c>
      <c r="K8" s="12">
        <f t="shared" ref="K8" si="14">$C8*J8</f>
        <v>89374706.453999996</v>
      </c>
      <c r="L8" s="54">
        <v>0.02</v>
      </c>
      <c r="M8" s="12">
        <f t="shared" ref="M8" si="15">$C8*L8</f>
        <v>23833255.054400001</v>
      </c>
      <c r="N8" s="14"/>
      <c r="O8" s="12">
        <f t="shared" ref="O8" si="16">$C8*N8</f>
        <v>0</v>
      </c>
      <c r="S8" s="12">
        <f>E8-'Nov23'!E8</f>
        <v>-62476724.730099976</v>
      </c>
      <c r="T8" s="12">
        <f>G8-'Nov23'!G8</f>
        <v>10749864.30490005</v>
      </c>
      <c r="U8" s="12">
        <f>I8-'Nov23'!I8</f>
        <v>6834701.654300034</v>
      </c>
      <c r="V8" s="12">
        <f>K8-'Nov23'!K8</f>
        <v>1021575.5564999878</v>
      </c>
      <c r="W8" s="12">
        <f>+M8-'Nov23'!M8</f>
        <v>23833255.054400001</v>
      </c>
      <c r="Y8" s="28">
        <f>D8-'Nov23'!D8</f>
        <v>-3.999999999999998E-2</v>
      </c>
      <c r="Z8" s="28">
        <f>F8-'Nov23'!F8</f>
        <v>2.5000000000000022E-2</v>
      </c>
      <c r="AA8" s="28">
        <f>H8-'Nov23'!H8</f>
        <v>3.0000000000000027E-2</v>
      </c>
      <c r="AB8" s="28">
        <f>J8-'Nov23'!J8</f>
        <v>4.9999999999999906E-3</v>
      </c>
      <c r="AC8" s="28">
        <f>L8-'Nov23'!L8</f>
        <v>0.02</v>
      </c>
      <c r="AE8" t="s">
        <v>57</v>
      </c>
    </row>
    <row r="9" spans="1:34" x14ac:dyDescent="0.25">
      <c r="A9" s="52"/>
      <c r="B9" s="3" t="s">
        <v>24</v>
      </c>
      <c r="C9" s="40">
        <v>1955456990</v>
      </c>
      <c r="D9" s="14">
        <v>0.30719999999999997</v>
      </c>
      <c r="E9" s="12">
        <f t="shared" si="0"/>
        <v>600716387.32799995</v>
      </c>
      <c r="F9" s="14">
        <f>20.04%</f>
        <v>0.20039999999999999</v>
      </c>
      <c r="G9" s="12">
        <f t="shared" si="0"/>
        <v>391873580.796</v>
      </c>
      <c r="H9" s="14">
        <f>43.78%+0.01%</f>
        <v>0.43790000000000001</v>
      </c>
      <c r="I9" s="12">
        <f t="shared" ref="I9" si="17">$C9*H9</f>
        <v>856294615.921</v>
      </c>
      <c r="J9" s="14">
        <f>5.45%</f>
        <v>5.45E-2</v>
      </c>
      <c r="K9" s="12">
        <f t="shared" ref="K9" si="18">$C9*J9</f>
        <v>106572405.955</v>
      </c>
      <c r="L9" s="14"/>
      <c r="M9" s="12">
        <f t="shared" ref="M9" si="19">$C9*L9</f>
        <v>0</v>
      </c>
      <c r="N9" s="14"/>
      <c r="O9" s="12">
        <f t="shared" ref="O9" si="20">$C9*N9</f>
        <v>0</v>
      </c>
      <c r="S9" s="12">
        <f>E9-'Nov23'!E9</f>
        <v>-36522930.793800116</v>
      </c>
      <c r="T9" s="12">
        <f>G9-'Nov23'!G9</f>
        <v>-23334696.81129998</v>
      </c>
      <c r="U9" s="12">
        <f>I9-'Nov23'!I9</f>
        <v>-29783177.100000024</v>
      </c>
      <c r="V9" s="12">
        <f>K9-'Nov23'!K9</f>
        <v>-1271242.2949000001</v>
      </c>
      <c r="W9" s="12">
        <f>+M9-'Nov23'!M9</f>
        <v>0</v>
      </c>
      <c r="Y9" s="28">
        <f>D9-'Nov23'!D9</f>
        <v>-4.200000000000037E-3</v>
      </c>
      <c r="Z9" s="28">
        <f>F9-'Nov23'!F9</f>
        <v>-2.5000000000000022E-3</v>
      </c>
      <c r="AA9" s="28">
        <f>H9-'Nov23'!H9</f>
        <v>4.9000000000000155E-3</v>
      </c>
      <c r="AB9" s="28">
        <f>J9-'Nov23'!J9</f>
        <v>1.800000000000003E-3</v>
      </c>
      <c r="AC9" s="28">
        <f>L9-'Nov23'!L9</f>
        <v>0</v>
      </c>
    </row>
    <row r="10" spans="1:34" x14ac:dyDescent="0.25">
      <c r="A10" s="52"/>
      <c r="B10" s="3" t="s">
        <v>25</v>
      </c>
      <c r="C10" s="40">
        <v>155099094</v>
      </c>
      <c r="D10" s="14">
        <v>0.53</v>
      </c>
      <c r="E10" s="12">
        <f t="shared" si="0"/>
        <v>82202519.820000008</v>
      </c>
      <c r="F10" s="14">
        <f>4%+4%</f>
        <v>0.08</v>
      </c>
      <c r="G10" s="12">
        <f t="shared" si="0"/>
        <v>12407927.52</v>
      </c>
      <c r="H10" s="14">
        <v>0.33</v>
      </c>
      <c r="I10" s="12">
        <f t="shared" ref="I10" si="21">$C10*H10</f>
        <v>51182701.020000003</v>
      </c>
      <c r="J10" s="14">
        <v>0.06</v>
      </c>
      <c r="K10" s="12">
        <f t="shared" ref="K10" si="22">$C10*J10</f>
        <v>9305945.6399999987</v>
      </c>
      <c r="L10" s="16"/>
      <c r="M10" s="12">
        <f t="shared" ref="M10" si="23">$C10*L10</f>
        <v>0</v>
      </c>
      <c r="N10" s="14"/>
      <c r="O10" s="12">
        <f t="shared" ref="O10" si="24">$C10*N10</f>
        <v>0</v>
      </c>
      <c r="S10" s="12">
        <f>E10-'Nov23'!E10</f>
        <v>-5256836.0600000024</v>
      </c>
      <c r="T10" s="12">
        <f>G10-'Nov23'!G10</f>
        <v>634552.68999999762</v>
      </c>
      <c r="U10" s="12">
        <f>I10-'Nov23'!I10</f>
        <v>-7684173.1299999952</v>
      </c>
      <c r="V10" s="12">
        <f>K10-'Nov23'!K10</f>
        <v>-785518.5</v>
      </c>
      <c r="W10" s="12">
        <f>+M10-'Nov23'!M10</f>
        <v>0</v>
      </c>
      <c r="Y10" s="28">
        <f>D10-'Nov23'!D10</f>
        <v>1.0000000000000009E-2</v>
      </c>
      <c r="Z10" s="28">
        <f>F10-'Nov23'!F10</f>
        <v>9.999999999999995E-3</v>
      </c>
      <c r="AA10" s="28">
        <f>H10-'Nov23'!H10</f>
        <v>-1.9999999999999962E-2</v>
      </c>
      <c r="AB10" s="28">
        <f>J10-'Nov23'!J10</f>
        <v>0</v>
      </c>
      <c r="AC10" s="28">
        <f>L10-'Nov23'!L10</f>
        <v>0</v>
      </c>
    </row>
    <row r="11" spans="1:34" x14ac:dyDescent="0.25">
      <c r="A11" s="52"/>
      <c r="B11" s="3" t="s">
        <v>29</v>
      </c>
      <c r="C11" s="40">
        <v>4181766121.6300001</v>
      </c>
      <c r="D11" s="14">
        <v>0.32100000000000001</v>
      </c>
      <c r="E11" s="12">
        <f t="shared" si="0"/>
        <v>1342346925.0432301</v>
      </c>
      <c r="F11" s="14">
        <f>28.3%+2.4%+1.3%</f>
        <v>0.32000000000000006</v>
      </c>
      <c r="G11" s="12">
        <f t="shared" si="0"/>
        <v>1338165158.9216003</v>
      </c>
      <c r="H11" s="14">
        <v>0.33400000000000002</v>
      </c>
      <c r="I11" s="12">
        <f t="shared" ref="I11" si="25">$C11*H11</f>
        <v>1396709884.6244202</v>
      </c>
      <c r="J11" s="14">
        <v>2.5000000000000001E-2</v>
      </c>
      <c r="K11" s="12">
        <f t="shared" ref="K11" si="26">$C11*J11</f>
        <v>104544153.04075001</v>
      </c>
      <c r="L11" s="16"/>
      <c r="M11" s="12">
        <f t="shared" ref="M11" si="27">$C11*L11</f>
        <v>0</v>
      </c>
      <c r="N11" s="14"/>
      <c r="O11" s="12">
        <f t="shared" ref="O11" si="28">$C11*N11</f>
        <v>0</v>
      </c>
      <c r="S11" s="12">
        <f>E11-'Nov23'!E11</f>
        <v>266823184.34930992</v>
      </c>
      <c r="T11" s="12">
        <f>G11-'Nov23'!G11</f>
        <v>41210059.849520206</v>
      </c>
      <c r="U11" s="12">
        <f>I11-'Nov23'!I11</f>
        <v>-70272864.630889893</v>
      </c>
      <c r="V11" s="12">
        <f>K11-'Nov23'!K11</f>
        <v>-6171526.1483299881</v>
      </c>
      <c r="W11" s="12">
        <f>+M11-'Nov23'!M11</f>
        <v>0</v>
      </c>
      <c r="Y11" s="28">
        <f>D11-'Nov23'!D11</f>
        <v>4.8999999999999988E-2</v>
      </c>
      <c r="Z11" s="28">
        <f>F11-'Nov23'!F11</f>
        <v>-7.9999999999999516E-3</v>
      </c>
      <c r="AA11" s="28">
        <f>H11-'Nov23'!H11</f>
        <v>-3.6999999999999977E-2</v>
      </c>
      <c r="AB11" s="28">
        <f>J11-'Nov23'!J11</f>
        <v>-2.9999999999999992E-3</v>
      </c>
      <c r="AC11" s="28">
        <f>L11-'Nov23'!L11</f>
        <v>0</v>
      </c>
    </row>
    <row r="12" spans="1:34" x14ac:dyDescent="0.25">
      <c r="A12" s="52"/>
      <c r="B12" s="3" t="s">
        <v>47</v>
      </c>
      <c r="C12" s="12">
        <v>1579202998.6400001</v>
      </c>
      <c r="D12" s="14">
        <v>0.62</v>
      </c>
      <c r="E12" s="12">
        <f t="shared" si="0"/>
        <v>979105859.15680003</v>
      </c>
      <c r="F12" s="14">
        <v>0.13</v>
      </c>
      <c r="G12" s="12">
        <f t="shared" si="0"/>
        <v>205296389.82320002</v>
      </c>
      <c r="H12" s="14">
        <v>0.25</v>
      </c>
      <c r="I12" s="12">
        <f t="shared" ref="I12" si="29">$C12*H12</f>
        <v>394800749.66000003</v>
      </c>
      <c r="J12" s="14"/>
      <c r="K12" s="12">
        <f t="shared" ref="K12" si="30">$C12*J12</f>
        <v>0</v>
      </c>
      <c r="L12" s="16"/>
      <c r="M12" s="12">
        <f t="shared" ref="M12" si="31">$C12*L12</f>
        <v>0</v>
      </c>
      <c r="N12" s="14"/>
      <c r="O12" s="12">
        <f t="shared" ref="O12" si="32">$C12*N12</f>
        <v>0</v>
      </c>
      <c r="Q12" t="s">
        <v>48</v>
      </c>
      <c r="S12" s="12">
        <f>E12-'Nov23'!E12</f>
        <v>-47788902.388099909</v>
      </c>
      <c r="T12" s="12">
        <f>G12-'Nov23'!G12</f>
        <v>25390795.940140039</v>
      </c>
      <c r="U12" s="12">
        <f>I12-'Nov23'!I12</f>
        <v>9516203.4679600596</v>
      </c>
      <c r="V12" s="12">
        <f>K12-'Nov23'!K12</f>
        <v>0</v>
      </c>
      <c r="W12" s="12">
        <f>+M12-'Nov23'!M12</f>
        <v>0</v>
      </c>
      <c r="Y12" s="28">
        <f>D12-'Nov23'!D12</f>
        <v>-2.5000000000000022E-2</v>
      </c>
      <c r="Z12" s="28">
        <f>F12-'Nov23'!F12</f>
        <v>1.7000000000000001E-2</v>
      </c>
      <c r="AA12" s="28">
        <f>H12-'Nov23'!H12</f>
        <v>8.0000000000000071E-3</v>
      </c>
      <c r="AB12" s="28">
        <f>J12-'Nov23'!J12</f>
        <v>0</v>
      </c>
      <c r="AC12" s="28">
        <f>L12-'Nov23'!L12</f>
        <v>0</v>
      </c>
    </row>
    <row r="13" spans="1:34" x14ac:dyDescent="0.25">
      <c r="A13" s="52"/>
      <c r="B13" s="3" t="s">
        <v>30</v>
      </c>
      <c r="C13" s="42">
        <v>834070000</v>
      </c>
      <c r="D13" s="14">
        <v>0.28000000000000003</v>
      </c>
      <c r="E13" s="12">
        <f t="shared" si="0"/>
        <v>233539600.00000003</v>
      </c>
      <c r="F13" s="14">
        <f>1%+18%</f>
        <v>0.19</v>
      </c>
      <c r="G13" s="12">
        <f t="shared" si="0"/>
        <v>158473300</v>
      </c>
      <c r="H13" s="14">
        <v>0.52</v>
      </c>
      <c r="I13" s="12">
        <f t="shared" ref="I13" si="33">$C13*H13</f>
        <v>433716400</v>
      </c>
      <c r="J13" s="14">
        <v>0.01</v>
      </c>
      <c r="K13" s="12">
        <f t="shared" ref="K13" si="34">$C13*J13</f>
        <v>8340700</v>
      </c>
      <c r="L13" s="16"/>
      <c r="M13" s="12">
        <f t="shared" ref="M13" si="35">$C13*L13</f>
        <v>0</v>
      </c>
      <c r="N13" s="14"/>
      <c r="O13" s="12">
        <f t="shared" ref="O13" si="36">$C13*N13</f>
        <v>0</v>
      </c>
      <c r="S13" s="12">
        <f>E13-'Nov23'!E13</f>
        <v>-9020372.5388000011</v>
      </c>
      <c r="T13" s="12">
        <f>G13-'Nov23'!G13</f>
        <v>-23446679.404100031</v>
      </c>
      <c r="U13" s="12">
        <f>I13-'Nov23'!I13</f>
        <v>9236448.057099998</v>
      </c>
      <c r="V13" s="12">
        <f>K13-'Nov23'!K13</f>
        <v>-322156.16210000031</v>
      </c>
      <c r="W13" s="12">
        <f>+M13-'Nov23'!M13</f>
        <v>0</v>
      </c>
      <c r="Y13" s="28">
        <f>D13-'Nov23'!D13</f>
        <v>0</v>
      </c>
      <c r="Z13" s="28">
        <f>F13-'Nov23'!F13</f>
        <v>-2.0000000000000018E-2</v>
      </c>
      <c r="AA13" s="28">
        <f>H13-'Nov23'!H13</f>
        <v>3.0000000000000027E-2</v>
      </c>
      <c r="AB13" s="28">
        <f>J13-'Nov23'!J13</f>
        <v>0</v>
      </c>
      <c r="AC13" s="28">
        <f>L13-'Nov23'!L13</f>
        <v>0</v>
      </c>
    </row>
    <row r="14" spans="1:34" x14ac:dyDescent="0.25">
      <c r="A14" s="52"/>
      <c r="B14" s="3" t="s">
        <v>31</v>
      </c>
      <c r="C14" s="42">
        <v>50194450.299999997</v>
      </c>
      <c r="D14" s="14">
        <v>0.46300000000000002</v>
      </c>
      <c r="E14" s="12">
        <f t="shared" si="0"/>
        <v>23240030.488899998</v>
      </c>
      <c r="F14" s="14">
        <v>0.109</v>
      </c>
      <c r="G14" s="12">
        <f t="shared" si="0"/>
        <v>5471195.0826999992</v>
      </c>
      <c r="H14" s="19">
        <v>0.42399999999999999</v>
      </c>
      <c r="I14" s="12">
        <f t="shared" ref="I14" si="37">$C14*H14</f>
        <v>21282446.927199997</v>
      </c>
      <c r="J14" s="14">
        <v>4.0000000000000001E-3</v>
      </c>
      <c r="K14" s="12">
        <f t="shared" ref="K14" si="38">$C14*J14</f>
        <v>200777.80119999999</v>
      </c>
      <c r="L14" s="16"/>
      <c r="M14" s="12">
        <f t="shared" ref="M14" si="39">$C14*L14</f>
        <v>0</v>
      </c>
      <c r="N14" s="14"/>
      <c r="O14" s="12">
        <f t="shared" ref="O14" si="40">$C14*N14</f>
        <v>0</v>
      </c>
      <c r="S14" s="12">
        <f>E14-'Nov23'!E14</f>
        <v>1035938.8609999977</v>
      </c>
      <c r="T14" s="12">
        <f>G14-'Nov23'!G14</f>
        <v>54372.729519998655</v>
      </c>
      <c r="U14" s="12">
        <f>I14-'Nov23'!I14</f>
        <v>298360.33379999548</v>
      </c>
      <c r="V14" s="12">
        <f>K14-'Nov23'!K14</f>
        <v>5576.9956799999636</v>
      </c>
      <c r="W14" s="12">
        <f>+M14-'Nov23'!M14</f>
        <v>0</v>
      </c>
      <c r="Y14" s="28">
        <f>D14-'Nov23'!D14</f>
        <v>8.0000000000000071E-3</v>
      </c>
      <c r="Z14" s="28">
        <f>F14-'Nov23'!F14</f>
        <v>-2.0000000000000018E-3</v>
      </c>
      <c r="AA14" s="28">
        <f>H14-'Nov23'!H14</f>
        <v>-6.0000000000000053E-3</v>
      </c>
      <c r="AB14" s="28">
        <f>J14-'Nov23'!J14</f>
        <v>0</v>
      </c>
      <c r="AC14" s="28">
        <f>L14-'Nov23'!L14</f>
        <v>0</v>
      </c>
    </row>
    <row r="15" spans="1:34" s="8" customFormat="1" x14ac:dyDescent="0.25">
      <c r="A15" s="51"/>
      <c r="B15" s="21" t="s">
        <v>45</v>
      </c>
      <c r="C15" s="20">
        <f>SUM(C3:C14)</f>
        <v>15895733090.43</v>
      </c>
      <c r="D15" s="15">
        <f>+E15/$C15</f>
        <v>0.33951371198373459</v>
      </c>
      <c r="E15" s="17">
        <f>SUM(E3:E14)</f>
        <v>5396819346.2345705</v>
      </c>
      <c r="F15" s="15">
        <f>+G15/$C15</f>
        <v>0.21016085204302531</v>
      </c>
      <c r="G15" s="20">
        <f>SUM(G3:G14)</f>
        <v>3340660810.1332808</v>
      </c>
      <c r="H15" s="15">
        <f>+I15/$C15</f>
        <v>0.41105860594272753</v>
      </c>
      <c r="I15" s="17">
        <f>SUM(I3:I14)</f>
        <v>6534077884.5898399</v>
      </c>
      <c r="J15" s="15">
        <f>+K15/$C15</f>
        <v>3.2311911666051754E-2</v>
      </c>
      <c r="K15" s="17">
        <f>SUM(K3:K14)</f>
        <v>513621523.48510998</v>
      </c>
      <c r="L15" s="15">
        <f>+M15/$C15</f>
        <v>6.954918364460873E-3</v>
      </c>
      <c r="M15" s="17">
        <f>SUM(M3:M14)</f>
        <v>110553525.98719999</v>
      </c>
      <c r="N15" s="15">
        <f>+O15/$C15</f>
        <v>0</v>
      </c>
      <c r="O15" s="17">
        <f>SUM(O3:O14)</f>
        <v>0</v>
      </c>
      <c r="S15" s="12">
        <f>E15-'Nov23'!E15</f>
        <v>-13051485.628489494</v>
      </c>
      <c r="T15" s="12">
        <f>G15-'Nov23'!G15</f>
        <v>32275434.654621124</v>
      </c>
      <c r="U15" s="12">
        <f>I15-'Nov23'!I15</f>
        <v>-163798195.98862934</v>
      </c>
      <c r="V15" s="12">
        <f>K15-'Nov23'!K15</f>
        <v>-29676984.520810068</v>
      </c>
      <c r="W15" s="12">
        <f>+M15-'Nov23'!M15</f>
        <v>17544497.655499995</v>
      </c>
      <c r="Y15" s="28">
        <f>D15-'Nov23'!D15</f>
        <v>3.5120277890413054E-3</v>
      </c>
      <c r="Z15" s="28">
        <f>F15-'Nov23'!F15</f>
        <v>4.6803345455123657E-3</v>
      </c>
      <c r="AA15" s="28">
        <f>H15-'Nov23'!H15</f>
        <v>-4.9398002200841118E-3</v>
      </c>
      <c r="AB15" s="28">
        <f>J15-'Nov23'!J15</f>
        <v>-1.4318170446736E-3</v>
      </c>
      <c r="AC15" s="28">
        <f>L15-'Nov23'!L15</f>
        <v>1.1782203367187195E-3</v>
      </c>
    </row>
    <row r="16" spans="1:34" x14ac:dyDescent="0.25">
      <c r="C16" s="10"/>
      <c r="D16" s="10"/>
      <c r="E16" s="10"/>
      <c r="F16" s="5"/>
      <c r="G16" s="10"/>
      <c r="H16" s="10"/>
      <c r="I16" s="10"/>
      <c r="J16" s="5"/>
      <c r="K16" s="10"/>
    </row>
    <row r="17" spans="1:29" x14ac:dyDescent="0.25">
      <c r="B17" s="4" t="s">
        <v>2</v>
      </c>
      <c r="C17" s="9" t="s">
        <v>4</v>
      </c>
      <c r="D17" s="112" t="s">
        <v>7</v>
      </c>
      <c r="E17" s="112"/>
      <c r="F17" s="112" t="s">
        <v>8</v>
      </c>
      <c r="G17" s="112"/>
      <c r="H17" s="112" t="s">
        <v>10</v>
      </c>
      <c r="I17" s="112"/>
      <c r="J17" s="112" t="s">
        <v>9</v>
      </c>
      <c r="K17" s="112"/>
      <c r="L17" s="112" t="s">
        <v>21</v>
      </c>
      <c r="M17" s="112"/>
      <c r="N17" s="112" t="s">
        <v>55</v>
      </c>
      <c r="O17" s="112"/>
      <c r="S17" s="27" t="s">
        <v>49</v>
      </c>
      <c r="T17" s="27" t="s">
        <v>50</v>
      </c>
      <c r="U17" s="27" t="s">
        <v>51</v>
      </c>
      <c r="V17" s="27" t="s">
        <v>52</v>
      </c>
      <c r="W17" s="27" t="s">
        <v>53</v>
      </c>
      <c r="Y17" s="27" t="s">
        <v>49</v>
      </c>
      <c r="Z17" s="27" t="s">
        <v>50</v>
      </c>
      <c r="AA17" s="27" t="s">
        <v>51</v>
      </c>
      <c r="AB17" s="27" t="s">
        <v>52</v>
      </c>
      <c r="AC17" s="27" t="s">
        <v>53</v>
      </c>
    </row>
    <row r="18" spans="1:29" x14ac:dyDescent="0.25">
      <c r="A18" s="52"/>
      <c r="B18" s="21" t="s">
        <v>6</v>
      </c>
      <c r="C18" s="44">
        <v>273906098.62</v>
      </c>
      <c r="D18" s="26">
        <f>12.7%+0.62%</f>
        <v>0.13320000000000001</v>
      </c>
      <c r="E18" s="44">
        <f>D18*$C18</f>
        <v>36484292.336184002</v>
      </c>
      <c r="F18" s="26">
        <f>10.03%+7.7%+5.5%</f>
        <v>0.23230000000000001</v>
      </c>
      <c r="G18" s="44">
        <f>F18*$C18</f>
        <v>63628386.709426001</v>
      </c>
      <c r="H18" s="26">
        <f>49.02%+1.44%-0.04%</f>
        <v>0.50420000000000009</v>
      </c>
      <c r="I18" s="44">
        <f>H18*$C18</f>
        <v>138103454.92420402</v>
      </c>
      <c r="J18" s="26">
        <v>5.96E-2</v>
      </c>
      <c r="K18" s="44">
        <f>J18*$C18</f>
        <v>16324803.477752</v>
      </c>
      <c r="L18" s="26"/>
      <c r="M18" s="44">
        <f>L18*$C18</f>
        <v>0</v>
      </c>
      <c r="N18" s="26">
        <v>7.0699999999999999E-2</v>
      </c>
      <c r="O18" s="43">
        <f>N18*$C18</f>
        <v>19365161.172433998</v>
      </c>
      <c r="S18" s="12">
        <f>E18-'Nov23'!E18</f>
        <v>-8805079.5225469992</v>
      </c>
      <c r="T18" s="12">
        <f>G18-'Nov23'!G18</f>
        <v>917835.98360299319</v>
      </c>
      <c r="U18" s="12">
        <f>I18-'Nov23'!I18</f>
        <v>-2233819.2829259932</v>
      </c>
      <c r="V18" s="12">
        <f>K18-'Nov23'!K18</f>
        <v>-954045.49663500115</v>
      </c>
      <c r="W18" s="12">
        <f>+M18-'Nov23'!M18</f>
        <v>-19043739.643929001</v>
      </c>
      <c r="Y18" s="28">
        <f>D18-'Nov23'!D18</f>
        <v>-2.5899999999999979E-2</v>
      </c>
      <c r="Z18" s="28">
        <f>F18-'Nov23'!F18</f>
        <v>1.2000000000000011E-2</v>
      </c>
      <c r="AA18" s="28">
        <f>H18-'Nov23'!H18</f>
        <v>1.1200000000000099E-2</v>
      </c>
      <c r="AB18" s="28">
        <f>J18-'Nov23'!J18</f>
        <v>-1.0999999999999968E-3</v>
      </c>
      <c r="AC18" s="28">
        <f>L18-'Nov23'!L18</f>
        <v>-6.6900000000000001E-2</v>
      </c>
    </row>
    <row r="19" spans="1:29" x14ac:dyDescent="0.25">
      <c r="A19" s="52"/>
      <c r="B19" s="3" t="s">
        <v>26</v>
      </c>
      <c r="C19" s="40">
        <v>388419988.54000002</v>
      </c>
      <c r="D19" s="14">
        <v>0.1</v>
      </c>
      <c r="E19" s="12">
        <f>D19*$C19</f>
        <v>38841998.854000002</v>
      </c>
      <c r="F19" s="14">
        <v>0.14000000000000001</v>
      </c>
      <c r="G19" s="12">
        <f>F19*$C19</f>
        <v>54378798.395600006</v>
      </c>
      <c r="H19" s="14">
        <f>48%+2%</f>
        <v>0.5</v>
      </c>
      <c r="I19" s="12">
        <f>H19*$C19</f>
        <v>194209994.27000001</v>
      </c>
      <c r="J19" s="14">
        <v>0.15</v>
      </c>
      <c r="K19" s="12">
        <f>J19*$C19</f>
        <v>58262998.281000003</v>
      </c>
      <c r="L19" s="14">
        <v>0.11</v>
      </c>
      <c r="M19" s="12">
        <f>L19*$C19</f>
        <v>42726198.739399999</v>
      </c>
      <c r="N19" s="14"/>
      <c r="O19" s="12">
        <f>N19*$C19</f>
        <v>0</v>
      </c>
      <c r="S19" s="12">
        <f>E19-'Nov23'!E19</f>
        <v>-49996319.063800007</v>
      </c>
      <c r="T19" s="12">
        <f>G19-'Nov23'!G19</f>
        <v>5921534.0768000036</v>
      </c>
      <c r="U19" s="12">
        <f>I19-'Nov23'!I19</f>
        <v>8457147.7145999968</v>
      </c>
      <c r="V19" s="12">
        <f>K19-'Nov23'!K19</f>
        <v>-2308582.1174999923</v>
      </c>
      <c r="W19" s="12">
        <f>+M19-'Nov23'!M19</f>
        <v>42726198.739399999</v>
      </c>
      <c r="Y19" s="28">
        <f>D19-'Nov23'!D19</f>
        <v>-0.12</v>
      </c>
      <c r="Z19" s="28">
        <f>F19-'Nov23'!F19</f>
        <v>2.0000000000000018E-2</v>
      </c>
      <c r="AA19" s="28">
        <f>H19-'Nov23'!H19</f>
        <v>3.999999999999998E-2</v>
      </c>
      <c r="AB19" s="28">
        <f>J19-'Nov23'!J19</f>
        <v>0</v>
      </c>
      <c r="AC19" s="28">
        <f>L19-'Nov23'!L19</f>
        <v>0.11</v>
      </c>
    </row>
    <row r="20" spans="1:29" x14ac:dyDescent="0.25">
      <c r="A20" s="52"/>
      <c r="B20" s="3" t="s">
        <v>27</v>
      </c>
      <c r="C20" s="40">
        <v>831307650</v>
      </c>
      <c r="D20" s="14">
        <v>8.7999999999999995E-2</v>
      </c>
      <c r="E20" s="12">
        <f t="shared" ref="E20:G26" si="41">D20*$C20</f>
        <v>73155073.200000003</v>
      </c>
      <c r="F20" s="14">
        <f>26.62%+2.4%</f>
        <v>0.29020000000000001</v>
      </c>
      <c r="G20" s="12">
        <f t="shared" si="41"/>
        <v>241245480.03</v>
      </c>
      <c r="H20" s="14">
        <f>55.29%+1.42%</f>
        <v>0.56709999999999994</v>
      </c>
      <c r="I20" s="12">
        <f t="shared" ref="I20:I26" si="42">H20*$C20</f>
        <v>471434568.31499994</v>
      </c>
      <c r="J20" s="14">
        <v>5.4699999999999999E-2</v>
      </c>
      <c r="K20" s="12">
        <f t="shared" ref="K20:K26" si="43">J20*$C20</f>
        <v>45472528.454999998</v>
      </c>
      <c r="L20" s="14"/>
      <c r="M20" s="12">
        <f t="shared" ref="M20:M26" si="44">L20*$C20</f>
        <v>0</v>
      </c>
      <c r="N20" s="14"/>
      <c r="O20" s="12">
        <f t="shared" ref="O20:O26" si="45">N20*$C20</f>
        <v>0</v>
      </c>
      <c r="S20" s="12">
        <f>E20-'Nov23'!E20</f>
        <v>-48753174.440400004</v>
      </c>
      <c r="T20" s="12">
        <f>G20-'Nov23'!G20</f>
        <v>33274041.028799981</v>
      </c>
      <c r="U20" s="12">
        <f>I20-'Nov23'!I20</f>
        <v>-20492817.742199957</v>
      </c>
      <c r="V20" s="12">
        <f>K20-'Nov23'!K20</f>
        <v>-1415259.0989999995</v>
      </c>
      <c r="W20" s="12">
        <f>+M20-'Nov23'!M20</f>
        <v>0</v>
      </c>
      <c r="Y20" s="28">
        <f>D20-'Nov23'!D20</f>
        <v>-5.1100000000000007E-2</v>
      </c>
      <c r="Z20" s="28">
        <f>F20-'Nov23'!F20</f>
        <v>5.2900000000000003E-2</v>
      </c>
      <c r="AA20" s="28">
        <f>H20-'Nov23'!H20</f>
        <v>5.8000000000000274E-3</v>
      </c>
      <c r="AB20" s="28">
        <f>J20-'Nov23'!J20</f>
        <v>1.1999999999999997E-3</v>
      </c>
      <c r="AC20" s="28">
        <f>L20-'Nov23'!L20</f>
        <v>0</v>
      </c>
    </row>
    <row r="21" spans="1:29" x14ac:dyDescent="0.25">
      <c r="A21" s="52"/>
      <c r="B21" s="3" t="s">
        <v>28</v>
      </c>
      <c r="C21" s="40">
        <v>1075576551</v>
      </c>
      <c r="D21" s="14">
        <v>0.13</v>
      </c>
      <c r="E21" s="12">
        <f t="shared" si="41"/>
        <v>139824951.63</v>
      </c>
      <c r="F21" s="14">
        <f>8%+6%+2%+1%</f>
        <v>0.17</v>
      </c>
      <c r="G21" s="12">
        <f t="shared" si="41"/>
        <v>182848013.67000002</v>
      </c>
      <c r="H21" s="14">
        <f>56%+1%</f>
        <v>0.57000000000000006</v>
      </c>
      <c r="I21" s="12">
        <f t="shared" si="42"/>
        <v>613078634.07000005</v>
      </c>
      <c r="J21" s="14">
        <v>0.13</v>
      </c>
      <c r="K21" s="12">
        <f t="shared" si="43"/>
        <v>139824951.63</v>
      </c>
      <c r="L21" s="14"/>
      <c r="M21" s="12">
        <f t="shared" si="44"/>
        <v>0</v>
      </c>
      <c r="N21" s="14"/>
      <c r="O21" s="12">
        <f t="shared" si="45"/>
        <v>0</v>
      </c>
      <c r="S21" s="12">
        <f>E21-'Nov23'!E21</f>
        <v>-13868788.570000023</v>
      </c>
      <c r="T21" s="12">
        <f>G21-'Nov23'!G21</f>
        <v>-3780099.4300000072</v>
      </c>
      <c r="U21" s="12">
        <f>I21-'Nov23'!I21</f>
        <v>-1696326.7300000191</v>
      </c>
      <c r="V21" s="12">
        <f>K21-'Nov23'!K21</f>
        <v>-2890664.2700000107</v>
      </c>
      <c r="W21" s="12">
        <f>+M21-'Nov23'!M21</f>
        <v>0</v>
      </c>
      <c r="Y21" s="28">
        <f>D21-'Nov23'!D21</f>
        <v>-1.0000000000000009E-2</v>
      </c>
      <c r="Z21" s="28">
        <f>F21-'Nov23'!F21</f>
        <v>0</v>
      </c>
      <c r="AA21" s="28">
        <f>H21-'Nov23'!H21</f>
        <v>1.0000000000000009E-2</v>
      </c>
      <c r="AB21" s="28">
        <f>J21-'Nov23'!J21</f>
        <v>0</v>
      </c>
      <c r="AC21" s="28">
        <f>L21-'Nov23'!L21</f>
        <v>0</v>
      </c>
    </row>
    <row r="22" spans="1:29" x14ac:dyDescent="0.25">
      <c r="A22" s="52"/>
      <c r="B22" s="3" t="s">
        <v>32</v>
      </c>
      <c r="C22" s="40">
        <v>274630000</v>
      </c>
      <c r="D22" s="14">
        <v>0.1</v>
      </c>
      <c r="E22" s="12">
        <f t="shared" si="41"/>
        <v>27463000</v>
      </c>
      <c r="F22" s="14">
        <v>0.11</v>
      </c>
      <c r="G22" s="12">
        <f t="shared" si="41"/>
        <v>30209300</v>
      </c>
      <c r="H22" s="14">
        <f>60%+6%</f>
        <v>0.65999999999999992</v>
      </c>
      <c r="I22" s="12">
        <f t="shared" si="42"/>
        <v>181255799.99999997</v>
      </c>
      <c r="J22" s="14">
        <v>0.13</v>
      </c>
      <c r="K22" s="12">
        <f t="shared" si="43"/>
        <v>35701900</v>
      </c>
      <c r="L22" s="14"/>
      <c r="M22" s="12">
        <f t="shared" si="44"/>
        <v>0</v>
      </c>
      <c r="N22" s="14"/>
      <c r="O22" s="12">
        <f t="shared" si="45"/>
        <v>0</v>
      </c>
      <c r="S22" s="12">
        <f>E22-'Nov23'!E22</f>
        <v>13174000</v>
      </c>
      <c r="T22" s="12">
        <f>G22-'Nov23'!G22</f>
        <v>-1226500</v>
      </c>
      <c r="U22" s="12">
        <f>I22-'Nov23'!I22</f>
        <v>-18790200.00000003</v>
      </c>
      <c r="V22" s="12">
        <f>K22-'Nov23'!K22</f>
        <v>-1449500</v>
      </c>
      <c r="W22" s="12">
        <f>+M22-'Nov23'!M22</f>
        <v>0</v>
      </c>
      <c r="Y22" s="28">
        <f>D22-'Nov23'!D22</f>
        <v>0.05</v>
      </c>
      <c r="Z22" s="28">
        <f>F22-'Nov23'!F22</f>
        <v>0</v>
      </c>
      <c r="AA22" s="28">
        <f>H22-'Nov23'!H22</f>
        <v>-4.0000000000000036E-2</v>
      </c>
      <c r="AB22" s="28">
        <f>J22-'Nov23'!J22</f>
        <v>0</v>
      </c>
      <c r="AC22" s="28">
        <f>L22-'Nov23'!L22</f>
        <v>0</v>
      </c>
    </row>
    <row r="23" spans="1:29" x14ac:dyDescent="0.25">
      <c r="A23" s="52"/>
      <c r="B23" s="3" t="s">
        <v>33</v>
      </c>
      <c r="C23" s="40">
        <v>614800000</v>
      </c>
      <c r="D23" s="14">
        <v>0.18</v>
      </c>
      <c r="E23" s="12">
        <f t="shared" si="41"/>
        <v>110664000</v>
      </c>
      <c r="F23" s="14">
        <v>0.19</v>
      </c>
      <c r="G23" s="12">
        <f t="shared" si="41"/>
        <v>116812000</v>
      </c>
      <c r="H23" s="14">
        <v>0.6</v>
      </c>
      <c r="I23" s="12">
        <f t="shared" si="42"/>
        <v>368880000</v>
      </c>
      <c r="J23" s="14">
        <v>0.03</v>
      </c>
      <c r="K23" s="12">
        <f t="shared" si="43"/>
        <v>18444000</v>
      </c>
      <c r="L23" s="14"/>
      <c r="M23" s="12">
        <f t="shared" si="44"/>
        <v>0</v>
      </c>
      <c r="N23" s="14"/>
      <c r="O23" s="12">
        <f t="shared" si="45"/>
        <v>0</v>
      </c>
      <c r="S23" s="12">
        <f>E23-'Nov23'!E23</f>
        <v>-45736000</v>
      </c>
      <c r="T23" s="12">
        <f>G23-'Nov23'!G23</f>
        <v>-5588000</v>
      </c>
      <c r="U23" s="12">
        <f>I23-'Nov23'!I23</f>
        <v>-11920000.00000006</v>
      </c>
      <c r="V23" s="12">
        <f>K23-'Nov23'!K23</f>
        <v>-1956000</v>
      </c>
      <c r="W23" s="12">
        <f>+M23-'Nov23'!M23</f>
        <v>0</v>
      </c>
      <c r="Y23" s="28">
        <f>D23-'Nov23'!D23</f>
        <v>-5.0000000000000017E-2</v>
      </c>
      <c r="Z23" s="28">
        <f>F23-'Nov23'!F23</f>
        <v>1.0000000000000009E-2</v>
      </c>
      <c r="AA23" s="28">
        <f>H23-'Nov23'!H23</f>
        <v>3.9999999999999925E-2</v>
      </c>
      <c r="AB23" s="28">
        <f>J23-'Nov23'!J23</f>
        <v>0</v>
      </c>
      <c r="AC23" s="28">
        <f>L23-'Nov23'!L23</f>
        <v>0</v>
      </c>
    </row>
    <row r="24" spans="1:29" x14ac:dyDescent="0.25">
      <c r="A24" s="52"/>
      <c r="B24" s="3" t="s">
        <v>34</v>
      </c>
      <c r="C24" s="40">
        <v>229321179</v>
      </c>
      <c r="D24" s="14">
        <v>0.13739999999999999</v>
      </c>
      <c r="E24" s="12">
        <f t="shared" si="41"/>
        <v>31508729.994599998</v>
      </c>
      <c r="F24" s="14">
        <v>0.16619999999999999</v>
      </c>
      <c r="G24" s="12">
        <f t="shared" si="41"/>
        <v>38113179.9498</v>
      </c>
      <c r="H24" s="14">
        <f>56.06%+0.05%-0.01%</f>
        <v>0.56099999999999994</v>
      </c>
      <c r="I24" s="12">
        <f t="shared" si="42"/>
        <v>128649181.41899998</v>
      </c>
      <c r="J24" s="14">
        <v>0.13539999999999999</v>
      </c>
      <c r="K24" s="12">
        <f t="shared" si="43"/>
        <v>31050087.636599999</v>
      </c>
      <c r="L24" s="14"/>
      <c r="M24" s="12">
        <f t="shared" si="44"/>
        <v>0</v>
      </c>
      <c r="N24" s="14"/>
      <c r="O24" s="12">
        <f t="shared" si="45"/>
        <v>0</v>
      </c>
      <c r="S24" s="12">
        <f>E24-'Nov23'!E24</f>
        <v>-17070542.337900005</v>
      </c>
      <c r="T24" s="12">
        <f>G24-'Nov23'!G24</f>
        <v>-5421223.3002000004</v>
      </c>
      <c r="U24" s="12">
        <f>I24-'Nov23'!I24</f>
        <v>-3925880.7134999931</v>
      </c>
      <c r="V24" s="12">
        <f>K24-'Nov23'!K24</f>
        <v>-345899.64840000123</v>
      </c>
      <c r="W24" s="12">
        <f>+M24-'Nov23'!M24</f>
        <v>0</v>
      </c>
      <c r="Y24" s="28">
        <f>D24-'Nov23'!D24</f>
        <v>-5.2300000000000013E-2</v>
      </c>
      <c r="Z24" s="28">
        <f>F24-'Nov23'!F24</f>
        <v>-3.8000000000000256E-3</v>
      </c>
      <c r="AA24" s="28">
        <f>H24-'Nov23'!H24</f>
        <v>4.3300000000000005E-2</v>
      </c>
      <c r="AB24" s="28">
        <f>J24-'Nov23'!J24</f>
        <v>1.2799999999999992E-2</v>
      </c>
      <c r="AC24" s="28">
        <f>L24-'Nov23'!L24</f>
        <v>0</v>
      </c>
    </row>
    <row r="25" spans="1:29" x14ac:dyDescent="0.25">
      <c r="A25" s="52"/>
      <c r="B25" s="3" t="s">
        <v>35</v>
      </c>
      <c r="C25" s="40">
        <v>228129247</v>
      </c>
      <c r="D25" s="14">
        <v>0.11600000000000001</v>
      </c>
      <c r="E25" s="12">
        <f t="shared" si="41"/>
        <v>26462992.652000003</v>
      </c>
      <c r="F25" s="14">
        <f>33.7%+6.2%+1.4%+0.1%</f>
        <v>0.41400000000000003</v>
      </c>
      <c r="G25" s="12">
        <f t="shared" si="41"/>
        <v>94445508.258000001</v>
      </c>
      <c r="H25" s="14">
        <v>0.42899999999999999</v>
      </c>
      <c r="I25" s="12">
        <f t="shared" si="42"/>
        <v>97867446.963</v>
      </c>
      <c r="J25" s="14">
        <v>4.1000000000000002E-2</v>
      </c>
      <c r="K25" s="12">
        <f t="shared" si="43"/>
        <v>9353299.1270000003</v>
      </c>
      <c r="L25" s="14"/>
      <c r="M25" s="12">
        <f t="shared" si="44"/>
        <v>0</v>
      </c>
      <c r="N25" s="14"/>
      <c r="O25" s="12">
        <f t="shared" si="45"/>
        <v>0</v>
      </c>
      <c r="S25" s="12">
        <f>E25-'Nov23'!E25</f>
        <v>90639.848000001162</v>
      </c>
      <c r="T25" s="12">
        <f>G25-'Nov23'!G25</f>
        <v>5325143.6099999994</v>
      </c>
      <c r="U25" s="12">
        <f>I25-'Nov23'!I25</f>
        <v>-4211746.2180000097</v>
      </c>
      <c r="V25" s="12">
        <f>K25-'Nov23'!K25</f>
        <v>-422659.23999999836</v>
      </c>
      <c r="W25" s="12">
        <f>+M25-'Nov23'!M25</f>
        <v>0</v>
      </c>
      <c r="Y25" s="28">
        <f>D25-'Nov23'!D25</f>
        <v>0</v>
      </c>
      <c r="Z25" s="28">
        <f>F25-'Nov23'!F25</f>
        <v>2.200000000000002E-2</v>
      </c>
      <c r="AA25" s="28">
        <f>H25-'Nov23'!H25</f>
        <v>-2.0000000000000018E-2</v>
      </c>
      <c r="AB25" s="28">
        <f>J25-'Nov23'!J25</f>
        <v>-1.9999999999999948E-3</v>
      </c>
      <c r="AC25" s="28">
        <f>L25-'Nov23'!L25</f>
        <v>0</v>
      </c>
    </row>
    <row r="26" spans="1:29" x14ac:dyDescent="0.25">
      <c r="A26" s="52"/>
      <c r="B26" s="3" t="s">
        <v>36</v>
      </c>
      <c r="C26" s="40">
        <v>450100000</v>
      </c>
      <c r="D26" s="19">
        <v>0.16</v>
      </c>
      <c r="E26" s="12">
        <f t="shared" si="41"/>
        <v>72016000</v>
      </c>
      <c r="F26" s="19">
        <v>0.16</v>
      </c>
      <c r="G26" s="12">
        <f t="shared" si="41"/>
        <v>72016000</v>
      </c>
      <c r="H26" s="19">
        <f>58%+4%-1%</f>
        <v>0.61</v>
      </c>
      <c r="I26" s="12">
        <f t="shared" si="42"/>
        <v>274561000</v>
      </c>
      <c r="J26" s="19">
        <v>7.0000000000000007E-2</v>
      </c>
      <c r="K26" s="12">
        <f t="shared" si="43"/>
        <v>31507000.000000004</v>
      </c>
      <c r="L26" s="19"/>
      <c r="M26" s="12">
        <f t="shared" si="44"/>
        <v>0</v>
      </c>
      <c r="N26" s="19"/>
      <c r="O26" s="12">
        <f t="shared" si="45"/>
        <v>0</v>
      </c>
      <c r="S26" s="12">
        <f>E26-'Nov23'!E26</f>
        <v>-3198800</v>
      </c>
      <c r="T26" s="12">
        <f>G26-'Nov23'!G26</f>
        <v>5650000</v>
      </c>
      <c r="U26" s="12">
        <f>I26-'Nov23'!I26</f>
        <v>248200</v>
      </c>
      <c r="V26" s="12">
        <f>K26-'Nov23'!K26</f>
        <v>4960600.0000000037</v>
      </c>
      <c r="W26" s="12">
        <f>+M26-'Nov23'!M26</f>
        <v>0</v>
      </c>
      <c r="Y26" s="28">
        <f>D26-'Nov23'!D26</f>
        <v>-1.0000000000000009E-2</v>
      </c>
      <c r="Z26" s="28">
        <f>F26-'Nov23'!F26</f>
        <v>1.0000000000000009E-2</v>
      </c>
      <c r="AA26" s="28">
        <f>H26-'Nov23'!H26</f>
        <v>-1.0000000000000009E-2</v>
      </c>
      <c r="AB26" s="28">
        <f>J26-'Nov23'!J26</f>
        <v>1.0000000000000009E-2</v>
      </c>
      <c r="AC26" s="28">
        <f>L26-'Nov23'!L26</f>
        <v>0</v>
      </c>
    </row>
    <row r="27" spans="1:29" s="8" customFormat="1" x14ac:dyDescent="0.25">
      <c r="A27" s="51"/>
      <c r="B27" s="21" t="s">
        <v>45</v>
      </c>
      <c r="C27" s="20">
        <f>SUM(C18:C26)</f>
        <v>4366190714.1599998</v>
      </c>
      <c r="D27" s="46">
        <f>+E27/$C27</f>
        <v>0.12743855573286209</v>
      </c>
      <c r="E27" s="17">
        <f>SUM(E18:E26)</f>
        <v>556421038.66678405</v>
      </c>
      <c r="F27" s="46">
        <f>+G27/$C27</f>
        <v>0.20468566893206863</v>
      </c>
      <c r="G27" s="20">
        <f>SUM(G18:G26)</f>
        <v>893696667.01282609</v>
      </c>
      <c r="H27" s="46">
        <f>+I27/$C27</f>
        <v>0.56526162999639462</v>
      </c>
      <c r="I27" s="17">
        <f>SUM(I18:I26)</f>
        <v>2468040079.9612041</v>
      </c>
      <c r="J27" s="46">
        <f>+K27/$C27</f>
        <v>8.8393199902080388E-2</v>
      </c>
      <c r="K27" s="17">
        <f>SUM(K18:K26)</f>
        <v>385941568.60735202</v>
      </c>
      <c r="L27" s="46">
        <f>+M27/$C27</f>
        <v>9.7856922742368072E-3</v>
      </c>
      <c r="M27" s="17">
        <f>SUM(M18:M26)</f>
        <v>42726198.739399999</v>
      </c>
      <c r="N27" s="46">
        <f>+O27/$C27</f>
        <v>4.4352531623574791E-3</v>
      </c>
      <c r="O27" s="17">
        <f>SUM(O18:O26)</f>
        <v>19365161.172433998</v>
      </c>
      <c r="S27" s="12">
        <f>E27-'Nov23'!E27</f>
        <v>-174164064.08664703</v>
      </c>
      <c r="T27" s="12">
        <f>G27-'Nov23'!G27</f>
        <v>35072731.969003081</v>
      </c>
      <c r="U27" s="12">
        <f>I27-'Nov23'!I27</f>
        <v>-54565442.972025871</v>
      </c>
      <c r="V27" s="12">
        <f>K27-'Nov23'!K27</f>
        <v>-6782009.8715350032</v>
      </c>
      <c r="W27" s="12">
        <f>+M27-'Nov23'!M27</f>
        <v>23682459.095470998</v>
      </c>
      <c r="Y27" s="28">
        <f>D27-'Nov23'!D27</f>
        <v>-3.2976496146157885E-2</v>
      </c>
      <c r="Z27" s="28">
        <f>F27-'Nov23'!F27</f>
        <v>1.6157046372530293E-2</v>
      </c>
      <c r="AA27" s="28">
        <f>H27-'Nov23'!H27</f>
        <v>1.1371474959646632E-2</v>
      </c>
      <c r="AB27" s="28">
        <f>J27-'Nov23'!J27</f>
        <v>2.1626252867821966E-3</v>
      </c>
      <c r="AC27" s="28">
        <f>L27-'Nov23'!L27</f>
        <v>5.6042458261254301E-3</v>
      </c>
    </row>
    <row r="28" spans="1:29" x14ac:dyDescent="0.25">
      <c r="C28" s="10"/>
      <c r="D28" s="10"/>
      <c r="E28" s="10"/>
      <c r="F28" s="5"/>
      <c r="G28" s="10"/>
      <c r="H28" s="10"/>
      <c r="I28" s="10"/>
      <c r="J28" s="5"/>
      <c r="K28" s="10"/>
    </row>
    <row r="29" spans="1:29" x14ac:dyDescent="0.25">
      <c r="B29" s="4" t="s">
        <v>38</v>
      </c>
      <c r="C29" s="9" t="s">
        <v>4</v>
      </c>
      <c r="D29" s="113" t="s">
        <v>7</v>
      </c>
      <c r="E29" s="113"/>
      <c r="F29" s="112" t="s">
        <v>8</v>
      </c>
      <c r="G29" s="112"/>
      <c r="H29" s="112" t="s">
        <v>10</v>
      </c>
      <c r="I29" s="112"/>
      <c r="J29" s="112" t="s">
        <v>9</v>
      </c>
      <c r="K29" s="112"/>
      <c r="L29" s="112" t="s">
        <v>40</v>
      </c>
      <c r="M29" s="112"/>
      <c r="N29" s="112" t="s">
        <v>55</v>
      </c>
      <c r="O29" s="112"/>
      <c r="S29" s="27" t="s">
        <v>49</v>
      </c>
      <c r="T29" s="27" t="s">
        <v>50</v>
      </c>
      <c r="U29" s="27" t="s">
        <v>51</v>
      </c>
      <c r="V29" s="27" t="s">
        <v>52</v>
      </c>
      <c r="W29" s="27" t="s">
        <v>54</v>
      </c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</row>
    <row r="30" spans="1:29" x14ac:dyDescent="0.25">
      <c r="A30" s="52"/>
      <c r="B30" s="21" t="s">
        <v>39</v>
      </c>
      <c r="C30" s="49">
        <v>209431501.28999999</v>
      </c>
      <c r="D30" s="26">
        <f>6.8%+2.7%</f>
        <v>9.5000000000000001E-2</v>
      </c>
      <c r="E30" s="23">
        <f>$C30*D30</f>
        <v>19895992.62255</v>
      </c>
      <c r="F30" s="26">
        <f>9.4%+1.1%</f>
        <v>0.105</v>
      </c>
      <c r="G30" s="23">
        <f>$C30*F30</f>
        <v>21990307.635449998</v>
      </c>
      <c r="H30" s="26">
        <f>57.9%+6.5%+4.5%+3.5%+2.9%</f>
        <v>0.753</v>
      </c>
      <c r="I30" s="23">
        <f>$C30*H30</f>
        <v>157701920.47136998</v>
      </c>
      <c r="J30" s="26">
        <v>0.108</v>
      </c>
      <c r="K30" s="23">
        <f>$C30*J30</f>
        <v>22618602.139319997</v>
      </c>
      <c r="L30" s="39">
        <v>5.7000000000000002E-2</v>
      </c>
      <c r="M30" s="23">
        <f>$C30*L30</f>
        <v>11937595.57353</v>
      </c>
      <c r="N30" s="26">
        <f>-0.6%+1.9%</f>
        <v>1.2999999999999999E-2</v>
      </c>
      <c r="O30" s="23">
        <f>$C30*N30</f>
        <v>2722609.5167699996</v>
      </c>
      <c r="S30" s="12">
        <f>E30-'Nov23'!E30</f>
        <v>-2149107.8969100006</v>
      </c>
      <c r="T30" s="12">
        <f>G30-'Nov23'!G30</f>
        <v>-14196932.839890003</v>
      </c>
      <c r="U30" s="12">
        <f>I30-'Nov23'!I30</f>
        <v>15448630.326929986</v>
      </c>
      <c r="V30" s="12">
        <f>K30-'Nov23'!K30</f>
        <v>-258388.96578000113</v>
      </c>
      <c r="W30" s="12">
        <f>+M30-'Nov23'!M30</f>
        <v>-124817.9182500001</v>
      </c>
      <c r="Y30" s="28">
        <f>D30-'Nov23'!D30</f>
        <v>-1.0999999999999996E-2</v>
      </c>
      <c r="Z30" s="28">
        <f>F30-'Nov23'!F30</f>
        <v>-6.900000000000002E-2</v>
      </c>
      <c r="AA30" s="28">
        <f>H30-'Nov23'!H30</f>
        <v>6.9000000000000061E-2</v>
      </c>
      <c r="AB30" s="28">
        <f>J30-'Nov23'!J30</f>
        <v>-2.0000000000000018E-3</v>
      </c>
      <c r="AC30" s="28">
        <f>L30-'Nov23'!L30</f>
        <v>-9.9999999999999395E-4</v>
      </c>
    </row>
    <row r="31" spans="1:29" hidden="1" outlineLevel="1" x14ac:dyDescent="0.25">
      <c r="A31" s="52"/>
      <c r="B31" s="3" t="s">
        <v>56</v>
      </c>
      <c r="C31" s="12"/>
      <c r="D31" s="14"/>
      <c r="E31" s="12"/>
      <c r="F31" s="14"/>
      <c r="G31" s="12"/>
      <c r="H31" s="14"/>
      <c r="I31" s="12"/>
      <c r="J31" s="14"/>
      <c r="K31" s="12"/>
      <c r="L31" s="14"/>
      <c r="M31" s="12"/>
      <c r="N31" s="14"/>
      <c r="O31" s="12"/>
      <c r="S31" s="12">
        <f>E31-'Nov23'!E31</f>
        <v>0</v>
      </c>
      <c r="T31" s="12">
        <f>G31-'Nov23'!G31</f>
        <v>0</v>
      </c>
      <c r="U31" s="12">
        <f>I31-'Nov23'!I31</f>
        <v>0</v>
      </c>
      <c r="V31" s="12">
        <f>K31-'Nov23'!K31</f>
        <v>0</v>
      </c>
      <c r="W31" s="12">
        <f>+M31-'Nov23'!M31</f>
        <v>0</v>
      </c>
      <c r="Y31" s="28">
        <f>D31-'Nov23'!D31</f>
        <v>0</v>
      </c>
      <c r="Z31" s="28">
        <f>F31-'Nov23'!F31</f>
        <v>0</v>
      </c>
      <c r="AA31" s="28">
        <f>H31-'Nov23'!H31</f>
        <v>0</v>
      </c>
      <c r="AB31" s="28">
        <f>J31-'Nov23'!J31</f>
        <v>0</v>
      </c>
      <c r="AC31" s="28">
        <f>L31-'Nov23'!L31</f>
        <v>0</v>
      </c>
    </row>
    <row r="32" spans="1:29" collapsed="1" x14ac:dyDescent="0.25">
      <c r="A32" s="52"/>
      <c r="B32" s="3" t="s">
        <v>42</v>
      </c>
      <c r="C32" s="40">
        <v>262160519</v>
      </c>
      <c r="D32" s="14">
        <v>0.05</v>
      </c>
      <c r="E32" s="12">
        <f>$C32*D32</f>
        <v>13108025.950000001</v>
      </c>
      <c r="F32" s="14">
        <f>11%</f>
        <v>0.11</v>
      </c>
      <c r="G32" s="12">
        <f>$C32*F32</f>
        <v>28837657.09</v>
      </c>
      <c r="H32" s="14">
        <f>49%+10%</f>
        <v>0.59</v>
      </c>
      <c r="I32" s="12">
        <f>$C32*H32</f>
        <v>154674706.20999998</v>
      </c>
      <c r="J32" s="14">
        <v>0.05</v>
      </c>
      <c r="K32" s="12">
        <f>$C32*J32</f>
        <v>13108025.950000001</v>
      </c>
      <c r="L32" s="14">
        <v>0.13</v>
      </c>
      <c r="M32" s="12">
        <f>$C32*L32</f>
        <v>34080867.469999999</v>
      </c>
      <c r="N32" s="14">
        <v>7.0000000000000007E-2</v>
      </c>
      <c r="O32" s="12">
        <f>$C32*N32</f>
        <v>18351236.330000002</v>
      </c>
      <c r="S32" s="12">
        <f>E32-'Nov23'!E32</f>
        <v>-4817833.4700000007</v>
      </c>
      <c r="T32" s="12">
        <f>G32-'Nov23'!G32</f>
        <v>-1892387.629999999</v>
      </c>
      <c r="U32" s="12">
        <f>I32-'Nov23'!I32</f>
        <v>-1536354.4500000179</v>
      </c>
      <c r="V32" s="12">
        <f>K32-'Nov23'!K32</f>
        <v>-4817833.4700000007</v>
      </c>
      <c r="W32" s="12">
        <f>+M32-'Nov23'!M32</f>
        <v>789985.68999999762</v>
      </c>
      <c r="Y32" s="28">
        <f>D32-'Nov23'!D32</f>
        <v>-2.0000000000000004E-2</v>
      </c>
      <c r="Z32" s="28">
        <f>F32-'Nov23'!F32</f>
        <v>-9.999999999999995E-3</v>
      </c>
      <c r="AA32" s="28">
        <f>H32-'Nov23'!H32</f>
        <v>-2.0000000000000018E-2</v>
      </c>
      <c r="AB32" s="28">
        <f>J32-'Nov23'!J32</f>
        <v>-2.0000000000000004E-2</v>
      </c>
      <c r="AC32" s="28">
        <f>L32-'Nov23'!L32</f>
        <v>0</v>
      </c>
    </row>
    <row r="33" spans="1:29" x14ac:dyDescent="0.25">
      <c r="A33" s="52"/>
      <c r="B33" s="3" t="s">
        <v>43</v>
      </c>
      <c r="C33" s="55">
        <v>317288721</v>
      </c>
      <c r="D33" s="14">
        <v>0.13</v>
      </c>
      <c r="E33" s="12">
        <f t="shared" ref="E33:E34" si="46">$C33*D33</f>
        <v>41247533.730000004</v>
      </c>
      <c r="F33" s="14">
        <f>12%+1%</f>
        <v>0.13</v>
      </c>
      <c r="G33" s="12">
        <f t="shared" ref="G33:G34" si="47">$C33*F33</f>
        <v>41247533.730000004</v>
      </c>
      <c r="H33" s="14">
        <f>57%+1%</f>
        <v>0.57999999999999996</v>
      </c>
      <c r="I33" s="12">
        <f>$C33*H33</f>
        <v>184027458.17999998</v>
      </c>
      <c r="J33" s="14">
        <v>0.16</v>
      </c>
      <c r="K33" s="12">
        <f t="shared" ref="K33:K34" si="48">$C33*J33</f>
        <v>50766195.359999999</v>
      </c>
      <c r="L33" s="14"/>
      <c r="M33" s="12">
        <f t="shared" ref="M33:M34" si="49">$C33*L33</f>
        <v>0</v>
      </c>
      <c r="N33" s="14"/>
      <c r="O33" s="12"/>
      <c r="S33" s="12">
        <f>E33-'Nov23'!E33</f>
        <v>-43197512.229999989</v>
      </c>
      <c r="T33" s="12">
        <f>G33-'Nov23'!G33</f>
        <v>-50874334.589999989</v>
      </c>
      <c r="U33" s="12">
        <f>I33-'Nov23'!I33</f>
        <v>-291935528.13999999</v>
      </c>
      <c r="V33" s="12">
        <f>K33-'Nov23'!K33</f>
        <v>-64386140.039999992</v>
      </c>
      <c r="W33" s="12">
        <f>+M33-'Nov23'!M33</f>
        <v>0</v>
      </c>
      <c r="Y33" s="28">
        <f>D33-'Nov23'!D33</f>
        <v>2.0000000000000004E-2</v>
      </c>
      <c r="Z33" s="28">
        <f>F33-'Nov23'!F33</f>
        <v>1.0000000000000009E-2</v>
      </c>
      <c r="AA33" s="28">
        <f>H33-'Nov23'!H33</f>
        <v>-4.0000000000000036E-2</v>
      </c>
      <c r="AB33" s="28">
        <f>J33-'Nov23'!J33</f>
        <v>1.0000000000000009E-2</v>
      </c>
      <c r="AC33" s="28">
        <f>L33-'Nov23'!L33</f>
        <v>0</v>
      </c>
    </row>
    <row r="34" spans="1:29" x14ac:dyDescent="0.25">
      <c r="A34" s="52"/>
      <c r="B34" s="3" t="s">
        <v>44</v>
      </c>
      <c r="C34" s="40">
        <v>18300000</v>
      </c>
      <c r="D34" s="14">
        <v>0.16</v>
      </c>
      <c r="E34" s="12">
        <f t="shared" si="46"/>
        <v>2928000</v>
      </c>
      <c r="F34" s="14"/>
      <c r="G34" s="12">
        <f t="shared" si="47"/>
        <v>0</v>
      </c>
      <c r="H34" s="14">
        <v>0.49</v>
      </c>
      <c r="I34" s="12">
        <f>$C34*H34</f>
        <v>8967000</v>
      </c>
      <c r="J34" s="14">
        <v>0.06</v>
      </c>
      <c r="K34" s="12">
        <f t="shared" si="48"/>
        <v>1098000</v>
      </c>
      <c r="L34" s="14">
        <v>0.28999999999999998</v>
      </c>
      <c r="M34" s="12">
        <f t="shared" si="49"/>
        <v>5307000</v>
      </c>
      <c r="N34" s="14"/>
      <c r="O34" s="12"/>
      <c r="S34" s="12">
        <f>E34-'Nov23'!E34</f>
        <v>-7600000.0000000019</v>
      </c>
      <c r="T34" s="12">
        <f>G34-'Nov23'!G34</f>
        <v>0</v>
      </c>
      <c r="U34" s="12">
        <f>I34-'Nov23'!I34</f>
        <v>-4945000</v>
      </c>
      <c r="V34" s="12">
        <f>K34-'Nov23'!K34</f>
        <v>-1158000</v>
      </c>
      <c r="W34" s="12">
        <f>+M34-'Nov23'!M34</f>
        <v>-5597000</v>
      </c>
      <c r="Y34" s="28">
        <f>D34-'Nov23'!D34</f>
        <v>-0.12000000000000002</v>
      </c>
      <c r="Z34" s="28">
        <f>F34-'Nov23'!F34</f>
        <v>0</v>
      </c>
      <c r="AA34" s="28">
        <f>H34-'Nov23'!H34</f>
        <v>0.12</v>
      </c>
      <c r="AB34" s="28">
        <f>J34-'Nov23'!J34</f>
        <v>0</v>
      </c>
      <c r="AC34" s="28">
        <f>L34-'Nov23'!L34</f>
        <v>0</v>
      </c>
    </row>
    <row r="35" spans="1:29" s="8" customFormat="1" x14ac:dyDescent="0.25">
      <c r="A35" s="52"/>
      <c r="B35" s="3" t="s">
        <v>45</v>
      </c>
      <c r="C35" s="17">
        <f>SUM(C30:C34)</f>
        <v>807180741.28999996</v>
      </c>
      <c r="D35" s="15">
        <f>+E35/$C35</f>
        <v>9.5616196416189403E-2</v>
      </c>
      <c r="E35" s="17">
        <f>SUM(E30:E34)</f>
        <v>77179552.302550003</v>
      </c>
      <c r="F35" s="15">
        <f>+G35/$C35</f>
        <v>0.11407048476937033</v>
      </c>
      <c r="G35" s="17">
        <f>SUM(G30:G34)</f>
        <v>92075498.455449998</v>
      </c>
      <c r="H35" s="15">
        <f>+I35/$C35</f>
        <v>0.62609408154821511</v>
      </c>
      <c r="I35" s="17">
        <f>SUM(I30:I34)</f>
        <v>505371084.86136997</v>
      </c>
      <c r="J35" s="15">
        <f>+K35/$C35</f>
        <v>0.10851451102430451</v>
      </c>
      <c r="K35" s="17">
        <f>SUM(K30:K34)</f>
        <v>87590823.449319988</v>
      </c>
      <c r="L35" s="15">
        <f>+M35/$C35</f>
        <v>6.3586084773905718E-2</v>
      </c>
      <c r="M35" s="17">
        <f>SUM(M30:M34)</f>
        <v>51325463.043530002</v>
      </c>
      <c r="N35" s="15">
        <f>+O35/$C35</f>
        <v>2.6107964138354849E-2</v>
      </c>
      <c r="O35" s="17">
        <f>SUM(O30:O34)</f>
        <v>21073845.846770003</v>
      </c>
      <c r="S35" s="12">
        <f>E35-'Nov23'!E35</f>
        <v>-57764453.596909985</v>
      </c>
      <c r="T35" s="12">
        <f>G35-'Nov23'!G35</f>
        <v>-66963655.059890002</v>
      </c>
      <c r="U35" s="12">
        <f>I35-'Nov23'!I35</f>
        <v>-282968252.26306999</v>
      </c>
      <c r="V35" s="12">
        <f>K35-'Nov23'!K35</f>
        <v>-70620362.47578001</v>
      </c>
      <c r="W35" s="12">
        <f>+M35-'Nov23'!M35</f>
        <v>-4931832.2282499969</v>
      </c>
      <c r="Y35" s="28">
        <f>D35-'Nov23'!D35</f>
        <v>-1.0694292472747377E-2</v>
      </c>
      <c r="Z35" s="28">
        <f>F35-'Nov23'!F35</f>
        <v>-1.12224472879114E-2</v>
      </c>
      <c r="AA35" s="28">
        <f>H35-'Nov23'!H35</f>
        <v>5.0309985201237861E-3</v>
      </c>
      <c r="AB35" s="28">
        <f>J35-'Nov23'!J35</f>
        <v>-1.6126138341975807E-2</v>
      </c>
      <c r="AC35" s="28">
        <f>L35-'Nov23'!L35</f>
        <v>1.9265920094874676E-2</v>
      </c>
    </row>
    <row r="36" spans="1:29" x14ac:dyDescent="0.25">
      <c r="A36" s="52"/>
    </row>
    <row r="37" spans="1:29" x14ac:dyDescent="0.25">
      <c r="A37" s="52"/>
      <c r="E37"/>
    </row>
    <row r="38" spans="1:29" x14ac:dyDescent="0.25">
      <c r="A38" s="52"/>
      <c r="D38" s="38"/>
    </row>
    <row r="39" spans="1:29" x14ac:dyDescent="0.25">
      <c r="C39" s="30"/>
      <c r="D39" s="35"/>
    </row>
    <row r="40" spans="1:29" x14ac:dyDescent="0.25">
      <c r="C40" s="37"/>
      <c r="D40" s="35"/>
    </row>
    <row r="41" spans="1:29" x14ac:dyDescent="0.25">
      <c r="C41" s="37"/>
      <c r="D41" s="35"/>
    </row>
    <row r="42" spans="1:29" x14ac:dyDescent="0.25">
      <c r="C42" s="37"/>
      <c r="D42" s="35"/>
    </row>
    <row r="43" spans="1:29" x14ac:dyDescent="0.25">
      <c r="C43" s="37"/>
      <c r="D43" s="35"/>
    </row>
    <row r="44" spans="1:29" x14ac:dyDescent="0.25">
      <c r="C44" s="37"/>
      <c r="D44" s="35"/>
      <c r="E44" s="37"/>
    </row>
    <row r="45" spans="1:29" x14ac:dyDescent="0.25">
      <c r="C45" s="37"/>
      <c r="D45" s="35"/>
    </row>
    <row r="46" spans="1:29" x14ac:dyDescent="0.25">
      <c r="C46" s="37"/>
      <c r="D46" s="35"/>
    </row>
    <row r="47" spans="1:29" x14ac:dyDescent="0.25">
      <c r="C47" s="37"/>
      <c r="D47" s="35"/>
    </row>
    <row r="48" spans="1:29" x14ac:dyDescent="0.25">
      <c r="C48" s="37"/>
      <c r="D48" s="35"/>
    </row>
    <row r="49" spans="3:4" x14ac:dyDescent="0.25">
      <c r="C49" s="37"/>
      <c r="D49" s="35"/>
    </row>
    <row r="50" spans="3:4" x14ac:dyDescent="0.25">
      <c r="C50" s="37"/>
      <c r="D50" s="35"/>
    </row>
    <row r="51" spans="3:4" x14ac:dyDescent="0.25">
      <c r="C51" s="37"/>
      <c r="D51" s="35"/>
    </row>
    <row r="52" spans="3:4" x14ac:dyDescent="0.25">
      <c r="C52" s="37"/>
      <c r="D52" s="35"/>
    </row>
    <row r="53" spans="3:4" x14ac:dyDescent="0.25">
      <c r="C53" s="37"/>
      <c r="D53" s="35"/>
    </row>
    <row r="54" spans="3:4" x14ac:dyDescent="0.25">
      <c r="C54" s="37"/>
      <c r="D54" s="35"/>
    </row>
    <row r="55" spans="3:4" x14ac:dyDescent="0.25">
      <c r="C55" s="37"/>
      <c r="D55" s="35"/>
    </row>
    <row r="56" spans="3:4" x14ac:dyDescent="0.25">
      <c r="C56" s="37"/>
      <c r="D56" s="35"/>
    </row>
    <row r="57" spans="3:4" x14ac:dyDescent="0.25">
      <c r="C57" s="37"/>
      <c r="D57" s="35"/>
    </row>
    <row r="58" spans="3:4" x14ac:dyDescent="0.25">
      <c r="C58" s="37"/>
      <c r="D58" s="35"/>
    </row>
    <row r="59" spans="3:4" x14ac:dyDescent="0.25">
      <c r="C59" s="37"/>
      <c r="D59" s="35"/>
    </row>
    <row r="60" spans="3:4" x14ac:dyDescent="0.25">
      <c r="C60" s="37"/>
      <c r="D60" s="35"/>
    </row>
    <row r="61" spans="3:4" x14ac:dyDescent="0.25">
      <c r="C61" s="37"/>
      <c r="D61" s="35"/>
    </row>
    <row r="62" spans="3:4" x14ac:dyDescent="0.25">
      <c r="C62" s="37"/>
      <c r="D62" s="35"/>
    </row>
    <row r="63" spans="3:4" x14ac:dyDescent="0.25">
      <c r="C63" s="37"/>
      <c r="D63" s="35"/>
    </row>
    <row r="64" spans="3:4" x14ac:dyDescent="0.25">
      <c r="C64" s="37"/>
      <c r="D64" s="35"/>
    </row>
    <row r="65" spans="3:4" x14ac:dyDescent="0.25">
      <c r="C65" s="37"/>
      <c r="D65" s="35"/>
    </row>
    <row r="66" spans="3:4" x14ac:dyDescent="0.25">
      <c r="C66" s="37"/>
      <c r="D66" s="35"/>
    </row>
    <row r="67" spans="3:4" x14ac:dyDescent="0.25">
      <c r="C67" s="37"/>
      <c r="D67" s="35"/>
    </row>
    <row r="68" spans="3:4" x14ac:dyDescent="0.25">
      <c r="C68" s="37"/>
      <c r="D68" s="35"/>
    </row>
    <row r="69" spans="3:4" x14ac:dyDescent="0.25">
      <c r="C69" s="37"/>
      <c r="D69" s="35"/>
    </row>
    <row r="70" spans="3:4" x14ac:dyDescent="0.25">
      <c r="C70" s="37"/>
      <c r="D70" s="35"/>
    </row>
    <row r="71" spans="3:4" x14ac:dyDescent="0.25">
      <c r="C71" s="37"/>
      <c r="D71" s="35"/>
    </row>
    <row r="72" spans="3:4" x14ac:dyDescent="0.25">
      <c r="C72" s="37"/>
      <c r="D72" s="35"/>
    </row>
    <row r="73" spans="3:4" x14ac:dyDescent="0.25">
      <c r="C73" s="37"/>
      <c r="D73" s="35"/>
    </row>
    <row r="74" spans="3:4" x14ac:dyDescent="0.25">
      <c r="C74" s="37"/>
      <c r="D74" s="35"/>
    </row>
    <row r="75" spans="3:4" x14ac:dyDescent="0.25">
      <c r="C75" s="37"/>
      <c r="D75" s="35"/>
    </row>
    <row r="76" spans="3:4" x14ac:dyDescent="0.25">
      <c r="C76" s="37"/>
      <c r="D76" s="35"/>
    </row>
    <row r="77" spans="3:4" x14ac:dyDescent="0.25">
      <c r="C77" s="37"/>
      <c r="D77" s="35"/>
    </row>
    <row r="78" spans="3:4" x14ac:dyDescent="0.25">
      <c r="C78" s="37"/>
      <c r="D78" s="35"/>
    </row>
    <row r="79" spans="3:4" x14ac:dyDescent="0.25">
      <c r="C79" s="37"/>
      <c r="D79" s="35"/>
    </row>
    <row r="80" spans="3:4" x14ac:dyDescent="0.25">
      <c r="C80" s="37"/>
      <c r="D80" s="35"/>
    </row>
    <row r="81" spans="3:4" x14ac:dyDescent="0.25">
      <c r="C81" s="37"/>
      <c r="D81" s="35"/>
    </row>
    <row r="82" spans="3:4" x14ac:dyDescent="0.25">
      <c r="C82" s="37"/>
      <c r="D82" s="35"/>
    </row>
    <row r="83" spans="3:4" x14ac:dyDescent="0.25">
      <c r="C83" s="37"/>
      <c r="D83" s="35"/>
    </row>
    <row r="84" spans="3:4" x14ac:dyDescent="0.25">
      <c r="C84" s="37"/>
      <c r="D84" s="35"/>
    </row>
    <row r="85" spans="3:4" x14ac:dyDescent="0.25">
      <c r="C85" s="37"/>
      <c r="D85" s="35"/>
    </row>
    <row r="86" spans="3:4" x14ac:dyDescent="0.25">
      <c r="C86" s="37"/>
      <c r="D86" s="35"/>
    </row>
    <row r="87" spans="3:4" x14ac:dyDescent="0.25">
      <c r="C87" s="37"/>
      <c r="D87" s="35"/>
    </row>
    <row r="88" spans="3:4" x14ac:dyDescent="0.25">
      <c r="C88" s="37"/>
      <c r="D88" s="35"/>
    </row>
    <row r="89" spans="3:4" x14ac:dyDescent="0.25">
      <c r="C89" s="37"/>
      <c r="D89" s="35"/>
    </row>
    <row r="90" spans="3:4" x14ac:dyDescent="0.25">
      <c r="C90" s="37"/>
      <c r="D90" s="35"/>
    </row>
    <row r="91" spans="3:4" x14ac:dyDescent="0.25">
      <c r="C91" s="37"/>
      <c r="D91" s="35"/>
    </row>
    <row r="92" spans="3:4" x14ac:dyDescent="0.25">
      <c r="C92" s="37"/>
      <c r="D92" s="35"/>
    </row>
    <row r="93" spans="3:4" x14ac:dyDescent="0.25">
      <c r="C93" s="37"/>
      <c r="D93" s="35"/>
    </row>
    <row r="94" spans="3:4" x14ac:dyDescent="0.25">
      <c r="C94" s="37"/>
      <c r="D94" s="35"/>
    </row>
    <row r="95" spans="3:4" x14ac:dyDescent="0.25">
      <c r="C95" s="37"/>
      <c r="D95" s="35"/>
    </row>
    <row r="96" spans="3:4" x14ac:dyDescent="0.25">
      <c r="C96" s="37"/>
      <c r="D96" s="35"/>
    </row>
    <row r="97" spans="3:4" x14ac:dyDescent="0.25">
      <c r="C97" s="37"/>
      <c r="D97" s="35"/>
    </row>
    <row r="98" spans="3:4" x14ac:dyDescent="0.25">
      <c r="C98" s="37"/>
      <c r="D98" s="35"/>
    </row>
    <row r="99" spans="3:4" x14ac:dyDescent="0.25">
      <c r="C99" s="37"/>
      <c r="D99" s="35"/>
    </row>
    <row r="100" spans="3:4" x14ac:dyDescent="0.25">
      <c r="C100" s="37"/>
      <c r="D100" s="35"/>
    </row>
    <row r="101" spans="3:4" x14ac:dyDescent="0.25">
      <c r="C101" s="37"/>
      <c r="D101" s="35"/>
    </row>
    <row r="102" spans="3:4" x14ac:dyDescent="0.25">
      <c r="C102" s="37"/>
      <c r="D102" s="35"/>
    </row>
    <row r="103" spans="3:4" x14ac:dyDescent="0.25">
      <c r="C103" s="37"/>
      <c r="D103" s="35"/>
    </row>
    <row r="104" spans="3:4" x14ac:dyDescent="0.25">
      <c r="C104" s="37"/>
      <c r="D104" s="35"/>
    </row>
    <row r="105" spans="3:4" x14ac:dyDescent="0.25">
      <c r="C105" s="37"/>
      <c r="D105" s="35"/>
    </row>
    <row r="106" spans="3:4" x14ac:dyDescent="0.25">
      <c r="C106" s="37"/>
      <c r="D106" s="35"/>
    </row>
    <row r="107" spans="3:4" x14ac:dyDescent="0.25">
      <c r="C107" s="37"/>
      <c r="D107" s="35"/>
    </row>
    <row r="108" spans="3:4" x14ac:dyDescent="0.25">
      <c r="C108" s="37"/>
      <c r="D108" s="35"/>
    </row>
    <row r="109" spans="3:4" x14ac:dyDescent="0.25">
      <c r="C109" s="37"/>
      <c r="D109" s="35"/>
    </row>
    <row r="110" spans="3:4" x14ac:dyDescent="0.25">
      <c r="C110" s="37"/>
      <c r="D110" s="35"/>
    </row>
    <row r="111" spans="3:4" x14ac:dyDescent="0.25">
      <c r="C111" s="37"/>
      <c r="D111" s="35"/>
    </row>
    <row r="112" spans="3:4" x14ac:dyDescent="0.25">
      <c r="C112" s="37"/>
      <c r="D112" s="35"/>
    </row>
    <row r="113" spans="3:4" x14ac:dyDescent="0.25">
      <c r="C113" s="37"/>
      <c r="D113" s="35"/>
    </row>
    <row r="114" spans="3:4" x14ac:dyDescent="0.25">
      <c r="C114" s="37"/>
      <c r="D114" s="35"/>
    </row>
    <row r="115" spans="3:4" x14ac:dyDescent="0.25">
      <c r="C115" s="37"/>
      <c r="D115" s="35"/>
    </row>
    <row r="116" spans="3:4" x14ac:dyDescent="0.25">
      <c r="C116" s="37"/>
      <c r="D116" s="35"/>
    </row>
    <row r="117" spans="3:4" x14ac:dyDescent="0.25">
      <c r="C117" s="37"/>
      <c r="D117" s="35"/>
    </row>
    <row r="118" spans="3:4" x14ac:dyDescent="0.25">
      <c r="C118" s="37"/>
      <c r="D118" s="35"/>
    </row>
    <row r="119" spans="3:4" x14ac:dyDescent="0.25">
      <c r="C119" s="37"/>
      <c r="D119" s="35"/>
    </row>
    <row r="120" spans="3:4" x14ac:dyDescent="0.25">
      <c r="C120" s="37"/>
      <c r="D120" s="35"/>
    </row>
    <row r="121" spans="3:4" x14ac:dyDescent="0.25">
      <c r="C121" s="37"/>
      <c r="D121" s="35"/>
    </row>
    <row r="122" spans="3:4" x14ac:dyDescent="0.25">
      <c r="C122" s="37"/>
      <c r="D122" s="35"/>
    </row>
    <row r="123" spans="3:4" x14ac:dyDescent="0.25">
      <c r="C123" s="37"/>
      <c r="D123" s="35"/>
    </row>
    <row r="124" spans="3:4" x14ac:dyDescent="0.25">
      <c r="C124" s="37"/>
      <c r="D124" s="35"/>
    </row>
    <row r="125" spans="3:4" x14ac:dyDescent="0.25">
      <c r="C125" s="37"/>
      <c r="D125" s="35"/>
    </row>
    <row r="126" spans="3:4" x14ac:dyDescent="0.25">
      <c r="C126" s="37"/>
      <c r="D126" s="35"/>
    </row>
    <row r="127" spans="3:4" x14ac:dyDescent="0.25">
      <c r="C127" s="37"/>
      <c r="D127" s="35"/>
    </row>
    <row r="128" spans="3:4" x14ac:dyDescent="0.25">
      <c r="C128" s="37"/>
      <c r="D128" s="35"/>
    </row>
    <row r="129" spans="3:4" x14ac:dyDescent="0.25">
      <c r="C129" s="37"/>
      <c r="D129" s="35"/>
    </row>
    <row r="130" spans="3:4" x14ac:dyDescent="0.25">
      <c r="C130" s="37"/>
      <c r="D130" s="35"/>
    </row>
    <row r="131" spans="3:4" x14ac:dyDescent="0.25">
      <c r="C131" s="37"/>
      <c r="D131" s="35"/>
    </row>
    <row r="132" spans="3:4" x14ac:dyDescent="0.25">
      <c r="C132" s="37"/>
      <c r="D132" s="35"/>
    </row>
    <row r="133" spans="3:4" x14ac:dyDescent="0.25">
      <c r="C133" s="37"/>
      <c r="D133" s="35"/>
    </row>
    <row r="134" spans="3:4" x14ac:dyDescent="0.25">
      <c r="C134" s="37"/>
      <c r="D134" s="35"/>
    </row>
    <row r="135" spans="3:4" x14ac:dyDescent="0.25">
      <c r="C135" s="37"/>
      <c r="D135" s="35"/>
    </row>
    <row r="136" spans="3:4" x14ac:dyDescent="0.25">
      <c r="C136" s="37"/>
      <c r="D136" s="35"/>
    </row>
    <row r="137" spans="3:4" x14ac:dyDescent="0.25">
      <c r="C137" s="37"/>
      <c r="D137" s="35"/>
    </row>
    <row r="138" spans="3:4" x14ac:dyDescent="0.25">
      <c r="C138" s="37"/>
      <c r="D138" s="35"/>
    </row>
    <row r="139" spans="3:4" x14ac:dyDescent="0.25">
      <c r="C139" s="37"/>
      <c r="D139" s="35"/>
    </row>
    <row r="140" spans="3:4" x14ac:dyDescent="0.25">
      <c r="C140" s="37"/>
      <c r="D140" s="35"/>
    </row>
    <row r="141" spans="3:4" x14ac:dyDescent="0.25">
      <c r="C141" s="37"/>
      <c r="D141" s="35"/>
    </row>
    <row r="142" spans="3:4" x14ac:dyDescent="0.25">
      <c r="C142" s="37"/>
      <c r="D142" s="35"/>
    </row>
    <row r="143" spans="3:4" x14ac:dyDescent="0.25">
      <c r="C143" s="37"/>
      <c r="D143" s="35"/>
    </row>
    <row r="144" spans="3:4" x14ac:dyDescent="0.25">
      <c r="C144" s="37"/>
      <c r="D144" s="35"/>
    </row>
    <row r="145" spans="3:4" x14ac:dyDescent="0.25">
      <c r="C145" s="37"/>
      <c r="D145" s="35"/>
    </row>
    <row r="146" spans="3:4" x14ac:dyDescent="0.25">
      <c r="C146" s="37"/>
      <c r="D146" s="35"/>
    </row>
    <row r="147" spans="3:4" x14ac:dyDescent="0.25">
      <c r="C147" s="37"/>
      <c r="D147" s="35"/>
    </row>
    <row r="148" spans="3:4" x14ac:dyDescent="0.25">
      <c r="C148" s="37"/>
      <c r="D148" s="35"/>
    </row>
    <row r="149" spans="3:4" x14ac:dyDescent="0.25">
      <c r="C149" s="37"/>
      <c r="D149" s="35"/>
    </row>
    <row r="150" spans="3:4" x14ac:dyDescent="0.25">
      <c r="C150" s="37"/>
      <c r="D150" s="35"/>
    </row>
    <row r="151" spans="3:4" x14ac:dyDescent="0.25">
      <c r="C151" s="37"/>
      <c r="D151" s="35"/>
    </row>
    <row r="152" spans="3:4" x14ac:dyDescent="0.25">
      <c r="C152" s="37"/>
      <c r="D152" s="35"/>
    </row>
    <row r="153" spans="3:4" x14ac:dyDescent="0.25">
      <c r="C153" s="37"/>
      <c r="D153" s="35"/>
    </row>
    <row r="154" spans="3:4" x14ac:dyDescent="0.25">
      <c r="C154" s="37"/>
      <c r="D154" s="35"/>
    </row>
    <row r="155" spans="3:4" x14ac:dyDescent="0.25">
      <c r="C155" s="37"/>
      <c r="D155" s="35"/>
    </row>
    <row r="156" spans="3:4" x14ac:dyDescent="0.25">
      <c r="C156" s="37"/>
      <c r="D156" s="35"/>
    </row>
    <row r="157" spans="3:4" x14ac:dyDescent="0.25">
      <c r="C157" s="37"/>
      <c r="D157" s="35"/>
    </row>
    <row r="158" spans="3:4" x14ac:dyDescent="0.25">
      <c r="C158" s="37"/>
      <c r="D158" s="35"/>
    </row>
    <row r="159" spans="3:4" x14ac:dyDescent="0.25">
      <c r="C159" s="37"/>
      <c r="D159" s="35"/>
    </row>
    <row r="160" spans="3:4" x14ac:dyDescent="0.25">
      <c r="C160" s="37"/>
      <c r="D160" s="35"/>
    </row>
    <row r="161" spans="3:4" x14ac:dyDescent="0.25">
      <c r="C161" s="37"/>
      <c r="D161" s="35"/>
    </row>
    <row r="162" spans="3:4" x14ac:dyDescent="0.25">
      <c r="C162" s="37"/>
      <c r="D162" s="35"/>
    </row>
    <row r="163" spans="3:4" x14ac:dyDescent="0.25">
      <c r="C163" s="37"/>
      <c r="D163" s="35"/>
    </row>
    <row r="164" spans="3:4" x14ac:dyDescent="0.25">
      <c r="C164" s="37"/>
      <c r="D164" s="35"/>
    </row>
    <row r="165" spans="3:4" x14ac:dyDescent="0.25">
      <c r="C165" s="37"/>
      <c r="D165" s="35"/>
    </row>
    <row r="166" spans="3:4" x14ac:dyDescent="0.25">
      <c r="C166" s="37"/>
      <c r="D166" s="35"/>
    </row>
    <row r="167" spans="3:4" x14ac:dyDescent="0.25">
      <c r="C167" s="37"/>
      <c r="D167" s="35"/>
    </row>
    <row r="168" spans="3:4" x14ac:dyDescent="0.25">
      <c r="C168" s="37"/>
      <c r="D168" s="35"/>
    </row>
    <row r="169" spans="3:4" x14ac:dyDescent="0.25">
      <c r="C169" s="37"/>
      <c r="D169" s="35"/>
    </row>
    <row r="170" spans="3:4" x14ac:dyDescent="0.25">
      <c r="C170" s="37"/>
      <c r="D170" s="35"/>
    </row>
    <row r="171" spans="3:4" x14ac:dyDescent="0.25">
      <c r="C171" s="37"/>
      <c r="D171" s="35"/>
    </row>
    <row r="172" spans="3:4" x14ac:dyDescent="0.25">
      <c r="C172" s="37"/>
      <c r="D172" s="35"/>
    </row>
    <row r="173" spans="3:4" x14ac:dyDescent="0.25">
      <c r="C173" s="37"/>
      <c r="D173" s="35"/>
    </row>
    <row r="174" spans="3:4" x14ac:dyDescent="0.25">
      <c r="C174" s="37"/>
      <c r="D174" s="35"/>
    </row>
    <row r="175" spans="3:4" x14ac:dyDescent="0.25">
      <c r="C175" s="37"/>
      <c r="D175" s="35"/>
    </row>
    <row r="176" spans="3:4" x14ac:dyDescent="0.25">
      <c r="C176" s="37"/>
      <c r="D176" s="35"/>
    </row>
    <row r="177" spans="3:4" x14ac:dyDescent="0.25">
      <c r="C177" s="37"/>
      <c r="D177" s="35"/>
    </row>
    <row r="178" spans="3:4" x14ac:dyDescent="0.25">
      <c r="C178" s="37"/>
      <c r="D178" s="35"/>
    </row>
    <row r="179" spans="3:4" x14ac:dyDescent="0.25">
      <c r="C179" s="37"/>
      <c r="D179" s="35"/>
    </row>
    <row r="180" spans="3:4" x14ac:dyDescent="0.25">
      <c r="C180" s="37"/>
      <c r="D180" s="35"/>
    </row>
    <row r="181" spans="3:4" x14ac:dyDescent="0.25">
      <c r="C181" s="37"/>
      <c r="D181" s="35"/>
    </row>
    <row r="182" spans="3:4" x14ac:dyDescent="0.25">
      <c r="C182" s="37"/>
      <c r="D182" s="35"/>
    </row>
    <row r="183" spans="3:4" x14ac:dyDescent="0.25">
      <c r="C183" s="37"/>
      <c r="D183" s="35"/>
    </row>
    <row r="184" spans="3:4" x14ac:dyDescent="0.25">
      <c r="C184" s="37"/>
      <c r="D184" s="35"/>
    </row>
    <row r="185" spans="3:4" x14ac:dyDescent="0.25">
      <c r="C185" s="37"/>
      <c r="D185" s="35"/>
    </row>
    <row r="186" spans="3:4" x14ac:dyDescent="0.25">
      <c r="C186" s="37"/>
      <c r="D186" s="35"/>
    </row>
    <row r="187" spans="3:4" x14ac:dyDescent="0.25">
      <c r="C187" s="37"/>
      <c r="D187" s="35"/>
    </row>
    <row r="188" spans="3:4" x14ac:dyDescent="0.25">
      <c r="C188" s="37"/>
      <c r="D188" s="35"/>
    </row>
    <row r="189" spans="3:4" x14ac:dyDescent="0.25">
      <c r="C189" s="37"/>
      <c r="D189" s="35"/>
    </row>
    <row r="190" spans="3:4" x14ac:dyDescent="0.25">
      <c r="C190" s="37"/>
      <c r="D190" s="35"/>
    </row>
    <row r="191" spans="3:4" x14ac:dyDescent="0.25">
      <c r="C191" s="37"/>
      <c r="D191" s="35"/>
    </row>
    <row r="192" spans="3:4" x14ac:dyDescent="0.25">
      <c r="C192" s="37"/>
      <c r="D192" s="35"/>
    </row>
    <row r="193" spans="3:4" x14ac:dyDescent="0.25">
      <c r="C193" s="37"/>
      <c r="D193" s="35"/>
    </row>
    <row r="194" spans="3:4" x14ac:dyDescent="0.25">
      <c r="C194" s="37"/>
      <c r="D194" s="35"/>
    </row>
    <row r="195" spans="3:4" x14ac:dyDescent="0.25">
      <c r="C195" s="37"/>
      <c r="D195" s="35"/>
    </row>
    <row r="196" spans="3:4" x14ac:dyDescent="0.25">
      <c r="C196" s="37"/>
      <c r="D196" s="35"/>
    </row>
    <row r="197" spans="3:4" x14ac:dyDescent="0.25">
      <c r="C197" s="37"/>
      <c r="D197" s="35"/>
    </row>
    <row r="198" spans="3:4" x14ac:dyDescent="0.25">
      <c r="C198" s="37"/>
      <c r="D198" s="35"/>
    </row>
    <row r="199" spans="3:4" x14ac:dyDescent="0.25">
      <c r="C199" s="37"/>
      <c r="D199" s="35"/>
    </row>
    <row r="200" spans="3:4" x14ac:dyDescent="0.25">
      <c r="C200" s="37"/>
      <c r="D200" s="35"/>
    </row>
    <row r="201" spans="3:4" x14ac:dyDescent="0.25">
      <c r="C201" s="37"/>
      <c r="D201" s="35"/>
    </row>
    <row r="202" spans="3:4" x14ac:dyDescent="0.25">
      <c r="C202" s="37"/>
      <c r="D202" s="35"/>
    </row>
    <row r="203" spans="3:4" x14ac:dyDescent="0.25">
      <c r="C203" s="37"/>
      <c r="D203" s="35"/>
    </row>
    <row r="204" spans="3:4" x14ac:dyDescent="0.25">
      <c r="C204" s="37"/>
      <c r="D204" s="35"/>
    </row>
    <row r="205" spans="3:4" x14ac:dyDescent="0.25">
      <c r="C205" s="37"/>
      <c r="D205" s="35"/>
    </row>
    <row r="206" spans="3:4" x14ac:dyDescent="0.25">
      <c r="C206" s="37"/>
      <c r="D206" s="35"/>
    </row>
    <row r="207" spans="3:4" x14ac:dyDescent="0.25">
      <c r="C207" s="37"/>
      <c r="D207" s="35"/>
    </row>
    <row r="208" spans="3:4" x14ac:dyDescent="0.25">
      <c r="C208" s="37"/>
      <c r="D208" s="35"/>
    </row>
    <row r="209" spans="3:4" x14ac:dyDescent="0.25">
      <c r="C209" s="37"/>
      <c r="D209" s="35"/>
    </row>
    <row r="210" spans="3:4" x14ac:dyDescent="0.25">
      <c r="C210" s="37"/>
      <c r="D210" s="35"/>
    </row>
    <row r="211" spans="3:4" x14ac:dyDescent="0.25">
      <c r="C211" s="37"/>
      <c r="D211" s="35"/>
    </row>
    <row r="212" spans="3:4" x14ac:dyDescent="0.25">
      <c r="C212" s="37"/>
      <c r="D212" s="35"/>
    </row>
    <row r="213" spans="3:4" x14ac:dyDescent="0.25">
      <c r="C213" s="37"/>
      <c r="D213" s="35"/>
    </row>
    <row r="214" spans="3:4" x14ac:dyDescent="0.25">
      <c r="C214" s="37"/>
      <c r="D214" s="35"/>
    </row>
    <row r="215" spans="3:4" x14ac:dyDescent="0.25">
      <c r="C215" s="37"/>
      <c r="D215" s="35"/>
    </row>
    <row r="216" spans="3:4" x14ac:dyDescent="0.25">
      <c r="C216" s="37"/>
      <c r="D216" s="35"/>
    </row>
    <row r="217" spans="3:4" x14ac:dyDescent="0.25">
      <c r="C217" s="37"/>
      <c r="D217" s="35"/>
    </row>
    <row r="218" spans="3:4" x14ac:dyDescent="0.25">
      <c r="C218" s="37"/>
      <c r="D218" s="35"/>
    </row>
    <row r="219" spans="3:4" x14ac:dyDescent="0.25">
      <c r="C219" s="37"/>
      <c r="D219" s="35"/>
    </row>
    <row r="220" spans="3:4" x14ac:dyDescent="0.25">
      <c r="C220" s="37"/>
      <c r="D220" s="35"/>
    </row>
    <row r="221" spans="3:4" x14ac:dyDescent="0.25">
      <c r="C221" s="37"/>
      <c r="D221" s="35"/>
    </row>
    <row r="222" spans="3:4" x14ac:dyDescent="0.25">
      <c r="C222" s="37"/>
      <c r="D222" s="35"/>
    </row>
    <row r="223" spans="3:4" x14ac:dyDescent="0.25">
      <c r="C223" s="37"/>
      <c r="D223" s="35"/>
    </row>
    <row r="224" spans="3:4" x14ac:dyDescent="0.25">
      <c r="C224" s="37"/>
      <c r="D224" s="35"/>
    </row>
    <row r="225" spans="3:4" x14ac:dyDescent="0.25">
      <c r="C225" s="37"/>
      <c r="D225" s="35"/>
    </row>
    <row r="226" spans="3:4" x14ac:dyDescent="0.25">
      <c r="C226" s="37"/>
      <c r="D226" s="35"/>
    </row>
    <row r="227" spans="3:4" x14ac:dyDescent="0.25">
      <c r="C227" s="37"/>
      <c r="D227" s="35"/>
    </row>
    <row r="228" spans="3:4" x14ac:dyDescent="0.25">
      <c r="C228" s="37"/>
      <c r="D228" s="35"/>
    </row>
    <row r="229" spans="3:4" x14ac:dyDescent="0.25">
      <c r="C229" s="37"/>
      <c r="D229" s="35"/>
    </row>
    <row r="230" spans="3:4" x14ac:dyDescent="0.25">
      <c r="C230" s="37"/>
      <c r="D230" s="35"/>
    </row>
    <row r="231" spans="3:4" x14ac:dyDescent="0.25">
      <c r="C231" s="37"/>
      <c r="D231" s="35"/>
    </row>
    <row r="232" spans="3:4" x14ac:dyDescent="0.25">
      <c r="C232" s="37"/>
      <c r="D232" s="35"/>
    </row>
    <row r="233" spans="3:4" x14ac:dyDescent="0.25">
      <c r="C233" s="37"/>
      <c r="D233" s="35"/>
    </row>
    <row r="234" spans="3:4" x14ac:dyDescent="0.25">
      <c r="C234" s="37"/>
      <c r="D234" s="35"/>
    </row>
    <row r="235" spans="3:4" x14ac:dyDescent="0.25">
      <c r="C235" s="37"/>
      <c r="D235" s="35"/>
    </row>
    <row r="236" spans="3:4" x14ac:dyDescent="0.25">
      <c r="C236" s="37"/>
      <c r="D236" s="35"/>
    </row>
    <row r="237" spans="3:4" x14ac:dyDescent="0.25">
      <c r="C237" s="37"/>
      <c r="D237" s="35"/>
    </row>
    <row r="238" spans="3:4" x14ac:dyDescent="0.25">
      <c r="C238" s="37"/>
      <c r="D238" s="35"/>
    </row>
    <row r="239" spans="3:4" x14ac:dyDescent="0.25">
      <c r="C239" s="37"/>
      <c r="D239" s="35"/>
    </row>
    <row r="240" spans="3:4" x14ac:dyDescent="0.25">
      <c r="C240" s="37"/>
      <c r="D240" s="35"/>
    </row>
    <row r="241" spans="3:4" x14ac:dyDescent="0.25">
      <c r="C241" s="37"/>
      <c r="D241" s="35"/>
    </row>
    <row r="242" spans="3:4" x14ac:dyDescent="0.25">
      <c r="C242" s="37"/>
      <c r="D242" s="35"/>
    </row>
    <row r="243" spans="3:4" x14ac:dyDescent="0.25">
      <c r="C243" s="37"/>
      <c r="D243" s="35"/>
    </row>
    <row r="244" spans="3:4" x14ac:dyDescent="0.25">
      <c r="C244" s="37"/>
      <c r="D244" s="35"/>
    </row>
    <row r="245" spans="3:4" x14ac:dyDescent="0.25">
      <c r="C245" s="37"/>
      <c r="D245" s="35"/>
    </row>
    <row r="246" spans="3:4" x14ac:dyDescent="0.25">
      <c r="C246" s="37"/>
      <c r="D246" s="35"/>
    </row>
    <row r="247" spans="3:4" x14ac:dyDescent="0.25">
      <c r="C247" s="37"/>
      <c r="D247" s="35"/>
    </row>
    <row r="248" spans="3:4" x14ac:dyDescent="0.25">
      <c r="C248" s="37"/>
      <c r="D248" s="35"/>
    </row>
    <row r="249" spans="3:4" x14ac:dyDescent="0.25">
      <c r="C249" s="37"/>
      <c r="D249" s="35"/>
    </row>
    <row r="250" spans="3:4" x14ac:dyDescent="0.25">
      <c r="C250" s="37"/>
      <c r="D250" s="35"/>
    </row>
    <row r="251" spans="3:4" x14ac:dyDescent="0.25">
      <c r="C251" s="37"/>
      <c r="D251" s="35"/>
    </row>
    <row r="252" spans="3:4" x14ac:dyDescent="0.25">
      <c r="C252" s="37"/>
      <c r="D252" s="35"/>
    </row>
    <row r="253" spans="3:4" x14ac:dyDescent="0.25">
      <c r="C253" s="37"/>
      <c r="D253" s="35"/>
    </row>
    <row r="254" spans="3:4" x14ac:dyDescent="0.25">
      <c r="C254" s="37"/>
      <c r="D254" s="35"/>
    </row>
    <row r="255" spans="3:4" x14ac:dyDescent="0.25">
      <c r="C255" s="37"/>
      <c r="D255" s="35"/>
    </row>
    <row r="256" spans="3:4" x14ac:dyDescent="0.25">
      <c r="C256" s="37"/>
      <c r="D256" s="35"/>
    </row>
    <row r="257" spans="3:4" x14ac:dyDescent="0.25">
      <c r="C257" s="37"/>
      <c r="D257" s="35"/>
    </row>
    <row r="258" spans="3:4" x14ac:dyDescent="0.25">
      <c r="C258" s="37"/>
      <c r="D258" s="35"/>
    </row>
    <row r="259" spans="3:4" x14ac:dyDescent="0.25">
      <c r="C259" s="37"/>
      <c r="D259" s="35"/>
    </row>
    <row r="260" spans="3:4" x14ac:dyDescent="0.25">
      <c r="C260" s="37"/>
      <c r="D260" s="35"/>
    </row>
    <row r="261" spans="3:4" x14ac:dyDescent="0.25">
      <c r="C261" s="37"/>
      <c r="D261" s="35"/>
    </row>
    <row r="262" spans="3:4" x14ac:dyDescent="0.25">
      <c r="C262" s="37"/>
      <c r="D262" s="35"/>
    </row>
    <row r="263" spans="3:4" x14ac:dyDescent="0.25">
      <c r="C263" s="37"/>
      <c r="D263" s="35"/>
    </row>
    <row r="264" spans="3:4" x14ac:dyDescent="0.25">
      <c r="C264" s="37"/>
      <c r="D264" s="35"/>
    </row>
    <row r="265" spans="3:4" x14ac:dyDescent="0.25">
      <c r="C265" s="37"/>
      <c r="D265" s="35"/>
    </row>
    <row r="266" spans="3:4" x14ac:dyDescent="0.25">
      <c r="C266" s="37"/>
      <c r="D266" s="35"/>
    </row>
    <row r="267" spans="3:4" x14ac:dyDescent="0.25">
      <c r="C267" s="37"/>
      <c r="D267" s="35"/>
    </row>
    <row r="268" spans="3:4" x14ac:dyDescent="0.25">
      <c r="C268" s="37"/>
      <c r="D268" s="35"/>
    </row>
    <row r="269" spans="3:4" x14ac:dyDescent="0.25">
      <c r="C269" s="37"/>
      <c r="D269" s="35"/>
    </row>
    <row r="270" spans="3:4" x14ac:dyDescent="0.25">
      <c r="C270" s="37"/>
      <c r="D270" s="35"/>
    </row>
    <row r="271" spans="3:4" x14ac:dyDescent="0.25">
      <c r="C271" s="37"/>
      <c r="D271" s="35"/>
    </row>
    <row r="272" spans="3:4" x14ac:dyDescent="0.25">
      <c r="C272" s="37"/>
      <c r="D272" s="35"/>
    </row>
    <row r="273" spans="3:4" x14ac:dyDescent="0.25">
      <c r="C273" s="37"/>
      <c r="D273" s="35"/>
    </row>
    <row r="274" spans="3:4" x14ac:dyDescent="0.25">
      <c r="C274" s="37"/>
      <c r="D274" s="35"/>
    </row>
    <row r="275" spans="3:4" x14ac:dyDescent="0.25">
      <c r="C275" s="37"/>
      <c r="D275" s="35"/>
    </row>
    <row r="276" spans="3:4" x14ac:dyDescent="0.25">
      <c r="C276" s="37"/>
      <c r="D276" s="35"/>
    </row>
    <row r="277" spans="3:4" x14ac:dyDescent="0.25">
      <c r="C277" s="37"/>
      <c r="D277" s="35"/>
    </row>
    <row r="278" spans="3:4" x14ac:dyDescent="0.25">
      <c r="C278" s="37"/>
      <c r="D278" s="35"/>
    </row>
    <row r="279" spans="3:4" x14ac:dyDescent="0.25">
      <c r="C279" s="37"/>
      <c r="D279" s="35"/>
    </row>
    <row r="280" spans="3:4" x14ac:dyDescent="0.25">
      <c r="C280" s="37"/>
      <c r="D280" s="35"/>
    </row>
    <row r="281" spans="3:4" x14ac:dyDescent="0.25">
      <c r="C281" s="37"/>
      <c r="D281" s="35"/>
    </row>
    <row r="282" spans="3:4" x14ac:dyDescent="0.25">
      <c r="C282" s="37"/>
      <c r="D282" s="35"/>
    </row>
    <row r="283" spans="3:4" x14ac:dyDescent="0.25">
      <c r="C283" s="37"/>
      <c r="D283" s="35"/>
    </row>
    <row r="284" spans="3:4" x14ac:dyDescent="0.25">
      <c r="C284" s="37"/>
      <c r="D284" s="35"/>
    </row>
    <row r="285" spans="3:4" x14ac:dyDescent="0.25">
      <c r="C285" s="37"/>
      <c r="D285" s="35"/>
    </row>
    <row r="286" spans="3:4" x14ac:dyDescent="0.25">
      <c r="C286" s="37"/>
      <c r="D286" s="35"/>
    </row>
    <row r="287" spans="3:4" x14ac:dyDescent="0.25">
      <c r="C287" s="37"/>
      <c r="D287" s="35"/>
    </row>
    <row r="288" spans="3:4" x14ac:dyDescent="0.25">
      <c r="C288" s="37"/>
      <c r="D288" s="35"/>
    </row>
    <row r="289" spans="3:4" x14ac:dyDescent="0.25">
      <c r="C289" s="37"/>
      <c r="D289" s="35"/>
    </row>
    <row r="290" spans="3:4" x14ac:dyDescent="0.25">
      <c r="C290" s="37"/>
      <c r="D290" s="35"/>
    </row>
    <row r="291" spans="3:4" x14ac:dyDescent="0.25">
      <c r="C291" s="37"/>
      <c r="D291" s="35"/>
    </row>
    <row r="292" spans="3:4" x14ac:dyDescent="0.25">
      <c r="C292" s="37"/>
      <c r="D292" s="35"/>
    </row>
    <row r="293" spans="3:4" x14ac:dyDescent="0.25">
      <c r="C293" s="37"/>
      <c r="D293" s="35"/>
    </row>
    <row r="294" spans="3:4" x14ac:dyDescent="0.25">
      <c r="C294" s="37"/>
      <c r="D294" s="35"/>
    </row>
    <row r="295" spans="3:4" x14ac:dyDescent="0.25">
      <c r="C295" s="37"/>
      <c r="D295" s="35"/>
    </row>
    <row r="296" spans="3:4" x14ac:dyDescent="0.25">
      <c r="C296" s="37"/>
      <c r="D296" s="35"/>
    </row>
    <row r="297" spans="3:4" x14ac:dyDescent="0.25">
      <c r="C297" s="37"/>
      <c r="D297" s="35"/>
    </row>
    <row r="298" spans="3:4" x14ac:dyDescent="0.25">
      <c r="C298" s="37"/>
      <c r="D298" s="35"/>
    </row>
    <row r="299" spans="3:4" x14ac:dyDescent="0.25">
      <c r="C299" s="37"/>
      <c r="D299" s="35"/>
    </row>
    <row r="300" spans="3:4" x14ac:dyDescent="0.25">
      <c r="C300" s="37"/>
      <c r="D300" s="35"/>
    </row>
    <row r="301" spans="3:4" x14ac:dyDescent="0.25">
      <c r="C301" s="37"/>
      <c r="D301" s="35"/>
    </row>
    <row r="302" spans="3:4" x14ac:dyDescent="0.25">
      <c r="C302" s="37"/>
      <c r="D302" s="35"/>
    </row>
    <row r="303" spans="3:4" x14ac:dyDescent="0.25">
      <c r="C303" s="37"/>
      <c r="D303" s="35"/>
    </row>
    <row r="304" spans="3:4" x14ac:dyDescent="0.25">
      <c r="C304" s="37"/>
      <c r="D304" s="35"/>
    </row>
    <row r="305" spans="3:6" x14ac:dyDescent="0.25">
      <c r="C305" s="37"/>
      <c r="D305" s="35"/>
    </row>
    <row r="306" spans="3:6" x14ac:dyDescent="0.25">
      <c r="C306" s="37"/>
      <c r="D306" s="35"/>
    </row>
    <row r="307" spans="3:6" x14ac:dyDescent="0.25">
      <c r="C307" s="37"/>
      <c r="D307" s="35"/>
    </row>
    <row r="308" spans="3:6" x14ac:dyDescent="0.25">
      <c r="C308" s="37"/>
      <c r="D308" s="35"/>
    </row>
    <row r="309" spans="3:6" x14ac:dyDescent="0.25">
      <c r="C309" s="37"/>
      <c r="D309" s="35"/>
    </row>
    <row r="310" spans="3:6" x14ac:dyDescent="0.25">
      <c r="C310" s="37"/>
      <c r="D310" s="35"/>
    </row>
    <row r="311" spans="3:6" x14ac:dyDescent="0.25">
      <c r="C311" s="37"/>
      <c r="D311" s="35"/>
      <c r="F311" s="36"/>
    </row>
    <row r="312" spans="3:6" x14ac:dyDescent="0.25">
      <c r="C312" s="37"/>
      <c r="D312" s="35"/>
    </row>
    <row r="313" spans="3:6" x14ac:dyDescent="0.25">
      <c r="C313" s="37"/>
      <c r="D313" s="35"/>
    </row>
    <row r="314" spans="3:6" x14ac:dyDescent="0.25">
      <c r="C314" s="37"/>
      <c r="D314" s="35"/>
    </row>
    <row r="315" spans="3:6" x14ac:dyDescent="0.25">
      <c r="C315" s="37"/>
      <c r="D315" s="35"/>
    </row>
    <row r="316" spans="3:6" x14ac:dyDescent="0.25">
      <c r="C316" s="37"/>
      <c r="D316" s="35"/>
    </row>
    <row r="317" spans="3:6" x14ac:dyDescent="0.25">
      <c r="C317" s="37"/>
      <c r="D317" s="35"/>
    </row>
    <row r="318" spans="3:6" x14ac:dyDescent="0.25">
      <c r="C318" s="37"/>
      <c r="D318" s="35"/>
    </row>
    <row r="319" spans="3:6" x14ac:dyDescent="0.25">
      <c r="C319" s="37"/>
      <c r="D319" s="35"/>
    </row>
    <row r="320" spans="3:6" x14ac:dyDescent="0.25">
      <c r="C320" s="37"/>
      <c r="D320" s="35"/>
    </row>
    <row r="321" spans="3:4" x14ac:dyDescent="0.25">
      <c r="C321" s="37"/>
      <c r="D321" s="35"/>
    </row>
    <row r="322" spans="3:4" x14ac:dyDescent="0.25">
      <c r="C322" s="37"/>
      <c r="D322" s="35"/>
    </row>
    <row r="323" spans="3:4" x14ac:dyDescent="0.25">
      <c r="C323" s="37"/>
      <c r="D323" s="35"/>
    </row>
    <row r="324" spans="3:4" x14ac:dyDescent="0.25">
      <c r="C324" s="37"/>
      <c r="D324" s="35"/>
    </row>
    <row r="325" spans="3:4" x14ac:dyDescent="0.25">
      <c r="C325" s="37"/>
      <c r="D325" s="35"/>
    </row>
    <row r="326" spans="3:4" x14ac:dyDescent="0.25">
      <c r="C326" s="37"/>
      <c r="D326" s="35"/>
    </row>
    <row r="327" spans="3:4" x14ac:dyDescent="0.25">
      <c r="C327" s="37"/>
      <c r="D327" s="35"/>
    </row>
    <row r="328" spans="3:4" x14ac:dyDescent="0.25">
      <c r="C328" s="37"/>
      <c r="D328" s="35"/>
    </row>
    <row r="329" spans="3:4" x14ac:dyDescent="0.25">
      <c r="C329" s="37"/>
      <c r="D329" s="35"/>
    </row>
    <row r="330" spans="3:4" x14ac:dyDescent="0.25">
      <c r="C330" s="37"/>
      <c r="D330" s="35"/>
    </row>
    <row r="331" spans="3:4" x14ac:dyDescent="0.25">
      <c r="C331" s="37"/>
      <c r="D331" s="35"/>
    </row>
    <row r="332" spans="3:4" x14ac:dyDescent="0.25">
      <c r="C332" s="37"/>
      <c r="D332" s="35"/>
    </row>
    <row r="333" spans="3:4" x14ac:dyDescent="0.25">
      <c r="C333" s="37"/>
      <c r="D333" s="35"/>
    </row>
    <row r="334" spans="3:4" x14ac:dyDescent="0.25">
      <c r="C334" s="37"/>
      <c r="D334" s="35"/>
    </row>
    <row r="335" spans="3:4" x14ac:dyDescent="0.25">
      <c r="C335" s="37"/>
      <c r="D335" s="35"/>
    </row>
    <row r="336" spans="3:4" x14ac:dyDescent="0.25">
      <c r="C336" s="37"/>
      <c r="D336" s="35"/>
    </row>
    <row r="337" spans="3:4" x14ac:dyDescent="0.25">
      <c r="C337" s="37"/>
      <c r="D337" s="35"/>
    </row>
    <row r="338" spans="3:4" x14ac:dyDescent="0.25">
      <c r="C338" s="37"/>
      <c r="D338" s="35"/>
    </row>
    <row r="339" spans="3:4" x14ac:dyDescent="0.25">
      <c r="C339" s="37"/>
      <c r="D339" s="35"/>
    </row>
    <row r="340" spans="3:4" x14ac:dyDescent="0.25">
      <c r="C340" s="37"/>
      <c r="D340" s="35"/>
    </row>
    <row r="341" spans="3:4" x14ac:dyDescent="0.25">
      <c r="C341" s="37"/>
      <c r="D341" s="35"/>
    </row>
    <row r="342" spans="3:4" x14ac:dyDescent="0.25">
      <c r="C342" s="37"/>
      <c r="D342" s="35"/>
    </row>
    <row r="343" spans="3:4" x14ac:dyDescent="0.25">
      <c r="C343" s="37"/>
      <c r="D343" s="35"/>
    </row>
    <row r="344" spans="3:4" x14ac:dyDescent="0.25">
      <c r="C344" s="37"/>
      <c r="D344" s="35"/>
    </row>
    <row r="345" spans="3:4" x14ac:dyDescent="0.25">
      <c r="C345" s="37"/>
      <c r="D345" s="35"/>
    </row>
    <row r="346" spans="3:4" x14ac:dyDescent="0.25">
      <c r="C346" s="37"/>
      <c r="D346" s="35"/>
    </row>
    <row r="347" spans="3:4" x14ac:dyDescent="0.25">
      <c r="C347" s="37"/>
      <c r="D347" s="35"/>
    </row>
    <row r="348" spans="3:4" x14ac:dyDescent="0.25">
      <c r="C348" s="37"/>
      <c r="D348" s="35"/>
    </row>
    <row r="349" spans="3:4" x14ac:dyDescent="0.25">
      <c r="C349" s="37"/>
      <c r="D349" s="35"/>
    </row>
    <row r="350" spans="3:4" x14ac:dyDescent="0.25">
      <c r="C350" s="37"/>
      <c r="D350" s="35"/>
    </row>
    <row r="351" spans="3:4" x14ac:dyDescent="0.25">
      <c r="C351" s="37"/>
      <c r="D351" s="35"/>
    </row>
    <row r="352" spans="3:4" x14ac:dyDescent="0.25">
      <c r="C352" s="37"/>
      <c r="D352" s="35"/>
    </row>
    <row r="353" spans="3:4" x14ac:dyDescent="0.25">
      <c r="C353" s="37"/>
      <c r="D353" s="35"/>
    </row>
    <row r="354" spans="3:4" x14ac:dyDescent="0.25">
      <c r="C354" s="37"/>
      <c r="D354" s="35"/>
    </row>
    <row r="355" spans="3:4" x14ac:dyDescent="0.25">
      <c r="C355" s="37"/>
      <c r="D355" s="35"/>
    </row>
    <row r="356" spans="3:4" x14ac:dyDescent="0.25">
      <c r="C356" s="37"/>
      <c r="D356" s="35"/>
    </row>
    <row r="357" spans="3:4" x14ac:dyDescent="0.25">
      <c r="C357" s="37"/>
      <c r="D357" s="35"/>
    </row>
    <row r="358" spans="3:4" x14ac:dyDescent="0.25">
      <c r="C358" s="37"/>
      <c r="D358" s="35"/>
    </row>
    <row r="359" spans="3:4" x14ac:dyDescent="0.25">
      <c r="C359" s="37"/>
      <c r="D359" s="35"/>
    </row>
    <row r="360" spans="3:4" x14ac:dyDescent="0.25">
      <c r="C360" s="37"/>
      <c r="D360" s="35"/>
    </row>
    <row r="361" spans="3:4" x14ac:dyDescent="0.25">
      <c r="C361" s="37"/>
      <c r="D361" s="35"/>
    </row>
    <row r="362" spans="3:4" x14ac:dyDescent="0.25">
      <c r="C362" s="37"/>
      <c r="D362" s="35"/>
    </row>
    <row r="363" spans="3:4" x14ac:dyDescent="0.25">
      <c r="C363" s="37"/>
      <c r="D363" s="35"/>
    </row>
    <row r="364" spans="3:4" x14ac:dyDescent="0.25">
      <c r="C364" s="37"/>
      <c r="D364" s="35"/>
    </row>
    <row r="365" spans="3:4" x14ac:dyDescent="0.25">
      <c r="C365" s="37"/>
      <c r="D365" s="35"/>
    </row>
    <row r="366" spans="3:4" x14ac:dyDescent="0.25">
      <c r="C366" s="37"/>
      <c r="D366" s="35"/>
    </row>
    <row r="367" spans="3:4" x14ac:dyDescent="0.25">
      <c r="C367" s="37"/>
      <c r="D367" s="35"/>
    </row>
    <row r="368" spans="3:4" x14ac:dyDescent="0.25">
      <c r="C368" s="37"/>
      <c r="D368" s="35"/>
    </row>
    <row r="369" spans="3:4" x14ac:dyDescent="0.25">
      <c r="C369" s="37"/>
      <c r="D369" s="35"/>
    </row>
    <row r="370" spans="3:4" x14ac:dyDescent="0.25">
      <c r="C370" s="37"/>
      <c r="D370" s="35"/>
    </row>
    <row r="371" spans="3:4" x14ac:dyDescent="0.25">
      <c r="C371" s="37"/>
      <c r="D371" s="35"/>
    </row>
    <row r="372" spans="3:4" x14ac:dyDescent="0.25">
      <c r="C372" s="37"/>
      <c r="D372" s="35"/>
    </row>
    <row r="373" spans="3:4" x14ac:dyDescent="0.25">
      <c r="C373" s="37"/>
      <c r="D373" s="35"/>
    </row>
    <row r="374" spans="3:4" x14ac:dyDescent="0.25">
      <c r="C374" s="37"/>
      <c r="D374" s="35"/>
    </row>
    <row r="375" spans="3:4" x14ac:dyDescent="0.25">
      <c r="C375" s="37"/>
      <c r="D375" s="35"/>
    </row>
    <row r="376" spans="3:4" x14ac:dyDescent="0.25">
      <c r="C376" s="37"/>
      <c r="D376" s="35"/>
    </row>
    <row r="377" spans="3:4" x14ac:dyDescent="0.25">
      <c r="C377" s="37"/>
      <c r="D377" s="35"/>
    </row>
    <row r="378" spans="3:4" x14ac:dyDescent="0.25">
      <c r="C378" s="37"/>
      <c r="D378" s="35"/>
    </row>
    <row r="379" spans="3:4" x14ac:dyDescent="0.25">
      <c r="C379" s="37"/>
      <c r="D379" s="35"/>
    </row>
    <row r="380" spans="3:4" x14ac:dyDescent="0.25">
      <c r="C380" s="37"/>
      <c r="D380" s="35"/>
    </row>
    <row r="381" spans="3:4" x14ac:dyDescent="0.25">
      <c r="C381" s="37"/>
      <c r="D381" s="35"/>
    </row>
    <row r="382" spans="3:4" x14ac:dyDescent="0.25">
      <c r="C382" s="37"/>
      <c r="D382" s="35"/>
    </row>
    <row r="383" spans="3:4" x14ac:dyDescent="0.25">
      <c r="C383" s="37"/>
      <c r="D383" s="35"/>
    </row>
    <row r="384" spans="3:4" x14ac:dyDescent="0.25">
      <c r="C384" s="37"/>
      <c r="D384" s="35"/>
    </row>
    <row r="385" spans="3:4" x14ac:dyDescent="0.25">
      <c r="C385" s="37"/>
      <c r="D385" s="35"/>
    </row>
    <row r="386" spans="3:4" x14ac:dyDescent="0.25">
      <c r="C386" s="37"/>
      <c r="D386" s="35"/>
    </row>
    <row r="387" spans="3:4" x14ac:dyDescent="0.25">
      <c r="C387" s="37"/>
      <c r="D387" s="35"/>
    </row>
    <row r="388" spans="3:4" x14ac:dyDescent="0.25">
      <c r="C388" s="37"/>
      <c r="D388" s="35"/>
    </row>
    <row r="389" spans="3:4" x14ac:dyDescent="0.25">
      <c r="C389" s="37"/>
      <c r="D389" s="35"/>
    </row>
    <row r="390" spans="3:4" x14ac:dyDescent="0.25">
      <c r="C390" s="37"/>
      <c r="D390" s="35"/>
    </row>
    <row r="391" spans="3:4" x14ac:dyDescent="0.25">
      <c r="C391" s="37"/>
      <c r="D391" s="35"/>
    </row>
    <row r="392" spans="3:4" x14ac:dyDescent="0.25">
      <c r="C392" s="37"/>
      <c r="D392" s="35"/>
    </row>
    <row r="393" spans="3:4" x14ac:dyDescent="0.25">
      <c r="C393" s="37"/>
      <c r="D393" s="35"/>
    </row>
    <row r="394" spans="3:4" x14ac:dyDescent="0.25">
      <c r="C394" s="37"/>
      <c r="D394" s="35"/>
    </row>
    <row r="395" spans="3:4" x14ac:dyDescent="0.25">
      <c r="C395" s="37"/>
      <c r="D395" s="35"/>
    </row>
    <row r="396" spans="3:4" x14ac:dyDescent="0.25">
      <c r="C396" s="37"/>
      <c r="D396" s="35"/>
    </row>
    <row r="397" spans="3:4" x14ac:dyDescent="0.25">
      <c r="C397" s="37"/>
      <c r="D397" s="35"/>
    </row>
    <row r="398" spans="3:4" x14ac:dyDescent="0.25">
      <c r="C398" s="37"/>
      <c r="D398" s="35"/>
    </row>
    <row r="399" spans="3:4" x14ac:dyDescent="0.25">
      <c r="C399" s="37"/>
      <c r="D399" s="35"/>
    </row>
    <row r="400" spans="3:4" x14ac:dyDescent="0.25">
      <c r="C400" s="37"/>
      <c r="D400" s="35"/>
    </row>
    <row r="401" spans="3:4" x14ac:dyDescent="0.25">
      <c r="C401" s="37"/>
      <c r="D401" s="35"/>
    </row>
    <row r="402" spans="3:4" x14ac:dyDescent="0.25">
      <c r="C402" s="37"/>
      <c r="D402" s="35"/>
    </row>
    <row r="403" spans="3:4" x14ac:dyDescent="0.25">
      <c r="C403" s="37"/>
      <c r="D403" s="35"/>
    </row>
    <row r="404" spans="3:4" x14ac:dyDescent="0.25">
      <c r="C404" s="37"/>
      <c r="D404" s="35"/>
    </row>
    <row r="405" spans="3:4" x14ac:dyDescent="0.25">
      <c r="C405" s="37"/>
      <c r="D405" s="35"/>
    </row>
    <row r="406" spans="3:4" x14ac:dyDescent="0.25">
      <c r="C406" s="37"/>
      <c r="D406" s="35"/>
    </row>
    <row r="407" spans="3:4" x14ac:dyDescent="0.25">
      <c r="C407" s="37"/>
      <c r="D407" s="35"/>
    </row>
    <row r="408" spans="3:4" x14ac:dyDescent="0.25">
      <c r="C408" s="37"/>
      <c r="D408" s="35"/>
    </row>
    <row r="409" spans="3:4" x14ac:dyDescent="0.25">
      <c r="C409" s="37"/>
      <c r="D409" s="35"/>
    </row>
    <row r="410" spans="3:4" x14ac:dyDescent="0.25">
      <c r="C410" s="37"/>
      <c r="D410" s="35"/>
    </row>
    <row r="411" spans="3:4" x14ac:dyDescent="0.25">
      <c r="C411" s="37"/>
      <c r="D411" s="35"/>
    </row>
    <row r="412" spans="3:4" x14ac:dyDescent="0.25">
      <c r="C412" s="37"/>
      <c r="D412" s="35"/>
    </row>
    <row r="413" spans="3:4" x14ac:dyDescent="0.25">
      <c r="C413" s="37"/>
      <c r="D413" s="35"/>
    </row>
    <row r="414" spans="3:4" x14ac:dyDescent="0.25">
      <c r="C414" s="37"/>
      <c r="D414" s="35"/>
    </row>
    <row r="415" spans="3:4" x14ac:dyDescent="0.25">
      <c r="C415" s="37"/>
      <c r="D415" s="35"/>
    </row>
    <row r="416" spans="3:4" x14ac:dyDescent="0.25">
      <c r="C416" s="37"/>
      <c r="D416" s="35"/>
    </row>
    <row r="417" spans="3:4" x14ac:dyDescent="0.25">
      <c r="C417" s="37"/>
      <c r="D417" s="35"/>
    </row>
    <row r="418" spans="3:4" x14ac:dyDescent="0.25">
      <c r="C418" s="37"/>
      <c r="D418" s="35"/>
    </row>
    <row r="419" spans="3:4" x14ac:dyDescent="0.25">
      <c r="C419" s="37"/>
      <c r="D419" s="35"/>
    </row>
    <row r="420" spans="3:4" x14ac:dyDescent="0.25">
      <c r="C420" s="37"/>
      <c r="D420" s="35"/>
    </row>
    <row r="421" spans="3:4" x14ac:dyDescent="0.25">
      <c r="C421" s="37"/>
      <c r="D421" s="35"/>
    </row>
    <row r="422" spans="3:4" x14ac:dyDescent="0.25">
      <c r="C422" s="37"/>
      <c r="D422" s="35"/>
    </row>
    <row r="423" spans="3:4" x14ac:dyDescent="0.25">
      <c r="C423" s="37"/>
      <c r="D423" s="35"/>
    </row>
    <row r="424" spans="3:4" x14ac:dyDescent="0.25">
      <c r="C424" s="37"/>
      <c r="D424" s="35"/>
    </row>
    <row r="425" spans="3:4" x14ac:dyDescent="0.25">
      <c r="C425" s="37"/>
      <c r="D425" s="35"/>
    </row>
    <row r="426" spans="3:4" x14ac:dyDescent="0.25">
      <c r="C426" s="37"/>
      <c r="D426" s="35"/>
    </row>
    <row r="427" spans="3:4" x14ac:dyDescent="0.25">
      <c r="C427" s="37"/>
      <c r="D427" s="35"/>
    </row>
    <row r="428" spans="3:4" x14ac:dyDescent="0.25">
      <c r="C428" s="37"/>
      <c r="D428" s="35"/>
    </row>
    <row r="429" spans="3:4" x14ac:dyDescent="0.25">
      <c r="C429" s="37"/>
      <c r="D429" s="35"/>
    </row>
    <row r="430" spans="3:4" x14ac:dyDescent="0.25">
      <c r="C430" s="37"/>
      <c r="D430" s="35"/>
    </row>
    <row r="431" spans="3:4" x14ac:dyDescent="0.25">
      <c r="C431" s="37"/>
      <c r="D431" s="35"/>
    </row>
    <row r="432" spans="3:4" x14ac:dyDescent="0.25">
      <c r="C432" s="37"/>
      <c r="D432" s="35"/>
    </row>
    <row r="433" spans="3:4" x14ac:dyDescent="0.25">
      <c r="C433" s="37"/>
      <c r="D433" s="35"/>
    </row>
    <row r="434" spans="3:4" x14ac:dyDescent="0.25">
      <c r="C434" s="37"/>
      <c r="D434" s="35"/>
    </row>
    <row r="435" spans="3:4" x14ac:dyDescent="0.25">
      <c r="C435" s="37"/>
      <c r="D435" s="35"/>
    </row>
    <row r="436" spans="3:4" x14ac:dyDescent="0.25">
      <c r="C436" s="37"/>
      <c r="D436" s="35"/>
    </row>
    <row r="437" spans="3:4" x14ac:dyDescent="0.25">
      <c r="C437" s="37"/>
      <c r="D437" s="35"/>
    </row>
    <row r="438" spans="3:4" x14ac:dyDescent="0.25">
      <c r="C438" s="37"/>
      <c r="D438" s="35"/>
    </row>
    <row r="439" spans="3:4" x14ac:dyDescent="0.25">
      <c r="C439" s="37"/>
      <c r="D439" s="35"/>
    </row>
    <row r="440" spans="3:4" x14ac:dyDescent="0.25">
      <c r="C440" s="37"/>
      <c r="D440" s="35"/>
    </row>
    <row r="441" spans="3:4" x14ac:dyDescent="0.25">
      <c r="C441" s="37"/>
      <c r="D441" s="35"/>
    </row>
    <row r="442" spans="3:4" x14ac:dyDescent="0.25">
      <c r="C442" s="37"/>
      <c r="D442" s="35"/>
    </row>
    <row r="443" spans="3:4" x14ac:dyDescent="0.25">
      <c r="C443" s="37"/>
      <c r="D443" s="35"/>
    </row>
    <row r="444" spans="3:4" x14ac:dyDescent="0.25">
      <c r="C444" s="37"/>
      <c r="D444" s="35"/>
    </row>
    <row r="445" spans="3:4" x14ac:dyDescent="0.25">
      <c r="C445" s="37"/>
      <c r="D445" s="35"/>
    </row>
    <row r="446" spans="3:4" x14ac:dyDescent="0.25">
      <c r="C446" s="37"/>
      <c r="D446" s="35"/>
    </row>
    <row r="447" spans="3:4" x14ac:dyDescent="0.25">
      <c r="C447" s="37"/>
      <c r="D447" s="35"/>
    </row>
    <row r="448" spans="3:4" x14ac:dyDescent="0.25">
      <c r="C448" s="37"/>
      <c r="D448" s="35"/>
    </row>
    <row r="449" spans="3:4" x14ac:dyDescent="0.25">
      <c r="C449" s="37"/>
      <c r="D449" s="35"/>
    </row>
    <row r="450" spans="3:4" x14ac:dyDescent="0.25">
      <c r="C450" s="37"/>
      <c r="D450" s="35"/>
    </row>
    <row r="451" spans="3:4" x14ac:dyDescent="0.25">
      <c r="C451" s="37"/>
      <c r="D451" s="35"/>
    </row>
    <row r="452" spans="3:4" x14ac:dyDescent="0.25">
      <c r="C452" s="37"/>
      <c r="D452" s="35"/>
    </row>
    <row r="453" spans="3:4" x14ac:dyDescent="0.25">
      <c r="C453" s="37"/>
      <c r="D453" s="35"/>
    </row>
    <row r="454" spans="3:4" x14ac:dyDescent="0.25">
      <c r="C454" s="37"/>
      <c r="D454" s="35"/>
    </row>
    <row r="455" spans="3:4" x14ac:dyDescent="0.25">
      <c r="C455" s="37"/>
      <c r="D455" s="35"/>
    </row>
    <row r="456" spans="3:4" x14ac:dyDescent="0.25">
      <c r="C456" s="37"/>
      <c r="D456" s="35"/>
    </row>
    <row r="457" spans="3:4" x14ac:dyDescent="0.25">
      <c r="C457" s="37"/>
      <c r="D457" s="35"/>
    </row>
    <row r="458" spans="3:4" x14ac:dyDescent="0.25">
      <c r="C458" s="37"/>
      <c r="D458" s="35"/>
    </row>
    <row r="459" spans="3:4" x14ac:dyDescent="0.25">
      <c r="C459" s="37"/>
      <c r="D459" s="35"/>
    </row>
    <row r="460" spans="3:4" x14ac:dyDescent="0.25">
      <c r="C460" s="37"/>
      <c r="D460" s="35"/>
    </row>
    <row r="461" spans="3:4" x14ac:dyDescent="0.25">
      <c r="C461" s="37"/>
      <c r="D461" s="35"/>
    </row>
    <row r="462" spans="3:4" x14ac:dyDescent="0.25">
      <c r="C462" s="37"/>
      <c r="D462" s="35"/>
    </row>
    <row r="463" spans="3:4" x14ac:dyDescent="0.25">
      <c r="C463" s="37"/>
      <c r="D463" s="35"/>
    </row>
    <row r="464" spans="3:4" x14ac:dyDescent="0.25">
      <c r="C464" s="37"/>
      <c r="D464" s="35"/>
    </row>
    <row r="465" spans="3:4" x14ac:dyDescent="0.25">
      <c r="C465" s="37"/>
      <c r="D465" s="35"/>
    </row>
    <row r="466" spans="3:4" x14ac:dyDescent="0.25">
      <c r="C466" s="37"/>
      <c r="D466" s="35"/>
    </row>
    <row r="467" spans="3:4" x14ac:dyDescent="0.25">
      <c r="C467" s="37"/>
      <c r="D467" s="35"/>
    </row>
    <row r="468" spans="3:4" x14ac:dyDescent="0.25">
      <c r="C468" s="37"/>
      <c r="D468" s="35"/>
    </row>
    <row r="469" spans="3:4" x14ac:dyDescent="0.25">
      <c r="C469" s="37"/>
      <c r="D469" s="35"/>
    </row>
    <row r="470" spans="3:4" x14ac:dyDescent="0.25">
      <c r="C470" s="37"/>
      <c r="D470" s="35"/>
    </row>
    <row r="471" spans="3:4" x14ac:dyDescent="0.25">
      <c r="C471" s="37"/>
      <c r="D471" s="35"/>
    </row>
    <row r="472" spans="3:4" x14ac:dyDescent="0.25">
      <c r="C472" s="37"/>
      <c r="D472" s="35"/>
    </row>
    <row r="473" spans="3:4" x14ac:dyDescent="0.25">
      <c r="C473" s="37"/>
      <c r="D473" s="35"/>
    </row>
    <row r="474" spans="3:4" x14ac:dyDescent="0.25">
      <c r="C474" s="37"/>
      <c r="D474" s="35"/>
    </row>
    <row r="475" spans="3:4" x14ac:dyDescent="0.25">
      <c r="C475" s="37"/>
      <c r="D475" s="35"/>
    </row>
    <row r="476" spans="3:4" x14ac:dyDescent="0.25">
      <c r="C476" s="37"/>
      <c r="D476" s="35"/>
    </row>
    <row r="477" spans="3:4" x14ac:dyDescent="0.25">
      <c r="C477" s="37"/>
      <c r="D477" s="35"/>
    </row>
    <row r="478" spans="3:4" x14ac:dyDescent="0.25">
      <c r="C478" s="37"/>
      <c r="D478" s="35"/>
    </row>
    <row r="479" spans="3:4" x14ac:dyDescent="0.25">
      <c r="C479" s="37"/>
      <c r="D479" s="35"/>
    </row>
    <row r="480" spans="3:4" x14ac:dyDescent="0.25">
      <c r="C480" s="37"/>
      <c r="D480" s="35"/>
    </row>
    <row r="481" spans="3:4" x14ac:dyDescent="0.25">
      <c r="C481" s="37"/>
      <c r="D481" s="35"/>
    </row>
    <row r="482" spans="3:4" x14ac:dyDescent="0.25">
      <c r="C482" s="37"/>
      <c r="D482" s="35"/>
    </row>
    <row r="483" spans="3:4" x14ac:dyDescent="0.25">
      <c r="C483" s="37"/>
      <c r="D483" s="35"/>
    </row>
    <row r="484" spans="3:4" x14ac:dyDescent="0.25">
      <c r="C484" s="37"/>
      <c r="D484" s="35"/>
    </row>
    <row r="485" spans="3:4" x14ac:dyDescent="0.25">
      <c r="C485" s="37"/>
      <c r="D485" s="35"/>
    </row>
    <row r="486" spans="3:4" x14ac:dyDescent="0.25">
      <c r="C486" s="37"/>
      <c r="D486" s="35"/>
    </row>
    <row r="487" spans="3:4" x14ac:dyDescent="0.25">
      <c r="C487" s="37"/>
      <c r="D487" s="35"/>
    </row>
    <row r="488" spans="3:4" x14ac:dyDescent="0.25">
      <c r="C488" s="37"/>
      <c r="D488" s="35"/>
    </row>
    <row r="489" spans="3:4" x14ac:dyDescent="0.25">
      <c r="C489" s="37"/>
      <c r="D489" s="35"/>
    </row>
    <row r="490" spans="3:4" x14ac:dyDescent="0.25">
      <c r="C490" s="37"/>
      <c r="D490" s="35"/>
    </row>
    <row r="491" spans="3:4" x14ac:dyDescent="0.25">
      <c r="C491" s="37"/>
      <c r="D491" s="35"/>
    </row>
    <row r="492" spans="3:4" x14ac:dyDescent="0.25">
      <c r="C492" s="37"/>
      <c r="D492" s="35"/>
    </row>
    <row r="493" spans="3:4" x14ac:dyDescent="0.25">
      <c r="C493" s="37"/>
      <c r="D493" s="35"/>
    </row>
    <row r="494" spans="3:4" x14ac:dyDescent="0.25">
      <c r="C494" s="37"/>
      <c r="D494" s="35"/>
    </row>
    <row r="495" spans="3:4" x14ac:dyDescent="0.25">
      <c r="C495" s="37"/>
      <c r="D495" s="35"/>
    </row>
    <row r="496" spans="3:4" x14ac:dyDescent="0.25">
      <c r="C496" s="37"/>
      <c r="D496" s="35"/>
    </row>
    <row r="497" spans="3:4" x14ac:dyDescent="0.25">
      <c r="C497" s="37"/>
      <c r="D497" s="35"/>
    </row>
    <row r="498" spans="3:4" x14ac:dyDescent="0.25">
      <c r="C498" s="37"/>
      <c r="D498" s="35"/>
    </row>
    <row r="499" spans="3:4" x14ac:dyDescent="0.25">
      <c r="C499" s="37"/>
      <c r="D499" s="35"/>
    </row>
    <row r="500" spans="3:4" x14ac:dyDescent="0.25">
      <c r="C500" s="37"/>
      <c r="D500" s="35"/>
    </row>
    <row r="501" spans="3:4" x14ac:dyDescent="0.25">
      <c r="C501" s="37"/>
      <c r="D501" s="35"/>
    </row>
    <row r="502" spans="3:4" x14ac:dyDescent="0.25">
      <c r="C502" s="37"/>
      <c r="D502" s="35"/>
    </row>
    <row r="503" spans="3:4" x14ac:dyDescent="0.25">
      <c r="C503" s="37"/>
      <c r="D503" s="35"/>
    </row>
    <row r="504" spans="3:4" x14ac:dyDescent="0.25">
      <c r="C504" s="37"/>
      <c r="D504" s="35"/>
    </row>
    <row r="505" spans="3:4" x14ac:dyDescent="0.25">
      <c r="C505" s="37"/>
      <c r="D505" s="35"/>
    </row>
    <row r="506" spans="3:4" x14ac:dyDescent="0.25">
      <c r="C506" s="37"/>
      <c r="D506" s="35"/>
    </row>
    <row r="507" spans="3:4" x14ac:dyDescent="0.25">
      <c r="C507" s="37"/>
      <c r="D507" s="35"/>
    </row>
    <row r="508" spans="3:4" x14ac:dyDescent="0.25">
      <c r="C508" s="37"/>
      <c r="D508" s="35"/>
    </row>
    <row r="509" spans="3:4" x14ac:dyDescent="0.25">
      <c r="C509" s="37"/>
      <c r="D509" s="35"/>
    </row>
    <row r="510" spans="3:4" x14ac:dyDescent="0.25">
      <c r="C510" s="37"/>
      <c r="D510" s="35"/>
    </row>
    <row r="511" spans="3:4" x14ac:dyDescent="0.25">
      <c r="C511" s="37"/>
      <c r="D511" s="35"/>
    </row>
    <row r="512" spans="3:4" x14ac:dyDescent="0.25">
      <c r="C512" s="37"/>
      <c r="D512" s="35"/>
    </row>
    <row r="513" spans="3:4" x14ac:dyDescent="0.25">
      <c r="C513" s="37"/>
      <c r="D513" s="35"/>
    </row>
    <row r="514" spans="3:4" x14ac:dyDescent="0.25">
      <c r="C514" s="37"/>
      <c r="D514" s="35"/>
    </row>
    <row r="515" spans="3:4" x14ac:dyDescent="0.25">
      <c r="C515" s="37"/>
      <c r="D515" s="35"/>
    </row>
    <row r="516" spans="3:4" x14ac:dyDescent="0.25">
      <c r="C516" s="37"/>
      <c r="D516" s="35"/>
    </row>
    <row r="517" spans="3:4" x14ac:dyDescent="0.25">
      <c r="C517" s="37"/>
      <c r="D517" s="35"/>
    </row>
    <row r="518" spans="3:4" x14ac:dyDescent="0.25">
      <c r="C518" s="37"/>
      <c r="D518" s="35"/>
    </row>
    <row r="519" spans="3:4" x14ac:dyDescent="0.25">
      <c r="C519" s="37"/>
      <c r="D519" s="35"/>
    </row>
    <row r="520" spans="3:4" x14ac:dyDescent="0.25">
      <c r="C520" s="37"/>
      <c r="D520" s="35"/>
    </row>
    <row r="521" spans="3:4" x14ac:dyDescent="0.25">
      <c r="C521" s="37"/>
      <c r="D521" s="35"/>
    </row>
    <row r="522" spans="3:4" x14ac:dyDescent="0.25">
      <c r="C522" s="37"/>
      <c r="D522" s="35"/>
    </row>
    <row r="523" spans="3:4" x14ac:dyDescent="0.25">
      <c r="C523" s="37"/>
      <c r="D523" s="35"/>
    </row>
    <row r="524" spans="3:4" x14ac:dyDescent="0.25">
      <c r="C524" s="37"/>
      <c r="D524" s="35"/>
    </row>
    <row r="525" spans="3:4" x14ac:dyDescent="0.25">
      <c r="C525" s="37"/>
      <c r="D525" s="35"/>
    </row>
    <row r="526" spans="3:4" x14ac:dyDescent="0.25">
      <c r="C526" s="37"/>
      <c r="D526" s="35"/>
    </row>
    <row r="527" spans="3:4" x14ac:dyDescent="0.25">
      <c r="C527" s="37"/>
      <c r="D527" s="35"/>
    </row>
    <row r="528" spans="3:4" x14ac:dyDescent="0.25">
      <c r="C528" s="37"/>
      <c r="D528" s="35"/>
    </row>
    <row r="529" spans="3:4" x14ac:dyDescent="0.25">
      <c r="C529" s="37"/>
      <c r="D529" s="35"/>
    </row>
    <row r="530" spans="3:4" x14ac:dyDescent="0.25">
      <c r="C530" s="37"/>
      <c r="D530" s="35"/>
    </row>
    <row r="531" spans="3:4" x14ac:dyDescent="0.25">
      <c r="C531" s="37"/>
      <c r="D531" s="35"/>
    </row>
    <row r="532" spans="3:4" x14ac:dyDescent="0.25">
      <c r="C532" s="37"/>
      <c r="D532" s="35"/>
    </row>
    <row r="533" spans="3:4" x14ac:dyDescent="0.25">
      <c r="C533" s="37"/>
      <c r="D533" s="35"/>
    </row>
    <row r="534" spans="3:4" x14ac:dyDescent="0.25">
      <c r="C534" s="37"/>
      <c r="D534" s="35"/>
    </row>
    <row r="535" spans="3:4" x14ac:dyDescent="0.25">
      <c r="C535" s="37"/>
      <c r="D535" s="35"/>
    </row>
    <row r="536" spans="3:4" x14ac:dyDescent="0.25">
      <c r="C536" s="37"/>
      <c r="D536" s="35"/>
    </row>
    <row r="537" spans="3:4" x14ac:dyDescent="0.25">
      <c r="C537" s="37"/>
      <c r="D537" s="35"/>
    </row>
    <row r="538" spans="3:4" x14ac:dyDescent="0.25">
      <c r="C538" s="37"/>
      <c r="D538" s="35"/>
    </row>
    <row r="539" spans="3:4" x14ac:dyDescent="0.25">
      <c r="C539" s="37"/>
      <c r="D539" s="35"/>
    </row>
    <row r="540" spans="3:4" x14ac:dyDescent="0.25">
      <c r="C540" s="37"/>
      <c r="D540" s="35"/>
    </row>
    <row r="541" spans="3:4" x14ac:dyDescent="0.25">
      <c r="C541" s="37"/>
      <c r="D541" s="35"/>
    </row>
    <row r="542" spans="3:4" x14ac:dyDescent="0.25">
      <c r="C542" s="37"/>
      <c r="D542" s="35"/>
    </row>
    <row r="543" spans="3:4" x14ac:dyDescent="0.25">
      <c r="C543" s="37"/>
      <c r="D543" s="35"/>
    </row>
    <row r="544" spans="3:4" x14ac:dyDescent="0.25">
      <c r="C544" s="37"/>
      <c r="D544" s="35"/>
    </row>
    <row r="545" spans="3:4" x14ac:dyDescent="0.25">
      <c r="C545" s="37"/>
      <c r="D545" s="35"/>
    </row>
    <row r="546" spans="3:4" x14ac:dyDescent="0.25">
      <c r="C546" s="37"/>
      <c r="D546" s="35"/>
    </row>
    <row r="547" spans="3:4" x14ac:dyDescent="0.25">
      <c r="C547" s="37"/>
      <c r="D547" s="35"/>
    </row>
    <row r="548" spans="3:4" x14ac:dyDescent="0.25">
      <c r="C548" s="37"/>
      <c r="D548" s="35"/>
    </row>
    <row r="549" spans="3:4" x14ac:dyDescent="0.25">
      <c r="C549" s="37"/>
      <c r="D549" s="35"/>
    </row>
    <row r="550" spans="3:4" x14ac:dyDescent="0.25">
      <c r="C550" s="37"/>
      <c r="D550" s="35"/>
    </row>
    <row r="551" spans="3:4" x14ac:dyDescent="0.25">
      <c r="C551" s="37"/>
      <c r="D551" s="35"/>
    </row>
    <row r="552" spans="3:4" x14ac:dyDescent="0.25">
      <c r="C552" s="37"/>
      <c r="D552" s="35"/>
    </row>
    <row r="553" spans="3:4" x14ac:dyDescent="0.25">
      <c r="C553" s="37"/>
      <c r="D553" s="35"/>
    </row>
    <row r="554" spans="3:4" x14ac:dyDescent="0.25">
      <c r="C554" s="37"/>
      <c r="D554" s="35"/>
    </row>
    <row r="555" spans="3:4" x14ac:dyDescent="0.25">
      <c r="C555" s="37"/>
      <c r="D555" s="35"/>
    </row>
    <row r="556" spans="3:4" x14ac:dyDescent="0.25">
      <c r="C556" s="37"/>
      <c r="D556" s="35"/>
    </row>
    <row r="557" spans="3:4" x14ac:dyDescent="0.25">
      <c r="C557" s="37"/>
      <c r="D557" s="35"/>
    </row>
    <row r="558" spans="3:4" x14ac:dyDescent="0.25">
      <c r="C558" s="37"/>
      <c r="D558" s="35"/>
    </row>
    <row r="559" spans="3:4" x14ac:dyDescent="0.25">
      <c r="C559" s="37"/>
      <c r="D559" s="35"/>
    </row>
    <row r="560" spans="3:4" x14ac:dyDescent="0.25">
      <c r="C560" s="37"/>
      <c r="D560" s="35"/>
    </row>
    <row r="561" spans="3:4" x14ac:dyDescent="0.25">
      <c r="C561" s="37"/>
      <c r="D561" s="35"/>
    </row>
    <row r="562" spans="3:4" x14ac:dyDescent="0.25">
      <c r="C562" s="37"/>
      <c r="D562" s="35"/>
    </row>
    <row r="563" spans="3:4" x14ac:dyDescent="0.25">
      <c r="C563" s="37"/>
      <c r="D563" s="35"/>
    </row>
    <row r="564" spans="3:4" x14ac:dyDescent="0.25">
      <c r="C564" s="37"/>
      <c r="D564" s="35"/>
    </row>
    <row r="565" spans="3:4" x14ac:dyDescent="0.25">
      <c r="C565" s="37"/>
      <c r="D565" s="35"/>
    </row>
    <row r="566" spans="3:4" x14ac:dyDescent="0.25">
      <c r="C566" s="37"/>
      <c r="D566" s="35"/>
    </row>
    <row r="567" spans="3:4" x14ac:dyDescent="0.25">
      <c r="C567" s="37"/>
      <c r="D567" s="35"/>
    </row>
    <row r="568" spans="3:4" x14ac:dyDescent="0.25">
      <c r="C568" s="37"/>
      <c r="D568" s="35"/>
    </row>
    <row r="569" spans="3:4" x14ac:dyDescent="0.25">
      <c r="C569" s="37"/>
      <c r="D569" s="35"/>
    </row>
    <row r="570" spans="3:4" x14ac:dyDescent="0.25">
      <c r="C570" s="37"/>
      <c r="D570" s="35"/>
    </row>
    <row r="571" spans="3:4" x14ac:dyDescent="0.25">
      <c r="C571" s="37"/>
      <c r="D571" s="35"/>
    </row>
    <row r="572" spans="3:4" x14ac:dyDescent="0.25">
      <c r="C572" s="37"/>
      <c r="D572" s="35"/>
    </row>
    <row r="573" spans="3:4" x14ac:dyDescent="0.25">
      <c r="C573" s="37"/>
      <c r="D573" s="35"/>
    </row>
    <row r="574" spans="3:4" x14ac:dyDescent="0.25">
      <c r="C574" s="37"/>
      <c r="D574" s="35"/>
    </row>
    <row r="575" spans="3:4" x14ac:dyDescent="0.25">
      <c r="C575" s="37"/>
      <c r="D575" s="35"/>
    </row>
    <row r="576" spans="3:4" x14ac:dyDescent="0.25">
      <c r="C576" s="37"/>
      <c r="D576" s="35"/>
    </row>
    <row r="577" spans="3:4" x14ac:dyDescent="0.25">
      <c r="C577" s="37"/>
      <c r="D577" s="35"/>
    </row>
    <row r="578" spans="3:4" x14ac:dyDescent="0.25">
      <c r="C578" s="37"/>
      <c r="D578" s="35"/>
    </row>
    <row r="579" spans="3:4" x14ac:dyDescent="0.25">
      <c r="C579" s="37"/>
      <c r="D579" s="35"/>
    </row>
    <row r="580" spans="3:4" x14ac:dyDescent="0.25">
      <c r="C580" s="37"/>
      <c r="D580" s="35"/>
    </row>
    <row r="581" spans="3:4" x14ac:dyDescent="0.25">
      <c r="C581" s="37"/>
      <c r="D581" s="35"/>
    </row>
    <row r="582" spans="3:4" x14ac:dyDescent="0.25">
      <c r="C582" s="37"/>
      <c r="D582" s="35"/>
    </row>
    <row r="583" spans="3:4" x14ac:dyDescent="0.25">
      <c r="C583" s="37"/>
      <c r="D583" s="35"/>
    </row>
    <row r="584" spans="3:4" x14ac:dyDescent="0.25">
      <c r="C584" s="37"/>
      <c r="D584" s="35"/>
    </row>
    <row r="585" spans="3:4" x14ac:dyDescent="0.25">
      <c r="C585" s="37"/>
      <c r="D585" s="35"/>
    </row>
    <row r="586" spans="3:4" x14ac:dyDescent="0.25">
      <c r="C586" s="37"/>
      <c r="D586" s="35"/>
    </row>
    <row r="587" spans="3:4" x14ac:dyDescent="0.25">
      <c r="C587" s="37"/>
      <c r="D587" s="35"/>
    </row>
    <row r="588" spans="3:4" x14ac:dyDescent="0.25">
      <c r="C588" s="37"/>
      <c r="D588" s="35"/>
    </row>
    <row r="589" spans="3:4" x14ac:dyDescent="0.25">
      <c r="C589" s="37"/>
      <c r="D589" s="35"/>
    </row>
    <row r="590" spans="3:4" x14ac:dyDescent="0.25">
      <c r="C590" s="37"/>
      <c r="D590" s="35"/>
    </row>
    <row r="591" spans="3:4" x14ac:dyDescent="0.25">
      <c r="C591" s="37"/>
      <c r="D591" s="35"/>
    </row>
    <row r="592" spans="3:4" x14ac:dyDescent="0.25">
      <c r="C592" s="37"/>
      <c r="D592" s="35"/>
    </row>
    <row r="593" spans="3:4" x14ac:dyDescent="0.25">
      <c r="C593" s="37"/>
      <c r="D593" s="35"/>
    </row>
    <row r="594" spans="3:4" x14ac:dyDescent="0.25">
      <c r="C594" s="37"/>
      <c r="D594" s="35"/>
    </row>
    <row r="595" spans="3:4" x14ac:dyDescent="0.25">
      <c r="C595" s="37"/>
      <c r="D595" s="35"/>
    </row>
    <row r="596" spans="3:4" x14ac:dyDescent="0.25">
      <c r="C596" s="37"/>
      <c r="D596" s="35"/>
    </row>
    <row r="597" spans="3:4" x14ac:dyDescent="0.25">
      <c r="C597" s="37"/>
      <c r="D597" s="35"/>
    </row>
    <row r="598" spans="3:4" x14ac:dyDescent="0.25">
      <c r="C598" s="37"/>
      <c r="D598" s="35"/>
    </row>
    <row r="599" spans="3:4" x14ac:dyDescent="0.25">
      <c r="C599" s="37"/>
      <c r="D599" s="35"/>
    </row>
    <row r="600" spans="3:4" x14ac:dyDescent="0.25">
      <c r="C600" s="37"/>
      <c r="D600" s="35"/>
    </row>
    <row r="601" spans="3:4" x14ac:dyDescent="0.25">
      <c r="C601" s="37"/>
      <c r="D601" s="35"/>
    </row>
    <row r="602" spans="3:4" x14ac:dyDescent="0.25">
      <c r="C602" s="37"/>
      <c r="D602" s="35"/>
    </row>
    <row r="603" spans="3:4" x14ac:dyDescent="0.25">
      <c r="C603" s="37"/>
      <c r="D603" s="35"/>
    </row>
    <row r="604" spans="3:4" x14ac:dyDescent="0.25">
      <c r="C604" s="37"/>
      <c r="D604" s="35"/>
    </row>
    <row r="605" spans="3:4" x14ac:dyDescent="0.25">
      <c r="C605" s="37"/>
      <c r="D605" s="35"/>
    </row>
    <row r="606" spans="3:4" x14ac:dyDescent="0.25">
      <c r="C606" s="37"/>
      <c r="D606" s="35"/>
    </row>
    <row r="607" spans="3:4" x14ac:dyDescent="0.25">
      <c r="C607" s="37"/>
      <c r="D607" s="35"/>
    </row>
    <row r="608" spans="3:4" x14ac:dyDescent="0.25">
      <c r="C608" s="37"/>
      <c r="D608" s="35"/>
    </row>
    <row r="609" spans="3:4" x14ac:dyDescent="0.25">
      <c r="C609" s="37"/>
      <c r="D609" s="35"/>
    </row>
    <row r="610" spans="3:4" x14ac:dyDescent="0.25">
      <c r="C610" s="37"/>
      <c r="D610" s="35"/>
    </row>
    <row r="611" spans="3:4" x14ac:dyDescent="0.25">
      <c r="C611" s="37"/>
      <c r="D611" s="35"/>
    </row>
    <row r="612" spans="3:4" x14ac:dyDescent="0.25">
      <c r="C612" s="37"/>
      <c r="D612" s="35"/>
    </row>
    <row r="613" spans="3:4" x14ac:dyDescent="0.25">
      <c r="C613" s="37"/>
      <c r="D613" s="35"/>
    </row>
    <row r="614" spans="3:4" x14ac:dyDescent="0.25">
      <c r="C614" s="37"/>
      <c r="D614" s="35"/>
    </row>
    <row r="615" spans="3:4" x14ac:dyDescent="0.25">
      <c r="C615" s="37"/>
      <c r="D615" s="35"/>
    </row>
    <row r="616" spans="3:4" x14ac:dyDescent="0.25">
      <c r="C616" s="37"/>
      <c r="D616" s="35"/>
    </row>
    <row r="617" spans="3:4" x14ac:dyDescent="0.25">
      <c r="C617" s="37"/>
      <c r="D617" s="35"/>
    </row>
    <row r="618" spans="3:4" x14ac:dyDescent="0.25">
      <c r="C618" s="37"/>
      <c r="D618" s="35"/>
    </row>
    <row r="619" spans="3:4" x14ac:dyDescent="0.25">
      <c r="C619" s="37"/>
      <c r="D619" s="35"/>
    </row>
    <row r="620" spans="3:4" x14ac:dyDescent="0.25">
      <c r="C620" s="37"/>
      <c r="D620" s="35"/>
    </row>
    <row r="621" spans="3:4" x14ac:dyDescent="0.25">
      <c r="C621" s="37"/>
      <c r="D621" s="35"/>
    </row>
    <row r="622" spans="3:4" x14ac:dyDescent="0.25">
      <c r="C622" s="37"/>
      <c r="D622" s="35"/>
    </row>
    <row r="623" spans="3:4" x14ac:dyDescent="0.25">
      <c r="C623" s="37"/>
      <c r="D623" s="35"/>
    </row>
    <row r="624" spans="3:4" x14ac:dyDescent="0.25">
      <c r="C624" s="37"/>
      <c r="D624" s="35"/>
    </row>
    <row r="625" spans="3:4" x14ac:dyDescent="0.25">
      <c r="C625" s="37"/>
      <c r="D625" s="35"/>
    </row>
    <row r="626" spans="3:4" x14ac:dyDescent="0.25">
      <c r="C626" s="37"/>
      <c r="D626" s="35"/>
    </row>
    <row r="627" spans="3:4" x14ac:dyDescent="0.25">
      <c r="C627" s="37"/>
      <c r="D627" s="35"/>
    </row>
    <row r="628" spans="3:4" x14ac:dyDescent="0.25">
      <c r="C628" s="37"/>
      <c r="D628" s="35"/>
    </row>
    <row r="629" spans="3:4" x14ac:dyDescent="0.25">
      <c r="C629" s="37"/>
      <c r="D629" s="35"/>
    </row>
    <row r="630" spans="3:4" x14ac:dyDescent="0.25">
      <c r="C630" s="37"/>
      <c r="D630" s="35"/>
    </row>
    <row r="631" spans="3:4" x14ac:dyDescent="0.25">
      <c r="C631" s="37"/>
      <c r="D631" s="35"/>
    </row>
    <row r="632" spans="3:4" x14ac:dyDescent="0.25">
      <c r="C632" s="37"/>
      <c r="D632" s="35"/>
    </row>
    <row r="633" spans="3:4" x14ac:dyDescent="0.25">
      <c r="C633" s="37"/>
      <c r="D633" s="35"/>
    </row>
    <row r="634" spans="3:4" x14ac:dyDescent="0.25">
      <c r="C634" s="37"/>
      <c r="D634" s="35"/>
    </row>
    <row r="635" spans="3:4" x14ac:dyDescent="0.25">
      <c r="C635" s="37"/>
      <c r="D635" s="35"/>
    </row>
    <row r="636" spans="3:4" x14ac:dyDescent="0.25">
      <c r="C636" s="37"/>
      <c r="D636" s="35"/>
    </row>
    <row r="637" spans="3:4" x14ac:dyDescent="0.25">
      <c r="C637" s="37"/>
      <c r="D637" s="35"/>
    </row>
    <row r="638" spans="3:4" x14ac:dyDescent="0.25">
      <c r="C638" s="37"/>
      <c r="D638" s="35"/>
    </row>
    <row r="639" spans="3:4" x14ac:dyDescent="0.25">
      <c r="C639" s="37"/>
      <c r="D639" s="35"/>
    </row>
    <row r="640" spans="3:4" x14ac:dyDescent="0.25">
      <c r="C640" s="37"/>
      <c r="D640" s="35"/>
    </row>
    <row r="641" spans="3:4" x14ac:dyDescent="0.25">
      <c r="C641" s="37"/>
      <c r="D641" s="35"/>
    </row>
    <row r="642" spans="3:4" x14ac:dyDescent="0.25">
      <c r="C642" s="37"/>
      <c r="D642" s="35"/>
    </row>
    <row r="643" spans="3:4" x14ac:dyDescent="0.25">
      <c r="C643" s="37"/>
      <c r="D643" s="35"/>
    </row>
    <row r="644" spans="3:4" x14ac:dyDescent="0.25">
      <c r="C644" s="37"/>
      <c r="D644" s="35"/>
    </row>
    <row r="645" spans="3:4" x14ac:dyDescent="0.25">
      <c r="C645" s="37"/>
      <c r="D645" s="35"/>
    </row>
    <row r="646" spans="3:4" x14ac:dyDescent="0.25">
      <c r="C646" s="37"/>
      <c r="D646" s="35"/>
    </row>
    <row r="647" spans="3:4" x14ac:dyDescent="0.25">
      <c r="C647" s="37"/>
      <c r="D647" s="35"/>
    </row>
    <row r="648" spans="3:4" x14ac:dyDescent="0.25">
      <c r="C648" s="37"/>
      <c r="D648" s="35"/>
    </row>
    <row r="649" spans="3:4" x14ac:dyDescent="0.25">
      <c r="C649" s="37"/>
      <c r="D649" s="35"/>
    </row>
    <row r="650" spans="3:4" x14ac:dyDescent="0.25">
      <c r="C650" s="37"/>
      <c r="D650" s="35"/>
    </row>
    <row r="651" spans="3:4" x14ac:dyDescent="0.25">
      <c r="C651" s="37"/>
      <c r="D651" s="35"/>
    </row>
    <row r="652" spans="3:4" x14ac:dyDescent="0.25">
      <c r="C652" s="37"/>
      <c r="D652" s="35"/>
    </row>
    <row r="653" spans="3:4" x14ac:dyDescent="0.25">
      <c r="C653" s="37"/>
      <c r="D653" s="35"/>
    </row>
    <row r="654" spans="3:4" x14ac:dyDescent="0.25">
      <c r="C654" s="37"/>
      <c r="D654" s="35"/>
    </row>
    <row r="655" spans="3:4" x14ac:dyDescent="0.25">
      <c r="C655" s="37"/>
      <c r="D655" s="35"/>
    </row>
    <row r="656" spans="3:4" x14ac:dyDescent="0.25">
      <c r="C656" s="37"/>
      <c r="D656" s="35"/>
    </row>
    <row r="657" spans="3:4" x14ac:dyDescent="0.25">
      <c r="C657" s="37"/>
      <c r="D657" s="35"/>
    </row>
    <row r="658" spans="3:4" x14ac:dyDescent="0.25">
      <c r="C658" s="37"/>
      <c r="D658" s="35"/>
    </row>
    <row r="659" spans="3:4" x14ac:dyDescent="0.25">
      <c r="C659" s="37"/>
      <c r="D659" s="35"/>
    </row>
    <row r="660" spans="3:4" x14ac:dyDescent="0.25">
      <c r="C660" s="37"/>
      <c r="D660" s="35"/>
    </row>
    <row r="661" spans="3:4" x14ac:dyDescent="0.25">
      <c r="C661" s="37"/>
      <c r="D661" s="35"/>
    </row>
    <row r="662" spans="3:4" x14ac:dyDescent="0.25">
      <c r="C662" s="37"/>
      <c r="D662" s="35"/>
    </row>
    <row r="663" spans="3:4" x14ac:dyDescent="0.25">
      <c r="C663" s="37"/>
      <c r="D663" s="35"/>
    </row>
    <row r="664" spans="3:4" x14ac:dyDescent="0.25">
      <c r="C664" s="37"/>
      <c r="D664" s="35"/>
    </row>
    <row r="665" spans="3:4" x14ac:dyDescent="0.25">
      <c r="C665" s="37"/>
      <c r="D665" s="35"/>
    </row>
    <row r="666" spans="3:4" x14ac:dyDescent="0.25">
      <c r="C666" s="37"/>
      <c r="D666" s="35"/>
    </row>
    <row r="667" spans="3:4" x14ac:dyDescent="0.25">
      <c r="C667" s="37"/>
      <c r="D667" s="35"/>
    </row>
    <row r="668" spans="3:4" x14ac:dyDescent="0.25">
      <c r="C668" s="37"/>
      <c r="D668" s="35"/>
    </row>
    <row r="669" spans="3:4" x14ac:dyDescent="0.25">
      <c r="C669" s="37"/>
      <c r="D669" s="35"/>
    </row>
    <row r="670" spans="3:4" x14ac:dyDescent="0.25">
      <c r="C670" s="37"/>
      <c r="D670" s="35"/>
    </row>
    <row r="671" spans="3:4" x14ac:dyDescent="0.25">
      <c r="C671" s="37"/>
      <c r="D671" s="35"/>
    </row>
    <row r="672" spans="3:4" x14ac:dyDescent="0.25">
      <c r="C672" s="37"/>
      <c r="D672" s="35"/>
    </row>
    <row r="673" spans="3:4" x14ac:dyDescent="0.25">
      <c r="C673" s="37"/>
      <c r="D673" s="35"/>
    </row>
    <row r="674" spans="3:4" x14ac:dyDescent="0.25">
      <c r="C674" s="37"/>
      <c r="D674" s="35"/>
    </row>
    <row r="675" spans="3:4" x14ac:dyDescent="0.25">
      <c r="C675" s="37"/>
      <c r="D675" s="35"/>
    </row>
    <row r="676" spans="3:4" x14ac:dyDescent="0.25">
      <c r="C676" s="37"/>
      <c r="D676" s="35"/>
    </row>
    <row r="677" spans="3:4" x14ac:dyDescent="0.25">
      <c r="C677" s="37"/>
      <c r="D677" s="35"/>
    </row>
    <row r="678" spans="3:4" x14ac:dyDescent="0.25">
      <c r="C678" s="37"/>
      <c r="D678" s="35"/>
    </row>
    <row r="679" spans="3:4" x14ac:dyDescent="0.25">
      <c r="C679" s="37"/>
      <c r="D679" s="35"/>
    </row>
    <row r="680" spans="3:4" x14ac:dyDescent="0.25">
      <c r="C680" s="37"/>
      <c r="D680" s="35"/>
    </row>
    <row r="681" spans="3:4" x14ac:dyDescent="0.25">
      <c r="C681" s="37"/>
      <c r="D681" s="35"/>
    </row>
    <row r="682" spans="3:4" x14ac:dyDescent="0.25">
      <c r="C682" s="37"/>
      <c r="D682" s="35"/>
    </row>
    <row r="683" spans="3:4" x14ac:dyDescent="0.25">
      <c r="C683" s="37"/>
      <c r="D683" s="35"/>
    </row>
    <row r="684" spans="3:4" x14ac:dyDescent="0.25">
      <c r="C684" s="37"/>
      <c r="D684" s="35"/>
    </row>
    <row r="685" spans="3:4" x14ac:dyDescent="0.25">
      <c r="C685" s="37"/>
      <c r="D685" s="35"/>
    </row>
    <row r="686" spans="3:4" x14ac:dyDescent="0.25">
      <c r="C686" s="37"/>
      <c r="D686" s="35"/>
    </row>
    <row r="687" spans="3:4" x14ac:dyDescent="0.25">
      <c r="C687" s="37"/>
      <c r="D687" s="35"/>
    </row>
    <row r="688" spans="3:4" x14ac:dyDescent="0.25">
      <c r="C688" s="37"/>
      <c r="D688" s="35"/>
    </row>
    <row r="689" spans="3:4" x14ac:dyDescent="0.25">
      <c r="C689" s="37"/>
      <c r="D689" s="35"/>
    </row>
    <row r="690" spans="3:4" x14ac:dyDescent="0.25">
      <c r="C690" s="37"/>
      <c r="D690" s="35"/>
    </row>
    <row r="691" spans="3:4" x14ac:dyDescent="0.25">
      <c r="C691" s="37"/>
      <c r="D691" s="35"/>
    </row>
    <row r="692" spans="3:4" x14ac:dyDescent="0.25">
      <c r="C692" s="37"/>
      <c r="D692" s="35"/>
    </row>
    <row r="693" spans="3:4" x14ac:dyDescent="0.25">
      <c r="C693" s="37"/>
      <c r="D693" s="35"/>
    </row>
    <row r="694" spans="3:4" x14ac:dyDescent="0.25">
      <c r="C694" s="37"/>
      <c r="D694" s="35"/>
    </row>
    <row r="695" spans="3:4" x14ac:dyDescent="0.25">
      <c r="C695" s="37"/>
      <c r="D695" s="35"/>
    </row>
    <row r="696" spans="3:4" x14ac:dyDescent="0.25">
      <c r="C696" s="37"/>
      <c r="D696" s="35"/>
    </row>
    <row r="697" spans="3:4" x14ac:dyDescent="0.25">
      <c r="C697" s="37"/>
      <c r="D697" s="35"/>
    </row>
    <row r="698" spans="3:4" x14ac:dyDescent="0.25">
      <c r="C698" s="37"/>
      <c r="D698" s="35"/>
    </row>
    <row r="699" spans="3:4" x14ac:dyDescent="0.25">
      <c r="C699" s="37"/>
      <c r="D699" s="35"/>
    </row>
    <row r="700" spans="3:4" x14ac:dyDescent="0.25">
      <c r="C700" s="37"/>
      <c r="D700" s="35"/>
    </row>
    <row r="701" spans="3:4" x14ac:dyDescent="0.25">
      <c r="C701" s="37"/>
      <c r="D701" s="35"/>
    </row>
    <row r="702" spans="3:4" x14ac:dyDescent="0.25">
      <c r="C702" s="37"/>
      <c r="D702" s="35"/>
    </row>
    <row r="703" spans="3:4" x14ac:dyDescent="0.25">
      <c r="C703" s="37"/>
      <c r="D703" s="35"/>
    </row>
    <row r="704" spans="3:4" x14ac:dyDescent="0.25">
      <c r="C704" s="37"/>
      <c r="D704" s="35"/>
    </row>
    <row r="705" spans="3:4" x14ac:dyDescent="0.25">
      <c r="C705" s="37"/>
      <c r="D705" s="35"/>
    </row>
    <row r="706" spans="3:4" x14ac:dyDescent="0.25">
      <c r="C706" s="37"/>
      <c r="D706" s="35"/>
    </row>
    <row r="707" spans="3:4" x14ac:dyDescent="0.25">
      <c r="C707" s="37"/>
      <c r="D707" s="35"/>
    </row>
    <row r="708" spans="3:4" x14ac:dyDescent="0.25">
      <c r="C708" s="37"/>
      <c r="D708" s="35"/>
    </row>
    <row r="709" spans="3:4" x14ac:dyDescent="0.25">
      <c r="C709" s="37"/>
      <c r="D709" s="35"/>
    </row>
    <row r="710" spans="3:4" x14ac:dyDescent="0.25">
      <c r="C710" s="37"/>
      <c r="D710" s="35"/>
    </row>
    <row r="711" spans="3:4" x14ac:dyDescent="0.25">
      <c r="C711" s="37"/>
      <c r="D711" s="35"/>
    </row>
    <row r="712" spans="3:4" x14ac:dyDescent="0.25">
      <c r="C712" s="37"/>
      <c r="D712" s="35"/>
    </row>
    <row r="713" spans="3:4" x14ac:dyDescent="0.25">
      <c r="C713" s="37"/>
      <c r="D713" s="35"/>
    </row>
    <row r="714" spans="3:4" x14ac:dyDescent="0.25">
      <c r="C714" s="37"/>
      <c r="D714" s="35"/>
    </row>
    <row r="715" spans="3:4" x14ac:dyDescent="0.25">
      <c r="C715" s="37"/>
      <c r="D715" s="35"/>
    </row>
    <row r="716" spans="3:4" x14ac:dyDescent="0.25">
      <c r="C716" s="37"/>
      <c r="D716" s="35"/>
    </row>
    <row r="717" spans="3:4" x14ac:dyDescent="0.25">
      <c r="C717" s="37"/>
      <c r="D717" s="35"/>
    </row>
    <row r="718" spans="3:4" x14ac:dyDescent="0.25">
      <c r="C718" s="37"/>
      <c r="D718" s="35"/>
    </row>
    <row r="719" spans="3:4" x14ac:dyDescent="0.25">
      <c r="C719" s="37"/>
      <c r="D719" s="35"/>
    </row>
    <row r="720" spans="3:4" x14ac:dyDescent="0.25">
      <c r="C720" s="37"/>
      <c r="D720" s="35"/>
    </row>
    <row r="721" spans="3:4" x14ac:dyDescent="0.25">
      <c r="C721" s="37"/>
      <c r="D721" s="35"/>
    </row>
    <row r="722" spans="3:4" x14ac:dyDescent="0.25">
      <c r="C722" s="37"/>
      <c r="D722" s="35"/>
    </row>
    <row r="723" spans="3:4" x14ac:dyDescent="0.25">
      <c r="C723" s="37"/>
      <c r="D723" s="35"/>
    </row>
    <row r="724" spans="3:4" x14ac:dyDescent="0.25">
      <c r="C724" s="37"/>
      <c r="D724" s="35"/>
    </row>
    <row r="725" spans="3:4" x14ac:dyDescent="0.25">
      <c r="C725" s="37"/>
      <c r="D725" s="35"/>
    </row>
    <row r="726" spans="3:4" x14ac:dyDescent="0.25">
      <c r="C726" s="37"/>
      <c r="D726" s="35"/>
    </row>
    <row r="727" spans="3:4" x14ac:dyDescent="0.25">
      <c r="C727" s="37"/>
      <c r="D727" s="35"/>
    </row>
    <row r="728" spans="3:4" x14ac:dyDescent="0.25">
      <c r="C728" s="37"/>
      <c r="D728" s="35"/>
    </row>
    <row r="729" spans="3:4" x14ac:dyDescent="0.25">
      <c r="C729" s="37"/>
      <c r="D729" s="35"/>
    </row>
    <row r="730" spans="3:4" x14ac:dyDescent="0.25">
      <c r="C730" s="37"/>
      <c r="D730" s="35"/>
    </row>
    <row r="731" spans="3:4" x14ac:dyDescent="0.25">
      <c r="C731" s="37"/>
      <c r="D731" s="35"/>
    </row>
    <row r="732" spans="3:4" x14ac:dyDescent="0.25">
      <c r="C732" s="37"/>
      <c r="D732" s="35"/>
    </row>
    <row r="733" spans="3:4" x14ac:dyDescent="0.25">
      <c r="C733" s="37"/>
      <c r="D733" s="35"/>
    </row>
    <row r="734" spans="3:4" x14ac:dyDescent="0.25">
      <c r="C734" s="37"/>
      <c r="D734" s="35"/>
    </row>
    <row r="735" spans="3:4" x14ac:dyDescent="0.25">
      <c r="C735" s="37"/>
      <c r="D735" s="35"/>
    </row>
    <row r="736" spans="3:4" x14ac:dyDescent="0.25">
      <c r="C736" s="37"/>
      <c r="D736" s="35"/>
    </row>
    <row r="737" spans="3:4" x14ac:dyDescent="0.25">
      <c r="C737" s="37"/>
      <c r="D737" s="35"/>
    </row>
    <row r="738" spans="3:4" x14ac:dyDescent="0.25">
      <c r="C738" s="37"/>
      <c r="D738" s="35"/>
    </row>
    <row r="739" spans="3:4" x14ac:dyDescent="0.25">
      <c r="C739" s="37"/>
      <c r="D739" s="35"/>
    </row>
    <row r="740" spans="3:4" x14ac:dyDescent="0.25">
      <c r="C740" s="37"/>
      <c r="D740" s="35"/>
    </row>
    <row r="741" spans="3:4" x14ac:dyDescent="0.25">
      <c r="C741" s="37"/>
      <c r="D741" s="35"/>
    </row>
    <row r="742" spans="3:4" x14ac:dyDescent="0.25">
      <c r="C742" s="37"/>
      <c r="D742" s="35"/>
    </row>
    <row r="743" spans="3:4" x14ac:dyDescent="0.25">
      <c r="C743" s="37"/>
      <c r="D743" s="35"/>
    </row>
    <row r="744" spans="3:4" x14ac:dyDescent="0.25">
      <c r="C744" s="37"/>
      <c r="D744" s="35"/>
    </row>
    <row r="745" spans="3:4" x14ac:dyDescent="0.25">
      <c r="C745" s="37"/>
      <c r="D745" s="35"/>
    </row>
    <row r="746" spans="3:4" x14ac:dyDescent="0.25">
      <c r="C746" s="37"/>
      <c r="D746" s="35"/>
    </row>
    <row r="747" spans="3:4" x14ac:dyDescent="0.25">
      <c r="C747" s="37"/>
      <c r="D747" s="35"/>
    </row>
    <row r="748" spans="3:4" x14ac:dyDescent="0.25">
      <c r="C748" s="37"/>
      <c r="D748" s="35"/>
    </row>
    <row r="749" spans="3:4" x14ac:dyDescent="0.25">
      <c r="C749" s="37"/>
      <c r="D749" s="35"/>
    </row>
    <row r="750" spans="3:4" x14ac:dyDescent="0.25">
      <c r="C750" s="37"/>
      <c r="D750" s="35"/>
    </row>
    <row r="751" spans="3:4" x14ac:dyDescent="0.25">
      <c r="C751" s="37"/>
      <c r="D751" s="35"/>
    </row>
    <row r="752" spans="3:4" x14ac:dyDescent="0.25">
      <c r="C752" s="37"/>
      <c r="D752" s="35"/>
    </row>
    <row r="753" spans="3:4" x14ac:dyDescent="0.25">
      <c r="C753" s="37"/>
      <c r="D753" s="35"/>
    </row>
    <row r="754" spans="3:4" x14ac:dyDescent="0.25">
      <c r="C754" s="37"/>
      <c r="D754" s="35"/>
    </row>
    <row r="755" spans="3:4" x14ac:dyDescent="0.25">
      <c r="C755" s="37"/>
      <c r="D755" s="35"/>
    </row>
    <row r="756" spans="3:4" x14ac:dyDescent="0.25">
      <c r="C756" s="37"/>
      <c r="D756" s="35"/>
    </row>
    <row r="757" spans="3:4" x14ac:dyDescent="0.25">
      <c r="C757" s="37"/>
      <c r="D757" s="35"/>
    </row>
    <row r="758" spans="3:4" x14ac:dyDescent="0.25">
      <c r="C758" s="37"/>
      <c r="D758" s="35"/>
    </row>
    <row r="759" spans="3:4" x14ac:dyDescent="0.25">
      <c r="C759" s="37"/>
      <c r="D759" s="35"/>
    </row>
    <row r="760" spans="3:4" x14ac:dyDescent="0.25">
      <c r="C760" s="37"/>
      <c r="D760" s="35"/>
    </row>
    <row r="761" spans="3:4" x14ac:dyDescent="0.25">
      <c r="C761" s="37"/>
      <c r="D761" s="35"/>
    </row>
    <row r="762" spans="3:4" x14ac:dyDescent="0.25">
      <c r="C762" s="37"/>
      <c r="D762" s="35"/>
    </row>
    <row r="763" spans="3:4" x14ac:dyDescent="0.25">
      <c r="C763" s="37"/>
      <c r="D763" s="35"/>
    </row>
    <row r="764" spans="3:4" x14ac:dyDescent="0.25">
      <c r="C764" s="37"/>
      <c r="D764" s="35"/>
    </row>
    <row r="765" spans="3:4" x14ac:dyDescent="0.25">
      <c r="C765" s="37"/>
      <c r="D765" s="35"/>
    </row>
    <row r="766" spans="3:4" x14ac:dyDescent="0.25">
      <c r="C766" s="37"/>
      <c r="D766" s="35"/>
    </row>
    <row r="767" spans="3:4" x14ac:dyDescent="0.25">
      <c r="C767" s="37"/>
      <c r="D767" s="35"/>
    </row>
    <row r="768" spans="3:4" x14ac:dyDescent="0.25">
      <c r="C768" s="37"/>
      <c r="D768" s="35"/>
    </row>
    <row r="769" spans="3:4" x14ac:dyDescent="0.25">
      <c r="C769" s="37"/>
      <c r="D769" s="35"/>
    </row>
    <row r="770" spans="3:4" x14ac:dyDescent="0.25">
      <c r="C770" s="37"/>
      <c r="D770" s="35"/>
    </row>
    <row r="771" spans="3:4" x14ac:dyDescent="0.25">
      <c r="C771" s="37"/>
      <c r="D771" s="35"/>
    </row>
    <row r="772" spans="3:4" x14ac:dyDescent="0.25">
      <c r="C772" s="37"/>
      <c r="D772" s="35"/>
    </row>
    <row r="773" spans="3:4" x14ac:dyDescent="0.25">
      <c r="C773" s="37"/>
      <c r="D773" s="35"/>
    </row>
    <row r="774" spans="3:4" x14ac:dyDescent="0.25">
      <c r="C774" s="37"/>
      <c r="D774" s="35"/>
    </row>
    <row r="775" spans="3:4" x14ac:dyDescent="0.25">
      <c r="C775" s="37"/>
      <c r="D775" s="35"/>
    </row>
    <row r="776" spans="3:4" x14ac:dyDescent="0.25">
      <c r="C776" s="37"/>
      <c r="D776" s="35"/>
    </row>
    <row r="777" spans="3:4" x14ac:dyDescent="0.25">
      <c r="C777" s="37"/>
      <c r="D777" s="35"/>
    </row>
    <row r="778" spans="3:4" x14ac:dyDescent="0.25">
      <c r="C778" s="37"/>
      <c r="D778" s="35"/>
    </row>
    <row r="779" spans="3:4" x14ac:dyDescent="0.25">
      <c r="C779" s="37"/>
      <c r="D779" s="35"/>
    </row>
    <row r="780" spans="3:4" x14ac:dyDescent="0.25">
      <c r="C780" s="37"/>
      <c r="D780" s="35"/>
    </row>
    <row r="781" spans="3:4" x14ac:dyDescent="0.25">
      <c r="C781" s="37"/>
      <c r="D781" s="35"/>
    </row>
    <row r="782" spans="3:4" x14ac:dyDescent="0.25">
      <c r="C782" s="37"/>
      <c r="D782" s="35"/>
    </row>
    <row r="783" spans="3:4" x14ac:dyDescent="0.25">
      <c r="C783" s="37"/>
      <c r="D783" s="35"/>
    </row>
    <row r="784" spans="3:4" x14ac:dyDescent="0.25">
      <c r="C784" s="37"/>
      <c r="D784" s="35"/>
    </row>
    <row r="785" spans="3:4" x14ac:dyDescent="0.25">
      <c r="C785" s="37"/>
      <c r="D785" s="35"/>
    </row>
    <row r="786" spans="3:4" x14ac:dyDescent="0.25">
      <c r="C786" s="37"/>
      <c r="D786" s="35"/>
    </row>
    <row r="787" spans="3:4" x14ac:dyDescent="0.25">
      <c r="C787" s="37"/>
      <c r="D787" s="35"/>
    </row>
    <row r="788" spans="3:4" x14ac:dyDescent="0.25">
      <c r="C788" s="37"/>
      <c r="D788" s="35"/>
    </row>
    <row r="789" spans="3:4" x14ac:dyDescent="0.25">
      <c r="C789" s="37"/>
      <c r="D789" s="35"/>
    </row>
    <row r="790" spans="3:4" x14ac:dyDescent="0.25">
      <c r="C790" s="37"/>
      <c r="D790" s="35"/>
    </row>
    <row r="791" spans="3:4" x14ac:dyDescent="0.25">
      <c r="C791" s="37"/>
      <c r="D791" s="35"/>
    </row>
    <row r="792" spans="3:4" x14ac:dyDescent="0.25">
      <c r="C792" s="37"/>
      <c r="D792" s="35"/>
    </row>
    <row r="793" spans="3:4" x14ac:dyDescent="0.25">
      <c r="C793" s="37"/>
      <c r="D793" s="35"/>
    </row>
    <row r="794" spans="3:4" x14ac:dyDescent="0.25">
      <c r="C794" s="37"/>
      <c r="D794" s="35"/>
    </row>
    <row r="795" spans="3:4" x14ac:dyDescent="0.25">
      <c r="C795" s="37"/>
      <c r="D795" s="35"/>
    </row>
    <row r="796" spans="3:4" x14ac:dyDescent="0.25">
      <c r="C796" s="37"/>
      <c r="D796" s="35"/>
    </row>
    <row r="797" spans="3:4" x14ac:dyDescent="0.25">
      <c r="C797" s="37"/>
      <c r="D797" s="35"/>
    </row>
    <row r="798" spans="3:4" x14ac:dyDescent="0.25">
      <c r="C798" s="37"/>
      <c r="D798" s="35"/>
    </row>
    <row r="799" spans="3:4" x14ac:dyDescent="0.25">
      <c r="C799" s="37"/>
      <c r="D799" s="35"/>
    </row>
    <row r="800" spans="3:4" x14ac:dyDescent="0.25">
      <c r="C800" s="37"/>
      <c r="D800" s="35"/>
    </row>
    <row r="801" spans="3:4" x14ac:dyDescent="0.25">
      <c r="C801" s="37"/>
      <c r="D801" s="35"/>
    </row>
    <row r="802" spans="3:4" x14ac:dyDescent="0.25">
      <c r="C802" s="37"/>
      <c r="D802" s="35"/>
    </row>
    <row r="803" spans="3:4" x14ac:dyDescent="0.25">
      <c r="C803" s="37"/>
      <c r="D803" s="35"/>
    </row>
    <row r="804" spans="3:4" x14ac:dyDescent="0.25">
      <c r="C804" s="37"/>
      <c r="D804" s="35"/>
    </row>
    <row r="805" spans="3:4" x14ac:dyDescent="0.25">
      <c r="C805" s="37"/>
      <c r="D805" s="35"/>
    </row>
    <row r="806" spans="3:4" x14ac:dyDescent="0.25">
      <c r="C806" s="37"/>
      <c r="D806" s="35"/>
    </row>
    <row r="807" spans="3:4" x14ac:dyDescent="0.25">
      <c r="C807" s="37"/>
      <c r="D807" s="35"/>
    </row>
    <row r="808" spans="3:4" x14ac:dyDescent="0.25">
      <c r="C808" s="37"/>
      <c r="D808" s="35"/>
    </row>
    <row r="809" spans="3:4" x14ac:dyDescent="0.25">
      <c r="C809" s="37"/>
      <c r="D809" s="35"/>
    </row>
    <row r="810" spans="3:4" x14ac:dyDescent="0.25">
      <c r="C810" s="37"/>
      <c r="D810" s="35"/>
    </row>
    <row r="811" spans="3:4" x14ac:dyDescent="0.25">
      <c r="C811" s="37"/>
      <c r="D811" s="35"/>
    </row>
    <row r="812" spans="3:4" x14ac:dyDescent="0.25">
      <c r="C812" s="37"/>
      <c r="D812" s="35"/>
    </row>
    <row r="813" spans="3:4" x14ac:dyDescent="0.25">
      <c r="C813" s="37"/>
      <c r="D813" s="35"/>
    </row>
    <row r="814" spans="3:4" x14ac:dyDescent="0.25">
      <c r="C814" s="37"/>
      <c r="D814" s="35"/>
    </row>
    <row r="815" spans="3:4" x14ac:dyDescent="0.25">
      <c r="C815" s="37"/>
      <c r="D815" s="35"/>
    </row>
    <row r="816" spans="3:4" x14ac:dyDescent="0.25">
      <c r="C816" s="37"/>
      <c r="D816" s="35"/>
    </row>
    <row r="817" spans="3:4" x14ac:dyDescent="0.25">
      <c r="C817" s="37"/>
      <c r="D817" s="35"/>
    </row>
    <row r="818" spans="3:4" x14ac:dyDescent="0.25">
      <c r="C818" s="37"/>
      <c r="D818" s="35"/>
    </row>
    <row r="819" spans="3:4" x14ac:dyDescent="0.25">
      <c r="C819" s="37"/>
      <c r="D819" s="35"/>
    </row>
    <row r="820" spans="3:4" x14ac:dyDescent="0.25">
      <c r="C820" s="37"/>
      <c r="D820" s="35"/>
    </row>
    <row r="821" spans="3:4" x14ac:dyDescent="0.25">
      <c r="C821" s="37"/>
      <c r="D821" s="35"/>
    </row>
    <row r="822" spans="3:4" x14ac:dyDescent="0.25">
      <c r="C822" s="37"/>
      <c r="D822" s="35"/>
    </row>
    <row r="823" spans="3:4" x14ac:dyDescent="0.25">
      <c r="C823" s="37"/>
      <c r="D823" s="35"/>
    </row>
    <row r="824" spans="3:4" x14ac:dyDescent="0.25">
      <c r="C824" s="37"/>
      <c r="D824" s="35"/>
    </row>
    <row r="825" spans="3:4" x14ac:dyDescent="0.25">
      <c r="C825" s="37"/>
      <c r="D825" s="35"/>
    </row>
    <row r="826" spans="3:4" x14ac:dyDescent="0.25">
      <c r="C826" s="37"/>
      <c r="D826" s="35"/>
    </row>
    <row r="827" spans="3:4" x14ac:dyDescent="0.25">
      <c r="C827" s="37"/>
      <c r="D827" s="35"/>
    </row>
    <row r="828" spans="3:4" x14ac:dyDescent="0.25">
      <c r="C828" s="37"/>
      <c r="D828" s="35"/>
    </row>
    <row r="829" spans="3:4" x14ac:dyDescent="0.25">
      <c r="C829" s="37"/>
      <c r="D829" s="35"/>
    </row>
    <row r="830" spans="3:4" x14ac:dyDescent="0.25">
      <c r="C830" s="37"/>
      <c r="D830" s="35"/>
    </row>
    <row r="831" spans="3:4" x14ac:dyDescent="0.25">
      <c r="C831" s="37"/>
      <c r="D831" s="35"/>
    </row>
    <row r="832" spans="3:4" x14ac:dyDescent="0.25">
      <c r="C832" s="37"/>
      <c r="D832" s="35"/>
    </row>
    <row r="833" spans="3:4" x14ac:dyDescent="0.25">
      <c r="C833" s="37"/>
      <c r="D833" s="35"/>
    </row>
    <row r="834" spans="3:4" x14ac:dyDescent="0.25">
      <c r="C834" s="37"/>
      <c r="D834" s="35"/>
    </row>
    <row r="835" spans="3:4" x14ac:dyDescent="0.25">
      <c r="C835" s="37"/>
      <c r="D835" s="35"/>
    </row>
    <row r="836" spans="3:4" x14ac:dyDescent="0.25">
      <c r="C836" s="37"/>
      <c r="D836" s="35"/>
    </row>
    <row r="837" spans="3:4" x14ac:dyDescent="0.25">
      <c r="C837" s="37"/>
      <c r="D837" s="35"/>
    </row>
    <row r="838" spans="3:4" x14ac:dyDescent="0.25">
      <c r="C838" s="37"/>
      <c r="D838" s="35"/>
    </row>
    <row r="839" spans="3:4" x14ac:dyDescent="0.25">
      <c r="C839" s="37"/>
      <c r="D839" s="35"/>
    </row>
    <row r="840" spans="3:4" x14ac:dyDescent="0.25">
      <c r="C840" s="37"/>
      <c r="D840" s="35"/>
    </row>
    <row r="841" spans="3:4" x14ac:dyDescent="0.25">
      <c r="C841" s="37"/>
      <c r="D841" s="35"/>
    </row>
    <row r="842" spans="3:4" x14ac:dyDescent="0.25">
      <c r="C842" s="37"/>
      <c r="D842" s="35"/>
    </row>
    <row r="843" spans="3:4" x14ac:dyDescent="0.25">
      <c r="C843" s="37"/>
      <c r="D843" s="35"/>
    </row>
    <row r="844" spans="3:4" x14ac:dyDescent="0.25">
      <c r="C844" s="37"/>
      <c r="D844" s="35"/>
    </row>
    <row r="845" spans="3:4" x14ac:dyDescent="0.25">
      <c r="C845" s="37"/>
      <c r="D845" s="35"/>
    </row>
    <row r="846" spans="3:4" x14ac:dyDescent="0.25">
      <c r="C846" s="37"/>
      <c r="D846" s="35"/>
    </row>
    <row r="847" spans="3:4" x14ac:dyDescent="0.25">
      <c r="C847" s="37"/>
      <c r="D847" s="35"/>
    </row>
    <row r="848" spans="3:4" x14ac:dyDescent="0.25">
      <c r="C848" s="37"/>
      <c r="D848" s="35"/>
    </row>
    <row r="849" spans="3:4" x14ac:dyDescent="0.25">
      <c r="C849" s="37"/>
      <c r="D849" s="35"/>
    </row>
    <row r="850" spans="3:4" x14ac:dyDescent="0.25">
      <c r="C850" s="37"/>
      <c r="D850" s="35"/>
    </row>
    <row r="851" spans="3:4" x14ac:dyDescent="0.25">
      <c r="C851" s="37"/>
      <c r="D851" s="35"/>
    </row>
    <row r="852" spans="3:4" x14ac:dyDescent="0.25">
      <c r="C852" s="37"/>
      <c r="D852" s="35"/>
    </row>
    <row r="853" spans="3:4" x14ac:dyDescent="0.25">
      <c r="C853" s="37"/>
      <c r="D853" s="35"/>
    </row>
    <row r="854" spans="3:4" x14ac:dyDescent="0.25">
      <c r="C854" s="37"/>
      <c r="D854" s="35"/>
    </row>
    <row r="855" spans="3:4" x14ac:dyDescent="0.25">
      <c r="C855" s="37"/>
      <c r="D855" s="35"/>
    </row>
    <row r="856" spans="3:4" x14ac:dyDescent="0.25">
      <c r="C856" s="37"/>
      <c r="D856" s="35"/>
    </row>
    <row r="857" spans="3:4" x14ac:dyDescent="0.25">
      <c r="C857" s="37"/>
      <c r="D857" s="35"/>
    </row>
    <row r="858" spans="3:4" x14ac:dyDescent="0.25">
      <c r="C858" s="37"/>
      <c r="D858" s="35"/>
    </row>
    <row r="859" spans="3:4" x14ac:dyDescent="0.25">
      <c r="C859" s="37"/>
      <c r="D859" s="35"/>
    </row>
    <row r="860" spans="3:4" x14ac:dyDescent="0.25">
      <c r="C860" s="37"/>
      <c r="D860" s="35"/>
    </row>
    <row r="861" spans="3:4" x14ac:dyDescent="0.25">
      <c r="C861" s="37"/>
      <c r="D861" s="35"/>
    </row>
    <row r="862" spans="3:4" x14ac:dyDescent="0.25">
      <c r="C862" s="37"/>
      <c r="D862" s="35"/>
    </row>
    <row r="863" spans="3:4" x14ac:dyDescent="0.25">
      <c r="C863" s="37"/>
      <c r="D863" s="35"/>
    </row>
    <row r="864" spans="3:4" x14ac:dyDescent="0.25">
      <c r="C864" s="37"/>
      <c r="D864" s="35"/>
    </row>
    <row r="865" spans="3:4" x14ac:dyDescent="0.25">
      <c r="C865" s="37"/>
      <c r="D865" s="35"/>
    </row>
    <row r="866" spans="3:4" x14ac:dyDescent="0.25">
      <c r="C866" s="37"/>
      <c r="D866" s="35"/>
    </row>
    <row r="867" spans="3:4" x14ac:dyDescent="0.25">
      <c r="C867" s="37"/>
      <c r="D867" s="35"/>
    </row>
    <row r="868" spans="3:4" x14ac:dyDescent="0.25">
      <c r="C868" s="37"/>
      <c r="D868" s="35"/>
    </row>
    <row r="869" spans="3:4" x14ac:dyDescent="0.25">
      <c r="C869" s="37"/>
      <c r="D869" s="35"/>
    </row>
    <row r="870" spans="3:4" x14ac:dyDescent="0.25">
      <c r="C870" s="37"/>
      <c r="D870" s="35"/>
    </row>
    <row r="871" spans="3:4" x14ac:dyDescent="0.25">
      <c r="C871" s="37"/>
      <c r="D871" s="35"/>
    </row>
    <row r="872" spans="3:4" x14ac:dyDescent="0.25">
      <c r="C872" s="37"/>
      <c r="D872" s="35"/>
    </row>
    <row r="873" spans="3:4" x14ac:dyDescent="0.25">
      <c r="C873" s="37"/>
      <c r="D873" s="35"/>
    </row>
    <row r="874" spans="3:4" x14ac:dyDescent="0.25">
      <c r="C874" s="37"/>
      <c r="D874" s="35"/>
    </row>
    <row r="875" spans="3:4" x14ac:dyDescent="0.25">
      <c r="C875" s="37"/>
      <c r="D875" s="35"/>
    </row>
    <row r="876" spans="3:4" x14ac:dyDescent="0.25">
      <c r="C876" s="37"/>
      <c r="D876" s="35"/>
    </row>
    <row r="877" spans="3:4" x14ac:dyDescent="0.25">
      <c r="C877" s="37"/>
      <c r="D877" s="35"/>
    </row>
    <row r="878" spans="3:4" x14ac:dyDescent="0.25">
      <c r="C878" s="37"/>
      <c r="D878" s="35"/>
    </row>
    <row r="879" spans="3:4" x14ac:dyDescent="0.25">
      <c r="C879" s="37"/>
      <c r="D879" s="35"/>
    </row>
    <row r="880" spans="3:4" x14ac:dyDescent="0.25">
      <c r="C880" s="37"/>
      <c r="D880" s="35"/>
    </row>
    <row r="881" spans="3:4" x14ac:dyDescent="0.25">
      <c r="C881" s="37"/>
      <c r="D881" s="35"/>
    </row>
    <row r="882" spans="3:4" x14ac:dyDescent="0.25">
      <c r="C882" s="37"/>
      <c r="D882" s="35"/>
    </row>
    <row r="883" spans="3:4" x14ac:dyDescent="0.25">
      <c r="C883" s="37"/>
      <c r="D883" s="35"/>
    </row>
    <row r="884" spans="3:4" x14ac:dyDescent="0.25">
      <c r="C884" s="37"/>
      <c r="D884" s="35"/>
    </row>
    <row r="885" spans="3:4" x14ac:dyDescent="0.25">
      <c r="C885" s="37"/>
      <c r="D885" s="35"/>
    </row>
    <row r="886" spans="3:4" x14ac:dyDescent="0.25">
      <c r="C886" s="37"/>
      <c r="D886" s="35"/>
    </row>
    <row r="887" spans="3:4" x14ac:dyDescent="0.25">
      <c r="C887" s="37"/>
      <c r="D887" s="35"/>
    </row>
    <row r="888" spans="3:4" x14ac:dyDescent="0.25">
      <c r="C888" s="37"/>
      <c r="D888" s="35"/>
    </row>
    <row r="889" spans="3:4" x14ac:dyDescent="0.25">
      <c r="C889" s="37"/>
      <c r="D889" s="35"/>
    </row>
    <row r="890" spans="3:4" x14ac:dyDescent="0.25">
      <c r="C890" s="37"/>
      <c r="D890" s="35"/>
    </row>
    <row r="891" spans="3:4" x14ac:dyDescent="0.25">
      <c r="C891" s="37"/>
      <c r="D891" s="35"/>
    </row>
    <row r="892" spans="3:4" x14ac:dyDescent="0.25">
      <c r="C892" s="37"/>
      <c r="D892" s="35"/>
    </row>
    <row r="893" spans="3:4" x14ac:dyDescent="0.25">
      <c r="C893" s="37"/>
      <c r="D893" s="35"/>
    </row>
    <row r="894" spans="3:4" x14ac:dyDescent="0.25">
      <c r="C894" s="37"/>
      <c r="D894" s="35"/>
    </row>
    <row r="895" spans="3:4" x14ac:dyDescent="0.25">
      <c r="C895" s="37"/>
      <c r="D895" s="35"/>
    </row>
    <row r="896" spans="3:4" x14ac:dyDescent="0.25">
      <c r="C896" s="37"/>
      <c r="D896" s="35"/>
    </row>
    <row r="897" spans="3:4" x14ac:dyDescent="0.25">
      <c r="C897" s="37"/>
      <c r="D897" s="35"/>
    </row>
    <row r="898" spans="3:4" x14ac:dyDescent="0.25">
      <c r="C898" s="37"/>
      <c r="D898" s="35"/>
    </row>
    <row r="899" spans="3:4" x14ac:dyDescent="0.25">
      <c r="C899" s="37"/>
      <c r="D899" s="35"/>
    </row>
    <row r="900" spans="3:4" x14ac:dyDescent="0.25">
      <c r="C900" s="37"/>
      <c r="D900" s="35"/>
    </row>
    <row r="901" spans="3:4" x14ac:dyDescent="0.25">
      <c r="C901" s="37"/>
      <c r="D901" s="35"/>
    </row>
    <row r="902" spans="3:4" x14ac:dyDescent="0.25">
      <c r="C902" s="37"/>
      <c r="D902" s="35"/>
    </row>
    <row r="903" spans="3:4" x14ac:dyDescent="0.25">
      <c r="C903" s="37"/>
      <c r="D903" s="35"/>
    </row>
    <row r="904" spans="3:4" x14ac:dyDescent="0.25">
      <c r="C904" s="37"/>
      <c r="D904" s="35"/>
    </row>
    <row r="905" spans="3:4" x14ac:dyDescent="0.25">
      <c r="C905" s="37"/>
      <c r="D905" s="35"/>
    </row>
    <row r="906" spans="3:4" x14ac:dyDescent="0.25">
      <c r="C906" s="37"/>
      <c r="D906" s="35"/>
    </row>
    <row r="907" spans="3:4" x14ac:dyDescent="0.25">
      <c r="C907" s="37"/>
      <c r="D907" s="35"/>
    </row>
    <row r="908" spans="3:4" x14ac:dyDescent="0.25">
      <c r="C908" s="37"/>
      <c r="D908" s="35"/>
    </row>
    <row r="909" spans="3:4" x14ac:dyDescent="0.25">
      <c r="C909" s="37"/>
      <c r="D909" s="35"/>
    </row>
    <row r="910" spans="3:4" x14ac:dyDescent="0.25">
      <c r="C910" s="37"/>
      <c r="D910" s="35"/>
    </row>
    <row r="911" spans="3:4" x14ac:dyDescent="0.25">
      <c r="C911" s="37"/>
      <c r="D911" s="35"/>
    </row>
    <row r="912" spans="3:4" x14ac:dyDescent="0.25">
      <c r="C912" s="37"/>
      <c r="D912" s="35"/>
    </row>
    <row r="913" spans="3:4" x14ac:dyDescent="0.25">
      <c r="C913" s="37"/>
      <c r="D913" s="35"/>
    </row>
    <row r="914" spans="3:4" x14ac:dyDescent="0.25">
      <c r="C914" s="37"/>
      <c r="D914" s="35"/>
    </row>
    <row r="915" spans="3:4" x14ac:dyDescent="0.25">
      <c r="C915" s="37"/>
      <c r="D915" s="35"/>
    </row>
    <row r="916" spans="3:4" x14ac:dyDescent="0.25">
      <c r="C916" s="37"/>
      <c r="D916" s="35"/>
    </row>
    <row r="917" spans="3:4" x14ac:dyDescent="0.25">
      <c r="C917" s="37"/>
      <c r="D917" s="35"/>
    </row>
    <row r="918" spans="3:4" x14ac:dyDescent="0.25">
      <c r="C918" s="37"/>
      <c r="D918" s="35"/>
    </row>
    <row r="919" spans="3:4" x14ac:dyDescent="0.25">
      <c r="C919" s="37"/>
      <c r="D919" s="35"/>
    </row>
    <row r="920" spans="3:4" x14ac:dyDescent="0.25">
      <c r="C920" s="37"/>
      <c r="D920" s="35"/>
    </row>
    <row r="921" spans="3:4" x14ac:dyDescent="0.25">
      <c r="C921" s="37"/>
      <c r="D921" s="35"/>
    </row>
    <row r="922" spans="3:4" x14ac:dyDescent="0.25">
      <c r="C922" s="37"/>
      <c r="D922" s="35"/>
    </row>
    <row r="923" spans="3:4" x14ac:dyDescent="0.25">
      <c r="C923" s="37"/>
      <c r="D923" s="35"/>
    </row>
    <row r="924" spans="3:4" x14ac:dyDescent="0.25">
      <c r="C924" s="37"/>
      <c r="D924" s="35"/>
    </row>
    <row r="925" spans="3:4" x14ac:dyDescent="0.25">
      <c r="C925" s="37"/>
      <c r="D925" s="35"/>
    </row>
    <row r="926" spans="3:4" x14ac:dyDescent="0.25">
      <c r="C926" s="37"/>
      <c r="D926" s="35"/>
    </row>
    <row r="927" spans="3:4" x14ac:dyDescent="0.25">
      <c r="C927" s="37"/>
      <c r="D927" s="35"/>
    </row>
    <row r="928" spans="3:4" x14ac:dyDescent="0.25">
      <c r="C928" s="37"/>
      <c r="D928" s="35"/>
    </row>
    <row r="929" spans="3:4" x14ac:dyDescent="0.25">
      <c r="C929" s="37"/>
      <c r="D929" s="35"/>
    </row>
    <row r="930" spans="3:4" x14ac:dyDescent="0.25">
      <c r="C930" s="37"/>
      <c r="D930" s="35"/>
    </row>
    <row r="931" spans="3:4" x14ac:dyDescent="0.25">
      <c r="C931" s="37"/>
      <c r="D931" s="35"/>
    </row>
    <row r="932" spans="3:4" x14ac:dyDescent="0.25">
      <c r="C932" s="37"/>
      <c r="D932" s="35"/>
    </row>
    <row r="933" spans="3:4" x14ac:dyDescent="0.25">
      <c r="C933" s="37"/>
      <c r="D933" s="35"/>
    </row>
    <row r="934" spans="3:4" x14ac:dyDescent="0.25">
      <c r="C934" s="37"/>
      <c r="D934" s="35"/>
    </row>
    <row r="935" spans="3:4" x14ac:dyDescent="0.25">
      <c r="C935" s="37"/>
      <c r="D935" s="35"/>
    </row>
    <row r="936" spans="3:4" x14ac:dyDescent="0.25">
      <c r="C936" s="37"/>
      <c r="D936" s="35"/>
    </row>
    <row r="937" spans="3:4" x14ac:dyDescent="0.25">
      <c r="C937" s="37"/>
      <c r="D937" s="35"/>
    </row>
    <row r="938" spans="3:4" x14ac:dyDescent="0.25">
      <c r="C938" s="37"/>
      <c r="D938" s="35"/>
    </row>
    <row r="939" spans="3:4" x14ac:dyDescent="0.25">
      <c r="C939" s="37"/>
      <c r="D939" s="35"/>
    </row>
    <row r="940" spans="3:4" x14ac:dyDescent="0.25">
      <c r="C940" s="37"/>
      <c r="D940" s="35"/>
    </row>
    <row r="941" spans="3:4" x14ac:dyDescent="0.25">
      <c r="C941" s="37"/>
      <c r="D941" s="35"/>
    </row>
    <row r="942" spans="3:4" x14ac:dyDescent="0.25">
      <c r="C942" s="37"/>
      <c r="D942" s="35"/>
    </row>
    <row r="943" spans="3:4" x14ac:dyDescent="0.25">
      <c r="C943" s="37"/>
      <c r="D943" s="35"/>
    </row>
    <row r="944" spans="3:4" x14ac:dyDescent="0.25">
      <c r="C944" s="37"/>
      <c r="D944" s="35"/>
    </row>
    <row r="945" spans="3:4" x14ac:dyDescent="0.25">
      <c r="C945" s="37"/>
      <c r="D945" s="35"/>
    </row>
    <row r="946" spans="3:4" x14ac:dyDescent="0.25">
      <c r="C946" s="37"/>
      <c r="D946" s="35"/>
    </row>
    <row r="947" spans="3:4" x14ac:dyDescent="0.25">
      <c r="C947" s="37"/>
      <c r="D947" s="35"/>
    </row>
    <row r="948" spans="3:4" x14ac:dyDescent="0.25">
      <c r="C948" s="37"/>
      <c r="D948" s="35"/>
    </row>
    <row r="949" spans="3:4" x14ac:dyDescent="0.25">
      <c r="C949" s="37"/>
      <c r="D949" s="35"/>
    </row>
    <row r="950" spans="3:4" x14ac:dyDescent="0.25">
      <c r="C950" s="37"/>
      <c r="D950" s="35"/>
    </row>
    <row r="951" spans="3:4" x14ac:dyDescent="0.25">
      <c r="C951" s="37"/>
      <c r="D951" s="35"/>
    </row>
    <row r="952" spans="3:4" x14ac:dyDescent="0.25">
      <c r="C952" s="37"/>
      <c r="D952" s="35"/>
    </row>
    <row r="953" spans="3:4" x14ac:dyDescent="0.25">
      <c r="C953" s="37"/>
      <c r="D953" s="35"/>
    </row>
    <row r="954" spans="3:4" x14ac:dyDescent="0.25">
      <c r="C954" s="37"/>
      <c r="D954" s="35"/>
    </row>
    <row r="955" spans="3:4" x14ac:dyDescent="0.25">
      <c r="C955" s="37"/>
      <c r="D955" s="35"/>
    </row>
    <row r="956" spans="3:4" x14ac:dyDescent="0.25">
      <c r="C956" s="37"/>
      <c r="D956" s="35"/>
    </row>
    <row r="957" spans="3:4" x14ac:dyDescent="0.25">
      <c r="C957" s="37"/>
      <c r="D957" s="35"/>
    </row>
    <row r="958" spans="3:4" x14ac:dyDescent="0.25">
      <c r="C958" s="37"/>
      <c r="D958" s="35"/>
    </row>
    <row r="959" spans="3:4" x14ac:dyDescent="0.25">
      <c r="C959" s="37"/>
      <c r="D959" s="35"/>
    </row>
    <row r="960" spans="3:4" x14ac:dyDescent="0.25">
      <c r="C960" s="37"/>
      <c r="D960" s="35"/>
    </row>
    <row r="961" spans="3:4" x14ac:dyDescent="0.25">
      <c r="C961" s="37"/>
      <c r="D961" s="35"/>
    </row>
    <row r="962" spans="3:4" x14ac:dyDescent="0.25">
      <c r="C962" s="37"/>
      <c r="D962" s="35"/>
    </row>
    <row r="963" spans="3:4" x14ac:dyDescent="0.25">
      <c r="C963" s="37"/>
      <c r="D963" s="35"/>
    </row>
    <row r="964" spans="3:4" x14ac:dyDescent="0.25">
      <c r="C964" s="37"/>
      <c r="D964" s="35"/>
    </row>
    <row r="965" spans="3:4" x14ac:dyDescent="0.25">
      <c r="C965" s="37"/>
      <c r="D965" s="35"/>
    </row>
    <row r="966" spans="3:4" x14ac:dyDescent="0.25">
      <c r="C966" s="37"/>
      <c r="D966" s="35"/>
    </row>
    <row r="967" spans="3:4" x14ac:dyDescent="0.25">
      <c r="C967" s="37"/>
      <c r="D967" s="35"/>
    </row>
    <row r="968" spans="3:4" x14ac:dyDescent="0.25">
      <c r="C968" s="37"/>
      <c r="D968" s="35"/>
    </row>
    <row r="969" spans="3:4" x14ac:dyDescent="0.25">
      <c r="C969" s="37"/>
      <c r="D969" s="35"/>
    </row>
    <row r="970" spans="3:4" x14ac:dyDescent="0.25">
      <c r="C970" s="37"/>
      <c r="D970" s="35"/>
    </row>
    <row r="971" spans="3:4" x14ac:dyDescent="0.25">
      <c r="C971" s="37"/>
      <c r="D971" s="35"/>
    </row>
    <row r="972" spans="3:4" x14ac:dyDescent="0.25">
      <c r="C972" s="37"/>
      <c r="D972" s="35"/>
    </row>
    <row r="973" spans="3:4" x14ac:dyDescent="0.25">
      <c r="C973" s="37"/>
      <c r="D973" s="35"/>
    </row>
    <row r="974" spans="3:4" x14ac:dyDescent="0.25">
      <c r="C974" s="37"/>
      <c r="D974" s="35"/>
    </row>
    <row r="975" spans="3:4" x14ac:dyDescent="0.25">
      <c r="C975" s="37"/>
      <c r="D975" s="35"/>
    </row>
    <row r="976" spans="3:4" x14ac:dyDescent="0.25">
      <c r="C976" s="37"/>
      <c r="D976" s="35"/>
    </row>
    <row r="977" spans="3:4" x14ac:dyDescent="0.25">
      <c r="C977" s="37"/>
      <c r="D977" s="35"/>
    </row>
    <row r="978" spans="3:4" x14ac:dyDescent="0.25">
      <c r="C978" s="37"/>
      <c r="D978" s="35"/>
    </row>
    <row r="979" spans="3:4" x14ac:dyDescent="0.25">
      <c r="C979" s="37"/>
      <c r="D979" s="35"/>
    </row>
    <row r="980" spans="3:4" x14ac:dyDescent="0.25">
      <c r="C980" s="37"/>
      <c r="D980" s="35"/>
    </row>
    <row r="981" spans="3:4" x14ac:dyDescent="0.25">
      <c r="C981" s="37"/>
      <c r="D981" s="35"/>
    </row>
    <row r="982" spans="3:4" x14ac:dyDescent="0.25">
      <c r="C982" s="37"/>
      <c r="D982" s="35"/>
    </row>
    <row r="983" spans="3:4" x14ac:dyDescent="0.25">
      <c r="C983" s="37"/>
      <c r="D983" s="35"/>
    </row>
    <row r="984" spans="3:4" x14ac:dyDescent="0.25">
      <c r="C984" s="37"/>
      <c r="D984" s="35"/>
    </row>
    <row r="985" spans="3:4" x14ac:dyDescent="0.25">
      <c r="C985" s="37"/>
      <c r="D985" s="35"/>
    </row>
    <row r="986" spans="3:4" x14ac:dyDescent="0.25">
      <c r="C986" s="37"/>
      <c r="D986" s="35"/>
    </row>
    <row r="987" spans="3:4" x14ac:dyDescent="0.25">
      <c r="C987" s="37"/>
      <c r="D987" s="35"/>
    </row>
    <row r="988" spans="3:4" x14ac:dyDescent="0.25">
      <c r="C988" s="37"/>
      <c r="D988" s="35"/>
    </row>
    <row r="989" spans="3:4" x14ac:dyDescent="0.25">
      <c r="C989" s="37"/>
      <c r="D989" s="35"/>
    </row>
    <row r="990" spans="3:4" x14ac:dyDescent="0.25">
      <c r="C990" s="37"/>
      <c r="D990" s="35"/>
    </row>
    <row r="991" spans="3:4" x14ac:dyDescent="0.25">
      <c r="C991" s="37"/>
      <c r="D991" s="35"/>
    </row>
    <row r="992" spans="3:4" x14ac:dyDescent="0.25">
      <c r="C992" s="37"/>
      <c r="D992" s="35"/>
    </row>
    <row r="993" spans="3:4" x14ac:dyDescent="0.25">
      <c r="C993" s="37"/>
      <c r="D993" s="35"/>
    </row>
    <row r="994" spans="3:4" x14ac:dyDescent="0.25">
      <c r="C994" s="37"/>
      <c r="D994" s="35"/>
    </row>
    <row r="995" spans="3:4" x14ac:dyDescent="0.25">
      <c r="C995" s="37"/>
      <c r="D995" s="35"/>
    </row>
    <row r="996" spans="3:4" x14ac:dyDescent="0.25">
      <c r="C996" s="37"/>
      <c r="D996" s="35"/>
    </row>
    <row r="997" spans="3:4" x14ac:dyDescent="0.25">
      <c r="C997" s="37"/>
      <c r="D997" s="35"/>
    </row>
    <row r="998" spans="3:4" x14ac:dyDescent="0.25">
      <c r="C998" s="37"/>
      <c r="D998" s="35"/>
    </row>
    <row r="999" spans="3:4" x14ac:dyDescent="0.25">
      <c r="C999" s="37"/>
      <c r="D999" s="35"/>
    </row>
    <row r="1000" spans="3:4" x14ac:dyDescent="0.25">
      <c r="C1000" s="37"/>
      <c r="D1000" s="35"/>
    </row>
    <row r="1001" spans="3:4" x14ac:dyDescent="0.25">
      <c r="C1001" s="37"/>
      <c r="D1001" s="35"/>
    </row>
    <row r="1002" spans="3:4" x14ac:dyDescent="0.25">
      <c r="C1002" s="37"/>
      <c r="D1002" s="35"/>
    </row>
    <row r="1003" spans="3:4" x14ac:dyDescent="0.25">
      <c r="C1003" s="37"/>
      <c r="D1003" s="35"/>
    </row>
    <row r="1004" spans="3:4" x14ac:dyDescent="0.25">
      <c r="C1004" s="37"/>
      <c r="D1004" s="35"/>
    </row>
    <row r="1005" spans="3:4" x14ac:dyDescent="0.25">
      <c r="C1005" s="37"/>
      <c r="D1005" s="35"/>
    </row>
    <row r="1006" spans="3:4" x14ac:dyDescent="0.25">
      <c r="C1006" s="37"/>
      <c r="D1006" s="35"/>
    </row>
    <row r="1007" spans="3:4" x14ac:dyDescent="0.25">
      <c r="C1007" s="37"/>
      <c r="D1007" s="35"/>
    </row>
    <row r="1008" spans="3:4" x14ac:dyDescent="0.25">
      <c r="C1008" s="37"/>
      <c r="D1008" s="35"/>
    </row>
    <row r="1009" spans="3:4" x14ac:dyDescent="0.25">
      <c r="C1009" s="37"/>
      <c r="D1009" s="35"/>
    </row>
    <row r="1010" spans="3:4" x14ac:dyDescent="0.25">
      <c r="C1010" s="37"/>
      <c r="D1010" s="35"/>
    </row>
    <row r="1011" spans="3:4" x14ac:dyDescent="0.25">
      <c r="C1011" s="37"/>
      <c r="D1011" s="35"/>
    </row>
    <row r="1012" spans="3:4" x14ac:dyDescent="0.25">
      <c r="C1012" s="37"/>
      <c r="D1012" s="35"/>
    </row>
    <row r="1013" spans="3:4" x14ac:dyDescent="0.25">
      <c r="C1013" s="37"/>
      <c r="D1013" s="35"/>
    </row>
    <row r="1014" spans="3:4" x14ac:dyDescent="0.25">
      <c r="C1014" s="37"/>
      <c r="D1014" s="35"/>
    </row>
    <row r="1015" spans="3:4" x14ac:dyDescent="0.25">
      <c r="C1015" s="37"/>
      <c r="D1015" s="35"/>
    </row>
    <row r="1016" spans="3:4" x14ac:dyDescent="0.25">
      <c r="C1016" s="37"/>
      <c r="D1016" s="35"/>
    </row>
    <row r="1017" spans="3:4" x14ac:dyDescent="0.25">
      <c r="C1017" s="37"/>
      <c r="D1017" s="35"/>
    </row>
    <row r="1018" spans="3:4" x14ac:dyDescent="0.25">
      <c r="C1018" s="37"/>
      <c r="D1018" s="35"/>
    </row>
    <row r="1019" spans="3:4" x14ac:dyDescent="0.25">
      <c r="C1019" s="37"/>
      <c r="D1019" s="35"/>
    </row>
    <row r="1020" spans="3:4" x14ac:dyDescent="0.25">
      <c r="C1020" s="37"/>
      <c r="D1020" s="35"/>
    </row>
    <row r="1021" spans="3:4" x14ac:dyDescent="0.25">
      <c r="C1021" s="37"/>
      <c r="D1021" s="35"/>
    </row>
    <row r="1022" spans="3:4" x14ac:dyDescent="0.25">
      <c r="C1022" s="37"/>
      <c r="D1022" s="35"/>
    </row>
    <row r="1023" spans="3:4" x14ac:dyDescent="0.25">
      <c r="C1023" s="37"/>
      <c r="D1023" s="35"/>
    </row>
    <row r="1024" spans="3:4" x14ac:dyDescent="0.25">
      <c r="C1024" s="37"/>
      <c r="D1024" s="35"/>
    </row>
    <row r="1025" spans="3:4" x14ac:dyDescent="0.25">
      <c r="C1025" s="37"/>
      <c r="D1025" s="35"/>
    </row>
    <row r="1026" spans="3:4" x14ac:dyDescent="0.25">
      <c r="C1026" s="37"/>
      <c r="D1026" s="35"/>
    </row>
    <row r="1027" spans="3:4" x14ac:dyDescent="0.25">
      <c r="C1027" s="37"/>
      <c r="D1027" s="35"/>
    </row>
    <row r="1028" spans="3:4" x14ac:dyDescent="0.25">
      <c r="C1028" s="37"/>
      <c r="D1028" s="35"/>
    </row>
    <row r="1029" spans="3:4" x14ac:dyDescent="0.25">
      <c r="C1029" s="37"/>
      <c r="D1029" s="35"/>
    </row>
    <row r="1030" spans="3:4" x14ac:dyDescent="0.25">
      <c r="C1030" s="37"/>
      <c r="D1030" s="35"/>
    </row>
    <row r="1031" spans="3:4" x14ac:dyDescent="0.25">
      <c r="C1031" s="37"/>
      <c r="D1031" s="35"/>
    </row>
    <row r="1032" spans="3:4" x14ac:dyDescent="0.25">
      <c r="C1032" s="37"/>
      <c r="D1032" s="35"/>
    </row>
    <row r="1033" spans="3:4" x14ac:dyDescent="0.25">
      <c r="C1033" s="37"/>
      <c r="D1033" s="35"/>
    </row>
    <row r="1034" spans="3:4" x14ac:dyDescent="0.25">
      <c r="C1034" s="37"/>
      <c r="D1034" s="35"/>
    </row>
    <row r="1035" spans="3:4" x14ac:dyDescent="0.25">
      <c r="C1035" s="37"/>
      <c r="D1035" s="35"/>
    </row>
    <row r="1036" spans="3:4" x14ac:dyDescent="0.25">
      <c r="C1036" s="37"/>
      <c r="D1036" s="35"/>
    </row>
    <row r="1037" spans="3:4" x14ac:dyDescent="0.25">
      <c r="C1037" s="37"/>
      <c r="D1037" s="35"/>
    </row>
    <row r="1038" spans="3:4" x14ac:dyDescent="0.25">
      <c r="C1038" s="37"/>
      <c r="D1038" s="35"/>
    </row>
    <row r="1039" spans="3:4" x14ac:dyDescent="0.25">
      <c r="C1039" s="37"/>
      <c r="D1039" s="35"/>
    </row>
    <row r="1040" spans="3:4" x14ac:dyDescent="0.25">
      <c r="C1040" s="37"/>
      <c r="D1040" s="35"/>
    </row>
    <row r="1041" spans="3:4" x14ac:dyDescent="0.25">
      <c r="C1041" s="37"/>
      <c r="D1041" s="35"/>
    </row>
    <row r="1042" spans="3:4" x14ac:dyDescent="0.25">
      <c r="C1042" s="37"/>
      <c r="D1042" s="35"/>
    </row>
    <row r="1043" spans="3:4" x14ac:dyDescent="0.25">
      <c r="C1043" s="37"/>
      <c r="D1043" s="35"/>
    </row>
    <row r="1044" spans="3:4" x14ac:dyDescent="0.25">
      <c r="C1044" s="37"/>
      <c r="D1044" s="35"/>
    </row>
    <row r="1045" spans="3:4" x14ac:dyDescent="0.25">
      <c r="C1045" s="37"/>
      <c r="D1045" s="35"/>
    </row>
    <row r="1046" spans="3:4" x14ac:dyDescent="0.25">
      <c r="C1046" s="37"/>
      <c r="D1046" s="35"/>
    </row>
    <row r="1047" spans="3:4" x14ac:dyDescent="0.25">
      <c r="C1047" s="37"/>
      <c r="D1047" s="35"/>
    </row>
    <row r="1048" spans="3:4" x14ac:dyDescent="0.25">
      <c r="C1048" s="37"/>
      <c r="D1048" s="35"/>
    </row>
    <row r="1049" spans="3:4" x14ac:dyDescent="0.25">
      <c r="C1049" s="37"/>
      <c r="D1049" s="35"/>
    </row>
    <row r="1050" spans="3:4" x14ac:dyDescent="0.25">
      <c r="C1050" s="37"/>
      <c r="D1050" s="35"/>
    </row>
    <row r="1051" spans="3:4" x14ac:dyDescent="0.25">
      <c r="C1051" s="37"/>
      <c r="D1051" s="35"/>
    </row>
    <row r="1052" spans="3:4" x14ac:dyDescent="0.25">
      <c r="C1052" s="37"/>
      <c r="D1052" s="35"/>
    </row>
    <row r="1053" spans="3:4" x14ac:dyDescent="0.25">
      <c r="C1053" s="37"/>
      <c r="D1053" s="35"/>
    </row>
    <row r="1054" spans="3:4" x14ac:dyDescent="0.25">
      <c r="C1054" s="37"/>
      <c r="D1054" s="35"/>
    </row>
    <row r="1055" spans="3:4" x14ac:dyDescent="0.25">
      <c r="C1055" s="37"/>
      <c r="D1055" s="35"/>
    </row>
    <row r="1056" spans="3:4" x14ac:dyDescent="0.25">
      <c r="C1056" s="37"/>
      <c r="D1056" s="35"/>
    </row>
    <row r="1057" spans="3:4" x14ac:dyDescent="0.25">
      <c r="C1057" s="37"/>
      <c r="D1057" s="35"/>
    </row>
    <row r="1058" spans="3:4" x14ac:dyDescent="0.25">
      <c r="C1058" s="37"/>
      <c r="D1058" s="35"/>
    </row>
    <row r="1059" spans="3:4" x14ac:dyDescent="0.25">
      <c r="C1059" s="37"/>
      <c r="D1059" s="35"/>
    </row>
    <row r="1060" spans="3:4" x14ac:dyDescent="0.25">
      <c r="C1060" s="37"/>
      <c r="D1060" s="35"/>
    </row>
    <row r="1061" spans="3:4" x14ac:dyDescent="0.25">
      <c r="C1061" s="37"/>
      <c r="D1061" s="35"/>
    </row>
    <row r="1062" spans="3:4" x14ac:dyDescent="0.25">
      <c r="C1062" s="37"/>
      <c r="D1062" s="35"/>
    </row>
    <row r="1063" spans="3:4" x14ac:dyDescent="0.25">
      <c r="C1063" s="37"/>
      <c r="D1063" s="35"/>
    </row>
    <row r="1064" spans="3:4" x14ac:dyDescent="0.25">
      <c r="C1064" s="37"/>
      <c r="D1064" s="35"/>
    </row>
    <row r="1065" spans="3:4" x14ac:dyDescent="0.25">
      <c r="C1065" s="37"/>
      <c r="D1065" s="35"/>
    </row>
    <row r="1066" spans="3:4" x14ac:dyDescent="0.25">
      <c r="C1066" s="37"/>
      <c r="D1066" s="35"/>
    </row>
    <row r="1067" spans="3:4" x14ac:dyDescent="0.25">
      <c r="C1067" s="37"/>
      <c r="D1067" s="35"/>
    </row>
    <row r="1068" spans="3:4" x14ac:dyDescent="0.25">
      <c r="C1068" s="37"/>
      <c r="D1068" s="35"/>
    </row>
    <row r="1069" spans="3:4" x14ac:dyDescent="0.25">
      <c r="C1069" s="37"/>
      <c r="D1069" s="35"/>
    </row>
    <row r="1070" spans="3:4" x14ac:dyDescent="0.25">
      <c r="C1070" s="37"/>
      <c r="D1070" s="35"/>
    </row>
    <row r="1071" spans="3:4" x14ac:dyDescent="0.25">
      <c r="C1071" s="37"/>
      <c r="D1071" s="35"/>
    </row>
    <row r="1072" spans="3:4" x14ac:dyDescent="0.25">
      <c r="C1072" s="37"/>
      <c r="D1072" s="35"/>
    </row>
    <row r="1073" spans="3:4" x14ac:dyDescent="0.25">
      <c r="C1073" s="37"/>
      <c r="D1073" s="35"/>
    </row>
    <row r="1074" spans="3:4" x14ac:dyDescent="0.25">
      <c r="C1074" s="37"/>
      <c r="D1074" s="35"/>
    </row>
    <row r="1075" spans="3:4" x14ac:dyDescent="0.25">
      <c r="C1075" s="37"/>
      <c r="D1075" s="35"/>
    </row>
    <row r="1076" spans="3:4" x14ac:dyDescent="0.25">
      <c r="C1076" s="37"/>
      <c r="D1076" s="35"/>
    </row>
    <row r="1077" spans="3:4" x14ac:dyDescent="0.25">
      <c r="C1077" s="37"/>
      <c r="D1077" s="35"/>
    </row>
    <row r="1078" spans="3:4" x14ac:dyDescent="0.25">
      <c r="C1078" s="37"/>
      <c r="D1078" s="35"/>
    </row>
    <row r="1079" spans="3:4" x14ac:dyDescent="0.25">
      <c r="C1079" s="37"/>
      <c r="D1079" s="35"/>
    </row>
    <row r="1080" spans="3:4" x14ac:dyDescent="0.25">
      <c r="C1080" s="37"/>
      <c r="D1080" s="35"/>
    </row>
    <row r="1081" spans="3:4" x14ac:dyDescent="0.25">
      <c r="C1081" s="37"/>
      <c r="D1081" s="35"/>
    </row>
    <row r="1082" spans="3:4" x14ac:dyDescent="0.25">
      <c r="C1082" s="37"/>
      <c r="D1082" s="35"/>
    </row>
    <row r="1083" spans="3:4" x14ac:dyDescent="0.25">
      <c r="C1083" s="37"/>
      <c r="D1083" s="35"/>
    </row>
    <row r="1084" spans="3:4" x14ac:dyDescent="0.25">
      <c r="C1084" s="37"/>
      <c r="D1084" s="35"/>
    </row>
    <row r="1085" spans="3:4" x14ac:dyDescent="0.25">
      <c r="C1085" s="37"/>
      <c r="D1085" s="35"/>
    </row>
    <row r="1086" spans="3:4" x14ac:dyDescent="0.25">
      <c r="C1086" s="37"/>
      <c r="D1086" s="35"/>
    </row>
    <row r="1087" spans="3:4" x14ac:dyDescent="0.25">
      <c r="C1087" s="37"/>
      <c r="D1087" s="35"/>
    </row>
    <row r="1088" spans="3:4" x14ac:dyDescent="0.25">
      <c r="C1088" s="37"/>
      <c r="D1088" s="35"/>
    </row>
    <row r="1089" spans="3:4" x14ac:dyDescent="0.25">
      <c r="C1089" s="37"/>
      <c r="D1089" s="35"/>
    </row>
    <row r="1090" spans="3:4" x14ac:dyDescent="0.25">
      <c r="C1090" s="37"/>
      <c r="D1090" s="35"/>
    </row>
    <row r="1091" spans="3:4" x14ac:dyDescent="0.25">
      <c r="C1091" s="37"/>
      <c r="D1091" s="35"/>
    </row>
    <row r="1092" spans="3:4" x14ac:dyDescent="0.25">
      <c r="C1092" s="37"/>
      <c r="D1092" s="35"/>
    </row>
    <row r="1093" spans="3:4" x14ac:dyDescent="0.25">
      <c r="C1093" s="37"/>
      <c r="D1093" s="35"/>
    </row>
    <row r="1094" spans="3:4" x14ac:dyDescent="0.25">
      <c r="C1094" s="37"/>
      <c r="D1094" s="35"/>
    </row>
    <row r="1095" spans="3:4" x14ac:dyDescent="0.25">
      <c r="C1095" s="37"/>
      <c r="D1095" s="35"/>
    </row>
    <row r="1096" spans="3:4" x14ac:dyDescent="0.25">
      <c r="C1096" s="37"/>
      <c r="D1096" s="35"/>
    </row>
    <row r="1097" spans="3:4" x14ac:dyDescent="0.25">
      <c r="C1097" s="37"/>
      <c r="D1097" s="35"/>
    </row>
    <row r="1098" spans="3:4" x14ac:dyDescent="0.25">
      <c r="C1098" s="37"/>
      <c r="D1098" s="35"/>
    </row>
    <row r="1099" spans="3:4" x14ac:dyDescent="0.25">
      <c r="C1099" s="37"/>
      <c r="D1099" s="35"/>
    </row>
    <row r="1100" spans="3:4" x14ac:dyDescent="0.25">
      <c r="C1100" s="37"/>
      <c r="D1100" s="35"/>
    </row>
    <row r="1101" spans="3:4" x14ac:dyDescent="0.25">
      <c r="C1101" s="37"/>
      <c r="D1101" s="35"/>
    </row>
    <row r="1102" spans="3:4" x14ac:dyDescent="0.25">
      <c r="C1102" s="37"/>
      <c r="D1102" s="35"/>
    </row>
    <row r="1103" spans="3:4" x14ac:dyDescent="0.25">
      <c r="C1103" s="37"/>
      <c r="D1103" s="35"/>
    </row>
    <row r="1104" spans="3:4" x14ac:dyDescent="0.25">
      <c r="C1104" s="37"/>
      <c r="D1104" s="35"/>
    </row>
    <row r="1105" spans="3:4" x14ac:dyDescent="0.25">
      <c r="C1105" s="37"/>
      <c r="D1105" s="35"/>
    </row>
    <row r="1106" spans="3:4" x14ac:dyDescent="0.25">
      <c r="C1106" s="37"/>
      <c r="D1106" s="35"/>
    </row>
    <row r="1107" spans="3:4" x14ac:dyDescent="0.25">
      <c r="C1107" s="37"/>
      <c r="D1107" s="35"/>
    </row>
    <row r="1108" spans="3:4" x14ac:dyDescent="0.25">
      <c r="C1108" s="37"/>
      <c r="D1108" s="35"/>
    </row>
    <row r="1109" spans="3:4" x14ac:dyDescent="0.25">
      <c r="C1109" s="37"/>
      <c r="D1109" s="35"/>
    </row>
    <row r="1110" spans="3:4" x14ac:dyDescent="0.25">
      <c r="C1110" s="37"/>
      <c r="D1110" s="35"/>
    </row>
    <row r="1111" spans="3:4" x14ac:dyDescent="0.25">
      <c r="C1111" s="37"/>
      <c r="D1111" s="35"/>
    </row>
    <row r="1112" spans="3:4" x14ac:dyDescent="0.25">
      <c r="C1112" s="37"/>
      <c r="D1112" s="35"/>
    </row>
    <row r="1113" spans="3:4" x14ac:dyDescent="0.25">
      <c r="C1113" s="37"/>
      <c r="D1113" s="35"/>
    </row>
    <row r="1114" spans="3:4" x14ac:dyDescent="0.25">
      <c r="C1114" s="37"/>
      <c r="D1114" s="35"/>
    </row>
    <row r="1115" spans="3:4" x14ac:dyDescent="0.25">
      <c r="C1115" s="37"/>
      <c r="D1115" s="35"/>
    </row>
    <row r="1116" spans="3:4" x14ac:dyDescent="0.25">
      <c r="C1116" s="37"/>
      <c r="D1116" s="35"/>
    </row>
    <row r="1117" spans="3:4" x14ac:dyDescent="0.25">
      <c r="C1117" s="37"/>
      <c r="D1117" s="35"/>
    </row>
    <row r="1118" spans="3:4" x14ac:dyDescent="0.25">
      <c r="C1118" s="37"/>
      <c r="D1118" s="35"/>
    </row>
    <row r="1119" spans="3:4" x14ac:dyDescent="0.25">
      <c r="C1119" s="37"/>
      <c r="D1119" s="35"/>
    </row>
    <row r="1120" spans="3:4" x14ac:dyDescent="0.25">
      <c r="C1120" s="37"/>
      <c r="D1120" s="35"/>
    </row>
    <row r="1121" spans="3:4" x14ac:dyDescent="0.25">
      <c r="C1121" s="37"/>
      <c r="D1121" s="35"/>
    </row>
    <row r="1122" spans="3:4" x14ac:dyDescent="0.25">
      <c r="C1122" s="37"/>
      <c r="D1122" s="35"/>
    </row>
    <row r="1123" spans="3:4" x14ac:dyDescent="0.25">
      <c r="C1123" s="37"/>
      <c r="D1123" s="35"/>
    </row>
    <row r="1124" spans="3:4" x14ac:dyDescent="0.25">
      <c r="C1124" s="37"/>
      <c r="D1124" s="35"/>
    </row>
    <row r="1125" spans="3:4" x14ac:dyDescent="0.25">
      <c r="C1125" s="37"/>
      <c r="D1125" s="35"/>
    </row>
    <row r="1126" spans="3:4" x14ac:dyDescent="0.25">
      <c r="C1126" s="37"/>
      <c r="D1126" s="35"/>
    </row>
    <row r="1127" spans="3:4" x14ac:dyDescent="0.25">
      <c r="C1127" s="37"/>
      <c r="D1127" s="35"/>
    </row>
    <row r="1128" spans="3:4" x14ac:dyDescent="0.25">
      <c r="C1128" s="37"/>
      <c r="D1128" s="35"/>
    </row>
    <row r="1129" spans="3:4" x14ac:dyDescent="0.25">
      <c r="C1129" s="37"/>
      <c r="D1129" s="35"/>
    </row>
    <row r="1130" spans="3:4" x14ac:dyDescent="0.25">
      <c r="C1130" s="37"/>
      <c r="D1130" s="35"/>
    </row>
    <row r="1131" spans="3:4" x14ac:dyDescent="0.25">
      <c r="C1131" s="37"/>
      <c r="D1131" s="35"/>
    </row>
    <row r="1132" spans="3:4" x14ac:dyDescent="0.25">
      <c r="C1132" s="37"/>
      <c r="D1132" s="35"/>
    </row>
    <row r="1133" spans="3:4" x14ac:dyDescent="0.25">
      <c r="C1133" s="37"/>
      <c r="D1133" s="35"/>
    </row>
    <row r="1134" spans="3:4" x14ac:dyDescent="0.25">
      <c r="C1134" s="37"/>
      <c r="D1134" s="35"/>
    </row>
    <row r="1135" spans="3:4" x14ac:dyDescent="0.25">
      <c r="C1135" s="37"/>
      <c r="D1135" s="35"/>
    </row>
    <row r="1136" spans="3:4" x14ac:dyDescent="0.25">
      <c r="C1136" s="37"/>
      <c r="D1136" s="35"/>
    </row>
    <row r="1137" spans="3:4" x14ac:dyDescent="0.25">
      <c r="C1137" s="37"/>
      <c r="D1137" s="35"/>
    </row>
    <row r="1138" spans="3:4" x14ac:dyDescent="0.25">
      <c r="C1138" s="37"/>
      <c r="D1138" s="35"/>
    </row>
    <row r="1139" spans="3:4" x14ac:dyDescent="0.25">
      <c r="C1139" s="37"/>
      <c r="D1139" s="35"/>
    </row>
    <row r="1140" spans="3:4" x14ac:dyDescent="0.25">
      <c r="C1140" s="37"/>
      <c r="D1140" s="35"/>
    </row>
    <row r="1141" spans="3:4" x14ac:dyDescent="0.25">
      <c r="C1141" s="37"/>
      <c r="D1141" s="35"/>
    </row>
    <row r="1142" spans="3:4" x14ac:dyDescent="0.25">
      <c r="C1142" s="37"/>
      <c r="D1142" s="35"/>
    </row>
    <row r="1143" spans="3:4" x14ac:dyDescent="0.25">
      <c r="C1143" s="37"/>
      <c r="D1143" s="35"/>
    </row>
    <row r="1144" spans="3:4" x14ac:dyDescent="0.25">
      <c r="C1144" s="37"/>
      <c r="D1144" s="35"/>
    </row>
    <row r="1145" spans="3:4" x14ac:dyDescent="0.25">
      <c r="C1145" s="37"/>
      <c r="D1145" s="35"/>
    </row>
    <row r="1146" spans="3:4" x14ac:dyDescent="0.25">
      <c r="C1146" s="37"/>
      <c r="D1146" s="35"/>
    </row>
    <row r="1147" spans="3:4" x14ac:dyDescent="0.25">
      <c r="C1147" s="37"/>
      <c r="D1147" s="35"/>
    </row>
    <row r="1148" spans="3:4" x14ac:dyDescent="0.25">
      <c r="C1148" s="37"/>
      <c r="D1148" s="35"/>
    </row>
    <row r="1149" spans="3:4" x14ac:dyDescent="0.25">
      <c r="C1149" s="37"/>
      <c r="D1149" s="35"/>
    </row>
    <row r="1150" spans="3:4" x14ac:dyDescent="0.25">
      <c r="C1150" s="37"/>
      <c r="D1150" s="35"/>
    </row>
    <row r="1151" spans="3:4" x14ac:dyDescent="0.25">
      <c r="C1151" s="37"/>
      <c r="D1151" s="35"/>
    </row>
    <row r="1152" spans="3:4" x14ac:dyDescent="0.25">
      <c r="C1152" s="37"/>
      <c r="D1152" s="35"/>
    </row>
    <row r="1153" spans="3:4" x14ac:dyDescent="0.25">
      <c r="C1153" s="37"/>
      <c r="D1153" s="35"/>
    </row>
    <row r="1154" spans="3:4" x14ac:dyDescent="0.25">
      <c r="C1154" s="37"/>
      <c r="D1154" s="35"/>
    </row>
    <row r="1155" spans="3:4" x14ac:dyDescent="0.25">
      <c r="C1155" s="37"/>
      <c r="D1155" s="35"/>
    </row>
    <row r="1156" spans="3:4" x14ac:dyDescent="0.25">
      <c r="C1156" s="37"/>
      <c r="D1156" s="35"/>
    </row>
    <row r="1157" spans="3:4" x14ac:dyDescent="0.25">
      <c r="C1157" s="37"/>
      <c r="D1157" s="35"/>
    </row>
    <row r="1158" spans="3:4" x14ac:dyDescent="0.25">
      <c r="C1158" s="37"/>
      <c r="D1158" s="35"/>
    </row>
    <row r="1159" spans="3:4" x14ac:dyDescent="0.25">
      <c r="C1159" s="37"/>
      <c r="D1159" s="35"/>
    </row>
    <row r="1160" spans="3:4" x14ac:dyDescent="0.25">
      <c r="C1160" s="37"/>
      <c r="D1160" s="35"/>
    </row>
    <row r="1161" spans="3:4" x14ac:dyDescent="0.25">
      <c r="C1161" s="37"/>
      <c r="D1161" s="35"/>
    </row>
    <row r="1162" spans="3:4" x14ac:dyDescent="0.25">
      <c r="C1162" s="37"/>
      <c r="D1162" s="35"/>
    </row>
    <row r="1163" spans="3:4" x14ac:dyDescent="0.25">
      <c r="C1163" s="37"/>
      <c r="D1163" s="35"/>
    </row>
    <row r="1164" spans="3:4" x14ac:dyDescent="0.25">
      <c r="C1164" s="37"/>
      <c r="D1164" s="35"/>
    </row>
    <row r="1165" spans="3:4" x14ac:dyDescent="0.25">
      <c r="C1165" s="37"/>
      <c r="D1165" s="35"/>
    </row>
    <row r="1166" spans="3:4" x14ac:dyDescent="0.25">
      <c r="C1166" s="37"/>
      <c r="D1166" s="35"/>
    </row>
    <row r="1167" spans="3:4" x14ac:dyDescent="0.25">
      <c r="C1167" s="37"/>
      <c r="D1167" s="35"/>
    </row>
    <row r="1168" spans="3:4" x14ac:dyDescent="0.25">
      <c r="C1168" s="37"/>
      <c r="D1168" s="35"/>
    </row>
    <row r="1169" spans="3:4" x14ac:dyDescent="0.25">
      <c r="C1169" s="37"/>
      <c r="D1169" s="35"/>
    </row>
    <row r="1170" spans="3:4" x14ac:dyDescent="0.25">
      <c r="C1170" s="37"/>
      <c r="D1170" s="35"/>
    </row>
    <row r="1171" spans="3:4" x14ac:dyDescent="0.25">
      <c r="C1171" s="37"/>
      <c r="D1171" s="35"/>
    </row>
    <row r="1172" spans="3:4" x14ac:dyDescent="0.25">
      <c r="C1172" s="37"/>
      <c r="D1172" s="35"/>
    </row>
    <row r="1173" spans="3:4" x14ac:dyDescent="0.25">
      <c r="C1173" s="37"/>
      <c r="D1173" s="35"/>
    </row>
    <row r="1174" spans="3:4" x14ac:dyDescent="0.25">
      <c r="C1174" s="37"/>
      <c r="D1174" s="35"/>
    </row>
    <row r="1175" spans="3:4" x14ac:dyDescent="0.25">
      <c r="C1175" s="37"/>
      <c r="D1175" s="35"/>
    </row>
    <row r="1176" spans="3:4" x14ac:dyDescent="0.25">
      <c r="C1176" s="37"/>
      <c r="D1176" s="35"/>
    </row>
    <row r="1177" spans="3:4" x14ac:dyDescent="0.25">
      <c r="C1177" s="37"/>
      <c r="D1177" s="35"/>
    </row>
    <row r="1178" spans="3:4" x14ac:dyDescent="0.25">
      <c r="C1178" s="37"/>
      <c r="D1178" s="35"/>
    </row>
    <row r="1179" spans="3:4" x14ac:dyDescent="0.25">
      <c r="C1179" s="37"/>
      <c r="D1179" s="35"/>
    </row>
    <row r="1180" spans="3:4" x14ac:dyDescent="0.25">
      <c r="C1180" s="37"/>
      <c r="D1180" s="35"/>
    </row>
    <row r="1181" spans="3:4" x14ac:dyDescent="0.25">
      <c r="C1181" s="37"/>
      <c r="D1181" s="35"/>
    </row>
    <row r="1182" spans="3:4" x14ac:dyDescent="0.25">
      <c r="C1182" s="37"/>
      <c r="D1182" s="35"/>
    </row>
    <row r="1183" spans="3:4" x14ac:dyDescent="0.25">
      <c r="C1183" s="37"/>
      <c r="D1183" s="35"/>
    </row>
    <row r="1184" spans="3:4" x14ac:dyDescent="0.25">
      <c r="C1184" s="37"/>
      <c r="D1184" s="35"/>
    </row>
    <row r="1185" spans="3:4" x14ac:dyDescent="0.25">
      <c r="C1185" s="37"/>
      <c r="D1185" s="35"/>
    </row>
    <row r="1186" spans="3:4" x14ac:dyDescent="0.25">
      <c r="C1186" s="37"/>
      <c r="D1186" s="35"/>
    </row>
    <row r="1187" spans="3:4" x14ac:dyDescent="0.25">
      <c r="C1187" s="37"/>
      <c r="D1187" s="35"/>
    </row>
    <row r="1188" spans="3:4" x14ac:dyDescent="0.25">
      <c r="C1188" s="37"/>
      <c r="D1188" s="35"/>
    </row>
    <row r="1189" spans="3:4" x14ac:dyDescent="0.25">
      <c r="C1189" s="37"/>
      <c r="D1189" s="35"/>
    </row>
    <row r="1190" spans="3:4" x14ac:dyDescent="0.25">
      <c r="C1190" s="37"/>
      <c r="D1190" s="35"/>
    </row>
    <row r="1191" spans="3:4" x14ac:dyDescent="0.25">
      <c r="C1191" s="37"/>
      <c r="D1191" s="35"/>
    </row>
    <row r="1192" spans="3:4" x14ac:dyDescent="0.25">
      <c r="C1192" s="37"/>
      <c r="D1192" s="35"/>
    </row>
    <row r="1193" spans="3:4" x14ac:dyDescent="0.25">
      <c r="C1193" s="37"/>
      <c r="D1193" s="35"/>
    </row>
    <row r="1194" spans="3:4" x14ac:dyDescent="0.25">
      <c r="C1194" s="37"/>
      <c r="D1194" s="35"/>
    </row>
    <row r="1195" spans="3:4" x14ac:dyDescent="0.25">
      <c r="C1195" s="37"/>
      <c r="D1195" s="35"/>
    </row>
    <row r="1196" spans="3:4" x14ac:dyDescent="0.25">
      <c r="C1196" s="37"/>
      <c r="D1196" s="35"/>
    </row>
    <row r="1197" spans="3:4" x14ac:dyDescent="0.25">
      <c r="C1197" s="37"/>
      <c r="D1197" s="35"/>
    </row>
    <row r="1198" spans="3:4" x14ac:dyDescent="0.25">
      <c r="C1198" s="37"/>
      <c r="D1198" s="35"/>
    </row>
    <row r="1199" spans="3:4" x14ac:dyDescent="0.25">
      <c r="C1199" s="37"/>
      <c r="D1199" s="35"/>
    </row>
    <row r="1200" spans="3:4" x14ac:dyDescent="0.25">
      <c r="C1200" s="37"/>
      <c r="D1200" s="35"/>
    </row>
    <row r="1201" spans="3:4" x14ac:dyDescent="0.25">
      <c r="C1201" s="37"/>
      <c r="D1201" s="35"/>
    </row>
    <row r="1202" spans="3:4" x14ac:dyDescent="0.25">
      <c r="C1202" s="37"/>
      <c r="D1202" s="35"/>
    </row>
    <row r="1203" spans="3:4" x14ac:dyDescent="0.25">
      <c r="C1203" s="37"/>
      <c r="D1203" s="35"/>
    </row>
    <row r="1204" spans="3:4" x14ac:dyDescent="0.25">
      <c r="C1204" s="37"/>
      <c r="D1204" s="35"/>
    </row>
    <row r="1205" spans="3:4" x14ac:dyDescent="0.25">
      <c r="C1205" s="37"/>
      <c r="D1205" s="35"/>
    </row>
    <row r="1206" spans="3:4" x14ac:dyDescent="0.25">
      <c r="C1206" s="37"/>
      <c r="D1206" s="35"/>
    </row>
    <row r="1207" spans="3:4" x14ac:dyDescent="0.25">
      <c r="C1207" s="37"/>
      <c r="D1207" s="35"/>
    </row>
    <row r="1208" spans="3:4" x14ac:dyDescent="0.25">
      <c r="C1208" s="37"/>
      <c r="D1208" s="35"/>
    </row>
    <row r="1209" spans="3:4" x14ac:dyDescent="0.25">
      <c r="C1209" s="37"/>
      <c r="D1209" s="35"/>
    </row>
    <row r="1210" spans="3:4" x14ac:dyDescent="0.25">
      <c r="C1210" s="37"/>
      <c r="D1210" s="35"/>
    </row>
    <row r="1211" spans="3:4" x14ac:dyDescent="0.25">
      <c r="C1211" s="37"/>
      <c r="D1211" s="35"/>
    </row>
    <row r="1212" spans="3:4" x14ac:dyDescent="0.25">
      <c r="C1212" s="37"/>
      <c r="D1212" s="35"/>
    </row>
    <row r="1213" spans="3:4" x14ac:dyDescent="0.25">
      <c r="C1213" s="37"/>
      <c r="D1213" s="35"/>
    </row>
    <row r="1214" spans="3:4" x14ac:dyDescent="0.25">
      <c r="C1214" s="37"/>
      <c r="D1214" s="35"/>
    </row>
    <row r="1215" spans="3:4" x14ac:dyDescent="0.25">
      <c r="C1215" s="37"/>
      <c r="D1215" s="35"/>
    </row>
    <row r="1216" spans="3:4" x14ac:dyDescent="0.25">
      <c r="C1216" s="37"/>
      <c r="D1216" s="35"/>
    </row>
    <row r="1217" spans="3:4" x14ac:dyDescent="0.25">
      <c r="C1217" s="37"/>
      <c r="D1217" s="35"/>
    </row>
    <row r="1218" spans="3:4" x14ac:dyDescent="0.25">
      <c r="C1218" s="37"/>
      <c r="D1218" s="35"/>
    </row>
    <row r="1219" spans="3:4" x14ac:dyDescent="0.25">
      <c r="C1219" s="37"/>
      <c r="D1219" s="35"/>
    </row>
    <row r="1220" spans="3:4" x14ac:dyDescent="0.25">
      <c r="C1220" s="37"/>
      <c r="D1220" s="35"/>
    </row>
    <row r="1221" spans="3:4" x14ac:dyDescent="0.25">
      <c r="C1221" s="37"/>
      <c r="D1221" s="35"/>
    </row>
    <row r="1222" spans="3:4" x14ac:dyDescent="0.25">
      <c r="C1222" s="37"/>
      <c r="D1222" s="35"/>
    </row>
    <row r="1223" spans="3:4" x14ac:dyDescent="0.25">
      <c r="C1223" s="37"/>
      <c r="D1223" s="35"/>
    </row>
    <row r="1224" spans="3:4" x14ac:dyDescent="0.25">
      <c r="C1224" s="37"/>
      <c r="D1224" s="35"/>
    </row>
    <row r="1225" spans="3:4" x14ac:dyDescent="0.25">
      <c r="C1225" s="37"/>
      <c r="D1225" s="35"/>
    </row>
    <row r="1226" spans="3:4" x14ac:dyDescent="0.25">
      <c r="C1226" s="37"/>
      <c r="D1226" s="35"/>
    </row>
    <row r="1227" spans="3:4" x14ac:dyDescent="0.25">
      <c r="C1227" s="37"/>
      <c r="D1227" s="35"/>
    </row>
    <row r="1228" spans="3:4" x14ac:dyDescent="0.25">
      <c r="C1228" s="37"/>
      <c r="D1228" s="35"/>
    </row>
    <row r="1229" spans="3:4" x14ac:dyDescent="0.25">
      <c r="C1229" s="37"/>
      <c r="D1229" s="35"/>
    </row>
    <row r="1230" spans="3:4" x14ac:dyDescent="0.25">
      <c r="C1230" s="37"/>
      <c r="D1230" s="35"/>
    </row>
    <row r="1231" spans="3:4" x14ac:dyDescent="0.25">
      <c r="C1231" s="37"/>
      <c r="D1231" s="35"/>
    </row>
    <row r="1232" spans="3:4" x14ac:dyDescent="0.25">
      <c r="C1232" s="37"/>
      <c r="D1232" s="35"/>
    </row>
    <row r="1233" spans="3:4" x14ac:dyDescent="0.25">
      <c r="C1233" s="37"/>
      <c r="D1233" s="35"/>
    </row>
    <row r="1234" spans="3:4" x14ac:dyDescent="0.25">
      <c r="C1234" s="37"/>
      <c r="D1234" s="35"/>
    </row>
    <row r="1235" spans="3:4" x14ac:dyDescent="0.25">
      <c r="C1235" s="37"/>
      <c r="D1235" s="35"/>
    </row>
    <row r="1236" spans="3:4" x14ac:dyDescent="0.25">
      <c r="C1236" s="37"/>
      <c r="D1236" s="35"/>
    </row>
    <row r="1237" spans="3:4" x14ac:dyDescent="0.25">
      <c r="C1237" s="37"/>
      <c r="D1237" s="35"/>
    </row>
    <row r="1238" spans="3:4" x14ac:dyDescent="0.25">
      <c r="C1238" s="37"/>
      <c r="D1238" s="35"/>
    </row>
    <row r="1239" spans="3:4" x14ac:dyDescent="0.25">
      <c r="C1239" s="37"/>
      <c r="D1239" s="35"/>
    </row>
    <row r="1240" spans="3:4" x14ac:dyDescent="0.25">
      <c r="C1240" s="37"/>
      <c r="D1240" s="35"/>
    </row>
    <row r="1241" spans="3:4" x14ac:dyDescent="0.25">
      <c r="C1241" s="37"/>
      <c r="D1241" s="35"/>
    </row>
    <row r="1242" spans="3:4" x14ac:dyDescent="0.25">
      <c r="C1242" s="37"/>
      <c r="D1242" s="35"/>
    </row>
    <row r="1243" spans="3:4" x14ac:dyDescent="0.25">
      <c r="C1243" s="37"/>
      <c r="D1243" s="35"/>
    </row>
    <row r="1244" spans="3:4" x14ac:dyDescent="0.25">
      <c r="C1244" s="37"/>
      <c r="D1244" s="35"/>
    </row>
    <row r="1245" spans="3:4" x14ac:dyDescent="0.25">
      <c r="C1245" s="37"/>
      <c r="D1245" s="35"/>
    </row>
    <row r="1246" spans="3:4" x14ac:dyDescent="0.25">
      <c r="C1246" s="37"/>
      <c r="D1246" s="35"/>
    </row>
    <row r="1247" spans="3:4" x14ac:dyDescent="0.25">
      <c r="C1247" s="37"/>
      <c r="D1247" s="35"/>
    </row>
    <row r="1248" spans="3:4" x14ac:dyDescent="0.25">
      <c r="C1248" s="37"/>
      <c r="D1248" s="35"/>
    </row>
    <row r="1249" spans="3:4" x14ac:dyDescent="0.25">
      <c r="C1249" s="37"/>
      <c r="D1249" s="35"/>
    </row>
    <row r="1250" spans="3:4" x14ac:dyDescent="0.25">
      <c r="C1250" s="37"/>
      <c r="D1250" s="35"/>
    </row>
    <row r="1251" spans="3:4" x14ac:dyDescent="0.25">
      <c r="C1251" s="37"/>
      <c r="D1251" s="35"/>
    </row>
    <row r="1252" spans="3:4" x14ac:dyDescent="0.25">
      <c r="C1252" s="37"/>
      <c r="D1252" s="35"/>
    </row>
    <row r="1253" spans="3:4" x14ac:dyDescent="0.25">
      <c r="C1253" s="37"/>
      <c r="D1253" s="35"/>
    </row>
    <row r="1254" spans="3:4" x14ac:dyDescent="0.25">
      <c r="C1254" s="37"/>
      <c r="D1254" s="35"/>
    </row>
    <row r="1255" spans="3:4" x14ac:dyDescent="0.25">
      <c r="C1255" s="37"/>
      <c r="D1255" s="35"/>
    </row>
    <row r="1256" spans="3:4" x14ac:dyDescent="0.25">
      <c r="C1256" s="37"/>
      <c r="D1256" s="35"/>
    </row>
    <row r="1257" spans="3:4" x14ac:dyDescent="0.25">
      <c r="C1257" s="37"/>
      <c r="D1257" s="35"/>
    </row>
    <row r="1258" spans="3:4" x14ac:dyDescent="0.25">
      <c r="C1258" s="37"/>
      <c r="D1258" s="35"/>
    </row>
    <row r="1259" spans="3:4" x14ac:dyDescent="0.25">
      <c r="C1259" s="37"/>
      <c r="D1259" s="35"/>
    </row>
    <row r="1260" spans="3:4" x14ac:dyDescent="0.25">
      <c r="C1260" s="37"/>
      <c r="D1260" s="35"/>
    </row>
    <row r="1261" spans="3:4" x14ac:dyDescent="0.25">
      <c r="C1261" s="37"/>
      <c r="D1261" s="35"/>
    </row>
    <row r="1262" spans="3:4" x14ac:dyDescent="0.25">
      <c r="C1262" s="37"/>
      <c r="D1262" s="35"/>
    </row>
    <row r="1263" spans="3:4" x14ac:dyDescent="0.25">
      <c r="C1263" s="37"/>
      <c r="D1263" s="35"/>
    </row>
    <row r="1264" spans="3:4" x14ac:dyDescent="0.25">
      <c r="C1264" s="37"/>
      <c r="D1264" s="35"/>
    </row>
    <row r="1265" spans="3:4" x14ac:dyDescent="0.25">
      <c r="C1265" s="37"/>
      <c r="D1265" s="35"/>
    </row>
    <row r="1266" spans="3:4" x14ac:dyDescent="0.25">
      <c r="C1266" s="37"/>
      <c r="D1266" s="35"/>
    </row>
    <row r="1267" spans="3:4" x14ac:dyDescent="0.25">
      <c r="C1267" s="37"/>
      <c r="D1267" s="35"/>
    </row>
    <row r="1268" spans="3:4" x14ac:dyDescent="0.25">
      <c r="C1268" s="37"/>
      <c r="D1268" s="35"/>
    </row>
    <row r="1269" spans="3:4" x14ac:dyDescent="0.25">
      <c r="C1269" s="37"/>
      <c r="D1269" s="35"/>
    </row>
    <row r="1270" spans="3:4" x14ac:dyDescent="0.25">
      <c r="C1270" s="37"/>
      <c r="D1270" s="35"/>
    </row>
    <row r="1271" spans="3:4" x14ac:dyDescent="0.25">
      <c r="C1271" s="37"/>
      <c r="D1271" s="35"/>
    </row>
    <row r="1272" spans="3:4" x14ac:dyDescent="0.25">
      <c r="C1272" s="37"/>
      <c r="D1272" s="35"/>
    </row>
    <row r="1273" spans="3:4" x14ac:dyDescent="0.25">
      <c r="C1273" s="37"/>
      <c r="D1273" s="35"/>
    </row>
    <row r="1274" spans="3:4" x14ac:dyDescent="0.25">
      <c r="C1274" s="37"/>
      <c r="D1274" s="35"/>
    </row>
    <row r="1275" spans="3:4" x14ac:dyDescent="0.25">
      <c r="C1275" s="37"/>
      <c r="D1275" s="35"/>
    </row>
    <row r="1276" spans="3:4" x14ac:dyDescent="0.25">
      <c r="C1276" s="37"/>
      <c r="D1276" s="35"/>
    </row>
    <row r="1277" spans="3:4" x14ac:dyDescent="0.25">
      <c r="C1277" s="37"/>
      <c r="D1277" s="35"/>
    </row>
    <row r="1278" spans="3:4" x14ac:dyDescent="0.25">
      <c r="C1278" s="37"/>
      <c r="D1278" s="35"/>
    </row>
    <row r="1279" spans="3:4" x14ac:dyDescent="0.25">
      <c r="C1279" s="37"/>
      <c r="D1279" s="35"/>
    </row>
    <row r="1280" spans="3:4" x14ac:dyDescent="0.25">
      <c r="C1280" s="37"/>
      <c r="D1280" s="35"/>
    </row>
    <row r="1281" spans="3:4" x14ac:dyDescent="0.25">
      <c r="C1281" s="37"/>
      <c r="D1281" s="35"/>
    </row>
    <row r="1282" spans="3:4" x14ac:dyDescent="0.25">
      <c r="C1282" s="37"/>
      <c r="D1282" s="35"/>
    </row>
    <row r="1283" spans="3:4" x14ac:dyDescent="0.25">
      <c r="C1283" s="37"/>
      <c r="D1283" s="35"/>
    </row>
    <row r="1284" spans="3:4" x14ac:dyDescent="0.25">
      <c r="C1284" s="37"/>
      <c r="D1284" s="35"/>
    </row>
    <row r="1285" spans="3:4" x14ac:dyDescent="0.25">
      <c r="C1285" s="37"/>
      <c r="D1285" s="35"/>
    </row>
    <row r="1286" spans="3:4" x14ac:dyDescent="0.25">
      <c r="C1286" s="37"/>
      <c r="D1286" s="35"/>
    </row>
    <row r="1287" spans="3:4" x14ac:dyDescent="0.25">
      <c r="C1287" s="37"/>
      <c r="D1287" s="35"/>
    </row>
    <row r="1288" spans="3:4" x14ac:dyDescent="0.25">
      <c r="C1288" s="37"/>
      <c r="D1288" s="35"/>
    </row>
    <row r="1289" spans="3:4" x14ac:dyDescent="0.25">
      <c r="C1289" s="37"/>
      <c r="D1289" s="35"/>
    </row>
    <row r="1290" spans="3:4" x14ac:dyDescent="0.25">
      <c r="C1290" s="37"/>
      <c r="D1290" s="35"/>
    </row>
    <row r="1291" spans="3:4" x14ac:dyDescent="0.25">
      <c r="C1291" s="37"/>
      <c r="D1291" s="35"/>
    </row>
    <row r="1292" spans="3:4" x14ac:dyDescent="0.25">
      <c r="C1292" s="37"/>
      <c r="D1292" s="35"/>
    </row>
    <row r="1293" spans="3:4" x14ac:dyDescent="0.25">
      <c r="C1293" s="37"/>
      <c r="D1293" s="35"/>
    </row>
    <row r="1294" spans="3:4" x14ac:dyDescent="0.25">
      <c r="C1294" s="37"/>
      <c r="D1294" s="35"/>
    </row>
    <row r="1295" spans="3:4" x14ac:dyDescent="0.25">
      <c r="C1295" s="37"/>
      <c r="D1295" s="35"/>
    </row>
    <row r="1296" spans="3:4" x14ac:dyDescent="0.25">
      <c r="C1296" s="37"/>
      <c r="D1296" s="35"/>
    </row>
    <row r="1297" spans="3:4" x14ac:dyDescent="0.25">
      <c r="C1297" s="37"/>
      <c r="D1297" s="35"/>
    </row>
    <row r="1298" spans="3:4" x14ac:dyDescent="0.25">
      <c r="C1298" s="37"/>
      <c r="D1298" s="35"/>
    </row>
    <row r="1299" spans="3:4" x14ac:dyDescent="0.25">
      <c r="C1299" s="37"/>
      <c r="D1299" s="35"/>
    </row>
    <row r="1300" spans="3:4" x14ac:dyDescent="0.25">
      <c r="C1300" s="37"/>
      <c r="D1300" s="35"/>
    </row>
    <row r="1301" spans="3:4" x14ac:dyDescent="0.25">
      <c r="C1301" s="37"/>
      <c r="D1301" s="35"/>
    </row>
    <row r="1302" spans="3:4" x14ac:dyDescent="0.25">
      <c r="C1302" s="37"/>
      <c r="D1302" s="35"/>
    </row>
    <row r="1303" spans="3:4" x14ac:dyDescent="0.25">
      <c r="C1303" s="37"/>
      <c r="D1303" s="35"/>
    </row>
    <row r="1304" spans="3:4" x14ac:dyDescent="0.25">
      <c r="C1304" s="37"/>
      <c r="D1304" s="35"/>
    </row>
    <row r="1305" spans="3:4" x14ac:dyDescent="0.25">
      <c r="C1305" s="37"/>
      <c r="D1305" s="35"/>
    </row>
    <row r="1306" spans="3:4" x14ac:dyDescent="0.25">
      <c r="C1306" s="37"/>
      <c r="D1306" s="35"/>
    </row>
    <row r="1307" spans="3:4" x14ac:dyDescent="0.25">
      <c r="C1307" s="37"/>
      <c r="D1307" s="35"/>
    </row>
    <row r="1308" spans="3:4" x14ac:dyDescent="0.25">
      <c r="C1308" s="37"/>
      <c r="D1308" s="35"/>
    </row>
    <row r="1309" spans="3:4" x14ac:dyDescent="0.25">
      <c r="C1309" s="37"/>
      <c r="D1309" s="35"/>
    </row>
    <row r="1310" spans="3:4" x14ac:dyDescent="0.25">
      <c r="C1310" s="37"/>
      <c r="D1310" s="35"/>
    </row>
    <row r="1311" spans="3:4" x14ac:dyDescent="0.25">
      <c r="C1311" s="37"/>
      <c r="D1311" s="35"/>
    </row>
    <row r="1312" spans="3:4" x14ac:dyDescent="0.25">
      <c r="C1312" s="37"/>
      <c r="D1312" s="35"/>
    </row>
    <row r="1313" spans="3:4" x14ac:dyDescent="0.25">
      <c r="C1313" s="37"/>
      <c r="D1313" s="35"/>
    </row>
    <row r="1314" spans="3:4" x14ac:dyDescent="0.25">
      <c r="C1314" s="37"/>
      <c r="D1314" s="35"/>
    </row>
    <row r="1315" spans="3:4" x14ac:dyDescent="0.25">
      <c r="C1315" s="37"/>
      <c r="D1315" s="35"/>
    </row>
    <row r="1316" spans="3:4" x14ac:dyDescent="0.25">
      <c r="C1316" s="37"/>
      <c r="D1316" s="35"/>
    </row>
    <row r="1317" spans="3:4" x14ac:dyDescent="0.25">
      <c r="C1317" s="37"/>
      <c r="D1317" s="35"/>
    </row>
    <row r="1318" spans="3:4" x14ac:dyDescent="0.25">
      <c r="C1318" s="37"/>
      <c r="D1318" s="35"/>
    </row>
    <row r="1319" spans="3:4" x14ac:dyDescent="0.25">
      <c r="C1319" s="37"/>
      <c r="D1319" s="35"/>
    </row>
    <row r="1320" spans="3:4" x14ac:dyDescent="0.25">
      <c r="C1320" s="37"/>
      <c r="D1320" s="35"/>
    </row>
    <row r="1321" spans="3:4" x14ac:dyDescent="0.25">
      <c r="C1321" s="37"/>
      <c r="D1321" s="35"/>
    </row>
    <row r="1322" spans="3:4" x14ac:dyDescent="0.25">
      <c r="C1322" s="37"/>
      <c r="D1322" s="35"/>
    </row>
    <row r="1323" spans="3:4" x14ac:dyDescent="0.25">
      <c r="C1323" s="37"/>
      <c r="D1323" s="35"/>
    </row>
    <row r="1324" spans="3:4" x14ac:dyDescent="0.25">
      <c r="C1324" s="37"/>
      <c r="D1324" s="35"/>
    </row>
    <row r="1325" spans="3:4" x14ac:dyDescent="0.25">
      <c r="C1325" s="37"/>
      <c r="D1325" s="35"/>
    </row>
    <row r="1326" spans="3:4" x14ac:dyDescent="0.25">
      <c r="C1326" s="37"/>
      <c r="D1326" s="35"/>
    </row>
    <row r="1327" spans="3:4" x14ac:dyDescent="0.25">
      <c r="C1327" s="37"/>
      <c r="D1327" s="35"/>
    </row>
    <row r="1328" spans="3:4" x14ac:dyDescent="0.25">
      <c r="C1328" s="37"/>
      <c r="D1328" s="35"/>
    </row>
    <row r="1329" spans="3:4" x14ac:dyDescent="0.25">
      <c r="C1329" s="37"/>
      <c r="D1329" s="35"/>
    </row>
    <row r="1330" spans="3:4" x14ac:dyDescent="0.25">
      <c r="C1330" s="37"/>
      <c r="D1330" s="35"/>
    </row>
    <row r="1331" spans="3:4" x14ac:dyDescent="0.25">
      <c r="C1331" s="37"/>
      <c r="D1331" s="35"/>
    </row>
    <row r="1332" spans="3:4" x14ac:dyDescent="0.25">
      <c r="C1332" s="37"/>
      <c r="D1332" s="35"/>
    </row>
    <row r="1333" spans="3:4" x14ac:dyDescent="0.25">
      <c r="C1333" s="37"/>
      <c r="D1333" s="35"/>
    </row>
  </sheetData>
  <mergeCells count="18">
    <mergeCell ref="N29:O29"/>
    <mergeCell ref="D17:E17"/>
    <mergeCell ref="F17:G17"/>
    <mergeCell ref="H17:I17"/>
    <mergeCell ref="J17:K17"/>
    <mergeCell ref="L17:M17"/>
    <mergeCell ref="N17:O17"/>
    <mergeCell ref="D29:E29"/>
    <mergeCell ref="F29:G29"/>
    <mergeCell ref="H29:I29"/>
    <mergeCell ref="J29:K29"/>
    <mergeCell ref="L29:M29"/>
    <mergeCell ref="N2:O2"/>
    <mergeCell ref="D2:E2"/>
    <mergeCell ref="F2:G2"/>
    <mergeCell ref="H2:I2"/>
    <mergeCell ref="J2:K2"/>
    <mergeCell ref="L2:M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91407-4F79-45F2-AEF0-289B1427F865}">
  <dimension ref="A1:AH1333"/>
  <sheetViews>
    <sheetView topLeftCell="O1" workbookViewId="0">
      <selection activeCell="AA5" sqref="AA5"/>
    </sheetView>
  </sheetViews>
  <sheetFormatPr defaultRowHeight="15" outlineLevelRow="1" outlineLevelCol="1" x14ac:dyDescent="0.25"/>
  <cols>
    <col min="1" max="1" width="9.42578125" customWidth="1"/>
    <col min="2" max="2" width="25.140625" bestFit="1" customWidth="1"/>
    <col min="3" max="3" width="24.28515625" style="11" bestFit="1" customWidth="1"/>
    <col min="4" max="4" width="9.42578125" style="6" customWidth="1"/>
    <col min="5" max="5" width="16.85546875" style="11" bestFit="1" customWidth="1"/>
    <col min="6" max="6" width="9.28515625" style="6" customWidth="1"/>
    <col min="7" max="7" width="19.5703125" style="11" bestFit="1" customWidth="1"/>
    <col min="8" max="8" width="9.140625" style="6"/>
    <col min="9" max="9" width="19.5703125" style="11" bestFit="1" customWidth="1"/>
    <col min="10" max="10" width="7.140625" style="6" bestFit="1" customWidth="1"/>
    <col min="11" max="11" width="18" style="11" bestFit="1" customWidth="1"/>
    <col min="12" max="12" width="7.140625" style="5" bestFit="1" customWidth="1"/>
    <col min="13" max="13" width="19.5703125" style="10" bestFit="1" customWidth="1"/>
    <col min="14" max="14" width="8.140625" style="10" bestFit="1" customWidth="1"/>
    <col min="15" max="15" width="19.5703125" style="10" customWidth="1"/>
    <col min="16" max="16" width="7.140625" bestFit="1" customWidth="1"/>
    <col min="17" max="18" width="7.140625" hidden="1" customWidth="1" outlineLevel="1"/>
    <col min="19" max="19" width="18" bestFit="1" customWidth="1" collapsed="1"/>
    <col min="20" max="20" width="16.85546875" bestFit="1" customWidth="1"/>
    <col min="21" max="21" width="18" bestFit="1" customWidth="1"/>
    <col min="22" max="22" width="16.85546875" bestFit="1" customWidth="1"/>
    <col min="23" max="23" width="15.28515625" bestFit="1" customWidth="1"/>
    <col min="25" max="25" width="7.85546875" bestFit="1" customWidth="1"/>
    <col min="26" max="26" width="11.140625" bestFit="1" customWidth="1"/>
    <col min="27" max="27" width="13.28515625" bestFit="1" customWidth="1"/>
    <col min="28" max="28" width="7.85546875" bestFit="1" customWidth="1"/>
    <col min="29" max="29" width="8.140625" bestFit="1" customWidth="1"/>
    <col min="32" max="32" width="16.28515625" bestFit="1" customWidth="1"/>
    <col min="33" max="33" width="5" bestFit="1" customWidth="1"/>
  </cols>
  <sheetData>
    <row r="1" spans="1:34" ht="9" customHeight="1" x14ac:dyDescent="0.25"/>
    <row r="2" spans="1:34" x14ac:dyDescent="0.25">
      <c r="B2" s="4" t="s">
        <v>1</v>
      </c>
      <c r="C2" s="9" t="s">
        <v>4</v>
      </c>
      <c r="D2" s="112" t="s">
        <v>7</v>
      </c>
      <c r="E2" s="112"/>
      <c r="F2" s="112" t="s">
        <v>8</v>
      </c>
      <c r="G2" s="112"/>
      <c r="H2" s="112" t="s">
        <v>10</v>
      </c>
      <c r="I2" s="112"/>
      <c r="J2" s="112" t="s">
        <v>9</v>
      </c>
      <c r="K2" s="112"/>
      <c r="L2" s="112" t="s">
        <v>21</v>
      </c>
      <c r="M2" s="112"/>
      <c r="N2" s="112" t="s">
        <v>55</v>
      </c>
      <c r="O2" s="112"/>
      <c r="Q2" s="1" t="s">
        <v>46</v>
      </c>
      <c r="S2" s="27" t="s">
        <v>49</v>
      </c>
      <c r="T2" s="27" t="s">
        <v>50</v>
      </c>
      <c r="U2" s="27" t="s">
        <v>51</v>
      </c>
      <c r="V2" s="27" t="s">
        <v>52</v>
      </c>
      <c r="W2" s="27" t="s">
        <v>53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  <c r="AE2" s="1"/>
      <c r="AF2" s="1" t="s">
        <v>20</v>
      </c>
      <c r="AG2" s="1"/>
    </row>
    <row r="3" spans="1:34" x14ac:dyDescent="0.25">
      <c r="B3" s="21" t="s">
        <v>5</v>
      </c>
      <c r="C3" s="23">
        <v>343017067.38</v>
      </c>
      <c r="D3" s="26">
        <v>0.34300000000000003</v>
      </c>
      <c r="E3" s="23">
        <f>D3*C3</f>
        <v>117654854.11134</v>
      </c>
      <c r="F3" s="26">
        <f>0.11+0.105+0.007+0.026</f>
        <v>0.248</v>
      </c>
      <c r="G3" s="22">
        <f>F3*C3</f>
        <v>85068232.710239992</v>
      </c>
      <c r="H3" s="26">
        <f>0.375+0.009</f>
        <v>0.38400000000000001</v>
      </c>
      <c r="I3" s="23">
        <f>H3*C3</f>
        <v>131718553.87391999</v>
      </c>
      <c r="J3" s="26">
        <v>2.9000000000000001E-2</v>
      </c>
      <c r="K3" s="23">
        <f>J3*C3</f>
        <v>9947494.954020001</v>
      </c>
      <c r="L3" s="24"/>
      <c r="M3" s="25">
        <f>L3*C3</f>
        <v>0</v>
      </c>
      <c r="N3" s="14">
        <v>-4.0000000000000001E-3</v>
      </c>
      <c r="O3" s="12">
        <f>N3*C3</f>
        <v>-1372068.2695200001</v>
      </c>
      <c r="S3" s="12">
        <f>E3-'Out23'!E3</f>
        <v>19094026.138249993</v>
      </c>
      <c r="T3" s="12">
        <f>G3-'Out23'!G3</f>
        <v>6425620.8432099968</v>
      </c>
      <c r="U3" s="12">
        <f>I3-'Out23'!I3</f>
        <v>6371159.4133699983</v>
      </c>
      <c r="V3" s="12">
        <f>K3-'Out23'!K3</f>
        <v>-355030.6180799976</v>
      </c>
      <c r="W3" s="12">
        <f>+M3-'Out23'!M3</f>
        <v>0</v>
      </c>
      <c r="Y3" s="28">
        <f>D3-'Out23'!D3</f>
        <v>5.5999999999999994E-2</v>
      </c>
      <c r="Z3" s="28">
        <f>F3-'Out23'!F3</f>
        <v>1.8999999999999989E-2</v>
      </c>
      <c r="AA3" s="28">
        <f>H3-'Out23'!H3</f>
        <v>1.9000000000000017E-2</v>
      </c>
      <c r="AB3" s="28">
        <f>J3-'Out23'!J3</f>
        <v>-9.9999999999999742E-4</v>
      </c>
      <c r="AC3" s="28">
        <f>L3-'Out23'!L3</f>
        <v>0</v>
      </c>
      <c r="AE3" t="s">
        <v>11</v>
      </c>
      <c r="AF3" s="2" t="s">
        <v>10</v>
      </c>
      <c r="AG3" t="s">
        <v>9</v>
      </c>
      <c r="AH3" t="s">
        <v>7</v>
      </c>
    </row>
    <row r="4" spans="1:34" x14ac:dyDescent="0.25">
      <c r="B4" s="3" t="s">
        <v>0</v>
      </c>
      <c r="C4" s="12">
        <v>1344690434</v>
      </c>
      <c r="D4" s="14">
        <v>0.33</v>
      </c>
      <c r="E4" s="12">
        <f t="shared" ref="E4:E13" si="0">D4*$C4</f>
        <v>443747843.22000003</v>
      </c>
      <c r="F4" s="14">
        <f>7%+2%+2%+4%</f>
        <v>0.15000000000000002</v>
      </c>
      <c r="G4" s="12">
        <f t="shared" ref="G4:G7" si="1">F4*$C4</f>
        <v>201703565.10000002</v>
      </c>
      <c r="H4" s="14">
        <f>42%+2%+1%</f>
        <v>0.45</v>
      </c>
      <c r="I4" s="12">
        <f t="shared" ref="I4:I14" si="2">H4*$C4</f>
        <v>605110695.30000007</v>
      </c>
      <c r="J4" s="14">
        <v>0.08</v>
      </c>
      <c r="K4" s="12">
        <f t="shared" ref="K4:K14" si="3">J4*$C4</f>
        <v>107575234.72</v>
      </c>
      <c r="L4" s="14"/>
      <c r="M4" s="12">
        <f t="shared" ref="M4:M14" si="4">L4*$C4</f>
        <v>0</v>
      </c>
      <c r="N4" s="14">
        <v>-0.01</v>
      </c>
      <c r="O4" s="12">
        <f t="shared" ref="O4:O14" si="5">N4*$C4</f>
        <v>-13446904.34</v>
      </c>
      <c r="S4" s="12">
        <f>E4-'Out23'!E4</f>
        <v>-7637734.5</v>
      </c>
      <c r="T4" s="12">
        <f>G4-'Out23'!G4</f>
        <v>10206653.340000004</v>
      </c>
      <c r="U4" s="12">
        <f>I4-'Out23'!I4</f>
        <v>16941609.180000067</v>
      </c>
      <c r="V4" s="12">
        <f>K4-'Out23'!K4</f>
        <v>-29208273.680000007</v>
      </c>
      <c r="W4" s="12">
        <f>+M4-'Out23'!M4</f>
        <v>0</v>
      </c>
      <c r="Y4" s="28">
        <f>D4-'Out23'!D4</f>
        <v>0</v>
      </c>
      <c r="Z4" s="28">
        <f>F4-'Out23'!F4</f>
        <v>1.0000000000000009E-2</v>
      </c>
      <c r="AA4" s="28">
        <f>H4-'Out23'!H4</f>
        <v>2.0000000000000018E-2</v>
      </c>
      <c r="AB4" s="28">
        <f>J4-'Out23'!J4</f>
        <v>-2.0000000000000004E-2</v>
      </c>
      <c r="AC4" s="28">
        <f>L4-'Out23'!L4</f>
        <v>0</v>
      </c>
      <c r="AE4" t="s">
        <v>12</v>
      </c>
      <c r="AF4" s="2" t="s">
        <v>16</v>
      </c>
      <c r="AH4" t="s">
        <v>58</v>
      </c>
    </row>
    <row r="5" spans="1:34" x14ac:dyDescent="0.25">
      <c r="B5" s="3" t="s">
        <v>3</v>
      </c>
      <c r="C5" s="12">
        <v>1033433648.13</v>
      </c>
      <c r="D5" s="14">
        <v>0.43</v>
      </c>
      <c r="E5" s="12">
        <f t="shared" si="0"/>
        <v>444376468.69589996</v>
      </c>
      <c r="F5" s="14"/>
      <c r="G5" s="12">
        <f t="shared" si="1"/>
        <v>0</v>
      </c>
      <c r="H5" s="14">
        <f>33%+8%+1%</f>
        <v>0.42000000000000004</v>
      </c>
      <c r="I5" s="12">
        <f t="shared" si="2"/>
        <v>434042132.21460003</v>
      </c>
      <c r="J5" s="14">
        <v>0.06</v>
      </c>
      <c r="K5" s="12">
        <f t="shared" si="3"/>
        <v>62006018.887800001</v>
      </c>
      <c r="L5" s="14">
        <v>0.09</v>
      </c>
      <c r="M5" s="12">
        <f t="shared" si="4"/>
        <v>93009028.331699997</v>
      </c>
      <c r="N5" s="14"/>
      <c r="O5" s="12">
        <f t="shared" si="5"/>
        <v>0</v>
      </c>
      <c r="P5" s="5"/>
      <c r="S5" s="12">
        <f>E5-'Out23'!E5</f>
        <v>-41838094.282400012</v>
      </c>
      <c r="T5" s="12">
        <f>G5-'Out23'!G5</f>
        <v>0</v>
      </c>
      <c r="U5" s="12">
        <f>I5-'Out23'!I5</f>
        <v>-63479746.181799948</v>
      </c>
      <c r="V5" s="12">
        <f>K5-'Out23'!K5</f>
        <v>5469441.7973000035</v>
      </c>
      <c r="W5" s="12">
        <f>+M5-'Out23'!M5</f>
        <v>2550504.9869000018</v>
      </c>
      <c r="Y5" s="28">
        <f>D5-'Out23'!D5</f>
        <v>0</v>
      </c>
      <c r="Z5" s="28">
        <f>F5-'Out23'!F5</f>
        <v>0</v>
      </c>
      <c r="AA5" s="28">
        <f>H5-'Out23'!H5</f>
        <v>-1.9999999999999962E-2</v>
      </c>
      <c r="AB5" s="28">
        <f>J5-'Out23'!J5</f>
        <v>9.999999999999995E-3</v>
      </c>
      <c r="AC5" s="28">
        <f>L5-'Out23'!L5</f>
        <v>9.999999999999995E-3</v>
      </c>
      <c r="AE5" t="s">
        <v>13</v>
      </c>
      <c r="AF5" s="2" t="s">
        <v>17</v>
      </c>
      <c r="AH5" t="s">
        <v>59</v>
      </c>
    </row>
    <row r="6" spans="1:34" x14ac:dyDescent="0.25">
      <c r="B6" s="3" t="s">
        <v>37</v>
      </c>
      <c r="C6" s="12">
        <v>2516954384</v>
      </c>
      <c r="D6" s="14">
        <v>0.30399999999999999</v>
      </c>
      <c r="E6" s="12">
        <f t="shared" si="0"/>
        <v>765154132.73599994</v>
      </c>
      <c r="F6" s="14">
        <v>0.1968</v>
      </c>
      <c r="G6" s="12">
        <f t="shared" si="1"/>
        <v>495336622.7712</v>
      </c>
      <c r="H6" s="14">
        <f>43.59%+2.29%+2.03%+2.01%</f>
        <v>0.49919999999999998</v>
      </c>
      <c r="I6" s="12">
        <f t="shared" si="2"/>
        <v>1256463628.4928</v>
      </c>
      <c r="J6" s="14"/>
      <c r="K6" s="12">
        <f t="shared" si="3"/>
        <v>0</v>
      </c>
      <c r="L6" s="14"/>
      <c r="M6" s="12">
        <f t="shared" si="4"/>
        <v>0</v>
      </c>
      <c r="N6" s="14"/>
      <c r="O6" s="12">
        <f t="shared" si="5"/>
        <v>0</v>
      </c>
      <c r="P6" s="7"/>
      <c r="S6" s="12">
        <f>E6-'Out23'!E6</f>
        <v>-10177575.270400167</v>
      </c>
      <c r="T6" s="12">
        <f>G6-'Out23'!G6</f>
        <v>-21985980.518400013</v>
      </c>
      <c r="U6" s="12">
        <f>I6-'Out23'!I6</f>
        <v>-15842138.649600029</v>
      </c>
      <c r="V6" s="12">
        <f>K6-'Out23'!K6</f>
        <v>0</v>
      </c>
      <c r="W6" s="12">
        <f>+M6-'Out23'!M6</f>
        <v>0</v>
      </c>
      <c r="Y6" s="28">
        <f>D6-'Out23'!D6</f>
        <v>6.7999999999999727E-3</v>
      </c>
      <c r="Z6" s="28">
        <f>F6-'Out23'!F6</f>
        <v>-1.5000000000000013E-3</v>
      </c>
      <c r="AA6" s="28">
        <f>H6-'Out23'!H6</f>
        <v>1.150000000000001E-2</v>
      </c>
      <c r="AB6" s="28">
        <f>J6-'Out23'!J6</f>
        <v>0</v>
      </c>
      <c r="AC6" s="28">
        <f>L6-'Out23'!L6</f>
        <v>0</v>
      </c>
      <c r="AE6" t="s">
        <v>14</v>
      </c>
      <c r="AF6" s="2" t="s">
        <v>18</v>
      </c>
    </row>
    <row r="7" spans="1:34" x14ac:dyDescent="0.25">
      <c r="A7" s="5"/>
      <c r="B7" s="3" t="s">
        <v>22</v>
      </c>
      <c r="C7" s="12">
        <v>924580000</v>
      </c>
      <c r="D7" s="14">
        <f>100%-F7-H7-J7</f>
        <v>0.3050000000000001</v>
      </c>
      <c r="E7" s="12">
        <f t="shared" si="0"/>
        <v>281996900.00000012</v>
      </c>
      <c r="F7" s="14">
        <v>0.10199999999999999</v>
      </c>
      <c r="G7" s="12">
        <f t="shared" si="1"/>
        <v>94307160</v>
      </c>
      <c r="H7" s="14">
        <f>45.8%+9.4%</f>
        <v>0.55199999999999994</v>
      </c>
      <c r="I7" s="12">
        <f t="shared" si="2"/>
        <v>510368159.99999994</v>
      </c>
      <c r="J7" s="14">
        <v>4.1000000000000002E-2</v>
      </c>
      <c r="K7" s="12">
        <f t="shared" si="3"/>
        <v>37907780</v>
      </c>
      <c r="L7" s="16"/>
      <c r="M7" s="12">
        <f t="shared" si="4"/>
        <v>0</v>
      </c>
      <c r="N7" s="14"/>
      <c r="O7" s="12">
        <f t="shared" si="5"/>
        <v>0</v>
      </c>
      <c r="S7" s="12">
        <f>E7-'Out23'!E7</f>
        <v>9488450.0000001192</v>
      </c>
      <c r="T7" s="12">
        <f>G7-'Out23'!G7</f>
        <v>3471010</v>
      </c>
      <c r="U7" s="12">
        <f>I7-'Out23'!I7</f>
        <v>-40385760.00000006</v>
      </c>
      <c r="V7" s="12">
        <f>K7-'Out23'!K7</f>
        <v>-4163700</v>
      </c>
      <c r="W7" s="12">
        <f>+M7-'Out23'!M7</f>
        <v>0</v>
      </c>
      <c r="Y7" s="28">
        <f>D7-'Out23'!D7</f>
        <v>2.0000000000000129E-2</v>
      </c>
      <c r="Z7" s="28">
        <f>F7-'Out23'!F7</f>
        <v>6.9999999999999923E-3</v>
      </c>
      <c r="AA7" s="28">
        <f>H7-'Out23'!H7</f>
        <v>-2.4000000000000021E-2</v>
      </c>
      <c r="AB7" s="28">
        <f>J7-'Out23'!J7</f>
        <v>-2.9999999999999957E-3</v>
      </c>
      <c r="AC7" s="28">
        <f>L7-'Out23'!L7</f>
        <v>0</v>
      </c>
      <c r="AE7" t="s">
        <v>15</v>
      </c>
      <c r="AF7" s="2" t="s">
        <v>19</v>
      </c>
    </row>
    <row r="8" spans="1:34" x14ac:dyDescent="0.25">
      <c r="A8" s="5"/>
      <c r="B8" s="3" t="s">
        <v>23</v>
      </c>
      <c r="C8" s="40">
        <v>1262187584.25</v>
      </c>
      <c r="D8" s="14">
        <v>0.21</v>
      </c>
      <c r="E8" s="12">
        <f t="shared" si="0"/>
        <v>265059392.6925</v>
      </c>
      <c r="F8" s="14">
        <f>21%+6%</f>
        <v>0.27</v>
      </c>
      <c r="G8" s="12">
        <f>F8*$C8</f>
        <v>340790647.7475</v>
      </c>
      <c r="H8" s="14">
        <v>0.41</v>
      </c>
      <c r="I8" s="12">
        <f t="shared" si="2"/>
        <v>517496909.54249996</v>
      </c>
      <c r="J8" s="14">
        <v>7.0000000000000007E-2</v>
      </c>
      <c r="K8" s="12">
        <f t="shared" si="3"/>
        <v>88353130.897500008</v>
      </c>
      <c r="L8" s="16"/>
      <c r="M8" s="12">
        <f t="shared" si="4"/>
        <v>0</v>
      </c>
      <c r="N8" s="14">
        <v>0.04</v>
      </c>
      <c r="O8" s="12">
        <f t="shared" si="5"/>
        <v>50487503.370000005</v>
      </c>
      <c r="S8" s="12">
        <f>E8-'Out23'!E8</f>
        <v>27314845.214399993</v>
      </c>
      <c r="T8" s="12">
        <f>G8-'Out23'!G8</f>
        <v>2943132.9101999998</v>
      </c>
      <c r="U8" s="12">
        <f>I8-'Out23'!I8</f>
        <v>-20556540.013199985</v>
      </c>
      <c r="V8" s="12">
        <f>K8-'Out23'!K8</f>
        <v>-11749836.461699992</v>
      </c>
      <c r="W8" s="12">
        <f>+M8-'Out23'!M8</f>
        <v>0</v>
      </c>
      <c r="Y8" s="28">
        <f>D8-'Out23'!D8</f>
        <v>1.999999999999999E-2</v>
      </c>
      <c r="Z8" s="28">
        <f>F8-'Out23'!F8</f>
        <v>0</v>
      </c>
      <c r="AA8" s="28">
        <f>H8-'Out23'!H8</f>
        <v>-2.0000000000000018E-2</v>
      </c>
      <c r="AB8" s="28">
        <f>J8-'Out23'!J8</f>
        <v>-9.999999999999995E-3</v>
      </c>
      <c r="AC8" s="28">
        <f>L8-'Out23'!L8</f>
        <v>0</v>
      </c>
      <c r="AE8" t="s">
        <v>57</v>
      </c>
    </row>
    <row r="9" spans="1:34" x14ac:dyDescent="0.25">
      <c r="A9" s="5"/>
      <c r="B9" s="3" t="s">
        <v>24</v>
      </c>
      <c r="C9" s="40">
        <v>2046369037</v>
      </c>
      <c r="D9" s="14">
        <v>0.31140000000000001</v>
      </c>
      <c r="E9" s="12">
        <f t="shared" si="0"/>
        <v>637239318.12180007</v>
      </c>
      <c r="F9" s="14">
        <v>0.2029</v>
      </c>
      <c r="G9" s="12">
        <f t="shared" ref="G9:G13" si="6">F9*$C9</f>
        <v>415208277.60729998</v>
      </c>
      <c r="H9" s="14">
        <v>0.433</v>
      </c>
      <c r="I9" s="12">
        <f t="shared" si="2"/>
        <v>886077793.02100003</v>
      </c>
      <c r="J9" s="14">
        <v>5.2699999999999997E-2</v>
      </c>
      <c r="K9" s="12">
        <f t="shared" si="3"/>
        <v>107843648.2499</v>
      </c>
      <c r="L9" s="14"/>
      <c r="M9" s="12">
        <f t="shared" si="4"/>
        <v>0</v>
      </c>
      <c r="N9" s="14"/>
      <c r="O9" s="12">
        <f t="shared" si="5"/>
        <v>0</v>
      </c>
      <c r="S9" s="12">
        <f>E9-'Out23'!E9</f>
        <v>-21593742.015900016</v>
      </c>
      <c r="T9" s="12">
        <f>G9-'Out23'!G9</f>
        <v>-4630054.6046000123</v>
      </c>
      <c r="U9" s="12">
        <f>I9-'Out23'!I9</f>
        <v>-56268620.832599998</v>
      </c>
      <c r="V9" s="12">
        <f>K9-'Out23'!K9</f>
        <v>-1216334.5469000041</v>
      </c>
      <c r="W9" s="12">
        <f>+M9-'Out23'!M9</f>
        <v>0</v>
      </c>
      <c r="Y9" s="28">
        <f>D9-'Out23'!D9</f>
        <v>2.0999999999999908E-3</v>
      </c>
      <c r="Z9" s="28">
        <f>F9-'Out23'!F9</f>
        <v>5.7999999999999996E-3</v>
      </c>
      <c r="AA9" s="28">
        <f>H9-'Out23'!H9</f>
        <v>-9.4000000000000195E-3</v>
      </c>
      <c r="AB9" s="28">
        <f>J9-'Out23'!J9</f>
        <v>1.4999999999999944E-3</v>
      </c>
      <c r="AC9" s="28">
        <f>L9-'Out23'!L9</f>
        <v>0</v>
      </c>
    </row>
    <row r="10" spans="1:34" x14ac:dyDescent="0.25">
      <c r="A10" s="5"/>
      <c r="B10" s="3" t="s">
        <v>25</v>
      </c>
      <c r="C10" s="12">
        <v>168191069</v>
      </c>
      <c r="D10" s="14">
        <v>0.52</v>
      </c>
      <c r="E10" s="12">
        <f t="shared" si="0"/>
        <v>87459355.88000001</v>
      </c>
      <c r="F10" s="14">
        <f>4%+3%</f>
        <v>7.0000000000000007E-2</v>
      </c>
      <c r="G10" s="12">
        <f t="shared" si="6"/>
        <v>11773374.830000002</v>
      </c>
      <c r="H10" s="14">
        <v>0.35</v>
      </c>
      <c r="I10" s="12">
        <f t="shared" si="2"/>
        <v>58866874.149999999</v>
      </c>
      <c r="J10" s="14">
        <v>0.06</v>
      </c>
      <c r="K10" s="12">
        <f t="shared" si="3"/>
        <v>10091464.139999999</v>
      </c>
      <c r="L10" s="16"/>
      <c r="M10" s="12">
        <f t="shared" si="4"/>
        <v>0</v>
      </c>
      <c r="N10" s="14"/>
      <c r="O10" s="12">
        <f t="shared" si="5"/>
        <v>0</v>
      </c>
      <c r="S10" s="12">
        <f>E10-'Out23'!E10</f>
        <v>-15227911.449999988</v>
      </c>
      <c r="T10" s="12">
        <f>G10-'Out23'!G10</f>
        <v>148401.17000000179</v>
      </c>
      <c r="U10" s="12">
        <f>I10-'Out23'!I10</f>
        <v>-7007976.5900000036</v>
      </c>
      <c r="V10" s="12">
        <f>K10-'Out23'!K10</f>
        <v>-3471005.1300000027</v>
      </c>
      <c r="W10" s="12">
        <f>+M10-'Out23'!M10</f>
        <v>0</v>
      </c>
      <c r="Y10" s="28">
        <f>D10-'Out23'!D10</f>
        <v>-1.0000000000000009E-2</v>
      </c>
      <c r="Z10" s="28">
        <f>F10-'Out23'!F10</f>
        <v>1.0000000000000009E-2</v>
      </c>
      <c r="AA10" s="28">
        <f>H10-'Out23'!H10</f>
        <v>9.9999999999999534E-3</v>
      </c>
      <c r="AB10" s="28">
        <f>J10-'Out23'!J10</f>
        <v>-1.0000000000000009E-2</v>
      </c>
      <c r="AC10" s="28">
        <f>L10-'Out23'!L10</f>
        <v>0</v>
      </c>
    </row>
    <row r="11" spans="1:34" x14ac:dyDescent="0.25">
      <c r="A11" s="5"/>
      <c r="B11" s="3" t="s">
        <v>29</v>
      </c>
      <c r="C11" s="12">
        <v>3954131399.6100001</v>
      </c>
      <c r="D11" s="14">
        <v>0.27200000000000002</v>
      </c>
      <c r="E11" s="12">
        <f t="shared" si="0"/>
        <v>1075523740.6939201</v>
      </c>
      <c r="F11" s="14">
        <f>30.6%+2.2%</f>
        <v>0.32800000000000001</v>
      </c>
      <c r="G11" s="12">
        <f t="shared" si="6"/>
        <v>1296955099.0720801</v>
      </c>
      <c r="H11" s="14">
        <f>35.9%+1.2%</f>
        <v>0.371</v>
      </c>
      <c r="I11" s="12">
        <f t="shared" si="2"/>
        <v>1466982749.2553101</v>
      </c>
      <c r="J11" s="14">
        <v>2.8000000000000001E-2</v>
      </c>
      <c r="K11" s="12">
        <f t="shared" si="3"/>
        <v>110715679.18908</v>
      </c>
      <c r="L11" s="16"/>
      <c r="M11" s="12">
        <f t="shared" si="4"/>
        <v>0</v>
      </c>
      <c r="N11" s="14">
        <v>1E-3</v>
      </c>
      <c r="O11" s="12">
        <f t="shared" si="5"/>
        <v>3954131.3996100002</v>
      </c>
      <c r="S11" s="12">
        <f>E11-'Out23'!E11</f>
        <v>40441755.675930023</v>
      </c>
      <c r="T11" s="12">
        <f>G11-'Out23'!G11</f>
        <v>148127840.97518992</v>
      </c>
      <c r="U11" s="12">
        <f>I11-'Out23'!I11</f>
        <v>-19288818.975650072</v>
      </c>
      <c r="V11" s="12">
        <f>K11-'Out23'!K11</f>
        <v>-10612612.095080003</v>
      </c>
      <c r="W11" s="12">
        <f>+M11-'Out23'!M11</f>
        <v>0</v>
      </c>
      <c r="Y11" s="28">
        <f>D11-'Out23'!D11</f>
        <v>-1.0000000000000009E-3</v>
      </c>
      <c r="Z11" s="28">
        <f>F11-'Out23'!F11</f>
        <v>2.4999999999999967E-2</v>
      </c>
      <c r="AA11" s="28">
        <f>H11-'Out23'!H11</f>
        <v>-2.1000000000000019E-2</v>
      </c>
      <c r="AB11" s="28">
        <f>J11-'Out23'!J11</f>
        <v>-4.0000000000000001E-3</v>
      </c>
      <c r="AC11" s="28">
        <f>L11-'Out23'!L11</f>
        <v>0</v>
      </c>
    </row>
    <row r="12" spans="1:34" x14ac:dyDescent="0.25">
      <c r="B12" s="3" t="s">
        <v>47</v>
      </c>
      <c r="C12" s="12">
        <v>1592084901.6199999</v>
      </c>
      <c r="D12" s="14">
        <v>0.64500000000000002</v>
      </c>
      <c r="E12" s="12">
        <f t="shared" si="0"/>
        <v>1026894761.5448999</v>
      </c>
      <c r="F12" s="14">
        <v>0.113</v>
      </c>
      <c r="G12" s="12">
        <f t="shared" si="6"/>
        <v>179905593.88305998</v>
      </c>
      <c r="H12" s="14">
        <f>100%-D12-F12</f>
        <v>0.24199999999999999</v>
      </c>
      <c r="I12" s="12">
        <f t="shared" si="2"/>
        <v>385284546.19203997</v>
      </c>
      <c r="J12" s="14"/>
      <c r="K12" s="12">
        <f t="shared" si="3"/>
        <v>0</v>
      </c>
      <c r="L12" s="16"/>
      <c r="M12" s="12">
        <f t="shared" si="4"/>
        <v>0</v>
      </c>
      <c r="N12" s="14"/>
      <c r="O12" s="12">
        <f t="shared" si="5"/>
        <v>0</v>
      </c>
      <c r="Q12" t="s">
        <v>48</v>
      </c>
      <c r="S12" s="12">
        <f>E12-'Out23'!E12</f>
        <v>48719524.784099936</v>
      </c>
      <c r="T12" s="12">
        <f>G12-'Out23'!G12</f>
        <v>-8205028.5709400177</v>
      </c>
      <c r="U12" s="12">
        <f>I12-'Out23'!I12</f>
        <v>-16018115.043160081</v>
      </c>
      <c r="V12" s="12">
        <f>K12-'Out23'!K12</f>
        <v>0</v>
      </c>
      <c r="W12" s="12">
        <f>+M12-'Out23'!M12</f>
        <v>0</v>
      </c>
      <c r="Y12" s="28">
        <f>D12-'Out23'!D12</f>
        <v>2.1000000000000019E-2</v>
      </c>
      <c r="Z12" s="28">
        <f>F12-'Out23'!F12</f>
        <v>-6.9999999999999923E-3</v>
      </c>
      <c r="AA12" s="28">
        <f>H12-'Out23'!H12</f>
        <v>-1.4000000000000012E-2</v>
      </c>
      <c r="AB12" s="28">
        <f>J12-'Out23'!J12</f>
        <v>0</v>
      </c>
      <c r="AC12" s="28">
        <f>L12-'Out23'!L12</f>
        <v>0</v>
      </c>
    </row>
    <row r="13" spans="1:34" x14ac:dyDescent="0.25">
      <c r="A13" s="5"/>
      <c r="B13" s="3" t="s">
        <v>30</v>
      </c>
      <c r="C13" s="12">
        <v>866285616.21000004</v>
      </c>
      <c r="D13" s="14">
        <v>0.28000000000000003</v>
      </c>
      <c r="E13" s="12">
        <f t="shared" si="0"/>
        <v>242559972.53880003</v>
      </c>
      <c r="F13" s="14">
        <f>1%+20%</f>
        <v>0.21000000000000002</v>
      </c>
      <c r="G13" s="12">
        <f t="shared" si="6"/>
        <v>181919979.40410003</v>
      </c>
      <c r="H13" s="14">
        <v>0.49</v>
      </c>
      <c r="I13" s="12">
        <f t="shared" si="2"/>
        <v>424479951.9429</v>
      </c>
      <c r="J13" s="14">
        <v>0.01</v>
      </c>
      <c r="K13" s="12">
        <f t="shared" si="3"/>
        <v>8662856.1621000003</v>
      </c>
      <c r="L13" s="16"/>
      <c r="M13" s="12">
        <f t="shared" si="4"/>
        <v>0</v>
      </c>
      <c r="N13" s="14">
        <v>0.01</v>
      </c>
      <c r="O13" s="12">
        <f t="shared" si="5"/>
        <v>8662856.1621000003</v>
      </c>
      <c r="S13" s="12">
        <f>E13-'Out23'!E13</f>
        <v>-20458427.461199939</v>
      </c>
      <c r="T13" s="12">
        <f>G13-'Out23'!G13</f>
        <v>-8541620.5958999693</v>
      </c>
      <c r="U13" s="12">
        <f>I13-'Out23'!I13</f>
        <v>-19930448.057099998</v>
      </c>
      <c r="V13" s="12">
        <f>K13-'Out23'!K13</f>
        <v>-406743.83789999969</v>
      </c>
      <c r="W13" s="12">
        <f>+M13-'Out23'!M13</f>
        <v>0</v>
      </c>
      <c r="Y13" s="28">
        <f>D13-'Out23'!D13</f>
        <v>-9.9999999999999534E-3</v>
      </c>
      <c r="Z13" s="28">
        <f>F13-'Out23'!F13</f>
        <v>0</v>
      </c>
      <c r="AA13" s="28">
        <f>H13-'Out23'!H13</f>
        <v>0</v>
      </c>
      <c r="AB13" s="28">
        <f>J13-'Out23'!J13</f>
        <v>0</v>
      </c>
      <c r="AC13" s="28">
        <f>L13-'Out23'!L13</f>
        <v>0</v>
      </c>
    </row>
    <row r="14" spans="1:34" x14ac:dyDescent="0.25">
      <c r="A14" s="5"/>
      <c r="B14" s="3" t="s">
        <v>31</v>
      </c>
      <c r="C14" s="96">
        <v>48800201.380000003</v>
      </c>
      <c r="D14" s="14">
        <v>0.45500000000000002</v>
      </c>
      <c r="E14" s="18">
        <f>D14*$C$14</f>
        <v>22204091.627900001</v>
      </c>
      <c r="F14" s="14">
        <v>0.111</v>
      </c>
      <c r="G14" s="18">
        <f>F14*$C$14</f>
        <v>5416822.3531800006</v>
      </c>
      <c r="H14" s="19">
        <v>0.43</v>
      </c>
      <c r="I14" s="12">
        <f t="shared" si="2"/>
        <v>20984086.593400002</v>
      </c>
      <c r="J14" s="14">
        <v>4.0000000000000001E-3</v>
      </c>
      <c r="K14" s="12">
        <f t="shared" si="3"/>
        <v>195200.80552000002</v>
      </c>
      <c r="L14" s="16"/>
      <c r="M14" s="12">
        <f t="shared" si="4"/>
        <v>0</v>
      </c>
      <c r="N14" s="14"/>
      <c r="O14" s="12">
        <f t="shared" si="5"/>
        <v>0</v>
      </c>
      <c r="S14" s="12">
        <f>E14-'Out23'!E14</f>
        <v>2730761.1643000022</v>
      </c>
      <c r="T14" s="12">
        <f>G14-'Out23'!G14</f>
        <v>-92705.290179999545</v>
      </c>
      <c r="U14" s="12">
        <f>I14-'Out23'!I14</f>
        <v>-721552.48431999981</v>
      </c>
      <c r="V14" s="12">
        <f>K14-'Out23'!K14</f>
        <v>-612229.96979999996</v>
      </c>
      <c r="W14" s="12">
        <f>+M14-'Out23'!M14</f>
        <v>0</v>
      </c>
      <c r="Y14" s="28">
        <f>D14-'Out23'!D14</f>
        <v>4.500000000000004E-2</v>
      </c>
      <c r="Z14" s="28">
        <f>F14-'Out23'!F14</f>
        <v>-5.0000000000000044E-3</v>
      </c>
      <c r="AA14" s="28">
        <f>H14-'Out23'!H14</f>
        <v>-2.7000000000000024E-2</v>
      </c>
      <c r="AB14" s="28">
        <f>J14-'Out23'!J14</f>
        <v>-1.3000000000000001E-2</v>
      </c>
      <c r="AC14" s="28">
        <f>L14-'Out23'!L14</f>
        <v>0</v>
      </c>
    </row>
    <row r="15" spans="1:34" s="8" customFormat="1" x14ac:dyDescent="0.25">
      <c r="A15"/>
      <c r="B15" s="21" t="s">
        <v>45</v>
      </c>
      <c r="C15" s="20">
        <f>SUM(C3:C14)</f>
        <v>16100725342.58</v>
      </c>
      <c r="D15" s="15">
        <f>+E15/$C15</f>
        <v>0.33600168419469328</v>
      </c>
      <c r="E15" s="17">
        <f>SUM(E3:E14)</f>
        <v>5409870831.86306</v>
      </c>
      <c r="F15" s="15">
        <f>+G15/$C15</f>
        <v>0.20548051749751295</v>
      </c>
      <c r="G15" s="20">
        <f>SUM(G3:G14)</f>
        <v>3308385375.4786596</v>
      </c>
      <c r="H15" s="15">
        <f>+I15/$C15</f>
        <v>0.41599840616281164</v>
      </c>
      <c r="I15" s="17">
        <f>SUM(I3:I14)</f>
        <v>6697876080.5784693</v>
      </c>
      <c r="J15" s="15">
        <f>+K15/$C15</f>
        <v>3.3743728710725354E-2</v>
      </c>
      <c r="K15" s="17">
        <f>SUM(K3:K14)</f>
        <v>543298508.00592005</v>
      </c>
      <c r="L15" s="15">
        <f>+M15/$C15</f>
        <v>5.7766980277421534E-3</v>
      </c>
      <c r="M15" s="17">
        <f>SUM(M3:M14)</f>
        <v>93009028.331699997</v>
      </c>
      <c r="N15" s="15">
        <f>+O15/$C15</f>
        <v>2.9989654065145782E-3</v>
      </c>
      <c r="O15" s="17">
        <f>SUM(O3:O14)</f>
        <v>48285518.322190002</v>
      </c>
      <c r="S15" s="12">
        <f>E15-'Out23'!E15</f>
        <v>30855877.997079849</v>
      </c>
      <c r="T15" s="12">
        <f>G15-'Out23'!G15</f>
        <v>127867269.65857935</v>
      </c>
      <c r="U15" s="12">
        <f>I15-'Out23'!I15</f>
        <v>-236186948.23406029</v>
      </c>
      <c r="V15" s="12">
        <f>K15-'Out23'!K15</f>
        <v>-56326324.542160034</v>
      </c>
      <c r="W15" s="12">
        <f>+M15-'Out23'!M15</f>
        <v>2550504.9869000018</v>
      </c>
      <c r="Y15" s="28">
        <f>D15-'Out23'!D15</f>
        <v>5.9118622482204897E-3</v>
      </c>
      <c r="Z15" s="28">
        <f>F15-'Out23'!F15</f>
        <v>1.0304139619415537E-2</v>
      </c>
      <c r="AA15" s="28">
        <f>H15-'Out23'!H15</f>
        <v>-9.5188400573920084E-3</v>
      </c>
      <c r="AB15" s="28">
        <f>J15-'Out23'!J15</f>
        <v>-3.0529814505326977E-3</v>
      </c>
      <c r="AC15" s="28">
        <f>L15-'Out23'!L15</f>
        <v>2.2560026718183943E-4</v>
      </c>
    </row>
    <row r="16" spans="1:34" x14ac:dyDescent="0.25">
      <c r="C16" s="10"/>
      <c r="D16" s="10"/>
      <c r="E16" s="10"/>
      <c r="F16" s="5"/>
      <c r="G16" s="10"/>
      <c r="H16" s="10"/>
      <c r="I16" s="10"/>
      <c r="J16" s="5"/>
      <c r="K16" s="10"/>
    </row>
    <row r="17" spans="1:29" x14ac:dyDescent="0.25">
      <c r="B17" s="4" t="s">
        <v>2</v>
      </c>
      <c r="C17" s="9" t="s">
        <v>4</v>
      </c>
      <c r="D17" s="112" t="s">
        <v>7</v>
      </c>
      <c r="E17" s="112"/>
      <c r="F17" s="112" t="s">
        <v>8</v>
      </c>
      <c r="G17" s="112"/>
      <c r="H17" s="112" t="s">
        <v>10</v>
      </c>
      <c r="I17" s="112"/>
      <c r="J17" s="112" t="s">
        <v>9</v>
      </c>
      <c r="K17" s="112"/>
      <c r="L17" s="112" t="s">
        <v>21</v>
      </c>
      <c r="M17" s="112"/>
      <c r="N17" s="112" t="s">
        <v>55</v>
      </c>
      <c r="O17" s="112"/>
      <c r="S17" s="27" t="s">
        <v>49</v>
      </c>
      <c r="T17" s="27" t="s">
        <v>50</v>
      </c>
      <c r="U17" s="27" t="s">
        <v>51</v>
      </c>
      <c r="V17" s="27" t="s">
        <v>52</v>
      </c>
      <c r="W17" s="27" t="s">
        <v>53</v>
      </c>
      <c r="Y17" s="27" t="s">
        <v>49</v>
      </c>
      <c r="Z17" s="27" t="s">
        <v>50</v>
      </c>
      <c r="AA17" s="27" t="s">
        <v>51</v>
      </c>
      <c r="AB17" s="27" t="s">
        <v>52</v>
      </c>
      <c r="AC17" s="27" t="s">
        <v>53</v>
      </c>
    </row>
    <row r="18" spans="1:29" x14ac:dyDescent="0.25">
      <c r="B18" s="21" t="s">
        <v>6</v>
      </c>
      <c r="C18" s="44">
        <v>284659785.41000003</v>
      </c>
      <c r="D18" s="26">
        <f>15.32%+0.59%</f>
        <v>0.15909999999999999</v>
      </c>
      <c r="E18" s="44">
        <f>D18*$C18</f>
        <v>45289371.858731002</v>
      </c>
      <c r="F18" s="26">
        <f>9.55%+7.25%+5.23%</f>
        <v>0.2203</v>
      </c>
      <c r="G18" s="44">
        <f>F18*$C18</f>
        <v>62710550.725823008</v>
      </c>
      <c r="H18" s="26">
        <f>(48.53%+1.36%-0.01%)+-0.0058</f>
        <v>0.49299999999999999</v>
      </c>
      <c r="I18" s="44">
        <f>H18*$C18</f>
        <v>140337274.20713001</v>
      </c>
      <c r="J18" s="26">
        <v>6.0699999999999997E-2</v>
      </c>
      <c r="K18" s="44">
        <f>J18*$C18</f>
        <v>17278848.974387001</v>
      </c>
      <c r="L18" s="45">
        <v>6.6900000000000001E-2</v>
      </c>
      <c r="M18" s="44">
        <f>L18*$C18</f>
        <v>19043739.643929001</v>
      </c>
      <c r="N18" s="26"/>
      <c r="O18" s="43">
        <f>N18*$C18</f>
        <v>0</v>
      </c>
      <c r="S18" s="12">
        <f>E18-'Out23'!E18</f>
        <v>615243.44387300313</v>
      </c>
      <c r="T18" s="12">
        <f>G18-'Out23'!G18</f>
        <v>-2164826.9921679869</v>
      </c>
      <c r="U18" s="12">
        <f>I18-'Out23'!I18</f>
        <v>-6855969.613936007</v>
      </c>
      <c r="V18" s="12">
        <f>K18-'Out23'!K18</f>
        <v>-430616.27373399958</v>
      </c>
      <c r="W18" s="12">
        <f>+M18-'Out23'!M18</f>
        <v>19043739.643929001</v>
      </c>
      <c r="Y18" s="28">
        <f>D18-'Out23'!D18</f>
        <v>8.5000000000000075E-3</v>
      </c>
      <c r="Z18" s="28">
        <f>F18-'Out23'!F18</f>
        <v>1.6000000000000181E-3</v>
      </c>
      <c r="AA18" s="28">
        <f>H18-'Out23'!H18</f>
        <v>-3.2000000000000361E-3</v>
      </c>
      <c r="AB18" s="28">
        <f>J18-'Out23'!J18</f>
        <v>9.9999999999999395E-4</v>
      </c>
      <c r="AC18" s="28">
        <f>L18-'Out23'!L18</f>
        <v>6.6900000000000001E-2</v>
      </c>
    </row>
    <row r="19" spans="1:29" x14ac:dyDescent="0.25">
      <c r="B19" s="3" t="s">
        <v>26</v>
      </c>
      <c r="C19" s="42">
        <v>403810535.99000001</v>
      </c>
      <c r="D19" s="14">
        <v>0.22</v>
      </c>
      <c r="E19" s="41">
        <f>D19*$C19</f>
        <v>88838317.917800009</v>
      </c>
      <c r="F19" s="14">
        <v>0.12</v>
      </c>
      <c r="G19" s="41">
        <f>F19*$C19</f>
        <v>48457264.318800002</v>
      </c>
      <c r="H19" s="14">
        <v>0.46</v>
      </c>
      <c r="I19" s="41">
        <f>H19*$C19</f>
        <v>185752846.55540001</v>
      </c>
      <c r="J19" s="14">
        <v>0.15</v>
      </c>
      <c r="K19" s="41">
        <f>J19*$C19</f>
        <v>60571580.398499995</v>
      </c>
      <c r="L19" s="14"/>
      <c r="M19" s="41">
        <f>L19*$C19</f>
        <v>0</v>
      </c>
      <c r="N19" s="14">
        <v>0.05</v>
      </c>
      <c r="O19" s="48">
        <f>N19*$C19</f>
        <v>20190526.799500003</v>
      </c>
      <c r="S19" s="12">
        <f>E19-'Out23'!E19</f>
        <v>-5590705.3086999953</v>
      </c>
      <c r="T19" s="12">
        <f>G19-'Out23'!G19</f>
        <v>-4915661.8527000025</v>
      </c>
      <c r="U19" s="12">
        <f>I19-'Out23'!I19</f>
        <v>-11316419.308599979</v>
      </c>
      <c r="V19" s="12">
        <f>K19-'Out23'!K19</f>
        <v>7198654.2269999906</v>
      </c>
      <c r="W19" s="12">
        <f>+M19-'Out23'!M19</f>
        <v>0</v>
      </c>
      <c r="Y19" s="28">
        <f>D19-'Out23'!D19</f>
        <v>-1.0000000000000009E-2</v>
      </c>
      <c r="Z19" s="28">
        <f>F19-'Out23'!F19</f>
        <v>-1.0000000000000009E-2</v>
      </c>
      <c r="AA19" s="28">
        <f>H19-'Out23'!H19</f>
        <v>-1.9999999999999962E-2</v>
      </c>
      <c r="AB19" s="28">
        <f>J19-'Out23'!J19</f>
        <v>1.999999999999999E-2</v>
      </c>
      <c r="AC19" s="28">
        <f>L19-'Out23'!L19</f>
        <v>0</v>
      </c>
    </row>
    <row r="20" spans="1:29" x14ac:dyDescent="0.25">
      <c r="B20" s="3" t="s">
        <v>27</v>
      </c>
      <c r="C20" s="41">
        <f>430755146+445652098</f>
        <v>876407244</v>
      </c>
      <c r="D20" s="14">
        <v>0.1391</v>
      </c>
      <c r="E20" s="47">
        <f t="shared" ref="E20:G26" si="7">D20*$C20</f>
        <v>121908247.64040001</v>
      </c>
      <c r="F20" s="14">
        <v>0.23730000000000001</v>
      </c>
      <c r="G20" s="47">
        <f t="shared" si="7"/>
        <v>207971439.00120002</v>
      </c>
      <c r="H20" s="14">
        <f>2.22%+53.91%</f>
        <v>0.56129999999999991</v>
      </c>
      <c r="I20" s="47">
        <f t="shared" ref="I20" si="8">H20*$C20</f>
        <v>491927386.0571999</v>
      </c>
      <c r="J20" s="14">
        <v>5.3499999999999999E-2</v>
      </c>
      <c r="K20" s="47">
        <f t="shared" ref="K20" si="9">J20*$C20</f>
        <v>46887787.553999998</v>
      </c>
      <c r="L20" s="14"/>
      <c r="M20" s="47">
        <f t="shared" ref="M20" si="10">L20*$C20</f>
        <v>0</v>
      </c>
      <c r="N20" s="14">
        <v>8.8000000000000005E-3</v>
      </c>
      <c r="O20" s="47">
        <f t="shared" ref="O20" si="11">N20*$C20</f>
        <v>7712383.7472000001</v>
      </c>
      <c r="S20" s="12">
        <f>E20-'Out23'!E20</f>
        <v>42656211.279200003</v>
      </c>
      <c r="T20" s="12">
        <f>G20-'Out23'!G20</f>
        <v>16106652.820800006</v>
      </c>
      <c r="U20" s="12">
        <f>I20-'Out23'!I20</f>
        <v>-4414936.1228001118</v>
      </c>
      <c r="V20" s="12">
        <f>K20-'Out23'!K20</f>
        <v>7261769.3733999953</v>
      </c>
      <c r="W20" s="12">
        <f>+M20-'Out23'!M20</f>
        <v>0</v>
      </c>
      <c r="Y20" s="28">
        <f>D20-'Out23'!D20</f>
        <v>4.1700000000000001E-2</v>
      </c>
      <c r="Z20" s="28">
        <f>F20-'Out23'!F20</f>
        <v>1.5000000000000013E-3</v>
      </c>
      <c r="AA20" s="28">
        <f>H20-'Out23'!H20</f>
        <v>-4.8700000000000077E-2</v>
      </c>
      <c r="AB20" s="28">
        <f>J20-'Out23'!J20</f>
        <v>4.7999999999999987E-3</v>
      </c>
      <c r="AC20" s="28">
        <f>L20-'Out23'!L20</f>
        <v>0</v>
      </c>
    </row>
    <row r="21" spans="1:29" x14ac:dyDescent="0.25">
      <c r="B21" s="3" t="s">
        <v>28</v>
      </c>
      <c r="C21" s="42">
        <v>1097812430</v>
      </c>
      <c r="D21" s="14">
        <v>0.14000000000000001</v>
      </c>
      <c r="E21" s="47">
        <f t="shared" si="7"/>
        <v>153693740.20000002</v>
      </c>
      <c r="F21" s="14">
        <f>8%+6%+2%+1%</f>
        <v>0.17</v>
      </c>
      <c r="G21" s="47">
        <f t="shared" si="7"/>
        <v>186628113.10000002</v>
      </c>
      <c r="H21" s="14">
        <f>55%+1%</f>
        <v>0.56000000000000005</v>
      </c>
      <c r="I21" s="47">
        <f t="shared" ref="I21" si="12">H21*$C21</f>
        <v>614774960.80000007</v>
      </c>
      <c r="J21" s="14">
        <v>0.13</v>
      </c>
      <c r="K21" s="47">
        <f t="shared" ref="K21" si="13">J21*$C21</f>
        <v>142715615.90000001</v>
      </c>
      <c r="L21" s="14"/>
      <c r="M21" s="47">
        <f t="shared" ref="M21" si="14">L21*$C21</f>
        <v>0</v>
      </c>
      <c r="N21" s="14"/>
      <c r="O21" s="47">
        <f t="shared" ref="O21" si="15">N21*$C21</f>
        <v>0</v>
      </c>
      <c r="S21" s="12">
        <f>E21-'Out23'!E21</f>
        <v>-23910295.479999989</v>
      </c>
      <c r="T21" s="12">
        <f>G21-'Out23'!G21</f>
        <v>31224581.879999995</v>
      </c>
      <c r="U21" s="12">
        <f>I21-'Out23'!I21</f>
        <v>-6839164.0800000429</v>
      </c>
      <c r="V21" s="12">
        <f>K21-'Out23'!K21</f>
        <v>-12687915.320000023</v>
      </c>
      <c r="W21" s="12">
        <f>+M21-'Out23'!M21</f>
        <v>0</v>
      </c>
      <c r="Y21" s="28">
        <f>D21-'Out23'!D21</f>
        <v>-1.999999999999999E-2</v>
      </c>
      <c r="Z21" s="28">
        <f>F21-'Out23'!F21</f>
        <v>0.03</v>
      </c>
      <c r="AA21" s="28">
        <f>H21-'Out23'!H21</f>
        <v>0</v>
      </c>
      <c r="AB21" s="28">
        <f>J21-'Out23'!J21</f>
        <v>-1.0000000000000009E-2</v>
      </c>
      <c r="AC21" s="28">
        <f>L21-'Out23'!L21</f>
        <v>0</v>
      </c>
    </row>
    <row r="22" spans="1:29" x14ac:dyDescent="0.25">
      <c r="B22" s="3" t="s">
        <v>32</v>
      </c>
      <c r="C22" s="42">
        <v>285780000</v>
      </c>
      <c r="D22" s="14">
        <v>0.05</v>
      </c>
      <c r="E22" s="47">
        <f t="shared" si="7"/>
        <v>14289000</v>
      </c>
      <c r="F22" s="14">
        <v>0.11</v>
      </c>
      <c r="G22" s="47">
        <f t="shared" si="7"/>
        <v>31435800</v>
      </c>
      <c r="H22" s="14">
        <f>64%+6%</f>
        <v>0.7</v>
      </c>
      <c r="I22" s="47">
        <f t="shared" ref="I22" si="16">H22*$C22</f>
        <v>200046000</v>
      </c>
      <c r="J22" s="14">
        <v>0.13</v>
      </c>
      <c r="K22" s="47">
        <f t="shared" ref="K22" si="17">J22*$C22</f>
        <v>37151400</v>
      </c>
      <c r="L22" s="14"/>
      <c r="M22" s="47">
        <f t="shared" ref="M22" si="18">L22*$C22</f>
        <v>0</v>
      </c>
      <c r="N22" s="14">
        <v>0.01</v>
      </c>
      <c r="O22" s="47">
        <f t="shared" ref="O22" si="19">N22*$C22</f>
        <v>2857800</v>
      </c>
      <c r="S22" s="12">
        <f>E22-'Out23'!E22</f>
        <v>-8935000</v>
      </c>
      <c r="T22" s="12">
        <f>G22-'Out23'!G22</f>
        <v>2405800</v>
      </c>
      <c r="U22" s="12">
        <f>I22-'Out23'!I22</f>
        <v>-3164000</v>
      </c>
      <c r="V22" s="12">
        <f>K22-'Out23'!K22</f>
        <v>2315400</v>
      </c>
      <c r="W22" s="12">
        <f>+M22-'Out23'!M22</f>
        <v>0</v>
      </c>
      <c r="Y22" s="28">
        <f>D22-'Out23'!D22</f>
        <v>-0.03</v>
      </c>
      <c r="Z22" s="28">
        <f>F22-'Out23'!F22</f>
        <v>9.999999999999995E-3</v>
      </c>
      <c r="AA22" s="28">
        <f>H22-'Out23'!H22</f>
        <v>0</v>
      </c>
      <c r="AB22" s="28">
        <f>J22-'Out23'!J22</f>
        <v>1.0000000000000009E-2</v>
      </c>
      <c r="AC22" s="28">
        <f>L22-'Out23'!L22</f>
        <v>0</v>
      </c>
    </row>
    <row r="23" spans="1:29" x14ac:dyDescent="0.25">
      <c r="B23" s="3" t="s">
        <v>33</v>
      </c>
      <c r="C23" s="42">
        <v>680000000</v>
      </c>
      <c r="D23" s="14">
        <v>0.23</v>
      </c>
      <c r="E23" s="47">
        <f t="shared" si="7"/>
        <v>156400000</v>
      </c>
      <c r="F23" s="14">
        <v>0.18</v>
      </c>
      <c r="G23" s="47">
        <f t="shared" si="7"/>
        <v>122400000</v>
      </c>
      <c r="H23" s="14">
        <v>0.56000000000000005</v>
      </c>
      <c r="I23" s="47">
        <f t="shared" ref="I23" si="20">H23*$C23</f>
        <v>380800000.00000006</v>
      </c>
      <c r="J23" s="14">
        <v>0.03</v>
      </c>
      <c r="K23" s="47">
        <f t="shared" ref="K23" si="21">J23*$C23</f>
        <v>20400000</v>
      </c>
      <c r="L23" s="14"/>
      <c r="M23" s="47">
        <f t="shared" ref="M23" si="22">L23*$C23</f>
        <v>0</v>
      </c>
      <c r="N23" s="14"/>
      <c r="O23" s="47">
        <f t="shared" ref="O23" si="23">N23*$C23</f>
        <v>0</v>
      </c>
      <c r="S23" s="12">
        <f>E23-'Out23'!E23</f>
        <v>-22394000</v>
      </c>
      <c r="T23" s="12">
        <f>G23-'Out23'!G23</f>
        <v>9825999.9999999851</v>
      </c>
      <c r="U23" s="12">
        <f>I23-'Out23'!I23</f>
        <v>29834000.00000006</v>
      </c>
      <c r="V23" s="12">
        <f>K23-'Out23'!K23</f>
        <v>534000</v>
      </c>
      <c r="W23" s="12">
        <f>+M23-'Out23'!M23</f>
        <v>0</v>
      </c>
      <c r="Y23" s="28">
        <f>D23-'Out23'!D23</f>
        <v>-4.0000000000000008E-2</v>
      </c>
      <c r="Z23" s="28">
        <f>F23-'Out23'!F23</f>
        <v>9.9999999999999811E-3</v>
      </c>
      <c r="AA23" s="28">
        <f>H23-'Out23'!H23</f>
        <v>3.0000000000000027E-2</v>
      </c>
      <c r="AB23" s="28">
        <f>J23-'Out23'!J23</f>
        <v>0</v>
      </c>
      <c r="AC23" s="28">
        <f>L23-'Out23'!L23</f>
        <v>0</v>
      </c>
    </row>
    <row r="24" spans="1:29" x14ac:dyDescent="0.25">
      <c r="B24" s="3" t="s">
        <v>34</v>
      </c>
      <c r="C24" s="42">
        <v>256084725</v>
      </c>
      <c r="D24" s="14">
        <v>0.18970000000000001</v>
      </c>
      <c r="E24" s="47">
        <f t="shared" si="7"/>
        <v>48579272.332500003</v>
      </c>
      <c r="F24" s="14">
        <v>0.17</v>
      </c>
      <c r="G24" s="47">
        <f t="shared" si="7"/>
        <v>43534403.25</v>
      </c>
      <c r="H24" s="14">
        <f>51.72%+0.05%</f>
        <v>0.51769999999999994</v>
      </c>
      <c r="I24" s="47">
        <f t="shared" ref="I24" si="24">H24*$C24</f>
        <v>132575062.13249998</v>
      </c>
      <c r="J24" s="14">
        <v>0.1226</v>
      </c>
      <c r="K24" s="47">
        <f t="shared" ref="K24" si="25">J24*$C24</f>
        <v>31395987.285</v>
      </c>
      <c r="L24" s="14"/>
      <c r="M24" s="47">
        <f t="shared" ref="M24" si="26">L24*$C24</f>
        <v>0</v>
      </c>
      <c r="N24" s="14"/>
      <c r="O24" s="47">
        <f t="shared" ref="O24" si="27">N24*$C24</f>
        <v>0</v>
      </c>
      <c r="S24" s="12">
        <f>E24-'Out23'!E24</f>
        <v>-10638188.297099993</v>
      </c>
      <c r="T24" s="12">
        <f>G24-'Out23'!G24</f>
        <v>-520299.76959999651</v>
      </c>
      <c r="U24" s="12">
        <f>I24-'Out23'!I24</f>
        <v>-8355877.6899000257</v>
      </c>
      <c r="V24" s="12">
        <f>K24-'Out23'!K24</f>
        <v>50432.007600001991</v>
      </c>
      <c r="W24" s="12">
        <f>+M24-'Out23'!M24</f>
        <v>0</v>
      </c>
      <c r="Y24" s="28">
        <f>D24-'Out23'!D24</f>
        <v>-2.5099999999999983E-2</v>
      </c>
      <c r="Z24" s="28">
        <f>F24-'Out23'!F24</f>
        <v>1.0200000000000015E-2</v>
      </c>
      <c r="AA24" s="28">
        <f>H24-'Out23'!H24</f>
        <v>6.4999999999999503E-3</v>
      </c>
      <c r="AB24" s="28">
        <f>J24-'Out23'!J24</f>
        <v>8.9000000000000051E-3</v>
      </c>
      <c r="AC24" s="28">
        <f>L24-'Out23'!L24</f>
        <v>0</v>
      </c>
    </row>
    <row r="25" spans="1:29" x14ac:dyDescent="0.25">
      <c r="B25" s="3" t="s">
        <v>35</v>
      </c>
      <c r="C25" s="42">
        <v>227347869</v>
      </c>
      <c r="D25" s="14">
        <v>0.11600000000000001</v>
      </c>
      <c r="E25" s="47">
        <f t="shared" si="7"/>
        <v>26372352.804000001</v>
      </c>
      <c r="F25" s="14">
        <f>6%+33.2%</f>
        <v>0.39200000000000002</v>
      </c>
      <c r="G25" s="47">
        <f t="shared" si="7"/>
        <v>89120364.648000002</v>
      </c>
      <c r="H25" s="14">
        <f>43.9%+1.1%-0.1%</f>
        <v>0.44900000000000001</v>
      </c>
      <c r="I25" s="47">
        <f t="shared" ref="I25" si="28">H25*$C25</f>
        <v>102079193.18100001</v>
      </c>
      <c r="J25" s="14">
        <v>4.2999999999999997E-2</v>
      </c>
      <c r="K25" s="47">
        <f t="shared" ref="K25" si="29">J25*$C25</f>
        <v>9775958.3669999987</v>
      </c>
      <c r="L25" s="14"/>
      <c r="M25" s="47">
        <f t="shared" ref="M25" si="30">L25*$C25</f>
        <v>0</v>
      </c>
      <c r="N25" s="14"/>
      <c r="O25" s="47">
        <f t="shared" ref="O25" si="31">N25*$C25</f>
        <v>0</v>
      </c>
      <c r="S25" s="12">
        <f>E25-'Out23'!E25</f>
        <v>-2117510.737999998</v>
      </c>
      <c r="T25" s="12">
        <f>G25-'Out23'!G25</f>
        <v>59614.752000004053</v>
      </c>
      <c r="U25" s="12">
        <f>I25-'Out23'!I25</f>
        <v>-9725565.424999997</v>
      </c>
      <c r="V25" s="12">
        <f>K25-'Out23'!K25</f>
        <v>-279287.58900000155</v>
      </c>
      <c r="W25" s="12">
        <f>+M25-'Out23'!M25</f>
        <v>0</v>
      </c>
      <c r="Y25" s="28">
        <f>D25-'Out23'!D25</f>
        <v>-2.9999999999999888E-3</v>
      </c>
      <c r="Z25" s="28">
        <f>F25-'Out23'!F25</f>
        <v>2.0000000000000018E-2</v>
      </c>
      <c r="AA25" s="28">
        <f>H25-'Out23'!H25</f>
        <v>-1.8000000000000016E-2</v>
      </c>
      <c r="AB25" s="28">
        <f>J25-'Out23'!J25</f>
        <v>9.9999999999999395E-4</v>
      </c>
      <c r="AC25" s="28">
        <f>L25-'Out23'!L25</f>
        <v>0</v>
      </c>
    </row>
    <row r="26" spans="1:29" x14ac:dyDescent="0.25">
      <c r="B26" s="3" t="s">
        <v>36</v>
      </c>
      <c r="C26" s="42">
        <v>442440000</v>
      </c>
      <c r="D26" s="19">
        <v>0.17</v>
      </c>
      <c r="E26" s="47">
        <f t="shared" si="7"/>
        <v>75214800</v>
      </c>
      <c r="F26" s="19">
        <v>0.15</v>
      </c>
      <c r="G26" s="47">
        <f t="shared" si="7"/>
        <v>66366000</v>
      </c>
      <c r="H26" s="19">
        <f>59%+3%</f>
        <v>0.62</v>
      </c>
      <c r="I26" s="47">
        <f t="shared" ref="I26" si="32">H26*$C26</f>
        <v>274312800</v>
      </c>
      <c r="J26" s="19">
        <v>0.06</v>
      </c>
      <c r="K26" s="47">
        <f t="shared" ref="K26" si="33">J26*$C26</f>
        <v>26546400</v>
      </c>
      <c r="L26" s="19"/>
      <c r="M26" s="47">
        <f t="shared" ref="M26" si="34">L26*$C26</f>
        <v>0</v>
      </c>
      <c r="N26" s="19"/>
      <c r="O26" s="47">
        <f t="shared" ref="O26" si="35">N26*$C26</f>
        <v>0</v>
      </c>
      <c r="S26" s="12">
        <f>E26-'Out23'!E26</f>
        <v>9002000</v>
      </c>
      <c r="T26" s="12">
        <f>G26-'Out23'!G26</f>
        <v>12568100</v>
      </c>
      <c r="U26" s="12">
        <f>I26-'Out23'!I26</f>
        <v>5323300</v>
      </c>
      <c r="V26" s="12">
        <f>K26-'Out23'!K26</f>
        <v>1716600</v>
      </c>
      <c r="W26" s="12">
        <f>+M26-'Out23'!M26</f>
        <v>0</v>
      </c>
      <c r="Y26" s="28">
        <f>D26-'Out23'!D26</f>
        <v>1.0000000000000009E-2</v>
      </c>
      <c r="Z26" s="28">
        <f>F26-'Out23'!F26</f>
        <v>1.999999999999999E-2</v>
      </c>
      <c r="AA26" s="28">
        <f>H26-'Out23'!H26</f>
        <v>-3.0000000000000027E-2</v>
      </c>
      <c r="AB26" s="28">
        <f>J26-'Out23'!J26</f>
        <v>0</v>
      </c>
      <c r="AC26" s="28">
        <f>L26-'Out23'!L26</f>
        <v>0</v>
      </c>
    </row>
    <row r="27" spans="1:29" s="8" customFormat="1" x14ac:dyDescent="0.25">
      <c r="A27"/>
      <c r="B27" s="21" t="s">
        <v>45</v>
      </c>
      <c r="C27" s="20">
        <f>SUM(C18:C26)</f>
        <v>4554342589.3999996</v>
      </c>
      <c r="D27" s="46">
        <f>+E27/$C27</f>
        <v>0.16041505187901997</v>
      </c>
      <c r="E27" s="17">
        <f>SUM(E18:E26)</f>
        <v>730585102.75343108</v>
      </c>
      <c r="F27" s="46">
        <f>+G27/$C27</f>
        <v>0.18852862255953834</v>
      </c>
      <c r="G27" s="20">
        <f>SUM(G18:G26)</f>
        <v>858623935.043823</v>
      </c>
      <c r="H27" s="46">
        <f>+I27/$C27</f>
        <v>0.55389015503674799</v>
      </c>
      <c r="I27" s="17">
        <f>SUM(I18:I26)</f>
        <v>2522605522.9332299</v>
      </c>
      <c r="J27" s="46">
        <f>+K27/$C27</f>
        <v>8.6230574615298192E-2</v>
      </c>
      <c r="K27" s="17">
        <f>SUM(K18:K26)</f>
        <v>392723578.47888702</v>
      </c>
      <c r="L27" s="46">
        <f>+M27/$C27</f>
        <v>4.1814464481113771E-3</v>
      </c>
      <c r="M27" s="17">
        <f>SUM(M18:M26)</f>
        <v>19043739.643929001</v>
      </c>
      <c r="N27" s="46">
        <f>+O27/$C27</f>
        <v>6.7541494612842678E-3</v>
      </c>
      <c r="O27" s="17">
        <f>SUM(O18:O26)</f>
        <v>30760710.546700004</v>
      </c>
      <c r="S27" s="12">
        <f>E27-'Out23'!E27</f>
        <v>-21312245.100727081</v>
      </c>
      <c r="T27" s="12">
        <f>G27-'Out23'!G27</f>
        <v>64589960.838331938</v>
      </c>
      <c r="U27" s="12">
        <f>I27-'Out23'!I27</f>
        <v>-15514632.240236282</v>
      </c>
      <c r="V27" s="12">
        <f>K27-'Out23'!K27</f>
        <v>5679036.4252659678</v>
      </c>
      <c r="W27" s="12">
        <f>+M27-'Out23'!M27</f>
        <v>19043739.643929001</v>
      </c>
      <c r="Y27" s="28">
        <f>D27-'Out23'!D27</f>
        <v>-6.2166689351743909E-3</v>
      </c>
      <c r="Z27" s="28">
        <f>F27-'Out23'!F27</f>
        <v>1.2558793853002792E-2</v>
      </c>
      <c r="AA27" s="28">
        <f>H27-'Out23'!H27</f>
        <v>-8.595309630403114E-3</v>
      </c>
      <c r="AB27" s="28">
        <f>J27-'Out23'!J27</f>
        <v>4.5570353988344525E-4</v>
      </c>
      <c r="AC27" s="28">
        <f>L27-'Out23'!L27</f>
        <v>4.1814464481113771E-3</v>
      </c>
    </row>
    <row r="28" spans="1:29" x14ac:dyDescent="0.25">
      <c r="C28" s="10"/>
      <c r="D28" s="10"/>
      <c r="E28" s="10"/>
      <c r="F28" s="5"/>
      <c r="G28" s="10"/>
      <c r="H28" s="10"/>
      <c r="I28" s="10"/>
      <c r="J28" s="5"/>
      <c r="K28" s="10"/>
    </row>
    <row r="29" spans="1:29" x14ac:dyDescent="0.25">
      <c r="B29" s="4" t="s">
        <v>38</v>
      </c>
      <c r="C29" s="9" t="s">
        <v>4</v>
      </c>
      <c r="D29" s="113" t="s">
        <v>7</v>
      </c>
      <c r="E29" s="113"/>
      <c r="F29" s="112" t="s">
        <v>8</v>
      </c>
      <c r="G29" s="112"/>
      <c r="H29" s="112" t="s">
        <v>10</v>
      </c>
      <c r="I29" s="112"/>
      <c r="J29" s="112" t="s">
        <v>9</v>
      </c>
      <c r="K29" s="112"/>
      <c r="L29" s="112" t="s">
        <v>40</v>
      </c>
      <c r="M29" s="112"/>
      <c r="N29" s="112" t="s">
        <v>55</v>
      </c>
      <c r="O29" s="112"/>
      <c r="S29" s="27" t="s">
        <v>49</v>
      </c>
      <c r="T29" s="27" t="s">
        <v>50</v>
      </c>
      <c r="U29" s="27" t="s">
        <v>51</v>
      </c>
      <c r="V29" s="27" t="s">
        <v>52</v>
      </c>
      <c r="W29" s="27" t="s">
        <v>54</v>
      </c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</row>
    <row r="30" spans="1:29" x14ac:dyDescent="0.25">
      <c r="B30" s="21" t="s">
        <v>39</v>
      </c>
      <c r="C30" s="49">
        <v>207972646.41</v>
      </c>
      <c r="D30" s="26">
        <f>6.8%+2.7%+1.1%</f>
        <v>0.106</v>
      </c>
      <c r="E30" s="23">
        <f>$C30*D30</f>
        <v>22045100.51946</v>
      </c>
      <c r="F30" s="26">
        <f>9.4%+4.5%+3.5%</f>
        <v>0.17400000000000002</v>
      </c>
      <c r="G30" s="23">
        <f>$C30*F30</f>
        <v>36187240.475340001</v>
      </c>
      <c r="H30" s="26">
        <f>58.5%+7.1%+2.8%</f>
        <v>0.68399999999999994</v>
      </c>
      <c r="I30" s="23">
        <f>$C30*H30</f>
        <v>142253290.14444</v>
      </c>
      <c r="J30" s="26">
        <v>0.11</v>
      </c>
      <c r="K30" s="23">
        <f>$C30*J30</f>
        <v>22876991.105099998</v>
      </c>
      <c r="L30" s="39">
        <f>5.8%</f>
        <v>5.7999999999999996E-2</v>
      </c>
      <c r="M30" s="23">
        <f>$C30*L30</f>
        <v>12062413.49178</v>
      </c>
      <c r="N30" s="26">
        <f>-0.6%+1.8%</f>
        <v>1.2000000000000002E-2</v>
      </c>
      <c r="O30" s="23">
        <f>$C30*N30</f>
        <v>2495671.7569200005</v>
      </c>
      <c r="S30" s="12">
        <f>E30-'Out23'!E30</f>
        <v>4969274.4342599995</v>
      </c>
      <c r="T30" s="12">
        <f>G30-'Out23'!G30</f>
        <v>389725.54973999411</v>
      </c>
      <c r="U30" s="12">
        <f>I30-'Out23'!I30</f>
        <v>11818666.794839993</v>
      </c>
      <c r="V30" s="12">
        <f>K30-'Out23'!K30</f>
        <v>-165087.46770000458</v>
      </c>
      <c r="W30" s="12">
        <f>+M30-'Out23'!M30</f>
        <v>-898755.70542000048</v>
      </c>
      <c r="Y30" s="28">
        <f>D30-'Out23'!D30</f>
        <v>2.2999999999999993E-2</v>
      </c>
      <c r="Z30" s="28">
        <f>F30-'Out23'!F30</f>
        <v>0</v>
      </c>
      <c r="AA30" s="28">
        <f>H30-'Out23'!H30</f>
        <v>4.9999999999999933E-2</v>
      </c>
      <c r="AB30" s="28">
        <f>J30-'Out23'!J30</f>
        <v>-2.0000000000000018E-3</v>
      </c>
      <c r="AC30" s="28">
        <f>L30-'Out23'!L30</f>
        <v>-5.0000000000000044E-3</v>
      </c>
    </row>
    <row r="31" spans="1:29" hidden="1" outlineLevel="1" x14ac:dyDescent="0.25">
      <c r="B31" s="3" t="s">
        <v>56</v>
      </c>
      <c r="C31" s="12"/>
      <c r="D31" s="14"/>
      <c r="E31" s="12"/>
      <c r="F31" s="14"/>
      <c r="G31" s="12"/>
      <c r="H31" s="14"/>
      <c r="I31" s="12"/>
      <c r="J31" s="14"/>
      <c r="K31" s="12"/>
      <c r="L31" s="14"/>
      <c r="M31" s="12"/>
      <c r="N31" s="14"/>
      <c r="O31" s="12"/>
      <c r="S31" s="12">
        <f>E31-'Out23'!E31</f>
        <v>0</v>
      </c>
      <c r="T31" s="12">
        <f>G31-'Out23'!G31</f>
        <v>0</v>
      </c>
      <c r="U31" s="12">
        <f>I31-'Out23'!I31</f>
        <v>0</v>
      </c>
      <c r="V31" s="12">
        <f>K31-'Out23'!K31</f>
        <v>0</v>
      </c>
      <c r="W31" s="12">
        <f>+M31-'Out23'!M31</f>
        <v>0</v>
      </c>
      <c r="Y31" s="28">
        <f>D31-'Out23'!D31</f>
        <v>0</v>
      </c>
      <c r="Z31" s="28">
        <f>F31-'Out23'!F31</f>
        <v>0</v>
      </c>
      <c r="AA31" s="28">
        <f>H31-'Out23'!H31</f>
        <v>0</v>
      </c>
      <c r="AB31" s="28">
        <f>J31-'Out23'!J31</f>
        <v>0</v>
      </c>
      <c r="AC31" s="28">
        <f>L31-'Out23'!L31</f>
        <v>0</v>
      </c>
    </row>
    <row r="32" spans="1:29" collapsed="1" x14ac:dyDescent="0.25">
      <c r="B32" s="3" t="s">
        <v>42</v>
      </c>
      <c r="C32" s="50">
        <v>256083706</v>
      </c>
      <c r="D32" s="14">
        <v>7.0000000000000007E-2</v>
      </c>
      <c r="E32" s="12">
        <f>$C32*D32</f>
        <v>17925859.420000002</v>
      </c>
      <c r="F32" s="14">
        <v>0.12</v>
      </c>
      <c r="G32" s="12">
        <f>$C32*F32</f>
        <v>30730044.719999999</v>
      </c>
      <c r="H32" s="14">
        <f>52%+8%+1%</f>
        <v>0.61</v>
      </c>
      <c r="I32" s="12">
        <f>$C32*H32</f>
        <v>156211060.66</v>
      </c>
      <c r="J32" s="14">
        <v>7.0000000000000007E-2</v>
      </c>
      <c r="K32" s="12">
        <f>$C32*J32</f>
        <v>17925859.420000002</v>
      </c>
      <c r="L32" s="14">
        <v>0.13</v>
      </c>
      <c r="M32" s="12">
        <f>$C32*L32</f>
        <v>33290881.780000001</v>
      </c>
      <c r="N32" s="14">
        <v>7.0000000000000007E-2</v>
      </c>
      <c r="O32" s="12">
        <f>$C32*N32</f>
        <v>17925859.420000002</v>
      </c>
      <c r="S32" s="12">
        <f>E32-'Out23'!E32</f>
        <v>-12998704.459999997</v>
      </c>
      <c r="T32" s="12">
        <f>G32-'Out23'!G32</f>
        <v>-194519.16000000015</v>
      </c>
      <c r="U32" s="12">
        <f>I32-'Out23'!I32</f>
        <v>4165288.2499999702</v>
      </c>
      <c r="V32" s="12">
        <f>K32-'Out23'!K32</f>
        <v>5040624.4700000007</v>
      </c>
      <c r="W32" s="12">
        <f>+M32-'Out23'!M32</f>
        <v>2366317.9000000022</v>
      </c>
      <c r="Y32" s="28">
        <f>D32-'Out23'!D32</f>
        <v>-4.9999999999999989E-2</v>
      </c>
      <c r="Z32" s="28">
        <f>F32-'Out23'!F32</f>
        <v>0</v>
      </c>
      <c r="AA32" s="28">
        <f>H32-'Out23'!H32</f>
        <v>1.9999999999999907E-2</v>
      </c>
      <c r="AB32" s="28">
        <f>J32-'Out23'!J32</f>
        <v>2.0000000000000004E-2</v>
      </c>
      <c r="AC32" s="28">
        <f>L32-'Out23'!L32</f>
        <v>1.0000000000000009E-2</v>
      </c>
    </row>
    <row r="33" spans="1:29" x14ac:dyDescent="0.25">
      <c r="B33" s="3" t="s">
        <v>43</v>
      </c>
      <c r="C33" s="50">
        <v>767682236</v>
      </c>
      <c r="D33" s="14">
        <v>0.11</v>
      </c>
      <c r="E33" s="12">
        <f t="shared" ref="E33:E34" si="36">$C33*D33</f>
        <v>84445045.959999993</v>
      </c>
      <c r="F33" s="14">
        <f>11%+1%</f>
        <v>0.12</v>
      </c>
      <c r="G33" s="12">
        <f t="shared" ref="G33:G34" si="37">$C33*F33</f>
        <v>92121868.319999993</v>
      </c>
      <c r="H33" s="14">
        <f>58%+2%+1%+1%</f>
        <v>0.62</v>
      </c>
      <c r="I33" s="12">
        <f>$C33*H33</f>
        <v>475962986.31999999</v>
      </c>
      <c r="J33" s="14">
        <v>0.15</v>
      </c>
      <c r="K33" s="12">
        <f t="shared" ref="K33:K34" si="38">$C33*J33</f>
        <v>115152335.39999999</v>
      </c>
      <c r="L33" s="14"/>
      <c r="M33" s="12">
        <f t="shared" ref="M33:M34" si="39">$C33*L33</f>
        <v>0</v>
      </c>
      <c r="N33" s="14"/>
      <c r="O33" s="12"/>
      <c r="S33" s="12">
        <f>E33-'Out23'!E33</f>
        <v>-7461984.5600000024</v>
      </c>
      <c r="T33" s="12">
        <f>G33-'Out23'!G33</f>
        <v>214837.79999999702</v>
      </c>
      <c r="U33" s="12">
        <f>I33-'Out23'!I33</f>
        <v>8768914.5099999905</v>
      </c>
      <c r="V33" s="12">
        <f>K33-'Out23'!K33</f>
        <v>268547.25</v>
      </c>
      <c r="W33" s="12">
        <f>+M33-'Out23'!M33</f>
        <v>0</v>
      </c>
      <c r="Y33" s="28">
        <f>D33-'Out23'!D33</f>
        <v>-9.999999999999995E-3</v>
      </c>
      <c r="Z33" s="28">
        <f>F33-'Out23'!F33</f>
        <v>0</v>
      </c>
      <c r="AA33" s="28">
        <f>H33-'Out23'!H33</f>
        <v>1.0000000000000009E-2</v>
      </c>
      <c r="AB33" s="28">
        <f>J33-'Out23'!J33</f>
        <v>0</v>
      </c>
      <c r="AC33" s="28">
        <f>L33-'Out23'!L33</f>
        <v>0</v>
      </c>
    </row>
    <row r="34" spans="1:29" x14ac:dyDescent="0.25">
      <c r="B34" s="3" t="s">
        <v>44</v>
      </c>
      <c r="C34" s="12">
        <f>18900000+18700000</f>
        <v>37600000</v>
      </c>
      <c r="D34" s="14">
        <v>0.28000000000000003</v>
      </c>
      <c r="E34" s="12">
        <f t="shared" si="36"/>
        <v>10528000.000000002</v>
      </c>
      <c r="F34" s="14"/>
      <c r="G34" s="12">
        <f t="shared" si="37"/>
        <v>0</v>
      </c>
      <c r="H34" s="14">
        <v>0.37</v>
      </c>
      <c r="I34" s="12">
        <f>$C34*H34</f>
        <v>13912000</v>
      </c>
      <c r="J34" s="14">
        <v>0.06</v>
      </c>
      <c r="K34" s="12">
        <f t="shared" si="38"/>
        <v>2256000</v>
      </c>
      <c r="L34" s="14">
        <v>0.28999999999999998</v>
      </c>
      <c r="M34" s="12">
        <f t="shared" si="39"/>
        <v>10904000</v>
      </c>
      <c r="N34" s="14"/>
      <c r="O34" s="12"/>
      <c r="S34" s="12">
        <f>E34-'Out23'!E34</f>
        <v>2606000.0000000009</v>
      </c>
      <c r="T34" s="12">
        <f>G34-'Out23'!G34</f>
        <v>0</v>
      </c>
      <c r="U34" s="12">
        <f>I34-'Out23'!I34</f>
        <v>5524000</v>
      </c>
      <c r="V34" s="12">
        <f>K34-'Out23'!K34</f>
        <v>1091000</v>
      </c>
      <c r="W34" s="12">
        <f>+M34-'Out23'!M34</f>
        <v>5079000</v>
      </c>
      <c r="Y34" s="28">
        <f>D34-'Out23'!D34</f>
        <v>-0.06</v>
      </c>
      <c r="Z34" s="28">
        <f>F34-'Out23'!F34</f>
        <v>0</v>
      </c>
      <c r="AA34" s="28">
        <f>H34-'Out23'!H34</f>
        <v>1.0000000000000009E-2</v>
      </c>
      <c r="AB34" s="28">
        <f>J34-'Out23'!J34</f>
        <v>9.999999999999995E-3</v>
      </c>
      <c r="AC34" s="28">
        <f>L34-'Out23'!L34</f>
        <v>3.999999999999998E-2</v>
      </c>
    </row>
    <row r="35" spans="1:29" s="8" customFormat="1" x14ac:dyDescent="0.25">
      <c r="A35"/>
      <c r="B35" s="3" t="s">
        <v>45</v>
      </c>
      <c r="C35" s="17">
        <f>SUM(C30:C34)</f>
        <v>1269338588.4099998</v>
      </c>
      <c r="D35" s="15">
        <f>+E35/$C35</f>
        <v>0.10631048888893678</v>
      </c>
      <c r="E35" s="17">
        <f>SUM(E30:E34)</f>
        <v>134944005.89945999</v>
      </c>
      <c r="F35" s="15">
        <f>+G35/$C35</f>
        <v>0.12529293205728173</v>
      </c>
      <c r="G35" s="17">
        <f>SUM(G30:G34)</f>
        <v>159039153.51534</v>
      </c>
      <c r="H35" s="15">
        <f>+I35/$C35</f>
        <v>0.62106308302809132</v>
      </c>
      <c r="I35" s="17">
        <f>SUM(I30:I34)</f>
        <v>788339337.12443995</v>
      </c>
      <c r="J35" s="15">
        <f>+K35/$C35</f>
        <v>0.12464064936628032</v>
      </c>
      <c r="K35" s="17">
        <f>SUM(K30:K34)</f>
        <v>158211185.9251</v>
      </c>
      <c r="L35" s="15">
        <f>+M35/$C35</f>
        <v>4.4320164679031042E-2</v>
      </c>
      <c r="M35" s="17">
        <f>SUM(M30:M34)</f>
        <v>56257295.271779999</v>
      </c>
      <c r="N35" s="15">
        <f>+O35/$C35</f>
        <v>1.6088324552159437E-2</v>
      </c>
      <c r="O35" s="17">
        <f>SUM(O30:O34)</f>
        <v>20421531.176920004</v>
      </c>
      <c r="S35" s="12">
        <f>E35-'Out23'!E35</f>
        <v>-12885414.58574</v>
      </c>
      <c r="T35" s="12">
        <f>G35-'Out23'!G35</f>
        <v>410044.18974000216</v>
      </c>
      <c r="U35" s="12">
        <f>I35-'Out23'!I35</f>
        <v>30276869.554839849</v>
      </c>
      <c r="V35" s="12">
        <f>K35-'Out23'!K35</f>
        <v>6235084.2522999942</v>
      </c>
      <c r="W35" s="12">
        <f>+M35-'Out23'!M35</f>
        <v>6546562.1945800036</v>
      </c>
      <c r="Y35" s="28">
        <f>D35-'Out23'!D35</f>
        <v>-1.1704793911399669E-2</v>
      </c>
      <c r="Z35" s="28">
        <f>F35-'Out23'!F35</f>
        <v>-1.3439656318382787E-3</v>
      </c>
      <c r="AA35" s="28">
        <f>H35-'Out23'!H35</f>
        <v>1.588614195022342E-2</v>
      </c>
      <c r="AB35" s="28">
        <f>J35-'Out23'!J35</f>
        <v>3.3149852397419965E-3</v>
      </c>
      <c r="AC35" s="28">
        <f>L35-'Out23'!L35</f>
        <v>4.6350586760271484E-3</v>
      </c>
    </row>
    <row r="37" spans="1:29" x14ac:dyDescent="0.25">
      <c r="E37"/>
    </row>
    <row r="38" spans="1:29" x14ac:dyDescent="0.25">
      <c r="D38" s="38"/>
    </row>
    <row r="39" spans="1:29" x14ac:dyDescent="0.25">
      <c r="C39" s="30"/>
      <c r="D39" s="35"/>
    </row>
    <row r="40" spans="1:29" x14ac:dyDescent="0.25">
      <c r="C40" s="37"/>
      <c r="D40" s="35"/>
    </row>
    <row r="41" spans="1:29" x14ac:dyDescent="0.25">
      <c r="C41" s="37"/>
      <c r="D41" s="35"/>
    </row>
    <row r="42" spans="1:29" x14ac:dyDescent="0.25">
      <c r="C42" s="37"/>
      <c r="D42" s="35"/>
    </row>
    <row r="43" spans="1:29" x14ac:dyDescent="0.25">
      <c r="C43" s="37"/>
      <c r="D43" s="35"/>
    </row>
    <row r="44" spans="1:29" x14ac:dyDescent="0.25">
      <c r="C44" s="37"/>
      <c r="D44" s="35"/>
      <c r="E44" s="37"/>
    </row>
    <row r="45" spans="1:29" x14ac:dyDescent="0.25">
      <c r="C45" s="37"/>
      <c r="D45" s="35"/>
    </row>
    <row r="46" spans="1:29" x14ac:dyDescent="0.25">
      <c r="C46" s="37"/>
      <c r="D46" s="35"/>
    </row>
    <row r="47" spans="1:29" x14ac:dyDescent="0.25">
      <c r="C47" s="37"/>
      <c r="D47" s="35"/>
    </row>
    <row r="48" spans="1:29" x14ac:dyDescent="0.25">
      <c r="C48" s="37"/>
      <c r="D48" s="35"/>
    </row>
    <row r="49" spans="3:4" x14ac:dyDescent="0.25">
      <c r="C49" s="37"/>
      <c r="D49" s="35"/>
    </row>
    <row r="50" spans="3:4" x14ac:dyDescent="0.25">
      <c r="C50" s="37"/>
      <c r="D50" s="35"/>
    </row>
    <row r="51" spans="3:4" x14ac:dyDescent="0.25">
      <c r="C51" s="37"/>
      <c r="D51" s="35"/>
    </row>
    <row r="52" spans="3:4" x14ac:dyDescent="0.25">
      <c r="C52" s="37"/>
      <c r="D52" s="35"/>
    </row>
    <row r="53" spans="3:4" x14ac:dyDescent="0.25">
      <c r="C53" s="37"/>
      <c r="D53" s="35"/>
    </row>
    <row r="54" spans="3:4" x14ac:dyDescent="0.25">
      <c r="C54" s="37"/>
      <c r="D54" s="35"/>
    </row>
    <row r="55" spans="3:4" x14ac:dyDescent="0.25">
      <c r="C55" s="37"/>
      <c r="D55" s="35"/>
    </row>
    <row r="56" spans="3:4" x14ac:dyDescent="0.25">
      <c r="C56" s="37"/>
      <c r="D56" s="35"/>
    </row>
    <row r="57" spans="3:4" x14ac:dyDescent="0.25">
      <c r="C57" s="37"/>
      <c r="D57" s="35"/>
    </row>
    <row r="58" spans="3:4" x14ac:dyDescent="0.25">
      <c r="C58" s="37"/>
      <c r="D58" s="35"/>
    </row>
    <row r="59" spans="3:4" x14ac:dyDescent="0.25">
      <c r="C59" s="37"/>
      <c r="D59" s="35"/>
    </row>
    <row r="60" spans="3:4" x14ac:dyDescent="0.25">
      <c r="C60" s="37"/>
      <c r="D60" s="35"/>
    </row>
    <row r="61" spans="3:4" x14ac:dyDescent="0.25">
      <c r="C61" s="37"/>
      <c r="D61" s="35"/>
    </row>
    <row r="62" spans="3:4" x14ac:dyDescent="0.25">
      <c r="C62" s="37"/>
      <c r="D62" s="35"/>
    </row>
    <row r="63" spans="3:4" x14ac:dyDescent="0.25">
      <c r="C63" s="37"/>
      <c r="D63" s="35"/>
    </row>
    <row r="64" spans="3:4" x14ac:dyDescent="0.25">
      <c r="C64" s="37"/>
      <c r="D64" s="35"/>
    </row>
    <row r="65" spans="3:4" x14ac:dyDescent="0.25">
      <c r="C65" s="37"/>
      <c r="D65" s="35"/>
    </row>
    <row r="66" spans="3:4" x14ac:dyDescent="0.25">
      <c r="C66" s="37"/>
      <c r="D66" s="35"/>
    </row>
    <row r="67" spans="3:4" x14ac:dyDescent="0.25">
      <c r="C67" s="37"/>
      <c r="D67" s="35"/>
    </row>
    <row r="68" spans="3:4" x14ac:dyDescent="0.25">
      <c r="C68" s="37"/>
      <c r="D68" s="35"/>
    </row>
    <row r="69" spans="3:4" x14ac:dyDescent="0.25">
      <c r="C69" s="37"/>
      <c r="D69" s="35"/>
    </row>
    <row r="70" spans="3:4" x14ac:dyDescent="0.25">
      <c r="C70" s="37"/>
      <c r="D70" s="35"/>
    </row>
    <row r="71" spans="3:4" x14ac:dyDescent="0.25">
      <c r="C71" s="37"/>
      <c r="D71" s="35"/>
    </row>
    <row r="72" spans="3:4" x14ac:dyDescent="0.25">
      <c r="C72" s="37"/>
      <c r="D72" s="35"/>
    </row>
    <row r="73" spans="3:4" x14ac:dyDescent="0.25">
      <c r="C73" s="37"/>
      <c r="D73" s="35"/>
    </row>
    <row r="74" spans="3:4" x14ac:dyDescent="0.25">
      <c r="C74" s="37"/>
      <c r="D74" s="35"/>
    </row>
    <row r="75" spans="3:4" x14ac:dyDescent="0.25">
      <c r="C75" s="37"/>
      <c r="D75" s="35"/>
    </row>
    <row r="76" spans="3:4" x14ac:dyDescent="0.25">
      <c r="C76" s="37"/>
      <c r="D76" s="35"/>
    </row>
    <row r="77" spans="3:4" x14ac:dyDescent="0.25">
      <c r="C77" s="37"/>
      <c r="D77" s="35"/>
    </row>
    <row r="78" spans="3:4" x14ac:dyDescent="0.25">
      <c r="C78" s="37"/>
      <c r="D78" s="35"/>
    </row>
    <row r="79" spans="3:4" x14ac:dyDescent="0.25">
      <c r="C79" s="37"/>
      <c r="D79" s="35"/>
    </row>
    <row r="80" spans="3:4" x14ac:dyDescent="0.25">
      <c r="C80" s="37"/>
      <c r="D80" s="35"/>
    </row>
    <row r="81" spans="3:4" x14ac:dyDescent="0.25">
      <c r="C81" s="37"/>
      <c r="D81" s="35"/>
    </row>
    <row r="82" spans="3:4" x14ac:dyDescent="0.25">
      <c r="C82" s="37"/>
      <c r="D82" s="35"/>
    </row>
    <row r="83" spans="3:4" x14ac:dyDescent="0.25">
      <c r="C83" s="37"/>
      <c r="D83" s="35"/>
    </row>
    <row r="84" spans="3:4" x14ac:dyDescent="0.25">
      <c r="C84" s="37"/>
      <c r="D84" s="35"/>
    </row>
    <row r="85" spans="3:4" x14ac:dyDescent="0.25">
      <c r="C85" s="37"/>
      <c r="D85" s="35"/>
    </row>
    <row r="86" spans="3:4" x14ac:dyDescent="0.25">
      <c r="C86" s="37"/>
      <c r="D86" s="35"/>
    </row>
    <row r="87" spans="3:4" x14ac:dyDescent="0.25">
      <c r="C87" s="37"/>
      <c r="D87" s="35"/>
    </row>
    <row r="88" spans="3:4" x14ac:dyDescent="0.25">
      <c r="C88" s="37"/>
      <c r="D88" s="35"/>
    </row>
    <row r="89" spans="3:4" x14ac:dyDescent="0.25">
      <c r="C89" s="37"/>
      <c r="D89" s="35"/>
    </row>
    <row r="90" spans="3:4" x14ac:dyDescent="0.25">
      <c r="C90" s="37"/>
      <c r="D90" s="35"/>
    </row>
    <row r="91" spans="3:4" x14ac:dyDescent="0.25">
      <c r="C91" s="37"/>
      <c r="D91" s="35"/>
    </row>
    <row r="92" spans="3:4" x14ac:dyDescent="0.25">
      <c r="C92" s="37"/>
      <c r="D92" s="35"/>
    </row>
    <row r="93" spans="3:4" x14ac:dyDescent="0.25">
      <c r="C93" s="37"/>
      <c r="D93" s="35"/>
    </row>
    <row r="94" spans="3:4" x14ac:dyDescent="0.25">
      <c r="C94" s="37"/>
      <c r="D94" s="35"/>
    </row>
    <row r="95" spans="3:4" x14ac:dyDescent="0.25">
      <c r="C95" s="37"/>
      <c r="D95" s="35"/>
    </row>
    <row r="96" spans="3:4" x14ac:dyDescent="0.25">
      <c r="C96" s="37"/>
      <c r="D96" s="35"/>
    </row>
    <row r="97" spans="3:4" x14ac:dyDescent="0.25">
      <c r="C97" s="37"/>
      <c r="D97" s="35"/>
    </row>
    <row r="98" spans="3:4" x14ac:dyDescent="0.25">
      <c r="C98" s="37"/>
      <c r="D98" s="35"/>
    </row>
    <row r="99" spans="3:4" x14ac:dyDescent="0.25">
      <c r="C99" s="37"/>
      <c r="D99" s="35"/>
    </row>
    <row r="100" spans="3:4" x14ac:dyDescent="0.25">
      <c r="C100" s="37"/>
      <c r="D100" s="35"/>
    </row>
    <row r="101" spans="3:4" x14ac:dyDescent="0.25">
      <c r="C101" s="37"/>
      <c r="D101" s="35"/>
    </row>
    <row r="102" spans="3:4" x14ac:dyDescent="0.25">
      <c r="C102" s="37"/>
      <c r="D102" s="35"/>
    </row>
    <row r="103" spans="3:4" x14ac:dyDescent="0.25">
      <c r="C103" s="37"/>
      <c r="D103" s="35"/>
    </row>
    <row r="104" spans="3:4" x14ac:dyDescent="0.25">
      <c r="C104" s="37"/>
      <c r="D104" s="35"/>
    </row>
    <row r="105" spans="3:4" x14ac:dyDescent="0.25">
      <c r="C105" s="37"/>
      <c r="D105" s="35"/>
    </row>
    <row r="106" spans="3:4" x14ac:dyDescent="0.25">
      <c r="C106" s="37"/>
      <c r="D106" s="35"/>
    </row>
    <row r="107" spans="3:4" x14ac:dyDescent="0.25">
      <c r="C107" s="37"/>
      <c r="D107" s="35"/>
    </row>
    <row r="108" spans="3:4" x14ac:dyDescent="0.25">
      <c r="C108" s="37"/>
      <c r="D108" s="35"/>
    </row>
    <row r="109" spans="3:4" x14ac:dyDescent="0.25">
      <c r="C109" s="37"/>
      <c r="D109" s="35"/>
    </row>
    <row r="110" spans="3:4" x14ac:dyDescent="0.25">
      <c r="C110" s="37"/>
      <c r="D110" s="35"/>
    </row>
    <row r="111" spans="3:4" x14ac:dyDescent="0.25">
      <c r="C111" s="37"/>
      <c r="D111" s="35"/>
    </row>
    <row r="112" spans="3:4" x14ac:dyDescent="0.25">
      <c r="C112" s="37"/>
      <c r="D112" s="35"/>
    </row>
    <row r="113" spans="3:4" x14ac:dyDescent="0.25">
      <c r="C113" s="37"/>
      <c r="D113" s="35"/>
    </row>
    <row r="114" spans="3:4" x14ac:dyDescent="0.25">
      <c r="C114" s="37"/>
      <c r="D114" s="35"/>
    </row>
    <row r="115" spans="3:4" x14ac:dyDescent="0.25">
      <c r="C115" s="37"/>
      <c r="D115" s="35"/>
    </row>
    <row r="116" spans="3:4" x14ac:dyDescent="0.25">
      <c r="C116" s="37"/>
      <c r="D116" s="35"/>
    </row>
    <row r="117" spans="3:4" x14ac:dyDescent="0.25">
      <c r="C117" s="37"/>
      <c r="D117" s="35"/>
    </row>
    <row r="118" spans="3:4" x14ac:dyDescent="0.25">
      <c r="C118" s="37"/>
      <c r="D118" s="35"/>
    </row>
    <row r="119" spans="3:4" x14ac:dyDescent="0.25">
      <c r="C119" s="37"/>
      <c r="D119" s="35"/>
    </row>
    <row r="120" spans="3:4" x14ac:dyDescent="0.25">
      <c r="C120" s="37"/>
      <c r="D120" s="35"/>
    </row>
    <row r="121" spans="3:4" x14ac:dyDescent="0.25">
      <c r="C121" s="37"/>
      <c r="D121" s="35"/>
    </row>
    <row r="122" spans="3:4" x14ac:dyDescent="0.25">
      <c r="C122" s="37"/>
      <c r="D122" s="35"/>
    </row>
    <row r="123" spans="3:4" x14ac:dyDescent="0.25">
      <c r="C123" s="37"/>
      <c r="D123" s="35"/>
    </row>
    <row r="124" spans="3:4" x14ac:dyDescent="0.25">
      <c r="C124" s="37"/>
      <c r="D124" s="35"/>
    </row>
    <row r="125" spans="3:4" x14ac:dyDescent="0.25">
      <c r="C125" s="37"/>
      <c r="D125" s="35"/>
    </row>
    <row r="126" spans="3:4" x14ac:dyDescent="0.25">
      <c r="C126" s="37"/>
      <c r="D126" s="35"/>
    </row>
    <row r="127" spans="3:4" x14ac:dyDescent="0.25">
      <c r="C127" s="37"/>
      <c r="D127" s="35"/>
    </row>
    <row r="128" spans="3:4" x14ac:dyDescent="0.25">
      <c r="C128" s="37"/>
      <c r="D128" s="35"/>
    </row>
    <row r="129" spans="3:4" x14ac:dyDescent="0.25">
      <c r="C129" s="37"/>
      <c r="D129" s="35"/>
    </row>
    <row r="130" spans="3:4" x14ac:dyDescent="0.25">
      <c r="C130" s="37"/>
      <c r="D130" s="35"/>
    </row>
    <row r="131" spans="3:4" x14ac:dyDescent="0.25">
      <c r="C131" s="37"/>
      <c r="D131" s="35"/>
    </row>
    <row r="132" spans="3:4" x14ac:dyDescent="0.25">
      <c r="C132" s="37"/>
      <c r="D132" s="35"/>
    </row>
    <row r="133" spans="3:4" x14ac:dyDescent="0.25">
      <c r="C133" s="37"/>
      <c r="D133" s="35"/>
    </row>
    <row r="134" spans="3:4" x14ac:dyDescent="0.25">
      <c r="C134" s="37"/>
      <c r="D134" s="35"/>
    </row>
    <row r="135" spans="3:4" x14ac:dyDescent="0.25">
      <c r="C135" s="37"/>
      <c r="D135" s="35"/>
    </row>
    <row r="136" spans="3:4" x14ac:dyDescent="0.25">
      <c r="C136" s="37"/>
      <c r="D136" s="35"/>
    </row>
    <row r="137" spans="3:4" x14ac:dyDescent="0.25">
      <c r="C137" s="37"/>
      <c r="D137" s="35"/>
    </row>
    <row r="138" spans="3:4" x14ac:dyDescent="0.25">
      <c r="C138" s="37"/>
      <c r="D138" s="35"/>
    </row>
    <row r="139" spans="3:4" x14ac:dyDescent="0.25">
      <c r="C139" s="37"/>
      <c r="D139" s="35"/>
    </row>
    <row r="140" spans="3:4" x14ac:dyDescent="0.25">
      <c r="C140" s="37"/>
      <c r="D140" s="35"/>
    </row>
    <row r="141" spans="3:4" x14ac:dyDescent="0.25">
      <c r="C141" s="37"/>
      <c r="D141" s="35"/>
    </row>
    <row r="142" spans="3:4" x14ac:dyDescent="0.25">
      <c r="C142" s="37"/>
      <c r="D142" s="35"/>
    </row>
    <row r="143" spans="3:4" x14ac:dyDescent="0.25">
      <c r="C143" s="37"/>
      <c r="D143" s="35"/>
    </row>
    <row r="144" spans="3:4" x14ac:dyDescent="0.25">
      <c r="C144" s="37"/>
      <c r="D144" s="35"/>
    </row>
    <row r="145" spans="3:4" x14ac:dyDescent="0.25">
      <c r="C145" s="37"/>
      <c r="D145" s="35"/>
    </row>
    <row r="146" spans="3:4" x14ac:dyDescent="0.25">
      <c r="C146" s="37"/>
      <c r="D146" s="35"/>
    </row>
    <row r="147" spans="3:4" x14ac:dyDescent="0.25">
      <c r="C147" s="37"/>
      <c r="D147" s="35"/>
    </row>
    <row r="148" spans="3:4" x14ac:dyDescent="0.25">
      <c r="C148" s="37"/>
      <c r="D148" s="35"/>
    </row>
    <row r="149" spans="3:4" x14ac:dyDescent="0.25">
      <c r="C149" s="37"/>
      <c r="D149" s="35"/>
    </row>
    <row r="150" spans="3:4" x14ac:dyDescent="0.25">
      <c r="C150" s="37"/>
      <c r="D150" s="35"/>
    </row>
    <row r="151" spans="3:4" x14ac:dyDescent="0.25">
      <c r="C151" s="37"/>
      <c r="D151" s="35"/>
    </row>
    <row r="152" spans="3:4" x14ac:dyDescent="0.25">
      <c r="C152" s="37"/>
      <c r="D152" s="35"/>
    </row>
    <row r="153" spans="3:4" x14ac:dyDescent="0.25">
      <c r="C153" s="37"/>
      <c r="D153" s="35"/>
    </row>
    <row r="154" spans="3:4" x14ac:dyDescent="0.25">
      <c r="C154" s="37"/>
      <c r="D154" s="35"/>
    </row>
    <row r="155" spans="3:4" x14ac:dyDescent="0.25">
      <c r="C155" s="37"/>
      <c r="D155" s="35"/>
    </row>
    <row r="156" spans="3:4" x14ac:dyDescent="0.25">
      <c r="C156" s="37"/>
      <c r="D156" s="35"/>
    </row>
    <row r="157" spans="3:4" x14ac:dyDescent="0.25">
      <c r="C157" s="37"/>
      <c r="D157" s="35"/>
    </row>
    <row r="158" spans="3:4" x14ac:dyDescent="0.25">
      <c r="C158" s="37"/>
      <c r="D158" s="35"/>
    </row>
    <row r="159" spans="3:4" x14ac:dyDescent="0.25">
      <c r="C159" s="37"/>
      <c r="D159" s="35"/>
    </row>
    <row r="160" spans="3:4" x14ac:dyDescent="0.25">
      <c r="C160" s="37"/>
      <c r="D160" s="35"/>
    </row>
    <row r="161" spans="3:4" x14ac:dyDescent="0.25">
      <c r="C161" s="37"/>
      <c r="D161" s="35"/>
    </row>
    <row r="162" spans="3:4" x14ac:dyDescent="0.25">
      <c r="C162" s="37"/>
      <c r="D162" s="35"/>
    </row>
    <row r="163" spans="3:4" x14ac:dyDescent="0.25">
      <c r="C163" s="37"/>
      <c r="D163" s="35"/>
    </row>
    <row r="164" spans="3:4" x14ac:dyDescent="0.25">
      <c r="C164" s="37"/>
      <c r="D164" s="35"/>
    </row>
    <row r="165" spans="3:4" x14ac:dyDescent="0.25">
      <c r="C165" s="37"/>
      <c r="D165" s="35"/>
    </row>
    <row r="166" spans="3:4" x14ac:dyDescent="0.25">
      <c r="C166" s="37"/>
      <c r="D166" s="35"/>
    </row>
    <row r="167" spans="3:4" x14ac:dyDescent="0.25">
      <c r="C167" s="37"/>
      <c r="D167" s="35"/>
    </row>
    <row r="168" spans="3:4" x14ac:dyDescent="0.25">
      <c r="C168" s="37"/>
      <c r="D168" s="35"/>
    </row>
    <row r="169" spans="3:4" x14ac:dyDescent="0.25">
      <c r="C169" s="37"/>
      <c r="D169" s="35"/>
    </row>
    <row r="170" spans="3:4" x14ac:dyDescent="0.25">
      <c r="C170" s="37"/>
      <c r="D170" s="35"/>
    </row>
    <row r="171" spans="3:4" x14ac:dyDescent="0.25">
      <c r="C171" s="37"/>
      <c r="D171" s="35"/>
    </row>
    <row r="172" spans="3:4" x14ac:dyDescent="0.25">
      <c r="C172" s="37"/>
      <c r="D172" s="35"/>
    </row>
    <row r="173" spans="3:4" x14ac:dyDescent="0.25">
      <c r="C173" s="37"/>
      <c r="D173" s="35"/>
    </row>
    <row r="174" spans="3:4" x14ac:dyDescent="0.25">
      <c r="C174" s="37"/>
      <c r="D174" s="35"/>
    </row>
    <row r="175" spans="3:4" x14ac:dyDescent="0.25">
      <c r="C175" s="37"/>
      <c r="D175" s="35"/>
    </row>
    <row r="176" spans="3:4" x14ac:dyDescent="0.25">
      <c r="C176" s="37"/>
      <c r="D176" s="35"/>
    </row>
    <row r="177" spans="3:4" x14ac:dyDescent="0.25">
      <c r="C177" s="37"/>
      <c r="D177" s="35"/>
    </row>
    <row r="178" spans="3:4" x14ac:dyDescent="0.25">
      <c r="C178" s="37"/>
      <c r="D178" s="35"/>
    </row>
    <row r="179" spans="3:4" x14ac:dyDescent="0.25">
      <c r="C179" s="37"/>
      <c r="D179" s="35"/>
    </row>
    <row r="180" spans="3:4" x14ac:dyDescent="0.25">
      <c r="C180" s="37"/>
      <c r="D180" s="35"/>
    </row>
    <row r="181" spans="3:4" x14ac:dyDescent="0.25">
      <c r="C181" s="37"/>
      <c r="D181" s="35"/>
    </row>
    <row r="182" spans="3:4" x14ac:dyDescent="0.25">
      <c r="C182" s="37"/>
      <c r="D182" s="35"/>
    </row>
    <row r="183" spans="3:4" x14ac:dyDescent="0.25">
      <c r="C183" s="37"/>
      <c r="D183" s="35"/>
    </row>
    <row r="184" spans="3:4" x14ac:dyDescent="0.25">
      <c r="C184" s="37"/>
      <c r="D184" s="35"/>
    </row>
    <row r="185" spans="3:4" x14ac:dyDescent="0.25">
      <c r="C185" s="37"/>
      <c r="D185" s="35"/>
    </row>
    <row r="186" spans="3:4" x14ac:dyDescent="0.25">
      <c r="C186" s="37"/>
      <c r="D186" s="35"/>
    </row>
    <row r="187" spans="3:4" x14ac:dyDescent="0.25">
      <c r="C187" s="37"/>
      <c r="D187" s="35"/>
    </row>
    <row r="188" spans="3:4" x14ac:dyDescent="0.25">
      <c r="C188" s="37"/>
      <c r="D188" s="35"/>
    </row>
    <row r="189" spans="3:4" x14ac:dyDescent="0.25">
      <c r="C189" s="37"/>
      <c r="D189" s="35"/>
    </row>
    <row r="190" spans="3:4" x14ac:dyDescent="0.25">
      <c r="C190" s="37"/>
      <c r="D190" s="35"/>
    </row>
    <row r="191" spans="3:4" x14ac:dyDescent="0.25">
      <c r="C191" s="37"/>
      <c r="D191" s="35"/>
    </row>
    <row r="192" spans="3:4" x14ac:dyDescent="0.25">
      <c r="C192" s="37"/>
      <c r="D192" s="35"/>
    </row>
    <row r="193" spans="3:4" x14ac:dyDescent="0.25">
      <c r="C193" s="37"/>
      <c r="D193" s="35"/>
    </row>
    <row r="194" spans="3:4" x14ac:dyDescent="0.25">
      <c r="C194" s="37"/>
      <c r="D194" s="35"/>
    </row>
    <row r="195" spans="3:4" x14ac:dyDescent="0.25">
      <c r="C195" s="37"/>
      <c r="D195" s="35"/>
    </row>
    <row r="196" spans="3:4" x14ac:dyDescent="0.25">
      <c r="C196" s="37"/>
      <c r="D196" s="35"/>
    </row>
    <row r="197" spans="3:4" x14ac:dyDescent="0.25">
      <c r="C197" s="37"/>
      <c r="D197" s="35"/>
    </row>
    <row r="198" spans="3:4" x14ac:dyDescent="0.25">
      <c r="C198" s="37"/>
      <c r="D198" s="35"/>
    </row>
    <row r="199" spans="3:4" x14ac:dyDescent="0.25">
      <c r="C199" s="37"/>
      <c r="D199" s="35"/>
    </row>
    <row r="200" spans="3:4" x14ac:dyDescent="0.25">
      <c r="C200" s="37"/>
      <c r="D200" s="35"/>
    </row>
    <row r="201" spans="3:4" x14ac:dyDescent="0.25">
      <c r="C201" s="37"/>
      <c r="D201" s="35"/>
    </row>
    <row r="202" spans="3:4" x14ac:dyDescent="0.25">
      <c r="C202" s="37"/>
      <c r="D202" s="35"/>
    </row>
    <row r="203" spans="3:4" x14ac:dyDescent="0.25">
      <c r="C203" s="37"/>
      <c r="D203" s="35"/>
    </row>
    <row r="204" spans="3:4" x14ac:dyDescent="0.25">
      <c r="C204" s="37"/>
      <c r="D204" s="35"/>
    </row>
    <row r="205" spans="3:4" x14ac:dyDescent="0.25">
      <c r="C205" s="37"/>
      <c r="D205" s="35"/>
    </row>
    <row r="206" spans="3:4" x14ac:dyDescent="0.25">
      <c r="C206" s="37"/>
      <c r="D206" s="35"/>
    </row>
    <row r="207" spans="3:4" x14ac:dyDescent="0.25">
      <c r="C207" s="37"/>
      <c r="D207" s="35"/>
    </row>
    <row r="208" spans="3:4" x14ac:dyDescent="0.25">
      <c r="C208" s="37"/>
      <c r="D208" s="35"/>
    </row>
    <row r="209" spans="3:4" x14ac:dyDescent="0.25">
      <c r="C209" s="37"/>
      <c r="D209" s="35"/>
    </row>
    <row r="210" spans="3:4" x14ac:dyDescent="0.25">
      <c r="C210" s="37"/>
      <c r="D210" s="35"/>
    </row>
    <row r="211" spans="3:4" x14ac:dyDescent="0.25">
      <c r="C211" s="37"/>
      <c r="D211" s="35"/>
    </row>
    <row r="212" spans="3:4" x14ac:dyDescent="0.25">
      <c r="C212" s="37"/>
      <c r="D212" s="35"/>
    </row>
    <row r="213" spans="3:4" x14ac:dyDescent="0.25">
      <c r="C213" s="37"/>
      <c r="D213" s="35"/>
    </row>
    <row r="214" spans="3:4" x14ac:dyDescent="0.25">
      <c r="C214" s="37"/>
      <c r="D214" s="35"/>
    </row>
    <row r="215" spans="3:4" x14ac:dyDescent="0.25">
      <c r="C215" s="37"/>
      <c r="D215" s="35"/>
    </row>
    <row r="216" spans="3:4" x14ac:dyDescent="0.25">
      <c r="C216" s="37"/>
      <c r="D216" s="35"/>
    </row>
    <row r="217" spans="3:4" x14ac:dyDescent="0.25">
      <c r="C217" s="37"/>
      <c r="D217" s="35"/>
    </row>
    <row r="218" spans="3:4" x14ac:dyDescent="0.25">
      <c r="C218" s="37"/>
      <c r="D218" s="35"/>
    </row>
    <row r="219" spans="3:4" x14ac:dyDescent="0.25">
      <c r="C219" s="37"/>
      <c r="D219" s="35"/>
    </row>
    <row r="220" spans="3:4" x14ac:dyDescent="0.25">
      <c r="C220" s="37"/>
      <c r="D220" s="35"/>
    </row>
    <row r="221" spans="3:4" x14ac:dyDescent="0.25">
      <c r="C221" s="37"/>
      <c r="D221" s="35"/>
    </row>
    <row r="222" spans="3:4" x14ac:dyDescent="0.25">
      <c r="C222" s="37"/>
      <c r="D222" s="35"/>
    </row>
    <row r="223" spans="3:4" x14ac:dyDescent="0.25">
      <c r="C223" s="37"/>
      <c r="D223" s="35"/>
    </row>
    <row r="224" spans="3:4" x14ac:dyDescent="0.25">
      <c r="C224" s="37"/>
      <c r="D224" s="35"/>
    </row>
    <row r="225" spans="3:4" x14ac:dyDescent="0.25">
      <c r="C225" s="37"/>
      <c r="D225" s="35"/>
    </row>
    <row r="226" spans="3:4" x14ac:dyDescent="0.25">
      <c r="C226" s="37"/>
      <c r="D226" s="35"/>
    </row>
    <row r="227" spans="3:4" x14ac:dyDescent="0.25">
      <c r="C227" s="37"/>
      <c r="D227" s="35"/>
    </row>
    <row r="228" spans="3:4" x14ac:dyDescent="0.25">
      <c r="C228" s="37"/>
      <c r="D228" s="35"/>
    </row>
    <row r="229" spans="3:4" x14ac:dyDescent="0.25">
      <c r="C229" s="37"/>
      <c r="D229" s="35"/>
    </row>
    <row r="230" spans="3:4" x14ac:dyDescent="0.25">
      <c r="C230" s="37"/>
      <c r="D230" s="35"/>
    </row>
    <row r="231" spans="3:4" x14ac:dyDescent="0.25">
      <c r="C231" s="37"/>
      <c r="D231" s="35"/>
    </row>
    <row r="232" spans="3:4" x14ac:dyDescent="0.25">
      <c r="C232" s="37"/>
      <c r="D232" s="35"/>
    </row>
    <row r="233" spans="3:4" x14ac:dyDescent="0.25">
      <c r="C233" s="37"/>
      <c r="D233" s="35"/>
    </row>
    <row r="234" spans="3:4" x14ac:dyDescent="0.25">
      <c r="C234" s="37"/>
      <c r="D234" s="35"/>
    </row>
    <row r="235" spans="3:4" x14ac:dyDescent="0.25">
      <c r="C235" s="37"/>
      <c r="D235" s="35"/>
    </row>
    <row r="236" spans="3:4" x14ac:dyDescent="0.25">
      <c r="C236" s="37"/>
      <c r="D236" s="35"/>
    </row>
    <row r="237" spans="3:4" x14ac:dyDescent="0.25">
      <c r="C237" s="37"/>
      <c r="D237" s="35"/>
    </row>
    <row r="238" spans="3:4" x14ac:dyDescent="0.25">
      <c r="C238" s="37"/>
      <c r="D238" s="35"/>
    </row>
    <row r="239" spans="3:4" x14ac:dyDescent="0.25">
      <c r="C239" s="37"/>
      <c r="D239" s="35"/>
    </row>
    <row r="240" spans="3:4" x14ac:dyDescent="0.25">
      <c r="C240" s="37"/>
      <c r="D240" s="35"/>
    </row>
    <row r="241" spans="3:4" x14ac:dyDescent="0.25">
      <c r="C241" s="37"/>
      <c r="D241" s="35"/>
    </row>
    <row r="242" spans="3:4" x14ac:dyDescent="0.25">
      <c r="C242" s="37"/>
      <c r="D242" s="35"/>
    </row>
    <row r="243" spans="3:4" x14ac:dyDescent="0.25">
      <c r="C243" s="37"/>
      <c r="D243" s="35"/>
    </row>
    <row r="244" spans="3:4" x14ac:dyDescent="0.25">
      <c r="C244" s="37"/>
      <c r="D244" s="35"/>
    </row>
    <row r="245" spans="3:4" x14ac:dyDescent="0.25">
      <c r="C245" s="37"/>
      <c r="D245" s="35"/>
    </row>
    <row r="246" spans="3:4" x14ac:dyDescent="0.25">
      <c r="C246" s="37"/>
      <c r="D246" s="35"/>
    </row>
    <row r="247" spans="3:4" x14ac:dyDescent="0.25">
      <c r="C247" s="37"/>
      <c r="D247" s="35"/>
    </row>
    <row r="248" spans="3:4" x14ac:dyDescent="0.25">
      <c r="C248" s="37"/>
      <c r="D248" s="35"/>
    </row>
    <row r="249" spans="3:4" x14ac:dyDescent="0.25">
      <c r="C249" s="37"/>
      <c r="D249" s="35"/>
    </row>
    <row r="250" spans="3:4" x14ac:dyDescent="0.25">
      <c r="C250" s="37"/>
      <c r="D250" s="35"/>
    </row>
    <row r="251" spans="3:4" x14ac:dyDescent="0.25">
      <c r="C251" s="37"/>
      <c r="D251" s="35"/>
    </row>
    <row r="252" spans="3:4" x14ac:dyDescent="0.25">
      <c r="C252" s="37"/>
      <c r="D252" s="35"/>
    </row>
    <row r="253" spans="3:4" x14ac:dyDescent="0.25">
      <c r="C253" s="37"/>
      <c r="D253" s="35"/>
    </row>
    <row r="254" spans="3:4" x14ac:dyDescent="0.25">
      <c r="C254" s="37"/>
      <c r="D254" s="35"/>
    </row>
    <row r="255" spans="3:4" x14ac:dyDescent="0.25">
      <c r="C255" s="37"/>
      <c r="D255" s="35"/>
    </row>
    <row r="256" spans="3:4" x14ac:dyDescent="0.25">
      <c r="C256" s="37"/>
      <c r="D256" s="35"/>
    </row>
    <row r="257" spans="3:4" x14ac:dyDescent="0.25">
      <c r="C257" s="37"/>
      <c r="D257" s="35"/>
    </row>
    <row r="258" spans="3:4" x14ac:dyDescent="0.25">
      <c r="C258" s="37"/>
      <c r="D258" s="35"/>
    </row>
    <row r="259" spans="3:4" x14ac:dyDescent="0.25">
      <c r="C259" s="37"/>
      <c r="D259" s="35"/>
    </row>
    <row r="260" spans="3:4" x14ac:dyDescent="0.25">
      <c r="C260" s="37"/>
      <c r="D260" s="35"/>
    </row>
    <row r="261" spans="3:4" x14ac:dyDescent="0.25">
      <c r="C261" s="37"/>
      <c r="D261" s="35"/>
    </row>
    <row r="262" spans="3:4" x14ac:dyDescent="0.25">
      <c r="C262" s="37"/>
      <c r="D262" s="35"/>
    </row>
    <row r="263" spans="3:4" x14ac:dyDescent="0.25">
      <c r="C263" s="37"/>
      <c r="D263" s="35"/>
    </row>
    <row r="264" spans="3:4" x14ac:dyDescent="0.25">
      <c r="C264" s="37"/>
      <c r="D264" s="35"/>
    </row>
    <row r="265" spans="3:4" x14ac:dyDescent="0.25">
      <c r="C265" s="37"/>
      <c r="D265" s="35"/>
    </row>
    <row r="266" spans="3:4" x14ac:dyDescent="0.25">
      <c r="C266" s="37"/>
      <c r="D266" s="35"/>
    </row>
    <row r="267" spans="3:4" x14ac:dyDescent="0.25">
      <c r="C267" s="37"/>
      <c r="D267" s="35"/>
    </row>
    <row r="268" spans="3:4" x14ac:dyDescent="0.25">
      <c r="C268" s="37"/>
      <c r="D268" s="35"/>
    </row>
    <row r="269" spans="3:4" x14ac:dyDescent="0.25">
      <c r="C269" s="37"/>
      <c r="D269" s="35"/>
    </row>
    <row r="270" spans="3:4" x14ac:dyDescent="0.25">
      <c r="C270" s="37"/>
      <c r="D270" s="35"/>
    </row>
    <row r="271" spans="3:4" x14ac:dyDescent="0.25">
      <c r="C271" s="37"/>
      <c r="D271" s="35"/>
    </row>
    <row r="272" spans="3:4" x14ac:dyDescent="0.25">
      <c r="C272" s="37"/>
      <c r="D272" s="35"/>
    </row>
    <row r="273" spans="3:4" x14ac:dyDescent="0.25">
      <c r="C273" s="37"/>
      <c r="D273" s="35"/>
    </row>
    <row r="274" spans="3:4" x14ac:dyDescent="0.25">
      <c r="C274" s="37"/>
      <c r="D274" s="35"/>
    </row>
    <row r="275" spans="3:4" x14ac:dyDescent="0.25">
      <c r="C275" s="37"/>
      <c r="D275" s="35"/>
    </row>
    <row r="276" spans="3:4" x14ac:dyDescent="0.25">
      <c r="C276" s="37"/>
      <c r="D276" s="35"/>
    </row>
    <row r="277" spans="3:4" x14ac:dyDescent="0.25">
      <c r="C277" s="37"/>
      <c r="D277" s="35"/>
    </row>
    <row r="278" spans="3:4" x14ac:dyDescent="0.25">
      <c r="C278" s="37"/>
      <c r="D278" s="35"/>
    </row>
    <row r="279" spans="3:4" x14ac:dyDescent="0.25">
      <c r="C279" s="37"/>
      <c r="D279" s="35"/>
    </row>
    <row r="280" spans="3:4" x14ac:dyDescent="0.25">
      <c r="C280" s="37"/>
      <c r="D280" s="35"/>
    </row>
    <row r="281" spans="3:4" x14ac:dyDescent="0.25">
      <c r="C281" s="37"/>
      <c r="D281" s="35"/>
    </row>
    <row r="282" spans="3:4" x14ac:dyDescent="0.25">
      <c r="C282" s="37"/>
      <c r="D282" s="35"/>
    </row>
    <row r="283" spans="3:4" x14ac:dyDescent="0.25">
      <c r="C283" s="37"/>
      <c r="D283" s="35"/>
    </row>
    <row r="284" spans="3:4" x14ac:dyDescent="0.25">
      <c r="C284" s="37"/>
      <c r="D284" s="35"/>
    </row>
    <row r="285" spans="3:4" x14ac:dyDescent="0.25">
      <c r="C285" s="37"/>
      <c r="D285" s="35"/>
    </row>
    <row r="286" spans="3:4" x14ac:dyDescent="0.25">
      <c r="C286" s="37"/>
      <c r="D286" s="35"/>
    </row>
    <row r="287" spans="3:4" x14ac:dyDescent="0.25">
      <c r="C287" s="37"/>
      <c r="D287" s="35"/>
    </row>
    <row r="288" spans="3:4" x14ac:dyDescent="0.25">
      <c r="C288" s="37"/>
      <c r="D288" s="35"/>
    </row>
    <row r="289" spans="3:4" x14ac:dyDescent="0.25">
      <c r="C289" s="37"/>
      <c r="D289" s="35"/>
    </row>
    <row r="290" spans="3:4" x14ac:dyDescent="0.25">
      <c r="C290" s="37"/>
      <c r="D290" s="35"/>
    </row>
    <row r="291" spans="3:4" x14ac:dyDescent="0.25">
      <c r="C291" s="37"/>
      <c r="D291" s="35"/>
    </row>
    <row r="292" spans="3:4" x14ac:dyDescent="0.25">
      <c r="C292" s="37"/>
      <c r="D292" s="35"/>
    </row>
    <row r="293" spans="3:4" x14ac:dyDescent="0.25">
      <c r="C293" s="37"/>
      <c r="D293" s="35"/>
    </row>
    <row r="294" spans="3:4" x14ac:dyDescent="0.25">
      <c r="C294" s="37"/>
      <c r="D294" s="35"/>
    </row>
    <row r="295" spans="3:4" x14ac:dyDescent="0.25">
      <c r="C295" s="37"/>
      <c r="D295" s="35"/>
    </row>
    <row r="296" spans="3:4" x14ac:dyDescent="0.25">
      <c r="C296" s="37"/>
      <c r="D296" s="35"/>
    </row>
    <row r="297" spans="3:4" x14ac:dyDescent="0.25">
      <c r="C297" s="37"/>
      <c r="D297" s="35"/>
    </row>
    <row r="298" spans="3:4" x14ac:dyDescent="0.25">
      <c r="C298" s="37"/>
      <c r="D298" s="35"/>
    </row>
    <row r="299" spans="3:4" x14ac:dyDescent="0.25">
      <c r="C299" s="37"/>
      <c r="D299" s="35"/>
    </row>
    <row r="300" spans="3:4" x14ac:dyDescent="0.25">
      <c r="C300" s="37"/>
      <c r="D300" s="35"/>
    </row>
    <row r="301" spans="3:4" x14ac:dyDescent="0.25">
      <c r="C301" s="37"/>
      <c r="D301" s="35"/>
    </row>
    <row r="302" spans="3:4" x14ac:dyDescent="0.25">
      <c r="C302" s="37"/>
      <c r="D302" s="35"/>
    </row>
    <row r="303" spans="3:4" x14ac:dyDescent="0.25">
      <c r="C303" s="37"/>
      <c r="D303" s="35"/>
    </row>
    <row r="304" spans="3:4" x14ac:dyDescent="0.25">
      <c r="C304" s="37"/>
      <c r="D304" s="35"/>
    </row>
    <row r="305" spans="3:6" x14ac:dyDescent="0.25">
      <c r="C305" s="37"/>
      <c r="D305" s="35"/>
    </row>
    <row r="306" spans="3:6" x14ac:dyDescent="0.25">
      <c r="C306" s="37"/>
      <c r="D306" s="35"/>
    </row>
    <row r="307" spans="3:6" x14ac:dyDescent="0.25">
      <c r="C307" s="37"/>
      <c r="D307" s="35"/>
    </row>
    <row r="308" spans="3:6" x14ac:dyDescent="0.25">
      <c r="C308" s="37"/>
      <c r="D308" s="35"/>
    </row>
    <row r="309" spans="3:6" x14ac:dyDescent="0.25">
      <c r="C309" s="37"/>
      <c r="D309" s="35"/>
    </row>
    <row r="310" spans="3:6" x14ac:dyDescent="0.25">
      <c r="C310" s="37"/>
      <c r="D310" s="35"/>
    </row>
    <row r="311" spans="3:6" x14ac:dyDescent="0.25">
      <c r="C311" s="37"/>
      <c r="D311" s="35"/>
      <c r="F311" s="36"/>
    </row>
    <row r="312" spans="3:6" x14ac:dyDescent="0.25">
      <c r="C312" s="37"/>
      <c r="D312" s="35"/>
    </row>
    <row r="313" spans="3:6" x14ac:dyDescent="0.25">
      <c r="C313" s="37"/>
      <c r="D313" s="35"/>
    </row>
    <row r="314" spans="3:6" x14ac:dyDescent="0.25">
      <c r="C314" s="37"/>
      <c r="D314" s="35"/>
    </row>
    <row r="315" spans="3:6" x14ac:dyDescent="0.25">
      <c r="C315" s="37"/>
      <c r="D315" s="35"/>
    </row>
    <row r="316" spans="3:6" x14ac:dyDescent="0.25">
      <c r="C316" s="37"/>
      <c r="D316" s="35"/>
    </row>
    <row r="317" spans="3:6" x14ac:dyDescent="0.25">
      <c r="C317" s="37"/>
      <c r="D317" s="35"/>
    </row>
    <row r="318" spans="3:6" x14ac:dyDescent="0.25">
      <c r="C318" s="37"/>
      <c r="D318" s="35"/>
    </row>
    <row r="319" spans="3:6" x14ac:dyDescent="0.25">
      <c r="C319" s="37"/>
      <c r="D319" s="35"/>
    </row>
    <row r="320" spans="3:6" x14ac:dyDescent="0.25">
      <c r="C320" s="37"/>
      <c r="D320" s="35"/>
    </row>
    <row r="321" spans="3:4" x14ac:dyDescent="0.25">
      <c r="C321" s="37"/>
      <c r="D321" s="35"/>
    </row>
    <row r="322" spans="3:4" x14ac:dyDescent="0.25">
      <c r="C322" s="37"/>
      <c r="D322" s="35"/>
    </row>
    <row r="323" spans="3:4" x14ac:dyDescent="0.25">
      <c r="C323" s="37"/>
      <c r="D323" s="35"/>
    </row>
    <row r="324" spans="3:4" x14ac:dyDescent="0.25">
      <c r="C324" s="37"/>
      <c r="D324" s="35"/>
    </row>
    <row r="325" spans="3:4" x14ac:dyDescent="0.25">
      <c r="C325" s="37"/>
      <c r="D325" s="35"/>
    </row>
    <row r="326" spans="3:4" x14ac:dyDescent="0.25">
      <c r="C326" s="37"/>
      <c r="D326" s="35"/>
    </row>
    <row r="327" spans="3:4" x14ac:dyDescent="0.25">
      <c r="C327" s="37"/>
      <c r="D327" s="35"/>
    </row>
    <row r="328" spans="3:4" x14ac:dyDescent="0.25">
      <c r="C328" s="37"/>
      <c r="D328" s="35"/>
    </row>
    <row r="329" spans="3:4" x14ac:dyDescent="0.25">
      <c r="C329" s="37"/>
      <c r="D329" s="35"/>
    </row>
    <row r="330" spans="3:4" x14ac:dyDescent="0.25">
      <c r="C330" s="37"/>
      <c r="D330" s="35"/>
    </row>
    <row r="331" spans="3:4" x14ac:dyDescent="0.25">
      <c r="C331" s="37"/>
      <c r="D331" s="35"/>
    </row>
    <row r="332" spans="3:4" x14ac:dyDescent="0.25">
      <c r="C332" s="37"/>
      <c r="D332" s="35"/>
    </row>
    <row r="333" spans="3:4" x14ac:dyDescent="0.25">
      <c r="C333" s="37"/>
      <c r="D333" s="35"/>
    </row>
    <row r="334" spans="3:4" x14ac:dyDescent="0.25">
      <c r="C334" s="37"/>
      <c r="D334" s="35"/>
    </row>
    <row r="335" spans="3:4" x14ac:dyDescent="0.25">
      <c r="C335" s="37"/>
      <c r="D335" s="35"/>
    </row>
    <row r="336" spans="3:4" x14ac:dyDescent="0.25">
      <c r="C336" s="37"/>
      <c r="D336" s="35"/>
    </row>
    <row r="337" spans="3:4" x14ac:dyDescent="0.25">
      <c r="C337" s="37"/>
      <c r="D337" s="35"/>
    </row>
    <row r="338" spans="3:4" x14ac:dyDescent="0.25">
      <c r="C338" s="37"/>
      <c r="D338" s="35"/>
    </row>
    <row r="339" spans="3:4" x14ac:dyDescent="0.25">
      <c r="C339" s="37"/>
      <c r="D339" s="35"/>
    </row>
    <row r="340" spans="3:4" x14ac:dyDescent="0.25">
      <c r="C340" s="37"/>
      <c r="D340" s="35"/>
    </row>
    <row r="341" spans="3:4" x14ac:dyDescent="0.25">
      <c r="C341" s="37"/>
      <c r="D341" s="35"/>
    </row>
    <row r="342" spans="3:4" x14ac:dyDescent="0.25">
      <c r="C342" s="37"/>
      <c r="D342" s="35"/>
    </row>
    <row r="343" spans="3:4" x14ac:dyDescent="0.25">
      <c r="C343" s="37"/>
      <c r="D343" s="35"/>
    </row>
    <row r="344" spans="3:4" x14ac:dyDescent="0.25">
      <c r="C344" s="37"/>
      <c r="D344" s="35"/>
    </row>
    <row r="345" spans="3:4" x14ac:dyDescent="0.25">
      <c r="C345" s="37"/>
      <c r="D345" s="35"/>
    </row>
    <row r="346" spans="3:4" x14ac:dyDescent="0.25">
      <c r="C346" s="37"/>
      <c r="D346" s="35"/>
    </row>
    <row r="347" spans="3:4" x14ac:dyDescent="0.25">
      <c r="C347" s="37"/>
      <c r="D347" s="35"/>
    </row>
    <row r="348" spans="3:4" x14ac:dyDescent="0.25">
      <c r="C348" s="37"/>
      <c r="D348" s="35"/>
    </row>
    <row r="349" spans="3:4" x14ac:dyDescent="0.25">
      <c r="C349" s="37"/>
      <c r="D349" s="35"/>
    </row>
    <row r="350" spans="3:4" x14ac:dyDescent="0.25">
      <c r="C350" s="37"/>
      <c r="D350" s="35"/>
    </row>
    <row r="351" spans="3:4" x14ac:dyDescent="0.25">
      <c r="C351" s="37"/>
      <c r="D351" s="35"/>
    </row>
    <row r="352" spans="3:4" x14ac:dyDescent="0.25">
      <c r="C352" s="37"/>
      <c r="D352" s="35"/>
    </row>
    <row r="353" spans="3:4" x14ac:dyDescent="0.25">
      <c r="C353" s="37"/>
      <c r="D353" s="35"/>
    </row>
    <row r="354" spans="3:4" x14ac:dyDescent="0.25">
      <c r="C354" s="37"/>
      <c r="D354" s="35"/>
    </row>
    <row r="355" spans="3:4" x14ac:dyDescent="0.25">
      <c r="C355" s="37"/>
      <c r="D355" s="35"/>
    </row>
    <row r="356" spans="3:4" x14ac:dyDescent="0.25">
      <c r="C356" s="37"/>
      <c r="D356" s="35"/>
    </row>
    <row r="357" spans="3:4" x14ac:dyDescent="0.25">
      <c r="C357" s="37"/>
      <c r="D357" s="35"/>
    </row>
    <row r="358" spans="3:4" x14ac:dyDescent="0.25">
      <c r="C358" s="37"/>
      <c r="D358" s="35"/>
    </row>
    <row r="359" spans="3:4" x14ac:dyDescent="0.25">
      <c r="C359" s="37"/>
      <c r="D359" s="35"/>
    </row>
    <row r="360" spans="3:4" x14ac:dyDescent="0.25">
      <c r="C360" s="37"/>
      <c r="D360" s="35"/>
    </row>
    <row r="361" spans="3:4" x14ac:dyDescent="0.25">
      <c r="C361" s="37"/>
      <c r="D361" s="35"/>
    </row>
    <row r="362" spans="3:4" x14ac:dyDescent="0.25">
      <c r="C362" s="37"/>
      <c r="D362" s="35"/>
    </row>
    <row r="363" spans="3:4" x14ac:dyDescent="0.25">
      <c r="C363" s="37"/>
      <c r="D363" s="35"/>
    </row>
    <row r="364" spans="3:4" x14ac:dyDescent="0.25">
      <c r="C364" s="37"/>
      <c r="D364" s="35"/>
    </row>
    <row r="365" spans="3:4" x14ac:dyDescent="0.25">
      <c r="C365" s="37"/>
      <c r="D365" s="35"/>
    </row>
    <row r="366" spans="3:4" x14ac:dyDescent="0.25">
      <c r="C366" s="37"/>
      <c r="D366" s="35"/>
    </row>
    <row r="367" spans="3:4" x14ac:dyDescent="0.25">
      <c r="C367" s="37"/>
      <c r="D367" s="35"/>
    </row>
    <row r="368" spans="3:4" x14ac:dyDescent="0.25">
      <c r="C368" s="37"/>
      <c r="D368" s="35"/>
    </row>
    <row r="369" spans="3:4" x14ac:dyDescent="0.25">
      <c r="C369" s="37"/>
      <c r="D369" s="35"/>
    </row>
    <row r="370" spans="3:4" x14ac:dyDescent="0.25">
      <c r="C370" s="37"/>
      <c r="D370" s="35"/>
    </row>
    <row r="371" spans="3:4" x14ac:dyDescent="0.25">
      <c r="C371" s="37"/>
      <c r="D371" s="35"/>
    </row>
    <row r="372" spans="3:4" x14ac:dyDescent="0.25">
      <c r="C372" s="37"/>
      <c r="D372" s="35"/>
    </row>
    <row r="373" spans="3:4" x14ac:dyDescent="0.25">
      <c r="C373" s="37"/>
      <c r="D373" s="35"/>
    </row>
    <row r="374" spans="3:4" x14ac:dyDescent="0.25">
      <c r="C374" s="37"/>
      <c r="D374" s="35"/>
    </row>
    <row r="375" spans="3:4" x14ac:dyDescent="0.25">
      <c r="C375" s="37"/>
      <c r="D375" s="35"/>
    </row>
    <row r="376" spans="3:4" x14ac:dyDescent="0.25">
      <c r="C376" s="37"/>
      <c r="D376" s="35"/>
    </row>
    <row r="377" spans="3:4" x14ac:dyDescent="0.25">
      <c r="C377" s="37"/>
      <c r="D377" s="35"/>
    </row>
    <row r="378" spans="3:4" x14ac:dyDescent="0.25">
      <c r="C378" s="37"/>
      <c r="D378" s="35"/>
    </row>
    <row r="379" spans="3:4" x14ac:dyDescent="0.25">
      <c r="C379" s="37"/>
      <c r="D379" s="35"/>
    </row>
    <row r="380" spans="3:4" x14ac:dyDescent="0.25">
      <c r="C380" s="37"/>
      <c r="D380" s="35"/>
    </row>
    <row r="381" spans="3:4" x14ac:dyDescent="0.25">
      <c r="C381" s="37"/>
      <c r="D381" s="35"/>
    </row>
    <row r="382" spans="3:4" x14ac:dyDescent="0.25">
      <c r="C382" s="37"/>
      <c r="D382" s="35"/>
    </row>
    <row r="383" spans="3:4" x14ac:dyDescent="0.25">
      <c r="C383" s="37"/>
      <c r="D383" s="35"/>
    </row>
    <row r="384" spans="3:4" x14ac:dyDescent="0.25">
      <c r="C384" s="37"/>
      <c r="D384" s="35"/>
    </row>
    <row r="385" spans="3:4" x14ac:dyDescent="0.25">
      <c r="C385" s="37"/>
      <c r="D385" s="35"/>
    </row>
    <row r="386" spans="3:4" x14ac:dyDescent="0.25">
      <c r="C386" s="37"/>
      <c r="D386" s="35"/>
    </row>
    <row r="387" spans="3:4" x14ac:dyDescent="0.25">
      <c r="C387" s="37"/>
      <c r="D387" s="35"/>
    </row>
    <row r="388" spans="3:4" x14ac:dyDescent="0.25">
      <c r="C388" s="37"/>
      <c r="D388" s="35"/>
    </row>
    <row r="389" spans="3:4" x14ac:dyDescent="0.25">
      <c r="C389" s="37"/>
      <c r="D389" s="35"/>
    </row>
    <row r="390" spans="3:4" x14ac:dyDescent="0.25">
      <c r="C390" s="37"/>
      <c r="D390" s="35"/>
    </row>
    <row r="391" spans="3:4" x14ac:dyDescent="0.25">
      <c r="C391" s="37"/>
      <c r="D391" s="35"/>
    </row>
    <row r="392" spans="3:4" x14ac:dyDescent="0.25">
      <c r="C392" s="37"/>
      <c r="D392" s="35"/>
    </row>
    <row r="393" spans="3:4" x14ac:dyDescent="0.25">
      <c r="C393" s="37"/>
      <c r="D393" s="35"/>
    </row>
    <row r="394" spans="3:4" x14ac:dyDescent="0.25">
      <c r="C394" s="37"/>
      <c r="D394" s="35"/>
    </row>
    <row r="395" spans="3:4" x14ac:dyDescent="0.25">
      <c r="C395" s="37"/>
      <c r="D395" s="35"/>
    </row>
    <row r="396" spans="3:4" x14ac:dyDescent="0.25">
      <c r="C396" s="37"/>
      <c r="D396" s="35"/>
    </row>
    <row r="397" spans="3:4" x14ac:dyDescent="0.25">
      <c r="C397" s="37"/>
      <c r="D397" s="35"/>
    </row>
    <row r="398" spans="3:4" x14ac:dyDescent="0.25">
      <c r="C398" s="37"/>
      <c r="D398" s="35"/>
    </row>
    <row r="399" spans="3:4" x14ac:dyDescent="0.25">
      <c r="C399" s="37"/>
      <c r="D399" s="35"/>
    </row>
    <row r="400" spans="3:4" x14ac:dyDescent="0.25">
      <c r="C400" s="37"/>
      <c r="D400" s="35"/>
    </row>
    <row r="401" spans="3:4" x14ac:dyDescent="0.25">
      <c r="C401" s="37"/>
      <c r="D401" s="35"/>
    </row>
    <row r="402" spans="3:4" x14ac:dyDescent="0.25">
      <c r="C402" s="37"/>
      <c r="D402" s="35"/>
    </row>
    <row r="403" spans="3:4" x14ac:dyDescent="0.25">
      <c r="C403" s="37"/>
      <c r="D403" s="35"/>
    </row>
    <row r="404" spans="3:4" x14ac:dyDescent="0.25">
      <c r="C404" s="37"/>
      <c r="D404" s="35"/>
    </row>
    <row r="405" spans="3:4" x14ac:dyDescent="0.25">
      <c r="C405" s="37"/>
      <c r="D405" s="35"/>
    </row>
    <row r="406" spans="3:4" x14ac:dyDescent="0.25">
      <c r="C406" s="37"/>
      <c r="D406" s="35"/>
    </row>
    <row r="407" spans="3:4" x14ac:dyDescent="0.25">
      <c r="C407" s="37"/>
      <c r="D407" s="35"/>
    </row>
    <row r="408" spans="3:4" x14ac:dyDescent="0.25">
      <c r="C408" s="37"/>
      <c r="D408" s="35"/>
    </row>
    <row r="409" spans="3:4" x14ac:dyDescent="0.25">
      <c r="C409" s="37"/>
      <c r="D409" s="35"/>
    </row>
    <row r="410" spans="3:4" x14ac:dyDescent="0.25">
      <c r="C410" s="37"/>
      <c r="D410" s="35"/>
    </row>
    <row r="411" spans="3:4" x14ac:dyDescent="0.25">
      <c r="C411" s="37"/>
      <c r="D411" s="35"/>
    </row>
    <row r="412" spans="3:4" x14ac:dyDescent="0.25">
      <c r="C412" s="37"/>
      <c r="D412" s="35"/>
    </row>
    <row r="413" spans="3:4" x14ac:dyDescent="0.25">
      <c r="C413" s="37"/>
      <c r="D413" s="35"/>
    </row>
    <row r="414" spans="3:4" x14ac:dyDescent="0.25">
      <c r="C414" s="37"/>
      <c r="D414" s="35"/>
    </row>
    <row r="415" spans="3:4" x14ac:dyDescent="0.25">
      <c r="C415" s="37"/>
      <c r="D415" s="35"/>
    </row>
    <row r="416" spans="3:4" x14ac:dyDescent="0.25">
      <c r="C416" s="37"/>
      <c r="D416" s="35"/>
    </row>
    <row r="417" spans="3:4" x14ac:dyDescent="0.25">
      <c r="C417" s="37"/>
      <c r="D417" s="35"/>
    </row>
    <row r="418" spans="3:4" x14ac:dyDescent="0.25">
      <c r="C418" s="37"/>
      <c r="D418" s="35"/>
    </row>
    <row r="419" spans="3:4" x14ac:dyDescent="0.25">
      <c r="C419" s="37"/>
      <c r="D419" s="35"/>
    </row>
    <row r="420" spans="3:4" x14ac:dyDescent="0.25">
      <c r="C420" s="37"/>
      <c r="D420" s="35"/>
    </row>
    <row r="421" spans="3:4" x14ac:dyDescent="0.25">
      <c r="C421" s="37"/>
      <c r="D421" s="35"/>
    </row>
    <row r="422" spans="3:4" x14ac:dyDescent="0.25">
      <c r="C422" s="37"/>
      <c r="D422" s="35"/>
    </row>
    <row r="423" spans="3:4" x14ac:dyDescent="0.25">
      <c r="C423" s="37"/>
      <c r="D423" s="35"/>
    </row>
    <row r="424" spans="3:4" x14ac:dyDescent="0.25">
      <c r="C424" s="37"/>
      <c r="D424" s="35"/>
    </row>
    <row r="425" spans="3:4" x14ac:dyDescent="0.25">
      <c r="C425" s="37"/>
      <c r="D425" s="35"/>
    </row>
    <row r="426" spans="3:4" x14ac:dyDescent="0.25">
      <c r="C426" s="37"/>
      <c r="D426" s="35"/>
    </row>
    <row r="427" spans="3:4" x14ac:dyDescent="0.25">
      <c r="C427" s="37"/>
      <c r="D427" s="35"/>
    </row>
    <row r="428" spans="3:4" x14ac:dyDescent="0.25">
      <c r="C428" s="37"/>
      <c r="D428" s="35"/>
    </row>
    <row r="429" spans="3:4" x14ac:dyDescent="0.25">
      <c r="C429" s="37"/>
      <c r="D429" s="35"/>
    </row>
    <row r="430" spans="3:4" x14ac:dyDescent="0.25">
      <c r="C430" s="37"/>
      <c r="D430" s="35"/>
    </row>
    <row r="431" spans="3:4" x14ac:dyDescent="0.25">
      <c r="C431" s="37"/>
      <c r="D431" s="35"/>
    </row>
    <row r="432" spans="3:4" x14ac:dyDescent="0.25">
      <c r="C432" s="37"/>
      <c r="D432" s="35"/>
    </row>
    <row r="433" spans="3:4" x14ac:dyDescent="0.25">
      <c r="C433" s="37"/>
      <c r="D433" s="35"/>
    </row>
    <row r="434" spans="3:4" x14ac:dyDescent="0.25">
      <c r="C434" s="37"/>
      <c r="D434" s="35"/>
    </row>
    <row r="435" spans="3:4" x14ac:dyDescent="0.25">
      <c r="C435" s="37"/>
      <c r="D435" s="35"/>
    </row>
    <row r="436" spans="3:4" x14ac:dyDescent="0.25">
      <c r="C436" s="37"/>
      <c r="D436" s="35"/>
    </row>
    <row r="437" spans="3:4" x14ac:dyDescent="0.25">
      <c r="C437" s="37"/>
      <c r="D437" s="35"/>
    </row>
    <row r="438" spans="3:4" x14ac:dyDescent="0.25">
      <c r="C438" s="37"/>
      <c r="D438" s="35"/>
    </row>
    <row r="439" spans="3:4" x14ac:dyDescent="0.25">
      <c r="C439" s="37"/>
      <c r="D439" s="35"/>
    </row>
    <row r="440" spans="3:4" x14ac:dyDescent="0.25">
      <c r="C440" s="37"/>
      <c r="D440" s="35"/>
    </row>
    <row r="441" spans="3:4" x14ac:dyDescent="0.25">
      <c r="C441" s="37"/>
      <c r="D441" s="35"/>
    </row>
    <row r="442" spans="3:4" x14ac:dyDescent="0.25">
      <c r="C442" s="37"/>
      <c r="D442" s="35"/>
    </row>
    <row r="443" spans="3:4" x14ac:dyDescent="0.25">
      <c r="C443" s="37"/>
      <c r="D443" s="35"/>
    </row>
    <row r="444" spans="3:4" x14ac:dyDescent="0.25">
      <c r="C444" s="37"/>
      <c r="D444" s="35"/>
    </row>
    <row r="445" spans="3:4" x14ac:dyDescent="0.25">
      <c r="C445" s="37"/>
      <c r="D445" s="35"/>
    </row>
    <row r="446" spans="3:4" x14ac:dyDescent="0.25">
      <c r="C446" s="37"/>
      <c r="D446" s="35"/>
    </row>
    <row r="447" spans="3:4" x14ac:dyDescent="0.25">
      <c r="C447" s="37"/>
      <c r="D447" s="35"/>
    </row>
    <row r="448" spans="3:4" x14ac:dyDescent="0.25">
      <c r="C448" s="37"/>
      <c r="D448" s="35"/>
    </row>
    <row r="449" spans="3:4" x14ac:dyDescent="0.25">
      <c r="C449" s="37"/>
      <c r="D449" s="35"/>
    </row>
    <row r="450" spans="3:4" x14ac:dyDescent="0.25">
      <c r="C450" s="37"/>
      <c r="D450" s="35"/>
    </row>
    <row r="451" spans="3:4" x14ac:dyDescent="0.25">
      <c r="C451" s="37"/>
      <c r="D451" s="35"/>
    </row>
    <row r="452" spans="3:4" x14ac:dyDescent="0.25">
      <c r="C452" s="37"/>
      <c r="D452" s="35"/>
    </row>
    <row r="453" spans="3:4" x14ac:dyDescent="0.25">
      <c r="C453" s="37"/>
      <c r="D453" s="35"/>
    </row>
    <row r="454" spans="3:4" x14ac:dyDescent="0.25">
      <c r="C454" s="37"/>
      <c r="D454" s="35"/>
    </row>
    <row r="455" spans="3:4" x14ac:dyDescent="0.25">
      <c r="C455" s="37"/>
      <c r="D455" s="35"/>
    </row>
    <row r="456" spans="3:4" x14ac:dyDescent="0.25">
      <c r="C456" s="37"/>
      <c r="D456" s="35"/>
    </row>
    <row r="457" spans="3:4" x14ac:dyDescent="0.25">
      <c r="C457" s="37"/>
      <c r="D457" s="35"/>
    </row>
    <row r="458" spans="3:4" x14ac:dyDescent="0.25">
      <c r="C458" s="37"/>
      <c r="D458" s="35"/>
    </row>
    <row r="459" spans="3:4" x14ac:dyDescent="0.25">
      <c r="C459" s="37"/>
      <c r="D459" s="35"/>
    </row>
    <row r="460" spans="3:4" x14ac:dyDescent="0.25">
      <c r="C460" s="37"/>
      <c r="D460" s="35"/>
    </row>
    <row r="461" spans="3:4" x14ac:dyDescent="0.25">
      <c r="C461" s="37"/>
      <c r="D461" s="35"/>
    </row>
    <row r="462" spans="3:4" x14ac:dyDescent="0.25">
      <c r="C462" s="37"/>
      <c r="D462" s="35"/>
    </row>
    <row r="463" spans="3:4" x14ac:dyDescent="0.25">
      <c r="C463" s="37"/>
      <c r="D463" s="35"/>
    </row>
    <row r="464" spans="3:4" x14ac:dyDescent="0.25">
      <c r="C464" s="37"/>
      <c r="D464" s="35"/>
    </row>
    <row r="465" spans="3:4" x14ac:dyDescent="0.25">
      <c r="C465" s="37"/>
      <c r="D465" s="35"/>
    </row>
    <row r="466" spans="3:4" x14ac:dyDescent="0.25">
      <c r="C466" s="37"/>
      <c r="D466" s="35"/>
    </row>
    <row r="467" spans="3:4" x14ac:dyDescent="0.25">
      <c r="C467" s="37"/>
      <c r="D467" s="35"/>
    </row>
    <row r="468" spans="3:4" x14ac:dyDescent="0.25">
      <c r="C468" s="37"/>
      <c r="D468" s="35"/>
    </row>
    <row r="469" spans="3:4" x14ac:dyDescent="0.25">
      <c r="C469" s="37"/>
      <c r="D469" s="35"/>
    </row>
    <row r="470" spans="3:4" x14ac:dyDescent="0.25">
      <c r="C470" s="37"/>
      <c r="D470" s="35"/>
    </row>
    <row r="471" spans="3:4" x14ac:dyDescent="0.25">
      <c r="C471" s="37"/>
      <c r="D471" s="35"/>
    </row>
    <row r="472" spans="3:4" x14ac:dyDescent="0.25">
      <c r="C472" s="37"/>
      <c r="D472" s="35"/>
    </row>
    <row r="473" spans="3:4" x14ac:dyDescent="0.25">
      <c r="C473" s="37"/>
      <c r="D473" s="35"/>
    </row>
    <row r="474" spans="3:4" x14ac:dyDescent="0.25">
      <c r="C474" s="37"/>
      <c r="D474" s="35"/>
    </row>
    <row r="475" spans="3:4" x14ac:dyDescent="0.25">
      <c r="C475" s="37"/>
      <c r="D475" s="35"/>
    </row>
    <row r="476" spans="3:4" x14ac:dyDescent="0.25">
      <c r="C476" s="37"/>
      <c r="D476" s="35"/>
    </row>
    <row r="477" spans="3:4" x14ac:dyDescent="0.25">
      <c r="C477" s="37"/>
      <c r="D477" s="35"/>
    </row>
    <row r="478" spans="3:4" x14ac:dyDescent="0.25">
      <c r="C478" s="37"/>
      <c r="D478" s="35"/>
    </row>
    <row r="479" spans="3:4" x14ac:dyDescent="0.25">
      <c r="C479" s="37"/>
      <c r="D479" s="35"/>
    </row>
    <row r="480" spans="3:4" x14ac:dyDescent="0.25">
      <c r="C480" s="37"/>
      <c r="D480" s="35"/>
    </row>
    <row r="481" spans="3:4" x14ac:dyDescent="0.25">
      <c r="C481" s="37"/>
      <c r="D481" s="35"/>
    </row>
    <row r="482" spans="3:4" x14ac:dyDescent="0.25">
      <c r="C482" s="37"/>
      <c r="D482" s="35"/>
    </row>
    <row r="483" spans="3:4" x14ac:dyDescent="0.25">
      <c r="C483" s="37"/>
      <c r="D483" s="35"/>
    </row>
    <row r="484" spans="3:4" x14ac:dyDescent="0.25">
      <c r="C484" s="37"/>
      <c r="D484" s="35"/>
    </row>
    <row r="485" spans="3:4" x14ac:dyDescent="0.25">
      <c r="C485" s="37"/>
      <c r="D485" s="35"/>
    </row>
    <row r="486" spans="3:4" x14ac:dyDescent="0.25">
      <c r="C486" s="37"/>
      <c r="D486" s="35"/>
    </row>
    <row r="487" spans="3:4" x14ac:dyDescent="0.25">
      <c r="C487" s="37"/>
      <c r="D487" s="35"/>
    </row>
    <row r="488" spans="3:4" x14ac:dyDescent="0.25">
      <c r="C488" s="37"/>
      <c r="D488" s="35"/>
    </row>
    <row r="489" spans="3:4" x14ac:dyDescent="0.25">
      <c r="C489" s="37"/>
      <c r="D489" s="35"/>
    </row>
    <row r="490" spans="3:4" x14ac:dyDescent="0.25">
      <c r="C490" s="37"/>
      <c r="D490" s="35"/>
    </row>
    <row r="491" spans="3:4" x14ac:dyDescent="0.25">
      <c r="C491" s="37"/>
      <c r="D491" s="35"/>
    </row>
    <row r="492" spans="3:4" x14ac:dyDescent="0.25">
      <c r="C492" s="37"/>
      <c r="D492" s="35"/>
    </row>
    <row r="493" spans="3:4" x14ac:dyDescent="0.25">
      <c r="C493" s="37"/>
      <c r="D493" s="35"/>
    </row>
    <row r="494" spans="3:4" x14ac:dyDescent="0.25">
      <c r="C494" s="37"/>
      <c r="D494" s="35"/>
    </row>
    <row r="495" spans="3:4" x14ac:dyDescent="0.25">
      <c r="C495" s="37"/>
      <c r="D495" s="35"/>
    </row>
    <row r="496" spans="3:4" x14ac:dyDescent="0.25">
      <c r="C496" s="37"/>
      <c r="D496" s="35"/>
    </row>
    <row r="497" spans="3:4" x14ac:dyDescent="0.25">
      <c r="C497" s="37"/>
      <c r="D497" s="35"/>
    </row>
    <row r="498" spans="3:4" x14ac:dyDescent="0.25">
      <c r="C498" s="37"/>
      <c r="D498" s="35"/>
    </row>
    <row r="499" spans="3:4" x14ac:dyDescent="0.25">
      <c r="C499" s="37"/>
      <c r="D499" s="35"/>
    </row>
    <row r="500" spans="3:4" x14ac:dyDescent="0.25">
      <c r="C500" s="37"/>
      <c r="D500" s="35"/>
    </row>
    <row r="501" spans="3:4" x14ac:dyDescent="0.25">
      <c r="C501" s="37"/>
      <c r="D501" s="35"/>
    </row>
    <row r="502" spans="3:4" x14ac:dyDescent="0.25">
      <c r="C502" s="37"/>
      <c r="D502" s="35"/>
    </row>
    <row r="503" spans="3:4" x14ac:dyDescent="0.25">
      <c r="C503" s="37"/>
      <c r="D503" s="35"/>
    </row>
    <row r="504" spans="3:4" x14ac:dyDescent="0.25">
      <c r="C504" s="37"/>
      <c r="D504" s="35"/>
    </row>
    <row r="505" spans="3:4" x14ac:dyDescent="0.25">
      <c r="C505" s="37"/>
      <c r="D505" s="35"/>
    </row>
    <row r="506" spans="3:4" x14ac:dyDescent="0.25">
      <c r="C506" s="37"/>
      <c r="D506" s="35"/>
    </row>
    <row r="507" spans="3:4" x14ac:dyDescent="0.25">
      <c r="C507" s="37"/>
      <c r="D507" s="35"/>
    </row>
    <row r="508" spans="3:4" x14ac:dyDescent="0.25">
      <c r="C508" s="37"/>
      <c r="D508" s="35"/>
    </row>
    <row r="509" spans="3:4" x14ac:dyDescent="0.25">
      <c r="C509" s="37"/>
      <c r="D509" s="35"/>
    </row>
    <row r="510" spans="3:4" x14ac:dyDescent="0.25">
      <c r="C510" s="37"/>
      <c r="D510" s="35"/>
    </row>
    <row r="511" spans="3:4" x14ac:dyDescent="0.25">
      <c r="C511" s="37"/>
      <c r="D511" s="35"/>
    </row>
    <row r="512" spans="3:4" x14ac:dyDescent="0.25">
      <c r="C512" s="37"/>
      <c r="D512" s="35"/>
    </row>
    <row r="513" spans="3:4" x14ac:dyDescent="0.25">
      <c r="C513" s="37"/>
      <c r="D513" s="35"/>
    </row>
    <row r="514" spans="3:4" x14ac:dyDescent="0.25">
      <c r="C514" s="37"/>
      <c r="D514" s="35"/>
    </row>
    <row r="515" spans="3:4" x14ac:dyDescent="0.25">
      <c r="C515" s="37"/>
      <c r="D515" s="35"/>
    </row>
    <row r="516" spans="3:4" x14ac:dyDescent="0.25">
      <c r="C516" s="37"/>
      <c r="D516" s="35"/>
    </row>
    <row r="517" spans="3:4" x14ac:dyDescent="0.25">
      <c r="C517" s="37"/>
      <c r="D517" s="35"/>
    </row>
    <row r="518" spans="3:4" x14ac:dyDescent="0.25">
      <c r="C518" s="37"/>
      <c r="D518" s="35"/>
    </row>
    <row r="519" spans="3:4" x14ac:dyDescent="0.25">
      <c r="C519" s="37"/>
      <c r="D519" s="35"/>
    </row>
    <row r="520" spans="3:4" x14ac:dyDescent="0.25">
      <c r="C520" s="37"/>
      <c r="D520" s="35"/>
    </row>
    <row r="521" spans="3:4" x14ac:dyDescent="0.25">
      <c r="C521" s="37"/>
      <c r="D521" s="35"/>
    </row>
    <row r="522" spans="3:4" x14ac:dyDescent="0.25">
      <c r="C522" s="37"/>
      <c r="D522" s="35"/>
    </row>
    <row r="523" spans="3:4" x14ac:dyDescent="0.25">
      <c r="C523" s="37"/>
      <c r="D523" s="35"/>
    </row>
    <row r="524" spans="3:4" x14ac:dyDescent="0.25">
      <c r="C524" s="37"/>
      <c r="D524" s="35"/>
    </row>
    <row r="525" spans="3:4" x14ac:dyDescent="0.25">
      <c r="C525" s="37"/>
      <c r="D525" s="35"/>
    </row>
    <row r="526" spans="3:4" x14ac:dyDescent="0.25">
      <c r="C526" s="37"/>
      <c r="D526" s="35"/>
    </row>
    <row r="527" spans="3:4" x14ac:dyDescent="0.25">
      <c r="C527" s="37"/>
      <c r="D527" s="35"/>
    </row>
    <row r="528" spans="3:4" x14ac:dyDescent="0.25">
      <c r="C528" s="37"/>
      <c r="D528" s="35"/>
    </row>
    <row r="529" spans="3:4" x14ac:dyDescent="0.25">
      <c r="C529" s="37"/>
      <c r="D529" s="35"/>
    </row>
    <row r="530" spans="3:4" x14ac:dyDescent="0.25">
      <c r="C530" s="37"/>
      <c r="D530" s="35"/>
    </row>
    <row r="531" spans="3:4" x14ac:dyDescent="0.25">
      <c r="C531" s="37"/>
      <c r="D531" s="35"/>
    </row>
    <row r="532" spans="3:4" x14ac:dyDescent="0.25">
      <c r="C532" s="37"/>
      <c r="D532" s="35"/>
    </row>
    <row r="533" spans="3:4" x14ac:dyDescent="0.25">
      <c r="C533" s="37"/>
      <c r="D533" s="35"/>
    </row>
    <row r="534" spans="3:4" x14ac:dyDescent="0.25">
      <c r="C534" s="37"/>
      <c r="D534" s="35"/>
    </row>
    <row r="535" spans="3:4" x14ac:dyDescent="0.25">
      <c r="C535" s="37"/>
      <c r="D535" s="35"/>
    </row>
    <row r="536" spans="3:4" x14ac:dyDescent="0.25">
      <c r="C536" s="37"/>
      <c r="D536" s="35"/>
    </row>
    <row r="537" spans="3:4" x14ac:dyDescent="0.25">
      <c r="C537" s="37"/>
      <c r="D537" s="35"/>
    </row>
    <row r="538" spans="3:4" x14ac:dyDescent="0.25">
      <c r="C538" s="37"/>
      <c r="D538" s="35"/>
    </row>
    <row r="539" spans="3:4" x14ac:dyDescent="0.25">
      <c r="C539" s="37"/>
      <c r="D539" s="35"/>
    </row>
    <row r="540" spans="3:4" x14ac:dyDescent="0.25">
      <c r="C540" s="37"/>
      <c r="D540" s="35"/>
    </row>
    <row r="541" spans="3:4" x14ac:dyDescent="0.25">
      <c r="C541" s="37"/>
      <c r="D541" s="35"/>
    </row>
    <row r="542" spans="3:4" x14ac:dyDescent="0.25">
      <c r="C542" s="37"/>
      <c r="D542" s="35"/>
    </row>
    <row r="543" spans="3:4" x14ac:dyDescent="0.25">
      <c r="C543" s="37"/>
      <c r="D543" s="35"/>
    </row>
    <row r="544" spans="3:4" x14ac:dyDescent="0.25">
      <c r="C544" s="37"/>
      <c r="D544" s="35"/>
    </row>
    <row r="545" spans="3:4" x14ac:dyDescent="0.25">
      <c r="C545" s="37"/>
      <c r="D545" s="35"/>
    </row>
    <row r="546" spans="3:4" x14ac:dyDescent="0.25">
      <c r="C546" s="37"/>
      <c r="D546" s="35"/>
    </row>
    <row r="547" spans="3:4" x14ac:dyDescent="0.25">
      <c r="C547" s="37"/>
      <c r="D547" s="35"/>
    </row>
    <row r="548" spans="3:4" x14ac:dyDescent="0.25">
      <c r="C548" s="37"/>
      <c r="D548" s="35"/>
    </row>
    <row r="549" spans="3:4" x14ac:dyDescent="0.25">
      <c r="C549" s="37"/>
      <c r="D549" s="35"/>
    </row>
    <row r="550" spans="3:4" x14ac:dyDescent="0.25">
      <c r="C550" s="37"/>
      <c r="D550" s="35"/>
    </row>
    <row r="551" spans="3:4" x14ac:dyDescent="0.25">
      <c r="C551" s="37"/>
      <c r="D551" s="35"/>
    </row>
    <row r="552" spans="3:4" x14ac:dyDescent="0.25">
      <c r="C552" s="37"/>
      <c r="D552" s="35"/>
    </row>
    <row r="553" spans="3:4" x14ac:dyDescent="0.25">
      <c r="C553" s="37"/>
      <c r="D553" s="35"/>
    </row>
    <row r="554" spans="3:4" x14ac:dyDescent="0.25">
      <c r="C554" s="37"/>
      <c r="D554" s="35"/>
    </row>
    <row r="555" spans="3:4" x14ac:dyDescent="0.25">
      <c r="C555" s="37"/>
      <c r="D555" s="35"/>
    </row>
    <row r="556" spans="3:4" x14ac:dyDescent="0.25">
      <c r="C556" s="37"/>
      <c r="D556" s="35"/>
    </row>
    <row r="557" spans="3:4" x14ac:dyDescent="0.25">
      <c r="C557" s="37"/>
      <c r="D557" s="35"/>
    </row>
    <row r="558" spans="3:4" x14ac:dyDescent="0.25">
      <c r="C558" s="37"/>
      <c r="D558" s="35"/>
    </row>
    <row r="559" spans="3:4" x14ac:dyDescent="0.25">
      <c r="C559" s="37"/>
      <c r="D559" s="35"/>
    </row>
    <row r="560" spans="3:4" x14ac:dyDescent="0.25">
      <c r="C560" s="37"/>
      <c r="D560" s="35"/>
    </row>
    <row r="561" spans="3:4" x14ac:dyDescent="0.25">
      <c r="C561" s="37"/>
      <c r="D561" s="35"/>
    </row>
    <row r="562" spans="3:4" x14ac:dyDescent="0.25">
      <c r="C562" s="37"/>
      <c r="D562" s="35"/>
    </row>
    <row r="563" spans="3:4" x14ac:dyDescent="0.25">
      <c r="C563" s="37"/>
      <c r="D563" s="35"/>
    </row>
    <row r="564" spans="3:4" x14ac:dyDescent="0.25">
      <c r="C564" s="37"/>
      <c r="D564" s="35"/>
    </row>
    <row r="565" spans="3:4" x14ac:dyDescent="0.25">
      <c r="C565" s="37"/>
      <c r="D565" s="35"/>
    </row>
    <row r="566" spans="3:4" x14ac:dyDescent="0.25">
      <c r="C566" s="37"/>
      <c r="D566" s="35"/>
    </row>
    <row r="567" spans="3:4" x14ac:dyDescent="0.25">
      <c r="C567" s="37"/>
      <c r="D567" s="35"/>
    </row>
    <row r="568" spans="3:4" x14ac:dyDescent="0.25">
      <c r="C568" s="37"/>
      <c r="D568" s="35"/>
    </row>
    <row r="569" spans="3:4" x14ac:dyDescent="0.25">
      <c r="C569" s="37"/>
      <c r="D569" s="35"/>
    </row>
    <row r="570" spans="3:4" x14ac:dyDescent="0.25">
      <c r="C570" s="37"/>
      <c r="D570" s="35"/>
    </row>
    <row r="571" spans="3:4" x14ac:dyDescent="0.25">
      <c r="C571" s="37"/>
      <c r="D571" s="35"/>
    </row>
    <row r="572" spans="3:4" x14ac:dyDescent="0.25">
      <c r="C572" s="37"/>
      <c r="D572" s="35"/>
    </row>
    <row r="573" spans="3:4" x14ac:dyDescent="0.25">
      <c r="C573" s="37"/>
      <c r="D573" s="35"/>
    </row>
    <row r="574" spans="3:4" x14ac:dyDescent="0.25">
      <c r="C574" s="37"/>
      <c r="D574" s="35"/>
    </row>
    <row r="575" spans="3:4" x14ac:dyDescent="0.25">
      <c r="C575" s="37"/>
      <c r="D575" s="35"/>
    </row>
    <row r="576" spans="3:4" x14ac:dyDescent="0.25">
      <c r="C576" s="37"/>
      <c r="D576" s="35"/>
    </row>
    <row r="577" spans="3:4" x14ac:dyDescent="0.25">
      <c r="C577" s="37"/>
      <c r="D577" s="35"/>
    </row>
    <row r="578" spans="3:4" x14ac:dyDescent="0.25">
      <c r="C578" s="37"/>
      <c r="D578" s="35"/>
    </row>
    <row r="579" spans="3:4" x14ac:dyDescent="0.25">
      <c r="C579" s="37"/>
      <c r="D579" s="35"/>
    </row>
    <row r="580" spans="3:4" x14ac:dyDescent="0.25">
      <c r="C580" s="37"/>
      <c r="D580" s="35"/>
    </row>
    <row r="581" spans="3:4" x14ac:dyDescent="0.25">
      <c r="C581" s="37"/>
      <c r="D581" s="35"/>
    </row>
    <row r="582" spans="3:4" x14ac:dyDescent="0.25">
      <c r="C582" s="37"/>
      <c r="D582" s="35"/>
    </row>
    <row r="583" spans="3:4" x14ac:dyDescent="0.25">
      <c r="C583" s="37"/>
      <c r="D583" s="35"/>
    </row>
    <row r="584" spans="3:4" x14ac:dyDescent="0.25">
      <c r="C584" s="37"/>
      <c r="D584" s="35"/>
    </row>
    <row r="585" spans="3:4" x14ac:dyDescent="0.25">
      <c r="C585" s="37"/>
      <c r="D585" s="35"/>
    </row>
    <row r="586" spans="3:4" x14ac:dyDescent="0.25">
      <c r="C586" s="37"/>
      <c r="D586" s="35"/>
    </row>
    <row r="587" spans="3:4" x14ac:dyDescent="0.25">
      <c r="C587" s="37"/>
      <c r="D587" s="35"/>
    </row>
    <row r="588" spans="3:4" x14ac:dyDescent="0.25">
      <c r="C588" s="37"/>
      <c r="D588" s="35"/>
    </row>
    <row r="589" spans="3:4" x14ac:dyDescent="0.25">
      <c r="C589" s="37"/>
      <c r="D589" s="35"/>
    </row>
    <row r="590" spans="3:4" x14ac:dyDescent="0.25">
      <c r="C590" s="37"/>
      <c r="D590" s="35"/>
    </row>
    <row r="591" spans="3:4" x14ac:dyDescent="0.25">
      <c r="C591" s="37"/>
      <c r="D591" s="35"/>
    </row>
    <row r="592" spans="3:4" x14ac:dyDescent="0.25">
      <c r="C592" s="37"/>
      <c r="D592" s="35"/>
    </row>
    <row r="593" spans="3:4" x14ac:dyDescent="0.25">
      <c r="C593" s="37"/>
      <c r="D593" s="35"/>
    </row>
    <row r="594" spans="3:4" x14ac:dyDescent="0.25">
      <c r="C594" s="37"/>
      <c r="D594" s="35"/>
    </row>
    <row r="595" spans="3:4" x14ac:dyDescent="0.25">
      <c r="C595" s="37"/>
      <c r="D595" s="35"/>
    </row>
    <row r="596" spans="3:4" x14ac:dyDescent="0.25">
      <c r="C596" s="37"/>
      <c r="D596" s="35"/>
    </row>
    <row r="597" spans="3:4" x14ac:dyDescent="0.25">
      <c r="C597" s="37"/>
      <c r="D597" s="35"/>
    </row>
    <row r="598" spans="3:4" x14ac:dyDescent="0.25">
      <c r="C598" s="37"/>
      <c r="D598" s="35"/>
    </row>
    <row r="599" spans="3:4" x14ac:dyDescent="0.25">
      <c r="C599" s="37"/>
      <c r="D599" s="35"/>
    </row>
    <row r="600" spans="3:4" x14ac:dyDescent="0.25">
      <c r="C600" s="37"/>
      <c r="D600" s="35"/>
    </row>
    <row r="601" spans="3:4" x14ac:dyDescent="0.25">
      <c r="C601" s="37"/>
      <c r="D601" s="35"/>
    </row>
    <row r="602" spans="3:4" x14ac:dyDescent="0.25">
      <c r="C602" s="37"/>
      <c r="D602" s="35"/>
    </row>
    <row r="603" spans="3:4" x14ac:dyDescent="0.25">
      <c r="C603" s="37"/>
      <c r="D603" s="35"/>
    </row>
    <row r="604" spans="3:4" x14ac:dyDescent="0.25">
      <c r="C604" s="37"/>
      <c r="D604" s="35"/>
    </row>
    <row r="605" spans="3:4" x14ac:dyDescent="0.25">
      <c r="C605" s="37"/>
      <c r="D605" s="35"/>
    </row>
    <row r="606" spans="3:4" x14ac:dyDescent="0.25">
      <c r="C606" s="37"/>
      <c r="D606" s="35"/>
    </row>
    <row r="607" spans="3:4" x14ac:dyDescent="0.25">
      <c r="C607" s="37"/>
      <c r="D607" s="35"/>
    </row>
    <row r="608" spans="3:4" x14ac:dyDescent="0.25">
      <c r="C608" s="37"/>
      <c r="D608" s="35"/>
    </row>
    <row r="609" spans="3:4" x14ac:dyDescent="0.25">
      <c r="C609" s="37"/>
      <c r="D609" s="35"/>
    </row>
    <row r="610" spans="3:4" x14ac:dyDescent="0.25">
      <c r="C610" s="37"/>
      <c r="D610" s="35"/>
    </row>
    <row r="611" spans="3:4" x14ac:dyDescent="0.25">
      <c r="C611" s="37"/>
      <c r="D611" s="35"/>
    </row>
    <row r="612" spans="3:4" x14ac:dyDescent="0.25">
      <c r="C612" s="37"/>
      <c r="D612" s="35"/>
    </row>
    <row r="613" spans="3:4" x14ac:dyDescent="0.25">
      <c r="C613" s="37"/>
      <c r="D613" s="35"/>
    </row>
    <row r="614" spans="3:4" x14ac:dyDescent="0.25">
      <c r="C614" s="37"/>
      <c r="D614" s="35"/>
    </row>
    <row r="615" spans="3:4" x14ac:dyDescent="0.25">
      <c r="C615" s="37"/>
      <c r="D615" s="35"/>
    </row>
    <row r="616" spans="3:4" x14ac:dyDescent="0.25">
      <c r="C616" s="37"/>
      <c r="D616" s="35"/>
    </row>
    <row r="617" spans="3:4" x14ac:dyDescent="0.25">
      <c r="C617" s="37"/>
      <c r="D617" s="35"/>
    </row>
    <row r="618" spans="3:4" x14ac:dyDescent="0.25">
      <c r="C618" s="37"/>
      <c r="D618" s="35"/>
    </row>
    <row r="619" spans="3:4" x14ac:dyDescent="0.25">
      <c r="C619" s="37"/>
      <c r="D619" s="35"/>
    </row>
    <row r="620" spans="3:4" x14ac:dyDescent="0.25">
      <c r="C620" s="37"/>
      <c r="D620" s="35"/>
    </row>
    <row r="621" spans="3:4" x14ac:dyDescent="0.25">
      <c r="C621" s="37"/>
      <c r="D621" s="35"/>
    </row>
    <row r="622" spans="3:4" x14ac:dyDescent="0.25">
      <c r="C622" s="37"/>
      <c r="D622" s="35"/>
    </row>
    <row r="623" spans="3:4" x14ac:dyDescent="0.25">
      <c r="C623" s="37"/>
      <c r="D623" s="35"/>
    </row>
    <row r="624" spans="3:4" x14ac:dyDescent="0.25">
      <c r="C624" s="37"/>
      <c r="D624" s="35"/>
    </row>
    <row r="625" spans="3:4" x14ac:dyDescent="0.25">
      <c r="C625" s="37"/>
      <c r="D625" s="35"/>
    </row>
    <row r="626" spans="3:4" x14ac:dyDescent="0.25">
      <c r="C626" s="37"/>
      <c r="D626" s="35"/>
    </row>
    <row r="627" spans="3:4" x14ac:dyDescent="0.25">
      <c r="C627" s="37"/>
      <c r="D627" s="35"/>
    </row>
    <row r="628" spans="3:4" x14ac:dyDescent="0.25">
      <c r="C628" s="37"/>
      <c r="D628" s="35"/>
    </row>
    <row r="629" spans="3:4" x14ac:dyDescent="0.25">
      <c r="C629" s="37"/>
      <c r="D629" s="35"/>
    </row>
    <row r="630" spans="3:4" x14ac:dyDescent="0.25">
      <c r="C630" s="37"/>
      <c r="D630" s="35"/>
    </row>
    <row r="631" spans="3:4" x14ac:dyDescent="0.25">
      <c r="C631" s="37"/>
      <c r="D631" s="35"/>
    </row>
    <row r="632" spans="3:4" x14ac:dyDescent="0.25">
      <c r="C632" s="37"/>
      <c r="D632" s="35"/>
    </row>
    <row r="633" spans="3:4" x14ac:dyDescent="0.25">
      <c r="C633" s="37"/>
      <c r="D633" s="35"/>
    </row>
    <row r="634" spans="3:4" x14ac:dyDescent="0.25">
      <c r="C634" s="37"/>
      <c r="D634" s="35"/>
    </row>
    <row r="635" spans="3:4" x14ac:dyDescent="0.25">
      <c r="C635" s="37"/>
      <c r="D635" s="35"/>
    </row>
    <row r="636" spans="3:4" x14ac:dyDescent="0.25">
      <c r="C636" s="37"/>
      <c r="D636" s="35"/>
    </row>
    <row r="637" spans="3:4" x14ac:dyDescent="0.25">
      <c r="C637" s="37"/>
      <c r="D637" s="35"/>
    </row>
    <row r="638" spans="3:4" x14ac:dyDescent="0.25">
      <c r="C638" s="37"/>
      <c r="D638" s="35"/>
    </row>
    <row r="639" spans="3:4" x14ac:dyDescent="0.25">
      <c r="C639" s="37"/>
      <c r="D639" s="35"/>
    </row>
    <row r="640" spans="3:4" x14ac:dyDescent="0.25">
      <c r="C640" s="37"/>
      <c r="D640" s="35"/>
    </row>
    <row r="641" spans="3:4" x14ac:dyDescent="0.25">
      <c r="C641" s="37"/>
      <c r="D641" s="35"/>
    </row>
    <row r="642" spans="3:4" x14ac:dyDescent="0.25">
      <c r="C642" s="37"/>
      <c r="D642" s="35"/>
    </row>
    <row r="643" spans="3:4" x14ac:dyDescent="0.25">
      <c r="C643" s="37"/>
      <c r="D643" s="35"/>
    </row>
    <row r="644" spans="3:4" x14ac:dyDescent="0.25">
      <c r="C644" s="37"/>
      <c r="D644" s="35"/>
    </row>
    <row r="645" spans="3:4" x14ac:dyDescent="0.25">
      <c r="C645" s="37"/>
      <c r="D645" s="35"/>
    </row>
    <row r="646" spans="3:4" x14ac:dyDescent="0.25">
      <c r="C646" s="37"/>
      <c r="D646" s="35"/>
    </row>
    <row r="647" spans="3:4" x14ac:dyDescent="0.25">
      <c r="C647" s="37"/>
      <c r="D647" s="35"/>
    </row>
    <row r="648" spans="3:4" x14ac:dyDescent="0.25">
      <c r="C648" s="37"/>
      <c r="D648" s="35"/>
    </row>
    <row r="649" spans="3:4" x14ac:dyDescent="0.25">
      <c r="C649" s="37"/>
      <c r="D649" s="35"/>
    </row>
    <row r="650" spans="3:4" x14ac:dyDescent="0.25">
      <c r="C650" s="37"/>
      <c r="D650" s="35"/>
    </row>
    <row r="651" spans="3:4" x14ac:dyDescent="0.25">
      <c r="C651" s="37"/>
      <c r="D651" s="35"/>
    </row>
    <row r="652" spans="3:4" x14ac:dyDescent="0.25">
      <c r="C652" s="37"/>
      <c r="D652" s="35"/>
    </row>
    <row r="653" spans="3:4" x14ac:dyDescent="0.25">
      <c r="C653" s="37"/>
      <c r="D653" s="35"/>
    </row>
    <row r="654" spans="3:4" x14ac:dyDescent="0.25">
      <c r="C654" s="37"/>
      <c r="D654" s="35"/>
    </row>
    <row r="655" spans="3:4" x14ac:dyDescent="0.25">
      <c r="C655" s="37"/>
      <c r="D655" s="35"/>
    </row>
    <row r="656" spans="3:4" x14ac:dyDescent="0.25">
      <c r="C656" s="37"/>
      <c r="D656" s="35"/>
    </row>
    <row r="657" spans="3:4" x14ac:dyDescent="0.25">
      <c r="C657" s="37"/>
      <c r="D657" s="35"/>
    </row>
    <row r="658" spans="3:4" x14ac:dyDescent="0.25">
      <c r="C658" s="37"/>
      <c r="D658" s="35"/>
    </row>
    <row r="659" spans="3:4" x14ac:dyDescent="0.25">
      <c r="C659" s="37"/>
      <c r="D659" s="35"/>
    </row>
    <row r="660" spans="3:4" x14ac:dyDescent="0.25">
      <c r="C660" s="37"/>
      <c r="D660" s="35"/>
    </row>
    <row r="661" spans="3:4" x14ac:dyDescent="0.25">
      <c r="C661" s="37"/>
      <c r="D661" s="35"/>
    </row>
    <row r="662" spans="3:4" x14ac:dyDescent="0.25">
      <c r="C662" s="37"/>
      <c r="D662" s="35"/>
    </row>
    <row r="663" spans="3:4" x14ac:dyDescent="0.25">
      <c r="C663" s="37"/>
      <c r="D663" s="35"/>
    </row>
    <row r="664" spans="3:4" x14ac:dyDescent="0.25">
      <c r="C664" s="37"/>
      <c r="D664" s="35"/>
    </row>
    <row r="665" spans="3:4" x14ac:dyDescent="0.25">
      <c r="C665" s="37"/>
      <c r="D665" s="35"/>
    </row>
    <row r="666" spans="3:4" x14ac:dyDescent="0.25">
      <c r="C666" s="37"/>
      <c r="D666" s="35"/>
    </row>
    <row r="667" spans="3:4" x14ac:dyDescent="0.25">
      <c r="C667" s="37"/>
      <c r="D667" s="35"/>
    </row>
    <row r="668" spans="3:4" x14ac:dyDescent="0.25">
      <c r="C668" s="37"/>
      <c r="D668" s="35"/>
    </row>
    <row r="669" spans="3:4" x14ac:dyDescent="0.25">
      <c r="C669" s="37"/>
      <c r="D669" s="35"/>
    </row>
    <row r="670" spans="3:4" x14ac:dyDescent="0.25">
      <c r="C670" s="37"/>
      <c r="D670" s="35"/>
    </row>
    <row r="671" spans="3:4" x14ac:dyDescent="0.25">
      <c r="C671" s="37"/>
      <c r="D671" s="35"/>
    </row>
    <row r="672" spans="3:4" x14ac:dyDescent="0.25">
      <c r="C672" s="37"/>
      <c r="D672" s="35"/>
    </row>
    <row r="673" spans="3:4" x14ac:dyDescent="0.25">
      <c r="C673" s="37"/>
      <c r="D673" s="35"/>
    </row>
    <row r="674" spans="3:4" x14ac:dyDescent="0.25">
      <c r="C674" s="37"/>
      <c r="D674" s="35"/>
    </row>
    <row r="675" spans="3:4" x14ac:dyDescent="0.25">
      <c r="C675" s="37"/>
      <c r="D675" s="35"/>
    </row>
    <row r="676" spans="3:4" x14ac:dyDescent="0.25">
      <c r="C676" s="37"/>
      <c r="D676" s="35"/>
    </row>
    <row r="677" spans="3:4" x14ac:dyDescent="0.25">
      <c r="C677" s="37"/>
      <c r="D677" s="35"/>
    </row>
    <row r="678" spans="3:4" x14ac:dyDescent="0.25">
      <c r="C678" s="37"/>
      <c r="D678" s="35"/>
    </row>
    <row r="679" spans="3:4" x14ac:dyDescent="0.25">
      <c r="C679" s="37"/>
      <c r="D679" s="35"/>
    </row>
    <row r="680" spans="3:4" x14ac:dyDescent="0.25">
      <c r="C680" s="37"/>
      <c r="D680" s="35"/>
    </row>
    <row r="681" spans="3:4" x14ac:dyDescent="0.25">
      <c r="C681" s="37"/>
      <c r="D681" s="35"/>
    </row>
    <row r="682" spans="3:4" x14ac:dyDescent="0.25">
      <c r="C682" s="37"/>
      <c r="D682" s="35"/>
    </row>
    <row r="683" spans="3:4" x14ac:dyDescent="0.25">
      <c r="C683" s="37"/>
      <c r="D683" s="35"/>
    </row>
    <row r="684" spans="3:4" x14ac:dyDescent="0.25">
      <c r="C684" s="37"/>
      <c r="D684" s="35"/>
    </row>
    <row r="685" spans="3:4" x14ac:dyDescent="0.25">
      <c r="C685" s="37"/>
      <c r="D685" s="35"/>
    </row>
    <row r="686" spans="3:4" x14ac:dyDescent="0.25">
      <c r="C686" s="37"/>
      <c r="D686" s="35"/>
    </row>
    <row r="687" spans="3:4" x14ac:dyDescent="0.25">
      <c r="C687" s="37"/>
      <c r="D687" s="35"/>
    </row>
    <row r="688" spans="3:4" x14ac:dyDescent="0.25">
      <c r="C688" s="37"/>
      <c r="D688" s="35"/>
    </row>
    <row r="689" spans="3:4" x14ac:dyDescent="0.25">
      <c r="C689" s="37"/>
      <c r="D689" s="35"/>
    </row>
    <row r="690" spans="3:4" x14ac:dyDescent="0.25">
      <c r="C690" s="37"/>
      <c r="D690" s="35"/>
    </row>
    <row r="691" spans="3:4" x14ac:dyDescent="0.25">
      <c r="C691" s="37"/>
      <c r="D691" s="35"/>
    </row>
    <row r="692" spans="3:4" x14ac:dyDescent="0.25">
      <c r="C692" s="37"/>
      <c r="D692" s="35"/>
    </row>
    <row r="693" spans="3:4" x14ac:dyDescent="0.25">
      <c r="C693" s="37"/>
      <c r="D693" s="35"/>
    </row>
    <row r="694" spans="3:4" x14ac:dyDescent="0.25">
      <c r="C694" s="37"/>
      <c r="D694" s="35"/>
    </row>
    <row r="695" spans="3:4" x14ac:dyDescent="0.25">
      <c r="C695" s="37"/>
      <c r="D695" s="35"/>
    </row>
    <row r="696" spans="3:4" x14ac:dyDescent="0.25">
      <c r="C696" s="37"/>
      <c r="D696" s="35"/>
    </row>
    <row r="697" spans="3:4" x14ac:dyDescent="0.25">
      <c r="C697" s="37"/>
      <c r="D697" s="35"/>
    </row>
    <row r="698" spans="3:4" x14ac:dyDescent="0.25">
      <c r="C698" s="37"/>
      <c r="D698" s="35"/>
    </row>
    <row r="699" spans="3:4" x14ac:dyDescent="0.25">
      <c r="C699" s="37"/>
      <c r="D699" s="35"/>
    </row>
    <row r="700" spans="3:4" x14ac:dyDescent="0.25">
      <c r="C700" s="37"/>
      <c r="D700" s="35"/>
    </row>
    <row r="701" spans="3:4" x14ac:dyDescent="0.25">
      <c r="C701" s="37"/>
      <c r="D701" s="35"/>
    </row>
    <row r="702" spans="3:4" x14ac:dyDescent="0.25">
      <c r="C702" s="37"/>
      <c r="D702" s="35"/>
    </row>
    <row r="703" spans="3:4" x14ac:dyDescent="0.25">
      <c r="C703" s="37"/>
      <c r="D703" s="35"/>
    </row>
    <row r="704" spans="3:4" x14ac:dyDescent="0.25">
      <c r="C704" s="37"/>
      <c r="D704" s="35"/>
    </row>
    <row r="705" spans="3:4" x14ac:dyDescent="0.25">
      <c r="C705" s="37"/>
      <c r="D705" s="35"/>
    </row>
    <row r="706" spans="3:4" x14ac:dyDescent="0.25">
      <c r="C706" s="37"/>
      <c r="D706" s="35"/>
    </row>
    <row r="707" spans="3:4" x14ac:dyDescent="0.25">
      <c r="C707" s="37"/>
      <c r="D707" s="35"/>
    </row>
    <row r="708" spans="3:4" x14ac:dyDescent="0.25">
      <c r="C708" s="37"/>
      <c r="D708" s="35"/>
    </row>
    <row r="709" spans="3:4" x14ac:dyDescent="0.25">
      <c r="C709" s="37"/>
      <c r="D709" s="35"/>
    </row>
    <row r="710" spans="3:4" x14ac:dyDescent="0.25">
      <c r="C710" s="37"/>
      <c r="D710" s="35"/>
    </row>
    <row r="711" spans="3:4" x14ac:dyDescent="0.25">
      <c r="C711" s="37"/>
      <c r="D711" s="35"/>
    </row>
    <row r="712" spans="3:4" x14ac:dyDescent="0.25">
      <c r="C712" s="37"/>
      <c r="D712" s="35"/>
    </row>
    <row r="713" spans="3:4" x14ac:dyDescent="0.25">
      <c r="C713" s="37"/>
      <c r="D713" s="35"/>
    </row>
    <row r="714" spans="3:4" x14ac:dyDescent="0.25">
      <c r="C714" s="37"/>
      <c r="D714" s="35"/>
    </row>
    <row r="715" spans="3:4" x14ac:dyDescent="0.25">
      <c r="C715" s="37"/>
      <c r="D715" s="35"/>
    </row>
    <row r="716" spans="3:4" x14ac:dyDescent="0.25">
      <c r="C716" s="37"/>
      <c r="D716" s="35"/>
    </row>
    <row r="717" spans="3:4" x14ac:dyDescent="0.25">
      <c r="C717" s="37"/>
      <c r="D717" s="35"/>
    </row>
    <row r="718" spans="3:4" x14ac:dyDescent="0.25">
      <c r="C718" s="37"/>
      <c r="D718" s="35"/>
    </row>
    <row r="719" spans="3:4" x14ac:dyDescent="0.25">
      <c r="C719" s="37"/>
      <c r="D719" s="35"/>
    </row>
    <row r="720" spans="3:4" x14ac:dyDescent="0.25">
      <c r="C720" s="37"/>
      <c r="D720" s="35"/>
    </row>
    <row r="721" spans="3:4" x14ac:dyDescent="0.25">
      <c r="C721" s="37"/>
      <c r="D721" s="35"/>
    </row>
    <row r="722" spans="3:4" x14ac:dyDescent="0.25">
      <c r="C722" s="37"/>
      <c r="D722" s="35"/>
    </row>
    <row r="723" spans="3:4" x14ac:dyDescent="0.25">
      <c r="C723" s="37"/>
      <c r="D723" s="35"/>
    </row>
    <row r="724" spans="3:4" x14ac:dyDescent="0.25">
      <c r="C724" s="37"/>
      <c r="D724" s="35"/>
    </row>
    <row r="725" spans="3:4" x14ac:dyDescent="0.25">
      <c r="C725" s="37"/>
      <c r="D725" s="35"/>
    </row>
    <row r="726" spans="3:4" x14ac:dyDescent="0.25">
      <c r="C726" s="37"/>
      <c r="D726" s="35"/>
    </row>
    <row r="727" spans="3:4" x14ac:dyDescent="0.25">
      <c r="C727" s="37"/>
      <c r="D727" s="35"/>
    </row>
    <row r="728" spans="3:4" x14ac:dyDescent="0.25">
      <c r="C728" s="37"/>
      <c r="D728" s="35"/>
    </row>
    <row r="729" spans="3:4" x14ac:dyDescent="0.25">
      <c r="C729" s="37"/>
      <c r="D729" s="35"/>
    </row>
    <row r="730" spans="3:4" x14ac:dyDescent="0.25">
      <c r="C730" s="37"/>
      <c r="D730" s="35"/>
    </row>
    <row r="731" spans="3:4" x14ac:dyDescent="0.25">
      <c r="C731" s="37"/>
      <c r="D731" s="35"/>
    </row>
    <row r="732" spans="3:4" x14ac:dyDescent="0.25">
      <c r="C732" s="37"/>
      <c r="D732" s="35"/>
    </row>
    <row r="733" spans="3:4" x14ac:dyDescent="0.25">
      <c r="C733" s="37"/>
      <c r="D733" s="35"/>
    </row>
    <row r="734" spans="3:4" x14ac:dyDescent="0.25">
      <c r="C734" s="37"/>
      <c r="D734" s="35"/>
    </row>
    <row r="735" spans="3:4" x14ac:dyDescent="0.25">
      <c r="C735" s="37"/>
      <c r="D735" s="35"/>
    </row>
    <row r="736" spans="3:4" x14ac:dyDescent="0.25">
      <c r="C736" s="37"/>
      <c r="D736" s="35"/>
    </row>
    <row r="737" spans="3:4" x14ac:dyDescent="0.25">
      <c r="C737" s="37"/>
      <c r="D737" s="35"/>
    </row>
    <row r="738" spans="3:4" x14ac:dyDescent="0.25">
      <c r="C738" s="37"/>
      <c r="D738" s="35"/>
    </row>
    <row r="739" spans="3:4" x14ac:dyDescent="0.25">
      <c r="C739" s="37"/>
      <c r="D739" s="35"/>
    </row>
    <row r="740" spans="3:4" x14ac:dyDescent="0.25">
      <c r="C740" s="37"/>
      <c r="D740" s="35"/>
    </row>
    <row r="741" spans="3:4" x14ac:dyDescent="0.25">
      <c r="C741" s="37"/>
      <c r="D741" s="35"/>
    </row>
    <row r="742" spans="3:4" x14ac:dyDescent="0.25">
      <c r="C742" s="37"/>
      <c r="D742" s="35"/>
    </row>
    <row r="743" spans="3:4" x14ac:dyDescent="0.25">
      <c r="C743" s="37"/>
      <c r="D743" s="35"/>
    </row>
    <row r="744" spans="3:4" x14ac:dyDescent="0.25">
      <c r="C744" s="37"/>
      <c r="D744" s="35"/>
    </row>
    <row r="745" spans="3:4" x14ac:dyDescent="0.25">
      <c r="C745" s="37"/>
      <c r="D745" s="35"/>
    </row>
    <row r="746" spans="3:4" x14ac:dyDescent="0.25">
      <c r="C746" s="37"/>
      <c r="D746" s="35"/>
    </row>
    <row r="747" spans="3:4" x14ac:dyDescent="0.25">
      <c r="C747" s="37"/>
      <c r="D747" s="35"/>
    </row>
    <row r="748" spans="3:4" x14ac:dyDescent="0.25">
      <c r="C748" s="37"/>
      <c r="D748" s="35"/>
    </row>
    <row r="749" spans="3:4" x14ac:dyDescent="0.25">
      <c r="C749" s="37"/>
      <c r="D749" s="35"/>
    </row>
    <row r="750" spans="3:4" x14ac:dyDescent="0.25">
      <c r="C750" s="37"/>
      <c r="D750" s="35"/>
    </row>
    <row r="751" spans="3:4" x14ac:dyDescent="0.25">
      <c r="C751" s="37"/>
      <c r="D751" s="35"/>
    </row>
    <row r="752" spans="3:4" x14ac:dyDescent="0.25">
      <c r="C752" s="37"/>
      <c r="D752" s="35"/>
    </row>
    <row r="753" spans="3:4" x14ac:dyDescent="0.25">
      <c r="C753" s="37"/>
      <c r="D753" s="35"/>
    </row>
    <row r="754" spans="3:4" x14ac:dyDescent="0.25">
      <c r="C754" s="37"/>
      <c r="D754" s="35"/>
    </row>
    <row r="755" spans="3:4" x14ac:dyDescent="0.25">
      <c r="C755" s="37"/>
      <c r="D755" s="35"/>
    </row>
    <row r="756" spans="3:4" x14ac:dyDescent="0.25">
      <c r="C756" s="37"/>
      <c r="D756" s="35"/>
    </row>
    <row r="757" spans="3:4" x14ac:dyDescent="0.25">
      <c r="C757" s="37"/>
      <c r="D757" s="35"/>
    </row>
    <row r="758" spans="3:4" x14ac:dyDescent="0.25">
      <c r="C758" s="37"/>
      <c r="D758" s="35"/>
    </row>
    <row r="759" spans="3:4" x14ac:dyDescent="0.25">
      <c r="C759" s="37"/>
      <c r="D759" s="35"/>
    </row>
    <row r="760" spans="3:4" x14ac:dyDescent="0.25">
      <c r="C760" s="37"/>
      <c r="D760" s="35"/>
    </row>
    <row r="761" spans="3:4" x14ac:dyDescent="0.25">
      <c r="C761" s="37"/>
      <c r="D761" s="35"/>
    </row>
    <row r="762" spans="3:4" x14ac:dyDescent="0.25">
      <c r="C762" s="37"/>
      <c r="D762" s="35"/>
    </row>
    <row r="763" spans="3:4" x14ac:dyDescent="0.25">
      <c r="C763" s="37"/>
      <c r="D763" s="35"/>
    </row>
    <row r="764" spans="3:4" x14ac:dyDescent="0.25">
      <c r="C764" s="37"/>
      <c r="D764" s="35"/>
    </row>
    <row r="765" spans="3:4" x14ac:dyDescent="0.25">
      <c r="C765" s="37"/>
      <c r="D765" s="35"/>
    </row>
    <row r="766" spans="3:4" x14ac:dyDescent="0.25">
      <c r="C766" s="37"/>
      <c r="D766" s="35"/>
    </row>
    <row r="767" spans="3:4" x14ac:dyDescent="0.25">
      <c r="C767" s="37"/>
      <c r="D767" s="35"/>
    </row>
    <row r="768" spans="3:4" x14ac:dyDescent="0.25">
      <c r="C768" s="37"/>
      <c r="D768" s="35"/>
    </row>
    <row r="769" spans="3:4" x14ac:dyDescent="0.25">
      <c r="C769" s="37"/>
      <c r="D769" s="35"/>
    </row>
    <row r="770" spans="3:4" x14ac:dyDescent="0.25">
      <c r="C770" s="37"/>
      <c r="D770" s="35"/>
    </row>
    <row r="771" spans="3:4" x14ac:dyDescent="0.25">
      <c r="C771" s="37"/>
      <c r="D771" s="35"/>
    </row>
    <row r="772" spans="3:4" x14ac:dyDescent="0.25">
      <c r="C772" s="37"/>
      <c r="D772" s="35"/>
    </row>
    <row r="773" spans="3:4" x14ac:dyDescent="0.25">
      <c r="C773" s="37"/>
      <c r="D773" s="35"/>
    </row>
    <row r="774" spans="3:4" x14ac:dyDescent="0.25">
      <c r="C774" s="37"/>
      <c r="D774" s="35"/>
    </row>
    <row r="775" spans="3:4" x14ac:dyDescent="0.25">
      <c r="C775" s="37"/>
      <c r="D775" s="35"/>
    </row>
    <row r="776" spans="3:4" x14ac:dyDescent="0.25">
      <c r="C776" s="37"/>
      <c r="D776" s="35"/>
    </row>
    <row r="777" spans="3:4" x14ac:dyDescent="0.25">
      <c r="C777" s="37"/>
      <c r="D777" s="35"/>
    </row>
    <row r="778" spans="3:4" x14ac:dyDescent="0.25">
      <c r="C778" s="37"/>
      <c r="D778" s="35"/>
    </row>
    <row r="779" spans="3:4" x14ac:dyDescent="0.25">
      <c r="C779" s="37"/>
      <c r="D779" s="35"/>
    </row>
    <row r="780" spans="3:4" x14ac:dyDescent="0.25">
      <c r="C780" s="37"/>
      <c r="D780" s="35"/>
    </row>
    <row r="781" spans="3:4" x14ac:dyDescent="0.25">
      <c r="C781" s="37"/>
      <c r="D781" s="35"/>
    </row>
    <row r="782" spans="3:4" x14ac:dyDescent="0.25">
      <c r="C782" s="37"/>
      <c r="D782" s="35"/>
    </row>
    <row r="783" spans="3:4" x14ac:dyDescent="0.25">
      <c r="C783" s="37"/>
      <c r="D783" s="35"/>
    </row>
    <row r="784" spans="3:4" x14ac:dyDescent="0.25">
      <c r="C784" s="37"/>
      <c r="D784" s="35"/>
    </row>
    <row r="785" spans="3:4" x14ac:dyDescent="0.25">
      <c r="C785" s="37"/>
      <c r="D785" s="35"/>
    </row>
    <row r="786" spans="3:4" x14ac:dyDescent="0.25">
      <c r="C786" s="37"/>
      <c r="D786" s="35"/>
    </row>
    <row r="787" spans="3:4" x14ac:dyDescent="0.25">
      <c r="C787" s="37"/>
      <c r="D787" s="35"/>
    </row>
    <row r="788" spans="3:4" x14ac:dyDescent="0.25">
      <c r="C788" s="37"/>
      <c r="D788" s="35"/>
    </row>
    <row r="789" spans="3:4" x14ac:dyDescent="0.25">
      <c r="C789" s="37"/>
      <c r="D789" s="35"/>
    </row>
    <row r="790" spans="3:4" x14ac:dyDescent="0.25">
      <c r="C790" s="37"/>
      <c r="D790" s="35"/>
    </row>
    <row r="791" spans="3:4" x14ac:dyDescent="0.25">
      <c r="C791" s="37"/>
      <c r="D791" s="35"/>
    </row>
    <row r="792" spans="3:4" x14ac:dyDescent="0.25">
      <c r="C792" s="37"/>
      <c r="D792" s="35"/>
    </row>
    <row r="793" spans="3:4" x14ac:dyDescent="0.25">
      <c r="C793" s="37"/>
      <c r="D793" s="35"/>
    </row>
    <row r="794" spans="3:4" x14ac:dyDescent="0.25">
      <c r="C794" s="37"/>
      <c r="D794" s="35"/>
    </row>
    <row r="795" spans="3:4" x14ac:dyDescent="0.25">
      <c r="C795" s="37"/>
      <c r="D795" s="35"/>
    </row>
    <row r="796" spans="3:4" x14ac:dyDescent="0.25">
      <c r="C796" s="37"/>
      <c r="D796" s="35"/>
    </row>
    <row r="797" spans="3:4" x14ac:dyDescent="0.25">
      <c r="C797" s="37"/>
      <c r="D797" s="35"/>
    </row>
    <row r="798" spans="3:4" x14ac:dyDescent="0.25">
      <c r="C798" s="37"/>
      <c r="D798" s="35"/>
    </row>
    <row r="799" spans="3:4" x14ac:dyDescent="0.25">
      <c r="C799" s="37"/>
      <c r="D799" s="35"/>
    </row>
    <row r="800" spans="3:4" x14ac:dyDescent="0.25">
      <c r="C800" s="37"/>
      <c r="D800" s="35"/>
    </row>
    <row r="801" spans="3:4" x14ac:dyDescent="0.25">
      <c r="C801" s="37"/>
      <c r="D801" s="35"/>
    </row>
    <row r="802" spans="3:4" x14ac:dyDescent="0.25">
      <c r="C802" s="37"/>
      <c r="D802" s="35"/>
    </row>
    <row r="803" spans="3:4" x14ac:dyDescent="0.25">
      <c r="C803" s="37"/>
      <c r="D803" s="35"/>
    </row>
    <row r="804" spans="3:4" x14ac:dyDescent="0.25">
      <c r="C804" s="37"/>
      <c r="D804" s="35"/>
    </row>
    <row r="805" spans="3:4" x14ac:dyDescent="0.25">
      <c r="C805" s="37"/>
      <c r="D805" s="35"/>
    </row>
    <row r="806" spans="3:4" x14ac:dyDescent="0.25">
      <c r="C806" s="37"/>
      <c r="D806" s="35"/>
    </row>
    <row r="807" spans="3:4" x14ac:dyDescent="0.25">
      <c r="C807" s="37"/>
      <c r="D807" s="35"/>
    </row>
    <row r="808" spans="3:4" x14ac:dyDescent="0.25">
      <c r="C808" s="37"/>
      <c r="D808" s="35"/>
    </row>
    <row r="809" spans="3:4" x14ac:dyDescent="0.25">
      <c r="C809" s="37"/>
      <c r="D809" s="35"/>
    </row>
    <row r="810" spans="3:4" x14ac:dyDescent="0.25">
      <c r="C810" s="37"/>
      <c r="D810" s="35"/>
    </row>
    <row r="811" spans="3:4" x14ac:dyDescent="0.25">
      <c r="C811" s="37"/>
      <c r="D811" s="35"/>
    </row>
    <row r="812" spans="3:4" x14ac:dyDescent="0.25">
      <c r="C812" s="37"/>
      <c r="D812" s="35"/>
    </row>
    <row r="813" spans="3:4" x14ac:dyDescent="0.25">
      <c r="C813" s="37"/>
      <c r="D813" s="35"/>
    </row>
    <row r="814" spans="3:4" x14ac:dyDescent="0.25">
      <c r="C814" s="37"/>
      <c r="D814" s="35"/>
    </row>
    <row r="815" spans="3:4" x14ac:dyDescent="0.25">
      <c r="C815" s="37"/>
      <c r="D815" s="35"/>
    </row>
    <row r="816" spans="3:4" x14ac:dyDescent="0.25">
      <c r="C816" s="37"/>
      <c r="D816" s="35"/>
    </row>
    <row r="817" spans="3:4" x14ac:dyDescent="0.25">
      <c r="C817" s="37"/>
      <c r="D817" s="35"/>
    </row>
    <row r="818" spans="3:4" x14ac:dyDescent="0.25">
      <c r="C818" s="37"/>
      <c r="D818" s="35"/>
    </row>
    <row r="819" spans="3:4" x14ac:dyDescent="0.25">
      <c r="C819" s="37"/>
      <c r="D819" s="35"/>
    </row>
    <row r="820" spans="3:4" x14ac:dyDescent="0.25">
      <c r="C820" s="37"/>
      <c r="D820" s="35"/>
    </row>
    <row r="821" spans="3:4" x14ac:dyDescent="0.25">
      <c r="C821" s="37"/>
      <c r="D821" s="35"/>
    </row>
    <row r="822" spans="3:4" x14ac:dyDescent="0.25">
      <c r="C822" s="37"/>
      <c r="D822" s="35"/>
    </row>
    <row r="823" spans="3:4" x14ac:dyDescent="0.25">
      <c r="C823" s="37"/>
      <c r="D823" s="35"/>
    </row>
    <row r="824" spans="3:4" x14ac:dyDescent="0.25">
      <c r="C824" s="37"/>
      <c r="D824" s="35"/>
    </row>
    <row r="825" spans="3:4" x14ac:dyDescent="0.25">
      <c r="C825" s="37"/>
      <c r="D825" s="35"/>
    </row>
    <row r="826" spans="3:4" x14ac:dyDescent="0.25">
      <c r="C826" s="37"/>
      <c r="D826" s="35"/>
    </row>
    <row r="827" spans="3:4" x14ac:dyDescent="0.25">
      <c r="C827" s="37"/>
      <c r="D827" s="35"/>
    </row>
    <row r="828" spans="3:4" x14ac:dyDescent="0.25">
      <c r="C828" s="37"/>
      <c r="D828" s="35"/>
    </row>
    <row r="829" spans="3:4" x14ac:dyDescent="0.25">
      <c r="C829" s="37"/>
      <c r="D829" s="35"/>
    </row>
    <row r="830" spans="3:4" x14ac:dyDescent="0.25">
      <c r="C830" s="37"/>
      <c r="D830" s="35"/>
    </row>
    <row r="831" spans="3:4" x14ac:dyDescent="0.25">
      <c r="C831" s="37"/>
      <c r="D831" s="35"/>
    </row>
    <row r="832" spans="3:4" x14ac:dyDescent="0.25">
      <c r="C832" s="37"/>
      <c r="D832" s="35"/>
    </row>
    <row r="833" spans="3:4" x14ac:dyDescent="0.25">
      <c r="C833" s="37"/>
      <c r="D833" s="35"/>
    </row>
    <row r="834" spans="3:4" x14ac:dyDescent="0.25">
      <c r="C834" s="37"/>
      <c r="D834" s="35"/>
    </row>
    <row r="835" spans="3:4" x14ac:dyDescent="0.25">
      <c r="C835" s="37"/>
      <c r="D835" s="35"/>
    </row>
    <row r="836" spans="3:4" x14ac:dyDescent="0.25">
      <c r="C836" s="37"/>
      <c r="D836" s="35"/>
    </row>
    <row r="837" spans="3:4" x14ac:dyDescent="0.25">
      <c r="C837" s="37"/>
      <c r="D837" s="35"/>
    </row>
    <row r="838" spans="3:4" x14ac:dyDescent="0.25">
      <c r="C838" s="37"/>
      <c r="D838" s="35"/>
    </row>
    <row r="839" spans="3:4" x14ac:dyDescent="0.25">
      <c r="C839" s="37"/>
      <c r="D839" s="35"/>
    </row>
    <row r="840" spans="3:4" x14ac:dyDescent="0.25">
      <c r="C840" s="37"/>
      <c r="D840" s="35"/>
    </row>
    <row r="841" spans="3:4" x14ac:dyDescent="0.25">
      <c r="C841" s="37"/>
      <c r="D841" s="35"/>
    </row>
    <row r="842" spans="3:4" x14ac:dyDescent="0.25">
      <c r="C842" s="37"/>
      <c r="D842" s="35"/>
    </row>
    <row r="843" spans="3:4" x14ac:dyDescent="0.25">
      <c r="C843" s="37"/>
      <c r="D843" s="35"/>
    </row>
    <row r="844" spans="3:4" x14ac:dyDescent="0.25">
      <c r="C844" s="37"/>
      <c r="D844" s="35"/>
    </row>
    <row r="845" spans="3:4" x14ac:dyDescent="0.25">
      <c r="C845" s="37"/>
      <c r="D845" s="35"/>
    </row>
    <row r="846" spans="3:4" x14ac:dyDescent="0.25">
      <c r="C846" s="37"/>
      <c r="D846" s="35"/>
    </row>
    <row r="847" spans="3:4" x14ac:dyDescent="0.25">
      <c r="C847" s="37"/>
      <c r="D847" s="35"/>
    </row>
    <row r="848" spans="3:4" x14ac:dyDescent="0.25">
      <c r="C848" s="37"/>
      <c r="D848" s="35"/>
    </row>
    <row r="849" spans="3:4" x14ac:dyDescent="0.25">
      <c r="C849" s="37"/>
      <c r="D849" s="35"/>
    </row>
    <row r="850" spans="3:4" x14ac:dyDescent="0.25">
      <c r="C850" s="37"/>
      <c r="D850" s="35"/>
    </row>
    <row r="851" spans="3:4" x14ac:dyDescent="0.25">
      <c r="C851" s="37"/>
      <c r="D851" s="35"/>
    </row>
    <row r="852" spans="3:4" x14ac:dyDescent="0.25">
      <c r="C852" s="37"/>
      <c r="D852" s="35"/>
    </row>
    <row r="853" spans="3:4" x14ac:dyDescent="0.25">
      <c r="C853" s="37"/>
      <c r="D853" s="35"/>
    </row>
    <row r="854" spans="3:4" x14ac:dyDescent="0.25">
      <c r="C854" s="37"/>
      <c r="D854" s="35"/>
    </row>
    <row r="855" spans="3:4" x14ac:dyDescent="0.25">
      <c r="C855" s="37"/>
      <c r="D855" s="35"/>
    </row>
    <row r="856" spans="3:4" x14ac:dyDescent="0.25">
      <c r="C856" s="37"/>
      <c r="D856" s="35"/>
    </row>
    <row r="857" spans="3:4" x14ac:dyDescent="0.25">
      <c r="C857" s="37"/>
      <c r="D857" s="35"/>
    </row>
    <row r="858" spans="3:4" x14ac:dyDescent="0.25">
      <c r="C858" s="37"/>
      <c r="D858" s="35"/>
    </row>
    <row r="859" spans="3:4" x14ac:dyDescent="0.25">
      <c r="C859" s="37"/>
      <c r="D859" s="35"/>
    </row>
    <row r="860" spans="3:4" x14ac:dyDescent="0.25">
      <c r="C860" s="37"/>
      <c r="D860" s="35"/>
    </row>
    <row r="861" spans="3:4" x14ac:dyDescent="0.25">
      <c r="C861" s="37"/>
      <c r="D861" s="35"/>
    </row>
    <row r="862" spans="3:4" x14ac:dyDescent="0.25">
      <c r="C862" s="37"/>
      <c r="D862" s="35"/>
    </row>
    <row r="863" spans="3:4" x14ac:dyDescent="0.25">
      <c r="C863" s="37"/>
      <c r="D863" s="35"/>
    </row>
    <row r="864" spans="3:4" x14ac:dyDescent="0.25">
      <c r="C864" s="37"/>
      <c r="D864" s="35"/>
    </row>
    <row r="865" spans="3:4" x14ac:dyDescent="0.25">
      <c r="C865" s="37"/>
      <c r="D865" s="35"/>
    </row>
    <row r="866" spans="3:4" x14ac:dyDescent="0.25">
      <c r="C866" s="37"/>
      <c r="D866" s="35"/>
    </row>
    <row r="867" spans="3:4" x14ac:dyDescent="0.25">
      <c r="C867" s="37"/>
      <c r="D867" s="35"/>
    </row>
    <row r="868" spans="3:4" x14ac:dyDescent="0.25">
      <c r="C868" s="37"/>
      <c r="D868" s="35"/>
    </row>
    <row r="869" spans="3:4" x14ac:dyDescent="0.25">
      <c r="C869" s="37"/>
      <c r="D869" s="35"/>
    </row>
    <row r="870" spans="3:4" x14ac:dyDescent="0.25">
      <c r="C870" s="37"/>
      <c r="D870" s="35"/>
    </row>
    <row r="871" spans="3:4" x14ac:dyDescent="0.25">
      <c r="C871" s="37"/>
      <c r="D871" s="35"/>
    </row>
    <row r="872" spans="3:4" x14ac:dyDescent="0.25">
      <c r="C872" s="37"/>
      <c r="D872" s="35"/>
    </row>
    <row r="873" spans="3:4" x14ac:dyDescent="0.25">
      <c r="C873" s="37"/>
      <c r="D873" s="35"/>
    </row>
    <row r="874" spans="3:4" x14ac:dyDescent="0.25">
      <c r="C874" s="37"/>
      <c r="D874" s="35"/>
    </row>
    <row r="875" spans="3:4" x14ac:dyDescent="0.25">
      <c r="C875" s="37"/>
      <c r="D875" s="35"/>
    </row>
    <row r="876" spans="3:4" x14ac:dyDescent="0.25">
      <c r="C876" s="37"/>
      <c r="D876" s="35"/>
    </row>
    <row r="877" spans="3:4" x14ac:dyDescent="0.25">
      <c r="C877" s="37"/>
      <c r="D877" s="35"/>
    </row>
    <row r="878" spans="3:4" x14ac:dyDescent="0.25">
      <c r="C878" s="37"/>
      <c r="D878" s="35"/>
    </row>
    <row r="879" spans="3:4" x14ac:dyDescent="0.25">
      <c r="C879" s="37"/>
      <c r="D879" s="35"/>
    </row>
    <row r="880" spans="3:4" x14ac:dyDescent="0.25">
      <c r="C880" s="37"/>
      <c r="D880" s="35"/>
    </row>
    <row r="881" spans="3:4" x14ac:dyDescent="0.25">
      <c r="C881" s="37"/>
      <c r="D881" s="35"/>
    </row>
    <row r="882" spans="3:4" x14ac:dyDescent="0.25">
      <c r="C882" s="37"/>
      <c r="D882" s="35"/>
    </row>
    <row r="883" spans="3:4" x14ac:dyDescent="0.25">
      <c r="C883" s="37"/>
      <c r="D883" s="35"/>
    </row>
    <row r="884" spans="3:4" x14ac:dyDescent="0.25">
      <c r="C884" s="37"/>
      <c r="D884" s="35"/>
    </row>
    <row r="885" spans="3:4" x14ac:dyDescent="0.25">
      <c r="C885" s="37"/>
      <c r="D885" s="35"/>
    </row>
    <row r="886" spans="3:4" x14ac:dyDescent="0.25">
      <c r="C886" s="37"/>
      <c r="D886" s="35"/>
    </row>
    <row r="887" spans="3:4" x14ac:dyDescent="0.25">
      <c r="C887" s="37"/>
      <c r="D887" s="35"/>
    </row>
    <row r="888" spans="3:4" x14ac:dyDescent="0.25">
      <c r="C888" s="37"/>
      <c r="D888" s="35"/>
    </row>
    <row r="889" spans="3:4" x14ac:dyDescent="0.25">
      <c r="C889" s="37"/>
      <c r="D889" s="35"/>
    </row>
    <row r="890" spans="3:4" x14ac:dyDescent="0.25">
      <c r="C890" s="37"/>
      <c r="D890" s="35"/>
    </row>
    <row r="891" spans="3:4" x14ac:dyDescent="0.25">
      <c r="C891" s="37"/>
      <c r="D891" s="35"/>
    </row>
    <row r="892" spans="3:4" x14ac:dyDescent="0.25">
      <c r="C892" s="37"/>
      <c r="D892" s="35"/>
    </row>
    <row r="893" spans="3:4" x14ac:dyDescent="0.25">
      <c r="C893" s="37"/>
      <c r="D893" s="35"/>
    </row>
    <row r="894" spans="3:4" x14ac:dyDescent="0.25">
      <c r="C894" s="37"/>
      <c r="D894" s="35"/>
    </row>
    <row r="895" spans="3:4" x14ac:dyDescent="0.25">
      <c r="C895" s="37"/>
      <c r="D895" s="35"/>
    </row>
    <row r="896" spans="3:4" x14ac:dyDescent="0.25">
      <c r="C896" s="37"/>
      <c r="D896" s="35"/>
    </row>
    <row r="897" spans="3:4" x14ac:dyDescent="0.25">
      <c r="C897" s="37"/>
      <c r="D897" s="35"/>
    </row>
    <row r="898" spans="3:4" x14ac:dyDescent="0.25">
      <c r="C898" s="37"/>
      <c r="D898" s="35"/>
    </row>
    <row r="899" spans="3:4" x14ac:dyDescent="0.25">
      <c r="C899" s="37"/>
      <c r="D899" s="35"/>
    </row>
    <row r="900" spans="3:4" x14ac:dyDescent="0.25">
      <c r="C900" s="37"/>
      <c r="D900" s="35"/>
    </row>
    <row r="901" spans="3:4" x14ac:dyDescent="0.25">
      <c r="C901" s="37"/>
      <c r="D901" s="35"/>
    </row>
    <row r="902" spans="3:4" x14ac:dyDescent="0.25">
      <c r="C902" s="37"/>
      <c r="D902" s="35"/>
    </row>
    <row r="903" spans="3:4" x14ac:dyDescent="0.25">
      <c r="C903" s="37"/>
      <c r="D903" s="35"/>
    </row>
    <row r="904" spans="3:4" x14ac:dyDescent="0.25">
      <c r="C904" s="37"/>
      <c r="D904" s="35"/>
    </row>
    <row r="905" spans="3:4" x14ac:dyDescent="0.25">
      <c r="C905" s="37"/>
      <c r="D905" s="35"/>
    </row>
    <row r="906" spans="3:4" x14ac:dyDescent="0.25">
      <c r="C906" s="37"/>
      <c r="D906" s="35"/>
    </row>
    <row r="907" spans="3:4" x14ac:dyDescent="0.25">
      <c r="C907" s="37"/>
      <c r="D907" s="35"/>
    </row>
    <row r="908" spans="3:4" x14ac:dyDescent="0.25">
      <c r="C908" s="37"/>
      <c r="D908" s="35"/>
    </row>
    <row r="909" spans="3:4" x14ac:dyDescent="0.25">
      <c r="C909" s="37"/>
      <c r="D909" s="35"/>
    </row>
    <row r="910" spans="3:4" x14ac:dyDescent="0.25">
      <c r="C910" s="37"/>
      <c r="D910" s="35"/>
    </row>
    <row r="911" spans="3:4" x14ac:dyDescent="0.25">
      <c r="C911" s="37"/>
      <c r="D911" s="35"/>
    </row>
    <row r="912" spans="3:4" x14ac:dyDescent="0.25">
      <c r="C912" s="37"/>
      <c r="D912" s="35"/>
    </row>
    <row r="913" spans="3:4" x14ac:dyDescent="0.25">
      <c r="C913" s="37"/>
      <c r="D913" s="35"/>
    </row>
    <row r="914" spans="3:4" x14ac:dyDescent="0.25">
      <c r="C914" s="37"/>
      <c r="D914" s="35"/>
    </row>
    <row r="915" spans="3:4" x14ac:dyDescent="0.25">
      <c r="C915" s="37"/>
      <c r="D915" s="35"/>
    </row>
    <row r="916" spans="3:4" x14ac:dyDescent="0.25">
      <c r="C916" s="37"/>
      <c r="D916" s="35"/>
    </row>
    <row r="917" spans="3:4" x14ac:dyDescent="0.25">
      <c r="C917" s="37"/>
      <c r="D917" s="35"/>
    </row>
    <row r="918" spans="3:4" x14ac:dyDescent="0.25">
      <c r="C918" s="37"/>
      <c r="D918" s="35"/>
    </row>
    <row r="919" spans="3:4" x14ac:dyDescent="0.25">
      <c r="C919" s="37"/>
      <c r="D919" s="35"/>
    </row>
    <row r="920" spans="3:4" x14ac:dyDescent="0.25">
      <c r="C920" s="37"/>
      <c r="D920" s="35"/>
    </row>
    <row r="921" spans="3:4" x14ac:dyDescent="0.25">
      <c r="C921" s="37"/>
      <c r="D921" s="35"/>
    </row>
    <row r="922" spans="3:4" x14ac:dyDescent="0.25">
      <c r="C922" s="37"/>
      <c r="D922" s="35"/>
    </row>
    <row r="923" spans="3:4" x14ac:dyDescent="0.25">
      <c r="C923" s="37"/>
      <c r="D923" s="35"/>
    </row>
    <row r="924" spans="3:4" x14ac:dyDescent="0.25">
      <c r="C924" s="37"/>
      <c r="D924" s="35"/>
    </row>
    <row r="925" spans="3:4" x14ac:dyDescent="0.25">
      <c r="C925" s="37"/>
      <c r="D925" s="35"/>
    </row>
    <row r="926" spans="3:4" x14ac:dyDescent="0.25">
      <c r="C926" s="37"/>
      <c r="D926" s="35"/>
    </row>
    <row r="927" spans="3:4" x14ac:dyDescent="0.25">
      <c r="C927" s="37"/>
      <c r="D927" s="35"/>
    </row>
    <row r="928" spans="3:4" x14ac:dyDescent="0.25">
      <c r="C928" s="37"/>
      <c r="D928" s="35"/>
    </row>
    <row r="929" spans="3:4" x14ac:dyDescent="0.25">
      <c r="C929" s="37"/>
      <c r="D929" s="35"/>
    </row>
    <row r="930" spans="3:4" x14ac:dyDescent="0.25">
      <c r="C930" s="37"/>
      <c r="D930" s="35"/>
    </row>
    <row r="931" spans="3:4" x14ac:dyDescent="0.25">
      <c r="C931" s="37"/>
      <c r="D931" s="35"/>
    </row>
    <row r="932" spans="3:4" x14ac:dyDescent="0.25">
      <c r="C932" s="37"/>
      <c r="D932" s="35"/>
    </row>
    <row r="933" spans="3:4" x14ac:dyDescent="0.25">
      <c r="C933" s="37"/>
      <c r="D933" s="35"/>
    </row>
    <row r="934" spans="3:4" x14ac:dyDescent="0.25">
      <c r="C934" s="37"/>
      <c r="D934" s="35"/>
    </row>
    <row r="935" spans="3:4" x14ac:dyDescent="0.25">
      <c r="C935" s="37"/>
      <c r="D935" s="35"/>
    </row>
    <row r="936" spans="3:4" x14ac:dyDescent="0.25">
      <c r="C936" s="37"/>
      <c r="D936" s="35"/>
    </row>
    <row r="937" spans="3:4" x14ac:dyDescent="0.25">
      <c r="C937" s="37"/>
      <c r="D937" s="35"/>
    </row>
    <row r="938" spans="3:4" x14ac:dyDescent="0.25">
      <c r="C938" s="37"/>
      <c r="D938" s="35"/>
    </row>
    <row r="939" spans="3:4" x14ac:dyDescent="0.25">
      <c r="C939" s="37"/>
      <c r="D939" s="35"/>
    </row>
    <row r="940" spans="3:4" x14ac:dyDescent="0.25">
      <c r="C940" s="37"/>
      <c r="D940" s="35"/>
    </row>
    <row r="941" spans="3:4" x14ac:dyDescent="0.25">
      <c r="C941" s="37"/>
      <c r="D941" s="35"/>
    </row>
    <row r="942" spans="3:4" x14ac:dyDescent="0.25">
      <c r="C942" s="37"/>
      <c r="D942" s="35"/>
    </row>
    <row r="943" spans="3:4" x14ac:dyDescent="0.25">
      <c r="C943" s="37"/>
      <c r="D943" s="35"/>
    </row>
    <row r="944" spans="3:4" x14ac:dyDescent="0.25">
      <c r="C944" s="37"/>
      <c r="D944" s="35"/>
    </row>
    <row r="945" spans="3:4" x14ac:dyDescent="0.25">
      <c r="C945" s="37"/>
      <c r="D945" s="35"/>
    </row>
    <row r="946" spans="3:4" x14ac:dyDescent="0.25">
      <c r="C946" s="37"/>
      <c r="D946" s="35"/>
    </row>
    <row r="947" spans="3:4" x14ac:dyDescent="0.25">
      <c r="C947" s="37"/>
      <c r="D947" s="35"/>
    </row>
    <row r="948" spans="3:4" x14ac:dyDescent="0.25">
      <c r="C948" s="37"/>
      <c r="D948" s="35"/>
    </row>
    <row r="949" spans="3:4" x14ac:dyDescent="0.25">
      <c r="C949" s="37"/>
      <c r="D949" s="35"/>
    </row>
    <row r="950" spans="3:4" x14ac:dyDescent="0.25">
      <c r="C950" s="37"/>
      <c r="D950" s="35"/>
    </row>
    <row r="951" spans="3:4" x14ac:dyDescent="0.25">
      <c r="C951" s="37"/>
      <c r="D951" s="35"/>
    </row>
    <row r="952" spans="3:4" x14ac:dyDescent="0.25">
      <c r="C952" s="37"/>
      <c r="D952" s="35"/>
    </row>
    <row r="953" spans="3:4" x14ac:dyDescent="0.25">
      <c r="C953" s="37"/>
      <c r="D953" s="35"/>
    </row>
    <row r="954" spans="3:4" x14ac:dyDescent="0.25">
      <c r="C954" s="37"/>
      <c r="D954" s="35"/>
    </row>
    <row r="955" spans="3:4" x14ac:dyDescent="0.25">
      <c r="C955" s="37"/>
      <c r="D955" s="35"/>
    </row>
    <row r="956" spans="3:4" x14ac:dyDescent="0.25">
      <c r="C956" s="37"/>
      <c r="D956" s="35"/>
    </row>
    <row r="957" spans="3:4" x14ac:dyDescent="0.25">
      <c r="C957" s="37"/>
      <c r="D957" s="35"/>
    </row>
    <row r="958" spans="3:4" x14ac:dyDescent="0.25">
      <c r="C958" s="37"/>
      <c r="D958" s="35"/>
    </row>
    <row r="959" spans="3:4" x14ac:dyDescent="0.25">
      <c r="C959" s="37"/>
      <c r="D959" s="35"/>
    </row>
    <row r="960" spans="3:4" x14ac:dyDescent="0.25">
      <c r="C960" s="37"/>
      <c r="D960" s="35"/>
    </row>
    <row r="961" spans="3:4" x14ac:dyDescent="0.25">
      <c r="C961" s="37"/>
      <c r="D961" s="35"/>
    </row>
    <row r="962" spans="3:4" x14ac:dyDescent="0.25">
      <c r="C962" s="37"/>
      <c r="D962" s="35"/>
    </row>
    <row r="963" spans="3:4" x14ac:dyDescent="0.25">
      <c r="C963" s="37"/>
      <c r="D963" s="35"/>
    </row>
    <row r="964" spans="3:4" x14ac:dyDescent="0.25">
      <c r="C964" s="37"/>
      <c r="D964" s="35"/>
    </row>
    <row r="965" spans="3:4" x14ac:dyDescent="0.25">
      <c r="C965" s="37"/>
      <c r="D965" s="35"/>
    </row>
    <row r="966" spans="3:4" x14ac:dyDescent="0.25">
      <c r="C966" s="37"/>
      <c r="D966" s="35"/>
    </row>
    <row r="967" spans="3:4" x14ac:dyDescent="0.25">
      <c r="C967" s="37"/>
      <c r="D967" s="35"/>
    </row>
    <row r="968" spans="3:4" x14ac:dyDescent="0.25">
      <c r="C968" s="37"/>
      <c r="D968" s="35"/>
    </row>
    <row r="969" spans="3:4" x14ac:dyDescent="0.25">
      <c r="C969" s="37"/>
      <c r="D969" s="35"/>
    </row>
    <row r="970" spans="3:4" x14ac:dyDescent="0.25">
      <c r="C970" s="37"/>
      <c r="D970" s="35"/>
    </row>
    <row r="971" spans="3:4" x14ac:dyDescent="0.25">
      <c r="C971" s="37"/>
      <c r="D971" s="35"/>
    </row>
    <row r="972" spans="3:4" x14ac:dyDescent="0.25">
      <c r="C972" s="37"/>
      <c r="D972" s="35"/>
    </row>
    <row r="973" spans="3:4" x14ac:dyDescent="0.25">
      <c r="C973" s="37"/>
      <c r="D973" s="35"/>
    </row>
    <row r="974" spans="3:4" x14ac:dyDescent="0.25">
      <c r="C974" s="37"/>
      <c r="D974" s="35"/>
    </row>
    <row r="975" spans="3:4" x14ac:dyDescent="0.25">
      <c r="C975" s="37"/>
      <c r="D975" s="35"/>
    </row>
    <row r="976" spans="3:4" x14ac:dyDescent="0.25">
      <c r="C976" s="37"/>
      <c r="D976" s="35"/>
    </row>
    <row r="977" spans="3:4" x14ac:dyDescent="0.25">
      <c r="C977" s="37"/>
      <c r="D977" s="35"/>
    </row>
    <row r="978" spans="3:4" x14ac:dyDescent="0.25">
      <c r="C978" s="37"/>
      <c r="D978" s="35"/>
    </row>
    <row r="979" spans="3:4" x14ac:dyDescent="0.25">
      <c r="C979" s="37"/>
      <c r="D979" s="35"/>
    </row>
    <row r="980" spans="3:4" x14ac:dyDescent="0.25">
      <c r="C980" s="37"/>
      <c r="D980" s="35"/>
    </row>
    <row r="981" spans="3:4" x14ac:dyDescent="0.25">
      <c r="C981" s="37"/>
      <c r="D981" s="35"/>
    </row>
    <row r="982" spans="3:4" x14ac:dyDescent="0.25">
      <c r="C982" s="37"/>
      <c r="D982" s="35"/>
    </row>
    <row r="983" spans="3:4" x14ac:dyDescent="0.25">
      <c r="C983" s="37"/>
      <c r="D983" s="35"/>
    </row>
    <row r="984" spans="3:4" x14ac:dyDescent="0.25">
      <c r="C984" s="37"/>
      <c r="D984" s="35"/>
    </row>
    <row r="985" spans="3:4" x14ac:dyDescent="0.25">
      <c r="C985" s="37"/>
      <c r="D985" s="35"/>
    </row>
    <row r="986" spans="3:4" x14ac:dyDescent="0.25">
      <c r="C986" s="37"/>
      <c r="D986" s="35"/>
    </row>
    <row r="987" spans="3:4" x14ac:dyDescent="0.25">
      <c r="C987" s="37"/>
      <c r="D987" s="35"/>
    </row>
    <row r="988" spans="3:4" x14ac:dyDescent="0.25">
      <c r="C988" s="37"/>
      <c r="D988" s="35"/>
    </row>
    <row r="989" spans="3:4" x14ac:dyDescent="0.25">
      <c r="C989" s="37"/>
      <c r="D989" s="35"/>
    </row>
    <row r="990" spans="3:4" x14ac:dyDescent="0.25">
      <c r="C990" s="37"/>
      <c r="D990" s="35"/>
    </row>
    <row r="991" spans="3:4" x14ac:dyDescent="0.25">
      <c r="C991" s="37"/>
      <c r="D991" s="35"/>
    </row>
    <row r="992" spans="3:4" x14ac:dyDescent="0.25">
      <c r="C992" s="37"/>
      <c r="D992" s="35"/>
    </row>
    <row r="993" spans="3:4" x14ac:dyDescent="0.25">
      <c r="C993" s="37"/>
      <c r="D993" s="35"/>
    </row>
    <row r="994" spans="3:4" x14ac:dyDescent="0.25">
      <c r="C994" s="37"/>
      <c r="D994" s="35"/>
    </row>
    <row r="995" spans="3:4" x14ac:dyDescent="0.25">
      <c r="C995" s="37"/>
      <c r="D995" s="35"/>
    </row>
    <row r="996" spans="3:4" x14ac:dyDescent="0.25">
      <c r="C996" s="37"/>
      <c r="D996" s="35"/>
    </row>
    <row r="997" spans="3:4" x14ac:dyDescent="0.25">
      <c r="C997" s="37"/>
      <c r="D997" s="35"/>
    </row>
    <row r="998" spans="3:4" x14ac:dyDescent="0.25">
      <c r="C998" s="37"/>
      <c r="D998" s="35"/>
    </row>
    <row r="999" spans="3:4" x14ac:dyDescent="0.25">
      <c r="C999" s="37"/>
      <c r="D999" s="35"/>
    </row>
    <row r="1000" spans="3:4" x14ac:dyDescent="0.25">
      <c r="C1000" s="37"/>
      <c r="D1000" s="35"/>
    </row>
    <row r="1001" spans="3:4" x14ac:dyDescent="0.25">
      <c r="C1001" s="37"/>
      <c r="D1001" s="35"/>
    </row>
    <row r="1002" spans="3:4" x14ac:dyDescent="0.25">
      <c r="C1002" s="37"/>
      <c r="D1002" s="35"/>
    </row>
    <row r="1003" spans="3:4" x14ac:dyDescent="0.25">
      <c r="C1003" s="37"/>
      <c r="D1003" s="35"/>
    </row>
    <row r="1004" spans="3:4" x14ac:dyDescent="0.25">
      <c r="C1004" s="37"/>
      <c r="D1004" s="35"/>
    </row>
    <row r="1005" spans="3:4" x14ac:dyDescent="0.25">
      <c r="C1005" s="37"/>
      <c r="D1005" s="35"/>
    </row>
    <row r="1006" spans="3:4" x14ac:dyDescent="0.25">
      <c r="C1006" s="37"/>
      <c r="D1006" s="35"/>
    </row>
    <row r="1007" spans="3:4" x14ac:dyDescent="0.25">
      <c r="C1007" s="37"/>
      <c r="D1007" s="35"/>
    </row>
    <row r="1008" spans="3:4" x14ac:dyDescent="0.25">
      <c r="C1008" s="37"/>
      <c r="D1008" s="35"/>
    </row>
    <row r="1009" spans="3:4" x14ac:dyDescent="0.25">
      <c r="C1009" s="37"/>
      <c r="D1009" s="35"/>
    </row>
    <row r="1010" spans="3:4" x14ac:dyDescent="0.25">
      <c r="C1010" s="37"/>
      <c r="D1010" s="35"/>
    </row>
    <row r="1011" spans="3:4" x14ac:dyDescent="0.25">
      <c r="C1011" s="37"/>
      <c r="D1011" s="35"/>
    </row>
    <row r="1012" spans="3:4" x14ac:dyDescent="0.25">
      <c r="C1012" s="37"/>
      <c r="D1012" s="35"/>
    </row>
    <row r="1013" spans="3:4" x14ac:dyDescent="0.25">
      <c r="C1013" s="37"/>
      <c r="D1013" s="35"/>
    </row>
    <row r="1014" spans="3:4" x14ac:dyDescent="0.25">
      <c r="C1014" s="37"/>
      <c r="D1014" s="35"/>
    </row>
    <row r="1015" spans="3:4" x14ac:dyDescent="0.25">
      <c r="C1015" s="37"/>
      <c r="D1015" s="35"/>
    </row>
    <row r="1016" spans="3:4" x14ac:dyDescent="0.25">
      <c r="C1016" s="37"/>
      <c r="D1016" s="35"/>
    </row>
    <row r="1017" spans="3:4" x14ac:dyDescent="0.25">
      <c r="C1017" s="37"/>
      <c r="D1017" s="35"/>
    </row>
    <row r="1018" spans="3:4" x14ac:dyDescent="0.25">
      <c r="C1018" s="37"/>
      <c r="D1018" s="35"/>
    </row>
    <row r="1019" spans="3:4" x14ac:dyDescent="0.25">
      <c r="C1019" s="37"/>
      <c r="D1019" s="35"/>
    </row>
    <row r="1020" spans="3:4" x14ac:dyDescent="0.25">
      <c r="C1020" s="37"/>
      <c r="D1020" s="35"/>
    </row>
    <row r="1021" spans="3:4" x14ac:dyDescent="0.25">
      <c r="C1021" s="37"/>
      <c r="D1021" s="35"/>
    </row>
    <row r="1022" spans="3:4" x14ac:dyDescent="0.25">
      <c r="C1022" s="37"/>
      <c r="D1022" s="35"/>
    </row>
    <row r="1023" spans="3:4" x14ac:dyDescent="0.25">
      <c r="C1023" s="37"/>
      <c r="D1023" s="35"/>
    </row>
    <row r="1024" spans="3:4" x14ac:dyDescent="0.25">
      <c r="C1024" s="37"/>
      <c r="D1024" s="35"/>
    </row>
    <row r="1025" spans="3:4" x14ac:dyDescent="0.25">
      <c r="C1025" s="37"/>
      <c r="D1025" s="35"/>
    </row>
    <row r="1026" spans="3:4" x14ac:dyDescent="0.25">
      <c r="C1026" s="37"/>
      <c r="D1026" s="35"/>
    </row>
    <row r="1027" spans="3:4" x14ac:dyDescent="0.25">
      <c r="C1027" s="37"/>
      <c r="D1027" s="35"/>
    </row>
    <row r="1028" spans="3:4" x14ac:dyDescent="0.25">
      <c r="C1028" s="37"/>
      <c r="D1028" s="35"/>
    </row>
    <row r="1029" spans="3:4" x14ac:dyDescent="0.25">
      <c r="C1029" s="37"/>
      <c r="D1029" s="35"/>
    </row>
    <row r="1030" spans="3:4" x14ac:dyDescent="0.25">
      <c r="C1030" s="37"/>
      <c r="D1030" s="35"/>
    </row>
    <row r="1031" spans="3:4" x14ac:dyDescent="0.25">
      <c r="C1031" s="37"/>
      <c r="D1031" s="35"/>
    </row>
    <row r="1032" spans="3:4" x14ac:dyDescent="0.25">
      <c r="C1032" s="37"/>
      <c r="D1032" s="35"/>
    </row>
    <row r="1033" spans="3:4" x14ac:dyDescent="0.25">
      <c r="C1033" s="37"/>
      <c r="D1033" s="35"/>
    </row>
    <row r="1034" spans="3:4" x14ac:dyDescent="0.25">
      <c r="C1034" s="37"/>
      <c r="D1034" s="35"/>
    </row>
    <row r="1035" spans="3:4" x14ac:dyDescent="0.25">
      <c r="C1035" s="37"/>
      <c r="D1035" s="35"/>
    </row>
    <row r="1036" spans="3:4" x14ac:dyDescent="0.25">
      <c r="C1036" s="37"/>
      <c r="D1036" s="35"/>
    </row>
    <row r="1037" spans="3:4" x14ac:dyDescent="0.25">
      <c r="C1037" s="37"/>
      <c r="D1037" s="35"/>
    </row>
    <row r="1038" spans="3:4" x14ac:dyDescent="0.25">
      <c r="C1038" s="37"/>
      <c r="D1038" s="35"/>
    </row>
    <row r="1039" spans="3:4" x14ac:dyDescent="0.25">
      <c r="C1039" s="37"/>
      <c r="D1039" s="35"/>
    </row>
    <row r="1040" spans="3:4" x14ac:dyDescent="0.25">
      <c r="C1040" s="37"/>
      <c r="D1040" s="35"/>
    </row>
    <row r="1041" spans="3:4" x14ac:dyDescent="0.25">
      <c r="C1041" s="37"/>
      <c r="D1041" s="35"/>
    </row>
    <row r="1042" spans="3:4" x14ac:dyDescent="0.25">
      <c r="C1042" s="37"/>
      <c r="D1042" s="35"/>
    </row>
    <row r="1043" spans="3:4" x14ac:dyDescent="0.25">
      <c r="C1043" s="37"/>
      <c r="D1043" s="35"/>
    </row>
    <row r="1044" spans="3:4" x14ac:dyDescent="0.25">
      <c r="C1044" s="37"/>
      <c r="D1044" s="35"/>
    </row>
    <row r="1045" spans="3:4" x14ac:dyDescent="0.25">
      <c r="C1045" s="37"/>
      <c r="D1045" s="35"/>
    </row>
    <row r="1046" spans="3:4" x14ac:dyDescent="0.25">
      <c r="C1046" s="37"/>
      <c r="D1046" s="35"/>
    </row>
    <row r="1047" spans="3:4" x14ac:dyDescent="0.25">
      <c r="C1047" s="37"/>
      <c r="D1047" s="35"/>
    </row>
    <row r="1048" spans="3:4" x14ac:dyDescent="0.25">
      <c r="C1048" s="37"/>
      <c r="D1048" s="35"/>
    </row>
    <row r="1049" spans="3:4" x14ac:dyDescent="0.25">
      <c r="C1049" s="37"/>
      <c r="D1049" s="35"/>
    </row>
    <row r="1050" spans="3:4" x14ac:dyDescent="0.25">
      <c r="C1050" s="37"/>
      <c r="D1050" s="35"/>
    </row>
    <row r="1051" spans="3:4" x14ac:dyDescent="0.25">
      <c r="C1051" s="37"/>
      <c r="D1051" s="35"/>
    </row>
    <row r="1052" spans="3:4" x14ac:dyDescent="0.25">
      <c r="C1052" s="37"/>
      <c r="D1052" s="35"/>
    </row>
    <row r="1053" spans="3:4" x14ac:dyDescent="0.25">
      <c r="C1053" s="37"/>
      <c r="D1053" s="35"/>
    </row>
    <row r="1054" spans="3:4" x14ac:dyDescent="0.25">
      <c r="C1054" s="37"/>
      <c r="D1054" s="35"/>
    </row>
    <row r="1055" spans="3:4" x14ac:dyDescent="0.25">
      <c r="C1055" s="37"/>
      <c r="D1055" s="35"/>
    </row>
    <row r="1056" spans="3:4" x14ac:dyDescent="0.25">
      <c r="C1056" s="37"/>
      <c r="D1056" s="35"/>
    </row>
    <row r="1057" spans="3:4" x14ac:dyDescent="0.25">
      <c r="C1057" s="37"/>
      <c r="D1057" s="35"/>
    </row>
    <row r="1058" spans="3:4" x14ac:dyDescent="0.25">
      <c r="C1058" s="37"/>
      <c r="D1058" s="35"/>
    </row>
    <row r="1059" spans="3:4" x14ac:dyDescent="0.25">
      <c r="C1059" s="37"/>
      <c r="D1059" s="35"/>
    </row>
    <row r="1060" spans="3:4" x14ac:dyDescent="0.25">
      <c r="C1060" s="37"/>
      <c r="D1060" s="35"/>
    </row>
    <row r="1061" spans="3:4" x14ac:dyDescent="0.25">
      <c r="C1061" s="37"/>
      <c r="D1061" s="35"/>
    </row>
    <row r="1062" spans="3:4" x14ac:dyDescent="0.25">
      <c r="C1062" s="37"/>
      <c r="D1062" s="35"/>
    </row>
    <row r="1063" spans="3:4" x14ac:dyDescent="0.25">
      <c r="C1063" s="37"/>
      <c r="D1063" s="35"/>
    </row>
    <row r="1064" spans="3:4" x14ac:dyDescent="0.25">
      <c r="C1064" s="37"/>
      <c r="D1064" s="35"/>
    </row>
    <row r="1065" spans="3:4" x14ac:dyDescent="0.25">
      <c r="C1065" s="37"/>
      <c r="D1065" s="35"/>
    </row>
    <row r="1066" spans="3:4" x14ac:dyDescent="0.25">
      <c r="C1066" s="37"/>
      <c r="D1066" s="35"/>
    </row>
    <row r="1067" spans="3:4" x14ac:dyDescent="0.25">
      <c r="C1067" s="37"/>
      <c r="D1067" s="35"/>
    </row>
    <row r="1068" spans="3:4" x14ac:dyDescent="0.25">
      <c r="C1068" s="37"/>
      <c r="D1068" s="35"/>
    </row>
    <row r="1069" spans="3:4" x14ac:dyDescent="0.25">
      <c r="C1069" s="37"/>
      <c r="D1069" s="35"/>
    </row>
    <row r="1070" spans="3:4" x14ac:dyDescent="0.25">
      <c r="C1070" s="37"/>
      <c r="D1070" s="35"/>
    </row>
    <row r="1071" spans="3:4" x14ac:dyDescent="0.25">
      <c r="C1071" s="37"/>
      <c r="D1071" s="35"/>
    </row>
    <row r="1072" spans="3:4" x14ac:dyDescent="0.25">
      <c r="C1072" s="37"/>
      <c r="D1072" s="35"/>
    </row>
    <row r="1073" spans="3:4" x14ac:dyDescent="0.25">
      <c r="C1073" s="37"/>
      <c r="D1073" s="35"/>
    </row>
    <row r="1074" spans="3:4" x14ac:dyDescent="0.25">
      <c r="C1074" s="37"/>
      <c r="D1074" s="35"/>
    </row>
    <row r="1075" spans="3:4" x14ac:dyDescent="0.25">
      <c r="C1075" s="37"/>
      <c r="D1075" s="35"/>
    </row>
    <row r="1076" spans="3:4" x14ac:dyDescent="0.25">
      <c r="C1076" s="37"/>
      <c r="D1076" s="35"/>
    </row>
    <row r="1077" spans="3:4" x14ac:dyDescent="0.25">
      <c r="C1077" s="37"/>
      <c r="D1077" s="35"/>
    </row>
    <row r="1078" spans="3:4" x14ac:dyDescent="0.25">
      <c r="C1078" s="37"/>
      <c r="D1078" s="35"/>
    </row>
    <row r="1079" spans="3:4" x14ac:dyDescent="0.25">
      <c r="C1079" s="37"/>
      <c r="D1079" s="35"/>
    </row>
    <row r="1080" spans="3:4" x14ac:dyDescent="0.25">
      <c r="C1080" s="37"/>
      <c r="D1080" s="35"/>
    </row>
    <row r="1081" spans="3:4" x14ac:dyDescent="0.25">
      <c r="C1081" s="37"/>
      <c r="D1081" s="35"/>
    </row>
    <row r="1082" spans="3:4" x14ac:dyDescent="0.25">
      <c r="C1082" s="37"/>
      <c r="D1082" s="35"/>
    </row>
    <row r="1083" spans="3:4" x14ac:dyDescent="0.25">
      <c r="C1083" s="37"/>
      <c r="D1083" s="35"/>
    </row>
    <row r="1084" spans="3:4" x14ac:dyDescent="0.25">
      <c r="C1084" s="37"/>
      <c r="D1084" s="35"/>
    </row>
    <row r="1085" spans="3:4" x14ac:dyDescent="0.25">
      <c r="C1085" s="37"/>
      <c r="D1085" s="35"/>
    </row>
    <row r="1086" spans="3:4" x14ac:dyDescent="0.25">
      <c r="C1086" s="37"/>
      <c r="D1086" s="35"/>
    </row>
    <row r="1087" spans="3:4" x14ac:dyDescent="0.25">
      <c r="C1087" s="37"/>
      <c r="D1087" s="35"/>
    </row>
    <row r="1088" spans="3:4" x14ac:dyDescent="0.25">
      <c r="C1088" s="37"/>
      <c r="D1088" s="35"/>
    </row>
    <row r="1089" spans="3:4" x14ac:dyDescent="0.25">
      <c r="C1089" s="37"/>
      <c r="D1089" s="35"/>
    </row>
    <row r="1090" spans="3:4" x14ac:dyDescent="0.25">
      <c r="C1090" s="37"/>
      <c r="D1090" s="35"/>
    </row>
    <row r="1091" spans="3:4" x14ac:dyDescent="0.25">
      <c r="C1091" s="37"/>
      <c r="D1091" s="35"/>
    </row>
    <row r="1092" spans="3:4" x14ac:dyDescent="0.25">
      <c r="C1092" s="37"/>
      <c r="D1092" s="35"/>
    </row>
    <row r="1093" spans="3:4" x14ac:dyDescent="0.25">
      <c r="C1093" s="37"/>
      <c r="D1093" s="35"/>
    </row>
    <row r="1094" spans="3:4" x14ac:dyDescent="0.25">
      <c r="C1094" s="37"/>
      <c r="D1094" s="35"/>
    </row>
    <row r="1095" spans="3:4" x14ac:dyDescent="0.25">
      <c r="C1095" s="37"/>
      <c r="D1095" s="35"/>
    </row>
    <row r="1096" spans="3:4" x14ac:dyDescent="0.25">
      <c r="C1096" s="37"/>
      <c r="D1096" s="35"/>
    </row>
    <row r="1097" spans="3:4" x14ac:dyDescent="0.25">
      <c r="C1097" s="37"/>
      <c r="D1097" s="35"/>
    </row>
    <row r="1098" spans="3:4" x14ac:dyDescent="0.25">
      <c r="C1098" s="37"/>
      <c r="D1098" s="35"/>
    </row>
    <row r="1099" spans="3:4" x14ac:dyDescent="0.25">
      <c r="C1099" s="37"/>
      <c r="D1099" s="35"/>
    </row>
    <row r="1100" spans="3:4" x14ac:dyDescent="0.25">
      <c r="C1100" s="37"/>
      <c r="D1100" s="35"/>
    </row>
    <row r="1101" spans="3:4" x14ac:dyDescent="0.25">
      <c r="C1101" s="37"/>
      <c r="D1101" s="35"/>
    </row>
    <row r="1102" spans="3:4" x14ac:dyDescent="0.25">
      <c r="C1102" s="37"/>
      <c r="D1102" s="35"/>
    </row>
    <row r="1103" spans="3:4" x14ac:dyDescent="0.25">
      <c r="C1103" s="37"/>
      <c r="D1103" s="35"/>
    </row>
    <row r="1104" spans="3:4" x14ac:dyDescent="0.25">
      <c r="C1104" s="37"/>
      <c r="D1104" s="35"/>
    </row>
    <row r="1105" spans="3:4" x14ac:dyDescent="0.25">
      <c r="C1105" s="37"/>
      <c r="D1105" s="35"/>
    </row>
    <row r="1106" spans="3:4" x14ac:dyDescent="0.25">
      <c r="C1106" s="37"/>
      <c r="D1106" s="35"/>
    </row>
    <row r="1107" spans="3:4" x14ac:dyDescent="0.25">
      <c r="C1107" s="37"/>
      <c r="D1107" s="35"/>
    </row>
    <row r="1108" spans="3:4" x14ac:dyDescent="0.25">
      <c r="C1108" s="37"/>
      <c r="D1108" s="35"/>
    </row>
    <row r="1109" spans="3:4" x14ac:dyDescent="0.25">
      <c r="C1109" s="37"/>
      <c r="D1109" s="35"/>
    </row>
    <row r="1110" spans="3:4" x14ac:dyDescent="0.25">
      <c r="C1110" s="37"/>
      <c r="D1110" s="35"/>
    </row>
    <row r="1111" spans="3:4" x14ac:dyDescent="0.25">
      <c r="C1111" s="37"/>
      <c r="D1111" s="35"/>
    </row>
    <row r="1112" spans="3:4" x14ac:dyDescent="0.25">
      <c r="C1112" s="37"/>
      <c r="D1112" s="35"/>
    </row>
    <row r="1113" spans="3:4" x14ac:dyDescent="0.25">
      <c r="C1113" s="37"/>
      <c r="D1113" s="35"/>
    </row>
    <row r="1114" spans="3:4" x14ac:dyDescent="0.25">
      <c r="C1114" s="37"/>
      <c r="D1114" s="35"/>
    </row>
    <row r="1115" spans="3:4" x14ac:dyDescent="0.25">
      <c r="C1115" s="37"/>
      <c r="D1115" s="35"/>
    </row>
    <row r="1116" spans="3:4" x14ac:dyDescent="0.25">
      <c r="C1116" s="37"/>
      <c r="D1116" s="35"/>
    </row>
    <row r="1117" spans="3:4" x14ac:dyDescent="0.25">
      <c r="C1117" s="37"/>
      <c r="D1117" s="35"/>
    </row>
    <row r="1118" spans="3:4" x14ac:dyDescent="0.25">
      <c r="C1118" s="37"/>
      <c r="D1118" s="35"/>
    </row>
    <row r="1119" spans="3:4" x14ac:dyDescent="0.25">
      <c r="C1119" s="37"/>
      <c r="D1119" s="35"/>
    </row>
    <row r="1120" spans="3:4" x14ac:dyDescent="0.25">
      <c r="C1120" s="37"/>
      <c r="D1120" s="35"/>
    </row>
    <row r="1121" spans="3:4" x14ac:dyDescent="0.25">
      <c r="C1121" s="37"/>
      <c r="D1121" s="35"/>
    </row>
    <row r="1122" spans="3:4" x14ac:dyDescent="0.25">
      <c r="C1122" s="37"/>
      <c r="D1122" s="35"/>
    </row>
    <row r="1123" spans="3:4" x14ac:dyDescent="0.25">
      <c r="C1123" s="37"/>
      <c r="D1123" s="35"/>
    </row>
    <row r="1124" spans="3:4" x14ac:dyDescent="0.25">
      <c r="C1124" s="37"/>
      <c r="D1124" s="35"/>
    </row>
    <row r="1125" spans="3:4" x14ac:dyDescent="0.25">
      <c r="C1125" s="37"/>
      <c r="D1125" s="35"/>
    </row>
    <row r="1126" spans="3:4" x14ac:dyDescent="0.25">
      <c r="C1126" s="37"/>
      <c r="D1126" s="35"/>
    </row>
    <row r="1127" spans="3:4" x14ac:dyDescent="0.25">
      <c r="C1127" s="37"/>
      <c r="D1127" s="35"/>
    </row>
    <row r="1128" spans="3:4" x14ac:dyDescent="0.25">
      <c r="C1128" s="37"/>
      <c r="D1128" s="35"/>
    </row>
    <row r="1129" spans="3:4" x14ac:dyDescent="0.25">
      <c r="C1129" s="37"/>
      <c r="D1129" s="35"/>
    </row>
    <row r="1130" spans="3:4" x14ac:dyDescent="0.25">
      <c r="C1130" s="37"/>
      <c r="D1130" s="35"/>
    </row>
    <row r="1131" spans="3:4" x14ac:dyDescent="0.25">
      <c r="C1131" s="37"/>
      <c r="D1131" s="35"/>
    </row>
    <row r="1132" spans="3:4" x14ac:dyDescent="0.25">
      <c r="C1132" s="37"/>
      <c r="D1132" s="35"/>
    </row>
    <row r="1133" spans="3:4" x14ac:dyDescent="0.25">
      <c r="C1133" s="37"/>
      <c r="D1133" s="35"/>
    </row>
    <row r="1134" spans="3:4" x14ac:dyDescent="0.25">
      <c r="C1134" s="37"/>
      <c r="D1134" s="35"/>
    </row>
    <row r="1135" spans="3:4" x14ac:dyDescent="0.25">
      <c r="C1135" s="37"/>
      <c r="D1135" s="35"/>
    </row>
    <row r="1136" spans="3:4" x14ac:dyDescent="0.25">
      <c r="C1136" s="37"/>
      <c r="D1136" s="35"/>
    </row>
    <row r="1137" spans="3:4" x14ac:dyDescent="0.25">
      <c r="C1137" s="37"/>
      <c r="D1137" s="35"/>
    </row>
    <row r="1138" spans="3:4" x14ac:dyDescent="0.25">
      <c r="C1138" s="37"/>
      <c r="D1138" s="35"/>
    </row>
    <row r="1139" spans="3:4" x14ac:dyDescent="0.25">
      <c r="C1139" s="37"/>
      <c r="D1139" s="35"/>
    </row>
    <row r="1140" spans="3:4" x14ac:dyDescent="0.25">
      <c r="C1140" s="37"/>
      <c r="D1140" s="35"/>
    </row>
    <row r="1141" spans="3:4" x14ac:dyDescent="0.25">
      <c r="C1141" s="37"/>
      <c r="D1141" s="35"/>
    </row>
    <row r="1142" spans="3:4" x14ac:dyDescent="0.25">
      <c r="C1142" s="37"/>
      <c r="D1142" s="35"/>
    </row>
    <row r="1143" spans="3:4" x14ac:dyDescent="0.25">
      <c r="C1143" s="37"/>
      <c r="D1143" s="35"/>
    </row>
    <row r="1144" spans="3:4" x14ac:dyDescent="0.25">
      <c r="C1144" s="37"/>
      <c r="D1144" s="35"/>
    </row>
    <row r="1145" spans="3:4" x14ac:dyDescent="0.25">
      <c r="C1145" s="37"/>
      <c r="D1145" s="35"/>
    </row>
    <row r="1146" spans="3:4" x14ac:dyDescent="0.25">
      <c r="C1146" s="37"/>
      <c r="D1146" s="35"/>
    </row>
    <row r="1147" spans="3:4" x14ac:dyDescent="0.25">
      <c r="C1147" s="37"/>
      <c r="D1147" s="35"/>
    </row>
    <row r="1148" spans="3:4" x14ac:dyDescent="0.25">
      <c r="C1148" s="37"/>
      <c r="D1148" s="35"/>
    </row>
    <row r="1149" spans="3:4" x14ac:dyDescent="0.25">
      <c r="C1149" s="37"/>
      <c r="D1149" s="35"/>
    </row>
    <row r="1150" spans="3:4" x14ac:dyDescent="0.25">
      <c r="C1150" s="37"/>
      <c r="D1150" s="35"/>
    </row>
    <row r="1151" spans="3:4" x14ac:dyDescent="0.25">
      <c r="C1151" s="37"/>
      <c r="D1151" s="35"/>
    </row>
    <row r="1152" spans="3:4" x14ac:dyDescent="0.25">
      <c r="C1152" s="37"/>
      <c r="D1152" s="35"/>
    </row>
    <row r="1153" spans="3:4" x14ac:dyDescent="0.25">
      <c r="C1153" s="37"/>
      <c r="D1153" s="35"/>
    </row>
    <row r="1154" spans="3:4" x14ac:dyDescent="0.25">
      <c r="C1154" s="37"/>
      <c r="D1154" s="35"/>
    </row>
    <row r="1155" spans="3:4" x14ac:dyDescent="0.25">
      <c r="C1155" s="37"/>
      <c r="D1155" s="35"/>
    </row>
    <row r="1156" spans="3:4" x14ac:dyDescent="0.25">
      <c r="C1156" s="37"/>
      <c r="D1156" s="35"/>
    </row>
    <row r="1157" spans="3:4" x14ac:dyDescent="0.25">
      <c r="C1157" s="37"/>
      <c r="D1157" s="35"/>
    </row>
    <row r="1158" spans="3:4" x14ac:dyDescent="0.25">
      <c r="C1158" s="37"/>
      <c r="D1158" s="35"/>
    </row>
    <row r="1159" spans="3:4" x14ac:dyDescent="0.25">
      <c r="C1159" s="37"/>
      <c r="D1159" s="35"/>
    </row>
    <row r="1160" spans="3:4" x14ac:dyDescent="0.25">
      <c r="C1160" s="37"/>
      <c r="D1160" s="35"/>
    </row>
    <row r="1161" spans="3:4" x14ac:dyDescent="0.25">
      <c r="C1161" s="37"/>
      <c r="D1161" s="35"/>
    </row>
    <row r="1162" spans="3:4" x14ac:dyDescent="0.25">
      <c r="C1162" s="37"/>
      <c r="D1162" s="35"/>
    </row>
    <row r="1163" spans="3:4" x14ac:dyDescent="0.25">
      <c r="C1163" s="37"/>
      <c r="D1163" s="35"/>
    </row>
    <row r="1164" spans="3:4" x14ac:dyDescent="0.25">
      <c r="C1164" s="37"/>
      <c r="D1164" s="35"/>
    </row>
    <row r="1165" spans="3:4" x14ac:dyDescent="0.25">
      <c r="C1165" s="37"/>
      <c r="D1165" s="35"/>
    </row>
    <row r="1166" spans="3:4" x14ac:dyDescent="0.25">
      <c r="C1166" s="37"/>
      <c r="D1166" s="35"/>
    </row>
    <row r="1167" spans="3:4" x14ac:dyDescent="0.25">
      <c r="C1167" s="37"/>
      <c r="D1167" s="35"/>
    </row>
    <row r="1168" spans="3:4" x14ac:dyDescent="0.25">
      <c r="C1168" s="37"/>
      <c r="D1168" s="35"/>
    </row>
    <row r="1169" spans="3:4" x14ac:dyDescent="0.25">
      <c r="C1169" s="37"/>
      <c r="D1169" s="35"/>
    </row>
    <row r="1170" spans="3:4" x14ac:dyDescent="0.25">
      <c r="C1170" s="37"/>
      <c r="D1170" s="35"/>
    </row>
    <row r="1171" spans="3:4" x14ac:dyDescent="0.25">
      <c r="C1171" s="37"/>
      <c r="D1171" s="35"/>
    </row>
    <row r="1172" spans="3:4" x14ac:dyDescent="0.25">
      <c r="C1172" s="37"/>
      <c r="D1172" s="35"/>
    </row>
    <row r="1173" spans="3:4" x14ac:dyDescent="0.25">
      <c r="C1173" s="37"/>
      <c r="D1173" s="35"/>
    </row>
    <row r="1174" spans="3:4" x14ac:dyDescent="0.25">
      <c r="C1174" s="37"/>
      <c r="D1174" s="35"/>
    </row>
    <row r="1175" spans="3:4" x14ac:dyDescent="0.25">
      <c r="C1175" s="37"/>
      <c r="D1175" s="35"/>
    </row>
    <row r="1176" spans="3:4" x14ac:dyDescent="0.25">
      <c r="C1176" s="37"/>
      <c r="D1176" s="35"/>
    </row>
    <row r="1177" spans="3:4" x14ac:dyDescent="0.25">
      <c r="C1177" s="37"/>
      <c r="D1177" s="35"/>
    </row>
    <row r="1178" spans="3:4" x14ac:dyDescent="0.25">
      <c r="C1178" s="37"/>
      <c r="D1178" s="35"/>
    </row>
    <row r="1179" spans="3:4" x14ac:dyDescent="0.25">
      <c r="C1179" s="37"/>
      <c r="D1179" s="35"/>
    </row>
    <row r="1180" spans="3:4" x14ac:dyDescent="0.25">
      <c r="C1180" s="37"/>
      <c r="D1180" s="35"/>
    </row>
    <row r="1181" spans="3:4" x14ac:dyDescent="0.25">
      <c r="C1181" s="37"/>
      <c r="D1181" s="35"/>
    </row>
    <row r="1182" spans="3:4" x14ac:dyDescent="0.25">
      <c r="C1182" s="37"/>
      <c r="D1182" s="35"/>
    </row>
    <row r="1183" spans="3:4" x14ac:dyDescent="0.25">
      <c r="C1183" s="37"/>
      <c r="D1183" s="35"/>
    </row>
    <row r="1184" spans="3:4" x14ac:dyDescent="0.25">
      <c r="C1184" s="37"/>
      <c r="D1184" s="35"/>
    </row>
    <row r="1185" spans="3:4" x14ac:dyDescent="0.25">
      <c r="C1185" s="37"/>
      <c r="D1185" s="35"/>
    </row>
    <row r="1186" spans="3:4" x14ac:dyDescent="0.25">
      <c r="C1186" s="37"/>
      <c r="D1186" s="35"/>
    </row>
    <row r="1187" spans="3:4" x14ac:dyDescent="0.25">
      <c r="C1187" s="37"/>
      <c r="D1187" s="35"/>
    </row>
    <row r="1188" spans="3:4" x14ac:dyDescent="0.25">
      <c r="C1188" s="37"/>
      <c r="D1188" s="35"/>
    </row>
    <row r="1189" spans="3:4" x14ac:dyDescent="0.25">
      <c r="C1189" s="37"/>
      <c r="D1189" s="35"/>
    </row>
    <row r="1190" spans="3:4" x14ac:dyDescent="0.25">
      <c r="C1190" s="37"/>
      <c r="D1190" s="35"/>
    </row>
    <row r="1191" spans="3:4" x14ac:dyDescent="0.25">
      <c r="C1191" s="37"/>
      <c r="D1191" s="35"/>
    </row>
    <row r="1192" spans="3:4" x14ac:dyDescent="0.25">
      <c r="C1192" s="37"/>
      <c r="D1192" s="35"/>
    </row>
    <row r="1193" spans="3:4" x14ac:dyDescent="0.25">
      <c r="C1193" s="37"/>
      <c r="D1193" s="35"/>
    </row>
    <row r="1194" spans="3:4" x14ac:dyDescent="0.25">
      <c r="C1194" s="37"/>
      <c r="D1194" s="35"/>
    </row>
    <row r="1195" spans="3:4" x14ac:dyDescent="0.25">
      <c r="C1195" s="37"/>
      <c r="D1195" s="35"/>
    </row>
    <row r="1196" spans="3:4" x14ac:dyDescent="0.25">
      <c r="C1196" s="37"/>
      <c r="D1196" s="35"/>
    </row>
    <row r="1197" spans="3:4" x14ac:dyDescent="0.25">
      <c r="C1197" s="37"/>
      <c r="D1197" s="35"/>
    </row>
    <row r="1198" spans="3:4" x14ac:dyDescent="0.25">
      <c r="C1198" s="37"/>
      <c r="D1198" s="35"/>
    </row>
    <row r="1199" spans="3:4" x14ac:dyDescent="0.25">
      <c r="C1199" s="37"/>
      <c r="D1199" s="35"/>
    </row>
    <row r="1200" spans="3:4" x14ac:dyDescent="0.25">
      <c r="C1200" s="37"/>
      <c r="D1200" s="35"/>
    </row>
    <row r="1201" spans="3:4" x14ac:dyDescent="0.25">
      <c r="C1201" s="37"/>
      <c r="D1201" s="35"/>
    </row>
    <row r="1202" spans="3:4" x14ac:dyDescent="0.25">
      <c r="C1202" s="37"/>
      <c r="D1202" s="35"/>
    </row>
    <row r="1203" spans="3:4" x14ac:dyDescent="0.25">
      <c r="C1203" s="37"/>
      <c r="D1203" s="35"/>
    </row>
    <row r="1204" spans="3:4" x14ac:dyDescent="0.25">
      <c r="C1204" s="37"/>
      <c r="D1204" s="35"/>
    </row>
    <row r="1205" spans="3:4" x14ac:dyDescent="0.25">
      <c r="C1205" s="37"/>
      <c r="D1205" s="35"/>
    </row>
    <row r="1206" spans="3:4" x14ac:dyDescent="0.25">
      <c r="C1206" s="37"/>
      <c r="D1206" s="35"/>
    </row>
    <row r="1207" spans="3:4" x14ac:dyDescent="0.25">
      <c r="C1207" s="37"/>
      <c r="D1207" s="35"/>
    </row>
    <row r="1208" spans="3:4" x14ac:dyDescent="0.25">
      <c r="C1208" s="37"/>
      <c r="D1208" s="35"/>
    </row>
    <row r="1209" spans="3:4" x14ac:dyDescent="0.25">
      <c r="C1209" s="37"/>
      <c r="D1209" s="35"/>
    </row>
    <row r="1210" spans="3:4" x14ac:dyDescent="0.25">
      <c r="C1210" s="37"/>
      <c r="D1210" s="35"/>
    </row>
    <row r="1211" spans="3:4" x14ac:dyDescent="0.25">
      <c r="C1211" s="37"/>
      <c r="D1211" s="35"/>
    </row>
    <row r="1212" spans="3:4" x14ac:dyDescent="0.25">
      <c r="C1212" s="37"/>
      <c r="D1212" s="35"/>
    </row>
    <row r="1213" spans="3:4" x14ac:dyDescent="0.25">
      <c r="C1213" s="37"/>
      <c r="D1213" s="35"/>
    </row>
    <row r="1214" spans="3:4" x14ac:dyDescent="0.25">
      <c r="C1214" s="37"/>
      <c r="D1214" s="35"/>
    </row>
    <row r="1215" spans="3:4" x14ac:dyDescent="0.25">
      <c r="C1215" s="37"/>
      <c r="D1215" s="35"/>
    </row>
    <row r="1216" spans="3:4" x14ac:dyDescent="0.25">
      <c r="C1216" s="37"/>
      <c r="D1216" s="35"/>
    </row>
    <row r="1217" spans="3:4" x14ac:dyDescent="0.25">
      <c r="C1217" s="37"/>
      <c r="D1217" s="35"/>
    </row>
    <row r="1218" spans="3:4" x14ac:dyDescent="0.25">
      <c r="C1218" s="37"/>
      <c r="D1218" s="35"/>
    </row>
    <row r="1219" spans="3:4" x14ac:dyDescent="0.25">
      <c r="C1219" s="37"/>
      <c r="D1219" s="35"/>
    </row>
    <row r="1220" spans="3:4" x14ac:dyDescent="0.25">
      <c r="C1220" s="37"/>
      <c r="D1220" s="35"/>
    </row>
    <row r="1221" spans="3:4" x14ac:dyDescent="0.25">
      <c r="C1221" s="37"/>
      <c r="D1221" s="35"/>
    </row>
    <row r="1222" spans="3:4" x14ac:dyDescent="0.25">
      <c r="C1222" s="37"/>
      <c r="D1222" s="35"/>
    </row>
    <row r="1223" spans="3:4" x14ac:dyDescent="0.25">
      <c r="C1223" s="37"/>
      <c r="D1223" s="35"/>
    </row>
    <row r="1224" spans="3:4" x14ac:dyDescent="0.25">
      <c r="C1224" s="37"/>
      <c r="D1224" s="35"/>
    </row>
    <row r="1225" spans="3:4" x14ac:dyDescent="0.25">
      <c r="C1225" s="37"/>
      <c r="D1225" s="35"/>
    </row>
    <row r="1226" spans="3:4" x14ac:dyDescent="0.25">
      <c r="C1226" s="37"/>
      <c r="D1226" s="35"/>
    </row>
    <row r="1227" spans="3:4" x14ac:dyDescent="0.25">
      <c r="C1227" s="37"/>
      <c r="D1227" s="35"/>
    </row>
    <row r="1228" spans="3:4" x14ac:dyDescent="0.25">
      <c r="C1228" s="37"/>
      <c r="D1228" s="35"/>
    </row>
    <row r="1229" spans="3:4" x14ac:dyDescent="0.25">
      <c r="C1229" s="37"/>
      <c r="D1229" s="35"/>
    </row>
    <row r="1230" spans="3:4" x14ac:dyDescent="0.25">
      <c r="C1230" s="37"/>
      <c r="D1230" s="35"/>
    </row>
    <row r="1231" spans="3:4" x14ac:dyDescent="0.25">
      <c r="C1231" s="37"/>
      <c r="D1231" s="35"/>
    </row>
    <row r="1232" spans="3:4" x14ac:dyDescent="0.25">
      <c r="C1232" s="37"/>
      <c r="D1232" s="35"/>
    </row>
    <row r="1233" spans="3:4" x14ac:dyDescent="0.25">
      <c r="C1233" s="37"/>
      <c r="D1233" s="35"/>
    </row>
    <row r="1234" spans="3:4" x14ac:dyDescent="0.25">
      <c r="C1234" s="37"/>
      <c r="D1234" s="35"/>
    </row>
    <row r="1235" spans="3:4" x14ac:dyDescent="0.25">
      <c r="C1235" s="37"/>
      <c r="D1235" s="35"/>
    </row>
    <row r="1236" spans="3:4" x14ac:dyDescent="0.25">
      <c r="C1236" s="37"/>
      <c r="D1236" s="35"/>
    </row>
    <row r="1237" spans="3:4" x14ac:dyDescent="0.25">
      <c r="C1237" s="37"/>
      <c r="D1237" s="35"/>
    </row>
    <row r="1238" spans="3:4" x14ac:dyDescent="0.25">
      <c r="C1238" s="37"/>
      <c r="D1238" s="35"/>
    </row>
    <row r="1239" spans="3:4" x14ac:dyDescent="0.25">
      <c r="C1239" s="37"/>
      <c r="D1239" s="35"/>
    </row>
    <row r="1240" spans="3:4" x14ac:dyDescent="0.25">
      <c r="C1240" s="37"/>
      <c r="D1240" s="35"/>
    </row>
    <row r="1241" spans="3:4" x14ac:dyDescent="0.25">
      <c r="C1241" s="37"/>
      <c r="D1241" s="35"/>
    </row>
    <row r="1242" spans="3:4" x14ac:dyDescent="0.25">
      <c r="C1242" s="37"/>
      <c r="D1242" s="35"/>
    </row>
    <row r="1243" spans="3:4" x14ac:dyDescent="0.25">
      <c r="C1243" s="37"/>
      <c r="D1243" s="35"/>
    </row>
    <row r="1244" spans="3:4" x14ac:dyDescent="0.25">
      <c r="C1244" s="37"/>
      <c r="D1244" s="35"/>
    </row>
    <row r="1245" spans="3:4" x14ac:dyDescent="0.25">
      <c r="C1245" s="37"/>
      <c r="D1245" s="35"/>
    </row>
    <row r="1246" spans="3:4" x14ac:dyDescent="0.25">
      <c r="C1246" s="37"/>
      <c r="D1246" s="35"/>
    </row>
    <row r="1247" spans="3:4" x14ac:dyDescent="0.25">
      <c r="C1247" s="37"/>
      <c r="D1247" s="35"/>
    </row>
    <row r="1248" spans="3:4" x14ac:dyDescent="0.25">
      <c r="C1248" s="37"/>
      <c r="D1248" s="35"/>
    </row>
    <row r="1249" spans="3:4" x14ac:dyDescent="0.25">
      <c r="C1249" s="37"/>
      <c r="D1249" s="35"/>
    </row>
    <row r="1250" spans="3:4" x14ac:dyDescent="0.25">
      <c r="C1250" s="37"/>
      <c r="D1250" s="35"/>
    </row>
    <row r="1251" spans="3:4" x14ac:dyDescent="0.25">
      <c r="C1251" s="37"/>
      <c r="D1251" s="35"/>
    </row>
    <row r="1252" spans="3:4" x14ac:dyDescent="0.25">
      <c r="C1252" s="37"/>
      <c r="D1252" s="35"/>
    </row>
    <row r="1253" spans="3:4" x14ac:dyDescent="0.25">
      <c r="C1253" s="37"/>
      <c r="D1253" s="35"/>
    </row>
    <row r="1254" spans="3:4" x14ac:dyDescent="0.25">
      <c r="C1254" s="37"/>
      <c r="D1254" s="35"/>
    </row>
    <row r="1255" spans="3:4" x14ac:dyDescent="0.25">
      <c r="C1255" s="37"/>
      <c r="D1255" s="35"/>
    </row>
    <row r="1256" spans="3:4" x14ac:dyDescent="0.25">
      <c r="C1256" s="37"/>
      <c r="D1256" s="35"/>
    </row>
    <row r="1257" spans="3:4" x14ac:dyDescent="0.25">
      <c r="C1257" s="37"/>
      <c r="D1257" s="35"/>
    </row>
    <row r="1258" spans="3:4" x14ac:dyDescent="0.25">
      <c r="C1258" s="37"/>
      <c r="D1258" s="35"/>
    </row>
    <row r="1259" spans="3:4" x14ac:dyDescent="0.25">
      <c r="C1259" s="37"/>
      <c r="D1259" s="35"/>
    </row>
    <row r="1260" spans="3:4" x14ac:dyDescent="0.25">
      <c r="C1260" s="37"/>
      <c r="D1260" s="35"/>
    </row>
    <row r="1261" spans="3:4" x14ac:dyDescent="0.25">
      <c r="C1261" s="37"/>
      <c r="D1261" s="35"/>
    </row>
    <row r="1262" spans="3:4" x14ac:dyDescent="0.25">
      <c r="C1262" s="37"/>
      <c r="D1262" s="35"/>
    </row>
    <row r="1263" spans="3:4" x14ac:dyDescent="0.25">
      <c r="C1263" s="37"/>
      <c r="D1263" s="35"/>
    </row>
    <row r="1264" spans="3:4" x14ac:dyDescent="0.25">
      <c r="C1264" s="37"/>
      <c r="D1264" s="35"/>
    </row>
    <row r="1265" spans="3:4" x14ac:dyDescent="0.25">
      <c r="C1265" s="37"/>
      <c r="D1265" s="35"/>
    </row>
    <row r="1266" spans="3:4" x14ac:dyDescent="0.25">
      <c r="C1266" s="37"/>
      <c r="D1266" s="35"/>
    </row>
    <row r="1267" spans="3:4" x14ac:dyDescent="0.25">
      <c r="C1267" s="37"/>
      <c r="D1267" s="35"/>
    </row>
    <row r="1268" spans="3:4" x14ac:dyDescent="0.25">
      <c r="C1268" s="37"/>
      <c r="D1268" s="35"/>
    </row>
    <row r="1269" spans="3:4" x14ac:dyDescent="0.25">
      <c r="C1269" s="37"/>
      <c r="D1269" s="35"/>
    </row>
    <row r="1270" spans="3:4" x14ac:dyDescent="0.25">
      <c r="C1270" s="37"/>
      <c r="D1270" s="35"/>
    </row>
    <row r="1271" spans="3:4" x14ac:dyDescent="0.25">
      <c r="C1271" s="37"/>
      <c r="D1271" s="35"/>
    </row>
    <row r="1272" spans="3:4" x14ac:dyDescent="0.25">
      <c r="C1272" s="37"/>
      <c r="D1272" s="35"/>
    </row>
    <row r="1273" spans="3:4" x14ac:dyDescent="0.25">
      <c r="C1273" s="37"/>
      <c r="D1273" s="35"/>
    </row>
    <row r="1274" spans="3:4" x14ac:dyDescent="0.25">
      <c r="C1274" s="37"/>
      <c r="D1274" s="35"/>
    </row>
    <row r="1275" spans="3:4" x14ac:dyDescent="0.25">
      <c r="C1275" s="37"/>
      <c r="D1275" s="35"/>
    </row>
    <row r="1276" spans="3:4" x14ac:dyDescent="0.25">
      <c r="C1276" s="37"/>
      <c r="D1276" s="35"/>
    </row>
    <row r="1277" spans="3:4" x14ac:dyDescent="0.25">
      <c r="C1277" s="37"/>
      <c r="D1277" s="35"/>
    </row>
    <row r="1278" spans="3:4" x14ac:dyDescent="0.25">
      <c r="C1278" s="37"/>
      <c r="D1278" s="35"/>
    </row>
    <row r="1279" spans="3:4" x14ac:dyDescent="0.25">
      <c r="C1279" s="37"/>
      <c r="D1279" s="35"/>
    </row>
    <row r="1280" spans="3:4" x14ac:dyDescent="0.25">
      <c r="C1280" s="37"/>
      <c r="D1280" s="35"/>
    </row>
    <row r="1281" spans="3:4" x14ac:dyDescent="0.25">
      <c r="C1281" s="37"/>
      <c r="D1281" s="35"/>
    </row>
    <row r="1282" spans="3:4" x14ac:dyDescent="0.25">
      <c r="C1282" s="37"/>
      <c r="D1282" s="35"/>
    </row>
    <row r="1283" spans="3:4" x14ac:dyDescent="0.25">
      <c r="C1283" s="37"/>
      <c r="D1283" s="35"/>
    </row>
    <row r="1284" spans="3:4" x14ac:dyDescent="0.25">
      <c r="C1284" s="37"/>
      <c r="D1284" s="35"/>
    </row>
    <row r="1285" spans="3:4" x14ac:dyDescent="0.25">
      <c r="C1285" s="37"/>
      <c r="D1285" s="35"/>
    </row>
    <row r="1286" spans="3:4" x14ac:dyDescent="0.25">
      <c r="C1286" s="37"/>
      <c r="D1286" s="35"/>
    </row>
    <row r="1287" spans="3:4" x14ac:dyDescent="0.25">
      <c r="C1287" s="37"/>
      <c r="D1287" s="35"/>
    </row>
    <row r="1288" spans="3:4" x14ac:dyDescent="0.25">
      <c r="C1288" s="37"/>
      <c r="D1288" s="35"/>
    </row>
    <row r="1289" spans="3:4" x14ac:dyDescent="0.25">
      <c r="C1289" s="37"/>
      <c r="D1289" s="35"/>
    </row>
    <row r="1290" spans="3:4" x14ac:dyDescent="0.25">
      <c r="C1290" s="37"/>
      <c r="D1290" s="35"/>
    </row>
    <row r="1291" spans="3:4" x14ac:dyDescent="0.25">
      <c r="C1291" s="37"/>
      <c r="D1291" s="35"/>
    </row>
    <row r="1292" spans="3:4" x14ac:dyDescent="0.25">
      <c r="C1292" s="37"/>
      <c r="D1292" s="35"/>
    </row>
    <row r="1293" spans="3:4" x14ac:dyDescent="0.25">
      <c r="C1293" s="37"/>
      <c r="D1293" s="35"/>
    </row>
    <row r="1294" spans="3:4" x14ac:dyDescent="0.25">
      <c r="C1294" s="37"/>
      <c r="D1294" s="35"/>
    </row>
    <row r="1295" spans="3:4" x14ac:dyDescent="0.25">
      <c r="C1295" s="37"/>
      <c r="D1295" s="35"/>
    </row>
    <row r="1296" spans="3:4" x14ac:dyDescent="0.25">
      <c r="C1296" s="37"/>
      <c r="D1296" s="35"/>
    </row>
    <row r="1297" spans="3:4" x14ac:dyDescent="0.25">
      <c r="C1297" s="37"/>
      <c r="D1297" s="35"/>
    </row>
    <row r="1298" spans="3:4" x14ac:dyDescent="0.25">
      <c r="C1298" s="37"/>
      <c r="D1298" s="35"/>
    </row>
    <row r="1299" spans="3:4" x14ac:dyDescent="0.25">
      <c r="C1299" s="37"/>
      <c r="D1299" s="35"/>
    </row>
    <row r="1300" spans="3:4" x14ac:dyDescent="0.25">
      <c r="C1300" s="37"/>
      <c r="D1300" s="35"/>
    </row>
    <row r="1301" spans="3:4" x14ac:dyDescent="0.25">
      <c r="C1301" s="37"/>
      <c r="D1301" s="35"/>
    </row>
    <row r="1302" spans="3:4" x14ac:dyDescent="0.25">
      <c r="C1302" s="37"/>
      <c r="D1302" s="35"/>
    </row>
    <row r="1303" spans="3:4" x14ac:dyDescent="0.25">
      <c r="C1303" s="37"/>
      <c r="D1303" s="35"/>
    </row>
    <row r="1304" spans="3:4" x14ac:dyDescent="0.25">
      <c r="C1304" s="37"/>
      <c r="D1304" s="35"/>
    </row>
    <row r="1305" spans="3:4" x14ac:dyDescent="0.25">
      <c r="C1305" s="37"/>
      <c r="D1305" s="35"/>
    </row>
    <row r="1306" spans="3:4" x14ac:dyDescent="0.25">
      <c r="C1306" s="37"/>
      <c r="D1306" s="35"/>
    </row>
    <row r="1307" spans="3:4" x14ac:dyDescent="0.25">
      <c r="C1307" s="37"/>
      <c r="D1307" s="35"/>
    </row>
    <row r="1308" spans="3:4" x14ac:dyDescent="0.25">
      <c r="C1308" s="37"/>
      <c r="D1308" s="35"/>
    </row>
    <row r="1309" spans="3:4" x14ac:dyDescent="0.25">
      <c r="C1309" s="37"/>
      <c r="D1309" s="35"/>
    </row>
    <row r="1310" spans="3:4" x14ac:dyDescent="0.25">
      <c r="C1310" s="37"/>
      <c r="D1310" s="35"/>
    </row>
    <row r="1311" spans="3:4" x14ac:dyDescent="0.25">
      <c r="C1311" s="37"/>
      <c r="D1311" s="35"/>
    </row>
    <row r="1312" spans="3:4" x14ac:dyDescent="0.25">
      <c r="C1312" s="37"/>
      <c r="D1312" s="35"/>
    </row>
    <row r="1313" spans="3:4" x14ac:dyDescent="0.25">
      <c r="C1313" s="37"/>
      <c r="D1313" s="35"/>
    </row>
    <row r="1314" spans="3:4" x14ac:dyDescent="0.25">
      <c r="C1314" s="37"/>
      <c r="D1314" s="35"/>
    </row>
    <row r="1315" spans="3:4" x14ac:dyDescent="0.25">
      <c r="C1315" s="37"/>
      <c r="D1315" s="35"/>
    </row>
    <row r="1316" spans="3:4" x14ac:dyDescent="0.25">
      <c r="C1316" s="37"/>
      <c r="D1316" s="35"/>
    </row>
    <row r="1317" spans="3:4" x14ac:dyDescent="0.25">
      <c r="C1317" s="37"/>
      <c r="D1317" s="35"/>
    </row>
    <row r="1318" spans="3:4" x14ac:dyDescent="0.25">
      <c r="C1318" s="37"/>
      <c r="D1318" s="35"/>
    </row>
    <row r="1319" spans="3:4" x14ac:dyDescent="0.25">
      <c r="C1319" s="37"/>
      <c r="D1319" s="35"/>
    </row>
    <row r="1320" spans="3:4" x14ac:dyDescent="0.25">
      <c r="C1320" s="37"/>
      <c r="D1320" s="35"/>
    </row>
    <row r="1321" spans="3:4" x14ac:dyDescent="0.25">
      <c r="C1321" s="37"/>
      <c r="D1321" s="35"/>
    </row>
    <row r="1322" spans="3:4" x14ac:dyDescent="0.25">
      <c r="C1322" s="37"/>
      <c r="D1322" s="35"/>
    </row>
    <row r="1323" spans="3:4" x14ac:dyDescent="0.25">
      <c r="C1323" s="37"/>
      <c r="D1323" s="35"/>
    </row>
    <row r="1324" spans="3:4" x14ac:dyDescent="0.25">
      <c r="C1324" s="37"/>
      <c r="D1324" s="35"/>
    </row>
    <row r="1325" spans="3:4" x14ac:dyDescent="0.25">
      <c r="C1325" s="37"/>
      <c r="D1325" s="35"/>
    </row>
    <row r="1326" spans="3:4" x14ac:dyDescent="0.25">
      <c r="C1326" s="37"/>
      <c r="D1326" s="35"/>
    </row>
    <row r="1327" spans="3:4" x14ac:dyDescent="0.25">
      <c r="C1327" s="37"/>
      <c r="D1327" s="35"/>
    </row>
    <row r="1328" spans="3:4" x14ac:dyDescent="0.25">
      <c r="C1328" s="37"/>
      <c r="D1328" s="35"/>
    </row>
    <row r="1329" spans="3:4" x14ac:dyDescent="0.25">
      <c r="C1329" s="37"/>
      <c r="D1329" s="35"/>
    </row>
    <row r="1330" spans="3:4" x14ac:dyDescent="0.25">
      <c r="C1330" s="37"/>
      <c r="D1330" s="35"/>
    </row>
    <row r="1331" spans="3:4" x14ac:dyDescent="0.25">
      <c r="C1331" s="37"/>
      <c r="D1331" s="35"/>
    </row>
    <row r="1332" spans="3:4" x14ac:dyDescent="0.25">
      <c r="C1332" s="37"/>
      <c r="D1332" s="35"/>
    </row>
    <row r="1333" spans="3:4" x14ac:dyDescent="0.25">
      <c r="C1333" s="37"/>
      <c r="D1333" s="35"/>
    </row>
  </sheetData>
  <mergeCells count="18">
    <mergeCell ref="N2:O2"/>
    <mergeCell ref="D2:E2"/>
    <mergeCell ref="F2:G2"/>
    <mergeCell ref="H2:I2"/>
    <mergeCell ref="J2:K2"/>
    <mergeCell ref="L2:M2"/>
    <mergeCell ref="N29:O29"/>
    <mergeCell ref="D17:E17"/>
    <mergeCell ref="F17:G17"/>
    <mergeCell ref="H17:I17"/>
    <mergeCell ref="J17:K17"/>
    <mergeCell ref="L17:M17"/>
    <mergeCell ref="N17:O17"/>
    <mergeCell ref="D29:E29"/>
    <mergeCell ref="F29:G29"/>
    <mergeCell ref="H29:I29"/>
    <mergeCell ref="J29:K29"/>
    <mergeCell ref="L29:M2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1DA43-94C1-4698-B507-8876C250EA65}">
  <dimension ref="A1:AC1333"/>
  <sheetViews>
    <sheetView workbookViewId="0"/>
  </sheetViews>
  <sheetFormatPr defaultRowHeight="15" outlineLevelRow="1" outlineLevelCol="1" x14ac:dyDescent="0.25"/>
  <cols>
    <col min="1" max="1" width="9.42578125" customWidth="1"/>
    <col min="2" max="2" width="25.140625" bestFit="1" customWidth="1"/>
    <col min="3" max="3" width="24.28515625" style="11" bestFit="1" customWidth="1"/>
    <col min="4" max="4" width="9.42578125" style="6" customWidth="1"/>
    <col min="5" max="5" width="16.85546875" style="11" bestFit="1" customWidth="1"/>
    <col min="6" max="6" width="9.28515625" style="6" customWidth="1"/>
    <col min="7" max="7" width="19.5703125" style="11" bestFit="1" customWidth="1"/>
    <col min="8" max="8" width="9.140625" style="6"/>
    <col min="9" max="9" width="19.5703125" style="11" bestFit="1" customWidth="1"/>
    <col min="10" max="10" width="7.140625" style="6" bestFit="1" customWidth="1"/>
    <col min="11" max="11" width="18" style="11" bestFit="1" customWidth="1"/>
    <col min="12" max="12" width="7.140625" style="5" bestFit="1" customWidth="1"/>
    <col min="13" max="13" width="19.5703125" style="10" bestFit="1" customWidth="1"/>
    <col min="14" max="14" width="8.140625" style="10" bestFit="1" customWidth="1"/>
    <col min="15" max="15" width="19.5703125" style="10" customWidth="1"/>
    <col min="16" max="16" width="7.140625" bestFit="1" customWidth="1"/>
    <col min="17" max="18" width="7.140625" hidden="1" customWidth="1" outlineLevel="1"/>
    <col min="19" max="19" width="18" bestFit="1" customWidth="1" collapsed="1"/>
    <col min="20" max="20" width="16.85546875" bestFit="1" customWidth="1"/>
    <col min="21" max="21" width="18" bestFit="1" customWidth="1"/>
    <col min="22" max="22" width="16.85546875" bestFit="1" customWidth="1"/>
    <col min="23" max="23" width="15.28515625" bestFit="1" customWidth="1"/>
    <col min="25" max="25" width="7.85546875" bestFit="1" customWidth="1"/>
    <col min="26" max="26" width="11.140625" bestFit="1" customWidth="1"/>
    <col min="27" max="27" width="13.28515625" bestFit="1" customWidth="1"/>
    <col min="28" max="28" width="7.85546875" bestFit="1" customWidth="1"/>
    <col min="29" max="29" width="8.140625" bestFit="1" customWidth="1"/>
  </cols>
  <sheetData>
    <row r="1" spans="1:29" ht="9" customHeight="1" x14ac:dyDescent="0.25"/>
    <row r="2" spans="1:29" x14ac:dyDescent="0.25">
      <c r="B2" s="4" t="s">
        <v>1</v>
      </c>
      <c r="C2" s="9" t="s">
        <v>4</v>
      </c>
      <c r="D2" s="112" t="s">
        <v>7</v>
      </c>
      <c r="E2" s="112"/>
      <c r="F2" s="112" t="s">
        <v>8</v>
      </c>
      <c r="G2" s="112"/>
      <c r="H2" s="112" t="s">
        <v>10</v>
      </c>
      <c r="I2" s="112"/>
      <c r="J2" s="112" t="s">
        <v>9</v>
      </c>
      <c r="K2" s="112"/>
      <c r="L2" s="112" t="s">
        <v>21</v>
      </c>
      <c r="M2" s="112"/>
      <c r="N2" s="112" t="s">
        <v>55</v>
      </c>
      <c r="O2" s="112"/>
      <c r="Q2" s="1" t="s">
        <v>46</v>
      </c>
      <c r="S2" s="27" t="s">
        <v>49</v>
      </c>
      <c r="T2" s="27" t="s">
        <v>50</v>
      </c>
      <c r="U2" s="27" t="s">
        <v>51</v>
      </c>
      <c r="V2" s="27" t="s">
        <v>52</v>
      </c>
      <c r="W2" s="27" t="s">
        <v>53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</row>
    <row r="3" spans="1:29" x14ac:dyDescent="0.25">
      <c r="B3" s="21" t="s">
        <v>5</v>
      </c>
      <c r="C3" s="23">
        <v>343417519.06999999</v>
      </c>
      <c r="D3" s="26">
        <f>0.274+0.013</f>
        <v>0.28700000000000003</v>
      </c>
      <c r="E3" s="23">
        <f>D3*C3</f>
        <v>98560827.973090008</v>
      </c>
      <c r="F3" s="26">
        <f>0.114+0.079+0.027+0.009</f>
        <v>0.22900000000000001</v>
      </c>
      <c r="G3" s="22">
        <f>F3*C3</f>
        <v>78642611.867029995</v>
      </c>
      <c r="H3" s="26">
        <f>0.362+0.003</f>
        <v>0.36499999999999999</v>
      </c>
      <c r="I3" s="23">
        <f>H3*C3</f>
        <v>125347394.46055</v>
      </c>
      <c r="J3" s="26">
        <v>0.03</v>
      </c>
      <c r="K3" s="23">
        <f>J3*C3</f>
        <v>10302525.572099999</v>
      </c>
      <c r="L3" s="24"/>
      <c r="M3" s="25">
        <f>L3*C3</f>
        <v>0</v>
      </c>
      <c r="N3" s="14">
        <v>8.8999999999999996E-2</v>
      </c>
      <c r="O3" s="12">
        <f>N3*C3</f>
        <v>30564159.197229996</v>
      </c>
      <c r="S3" s="12">
        <f>E3-'Set23'!E3</f>
        <v>10664566.661050007</v>
      </c>
      <c r="T3" s="12">
        <f>G3-'Set23'!G3</f>
        <v>-3802718.5109300166</v>
      </c>
      <c r="U3" s="12">
        <f>I3-'Set23'!I3</f>
        <v>-4112215.2238500118</v>
      </c>
      <c r="V3" s="12">
        <f>K3-'Set23'!K3</f>
        <v>-599336.29606000148</v>
      </c>
      <c r="W3" s="12">
        <f>+M3-'Set23'!M3</f>
        <v>0</v>
      </c>
      <c r="Y3" s="28">
        <f>D3-'Set23'!D3</f>
        <v>2.9000000000000026E-2</v>
      </c>
      <c r="Z3" s="28">
        <f>F3-'Set23'!F3</f>
        <v>-1.3000000000000012E-2</v>
      </c>
      <c r="AA3" s="28">
        <f>H3-'Set23'!H3</f>
        <v>-1.5000000000000013E-2</v>
      </c>
      <c r="AB3" s="28">
        <f>J3-'Set23'!J3</f>
        <v>-2.0000000000000018E-3</v>
      </c>
      <c r="AC3" s="28">
        <f>L3-'Set23'!L3</f>
        <v>0</v>
      </c>
    </row>
    <row r="4" spans="1:29" x14ac:dyDescent="0.25">
      <c r="B4" s="3" t="s">
        <v>0</v>
      </c>
      <c r="C4" s="12">
        <v>1367835084</v>
      </c>
      <c r="D4" s="14">
        <v>0.33</v>
      </c>
      <c r="E4" s="12">
        <f t="shared" ref="E4:E11" si="0">D4*C4</f>
        <v>451385577.72000003</v>
      </c>
      <c r="F4" s="14">
        <v>0.14000000000000001</v>
      </c>
      <c r="G4" s="12">
        <f t="shared" ref="G4:G13" si="1">F4*C4</f>
        <v>191496911.76000002</v>
      </c>
      <c r="H4" s="14">
        <v>0.43</v>
      </c>
      <c r="I4" s="12">
        <f t="shared" ref="I4:I13" si="2">H4*C4</f>
        <v>588169086.12</v>
      </c>
      <c r="J4" s="14">
        <v>0.1</v>
      </c>
      <c r="K4" s="12">
        <f>J4*C4</f>
        <v>136783508.40000001</v>
      </c>
      <c r="L4" s="14"/>
      <c r="M4" s="12">
        <f>L4*C4</f>
        <v>0</v>
      </c>
      <c r="N4" s="14"/>
      <c r="O4" s="12">
        <f t="shared" ref="O4:O13" si="3">N4*C4</f>
        <v>0</v>
      </c>
      <c r="S4" s="12">
        <f>E4-'Set23'!E4</f>
        <v>-23614391.790000021</v>
      </c>
      <c r="T4" s="12">
        <f>G4-'Set23'!G4</f>
        <v>-10018226.819999993</v>
      </c>
      <c r="U4" s="12">
        <f>I4-'Set23'!I4</f>
        <v>-45164206.560000062</v>
      </c>
      <c r="V4" s="12">
        <f>K4-'Set23'!K4</f>
        <v>7238062.1700000167</v>
      </c>
      <c r="W4" s="12">
        <f>+M4-'Set23'!M4</f>
        <v>0</v>
      </c>
      <c r="Y4" s="28">
        <f>D4-'Set23'!D4</f>
        <v>0</v>
      </c>
      <c r="Z4" s="28">
        <f>F4-'Set23'!F4</f>
        <v>0</v>
      </c>
      <c r="AA4" s="28">
        <f>H4-'Set23'!H4</f>
        <v>-1.0000000000000064E-2</v>
      </c>
      <c r="AB4" s="28">
        <f>J4-'Set23'!J4</f>
        <v>1.0000000000000009E-2</v>
      </c>
      <c r="AC4" s="28">
        <f>L4-'Set23'!L4</f>
        <v>0</v>
      </c>
    </row>
    <row r="5" spans="1:29" x14ac:dyDescent="0.25">
      <c r="B5" s="3" t="s">
        <v>3</v>
      </c>
      <c r="C5" s="12">
        <v>1130731541.8099999</v>
      </c>
      <c r="D5" s="14">
        <v>0.43</v>
      </c>
      <c r="E5" s="12">
        <f t="shared" si="0"/>
        <v>486214562.97829998</v>
      </c>
      <c r="F5" s="14"/>
      <c r="G5" s="12">
        <f t="shared" si="1"/>
        <v>0</v>
      </c>
      <c r="H5" s="14">
        <f>0.37+0.06+0.01</f>
        <v>0.44</v>
      </c>
      <c r="I5" s="12">
        <f t="shared" si="2"/>
        <v>497521878.39639997</v>
      </c>
      <c r="J5" s="14">
        <v>0.05</v>
      </c>
      <c r="K5" s="12">
        <f t="shared" ref="K5:K7" si="4">J5*C5</f>
        <v>56536577.090499997</v>
      </c>
      <c r="L5" s="14">
        <v>0.08</v>
      </c>
      <c r="M5" s="12">
        <f>L5*C5</f>
        <v>90458523.344799995</v>
      </c>
      <c r="N5" s="14"/>
      <c r="O5" s="12">
        <f t="shared" si="3"/>
        <v>0</v>
      </c>
      <c r="S5" s="12">
        <f>E5-'Set23'!E5</f>
        <v>-92517741.017200112</v>
      </c>
      <c r="T5" s="12">
        <f>G5-'Set23'!G5</f>
        <v>0</v>
      </c>
      <c r="U5" s="12">
        <f>I5-'Set23'!I5</f>
        <v>-7329705.9401000142</v>
      </c>
      <c r="V5" s="12">
        <f>K5-'Set23'!K5</f>
        <v>-5030689.2920000106</v>
      </c>
      <c r="W5" s="12">
        <f>+M5-'Set23'!M5</f>
        <v>4264350.4092999846</v>
      </c>
      <c r="Y5" s="28">
        <f>D5-'Set23'!D5</f>
        <v>-4.0000000000000036E-2</v>
      </c>
      <c r="Z5" s="28">
        <f>F5-'Set23'!F5</f>
        <v>0</v>
      </c>
      <c r="AA5" s="28">
        <f>H5-'Set23'!H5</f>
        <v>3.0000000000000027E-2</v>
      </c>
      <c r="AB5" s="28">
        <f>J5-'Set23'!J5</f>
        <v>0</v>
      </c>
      <c r="AC5" s="28">
        <f>L5-'Set23'!L5</f>
        <v>9.999999999999995E-3</v>
      </c>
    </row>
    <row r="6" spans="1:29" x14ac:dyDescent="0.25">
      <c r="B6" s="3" t="s">
        <v>37</v>
      </c>
      <c r="C6" s="12">
        <v>2608787712</v>
      </c>
      <c r="D6" s="14">
        <v>0.29720000000000002</v>
      </c>
      <c r="E6" s="12">
        <f t="shared" si="0"/>
        <v>775331708.00640011</v>
      </c>
      <c r="F6" s="14">
        <v>0.1983</v>
      </c>
      <c r="G6" s="12">
        <f t="shared" si="1"/>
        <v>517322603.28960001</v>
      </c>
      <c r="H6" s="14">
        <f>0.4451+0.0224+0.0202</f>
        <v>0.48769999999999997</v>
      </c>
      <c r="I6" s="12">
        <f t="shared" si="2"/>
        <v>1272305767.1424</v>
      </c>
      <c r="J6" s="14"/>
      <c r="K6" s="12">
        <f t="shared" si="4"/>
        <v>0</v>
      </c>
      <c r="L6" s="14"/>
      <c r="M6" s="12">
        <f>L6*C6</f>
        <v>0</v>
      </c>
      <c r="N6" s="14">
        <v>1.6799999999999999E-2</v>
      </c>
      <c r="O6" s="12">
        <f t="shared" si="3"/>
        <v>43827633.5616</v>
      </c>
      <c r="S6" s="12">
        <f>E6-'Set23'!E6</f>
        <v>-65166719.6747998</v>
      </c>
      <c r="T6" s="12">
        <f>G6-'Set23'!G6</f>
        <v>20054536.082300007</v>
      </c>
      <c r="U6" s="12">
        <f>I6-'Set23'!I6</f>
        <v>-6421885.4440999031</v>
      </c>
      <c r="V6" s="12">
        <f>K6-'Set23'!K6</f>
        <v>0</v>
      </c>
      <c r="W6" s="12">
        <f>+M6-'Set23'!M6</f>
        <v>0</v>
      </c>
      <c r="Y6" s="28">
        <f>D6-'Set23'!D6</f>
        <v>-1.5999999999999959E-2</v>
      </c>
      <c r="Z6" s="28">
        <f>F6-'Set23'!F6</f>
        <v>1.3000000000000012E-2</v>
      </c>
      <c r="AA6" s="28">
        <f>H6-'Set23'!H6</f>
        <v>1.1199999999999988E-2</v>
      </c>
      <c r="AB6" s="28">
        <f>J6-'Set23'!J6</f>
        <v>0</v>
      </c>
      <c r="AC6" s="28">
        <f>L6-'Set23'!L6</f>
        <v>0</v>
      </c>
    </row>
    <row r="7" spans="1:29" x14ac:dyDescent="0.25">
      <c r="B7" s="3" t="s">
        <v>22</v>
      </c>
      <c r="C7" s="12">
        <v>956170000</v>
      </c>
      <c r="D7" s="14">
        <v>0.28499999999999998</v>
      </c>
      <c r="E7" s="12">
        <f t="shared" si="0"/>
        <v>272508450</v>
      </c>
      <c r="F7" s="14">
        <v>9.5000000000000001E-2</v>
      </c>
      <c r="G7" s="12">
        <f t="shared" si="1"/>
        <v>90836150</v>
      </c>
      <c r="H7" s="14">
        <f>0.481+0.095</f>
        <v>0.57599999999999996</v>
      </c>
      <c r="I7" s="12">
        <f t="shared" si="2"/>
        <v>550753920</v>
      </c>
      <c r="J7" s="14">
        <v>4.3999999999999997E-2</v>
      </c>
      <c r="K7" s="12">
        <f t="shared" si="4"/>
        <v>42071480</v>
      </c>
      <c r="L7" s="16"/>
      <c r="M7" s="12">
        <f t="shared" ref="M7:M13" si="5">L7*C7</f>
        <v>0</v>
      </c>
      <c r="N7" s="14"/>
      <c r="O7" s="12">
        <f t="shared" si="3"/>
        <v>0</v>
      </c>
      <c r="S7" s="12">
        <f>E7-'Set23'!E7</f>
        <v>8178449.9999999702</v>
      </c>
      <c r="T7" s="12">
        <f>G7-'Set23'!G7</f>
        <v>-2223850</v>
      </c>
      <c r="U7" s="12">
        <f>I7-'Set23'!I7</f>
        <v>-40276080</v>
      </c>
      <c r="V7" s="12">
        <f>K7-'Set23'!K7</f>
        <v>491480</v>
      </c>
      <c r="W7" s="12">
        <f>+M7-'Set23'!M7</f>
        <v>0</v>
      </c>
      <c r="Y7" s="28">
        <f>D7-'Set23'!D7</f>
        <v>1.799999999999996E-2</v>
      </c>
      <c r="Z7" s="28">
        <f>F7-'Set23'!F7</f>
        <v>1.0000000000000009E-3</v>
      </c>
      <c r="AA7" s="28">
        <f>H7-'Set23'!H7</f>
        <v>-2.1000000000000019E-2</v>
      </c>
      <c r="AB7" s="28">
        <f>J7-'Set23'!J7</f>
        <v>1.9999999999999948E-3</v>
      </c>
      <c r="AC7" s="28">
        <f>L7-'Set23'!L7</f>
        <v>0</v>
      </c>
    </row>
    <row r="8" spans="1:29" x14ac:dyDescent="0.25">
      <c r="B8" s="3" t="s">
        <v>23</v>
      </c>
      <c r="C8" s="12">
        <v>1251287091.99</v>
      </c>
      <c r="D8" s="14">
        <v>0.19</v>
      </c>
      <c r="E8" s="12">
        <f t="shared" si="0"/>
        <v>237744547.4781</v>
      </c>
      <c r="F8" s="14">
        <v>0.27</v>
      </c>
      <c r="G8" s="12">
        <f t="shared" si="1"/>
        <v>337847514.8373</v>
      </c>
      <c r="H8" s="14">
        <v>0.43</v>
      </c>
      <c r="I8" s="12">
        <f t="shared" si="2"/>
        <v>538053449.55569994</v>
      </c>
      <c r="J8" s="14">
        <v>0.08</v>
      </c>
      <c r="K8" s="12">
        <f>J8*C8</f>
        <v>100102967.3592</v>
      </c>
      <c r="L8" s="16"/>
      <c r="M8" s="12">
        <f t="shared" si="5"/>
        <v>0</v>
      </c>
      <c r="N8" s="14">
        <v>0.03</v>
      </c>
      <c r="O8" s="12">
        <f t="shared" si="3"/>
        <v>37538612.7597</v>
      </c>
      <c r="S8" s="12">
        <f>E8-'Set23'!E8</f>
        <v>15797593.442700028</v>
      </c>
      <c r="T8" s="12">
        <f>G8-'Set23'!G8</f>
        <v>-7403302.5511000156</v>
      </c>
      <c r="U8" s="12">
        <f>I8-'Set23'!I8</f>
        <v>7846837.1377999783</v>
      </c>
      <c r="V8" s="12">
        <f>K8-'Set23'!K8</f>
        <v>7625069.8444500118</v>
      </c>
      <c r="W8" s="12">
        <f>+M8-'Set23'!M8</f>
        <v>0</v>
      </c>
      <c r="Y8" s="28">
        <f>D8-'Set23'!D8</f>
        <v>1.0000000000000009E-2</v>
      </c>
      <c r="Z8" s="28">
        <f>F8-'Set23'!F8</f>
        <v>-1.0000000000000009E-2</v>
      </c>
      <c r="AA8" s="28">
        <f>H8-'Set23'!H8</f>
        <v>0</v>
      </c>
      <c r="AB8" s="28">
        <f>J8-'Set23'!J8</f>
        <v>5.0000000000000044E-3</v>
      </c>
      <c r="AC8" s="28">
        <f>L8-'Set23'!L8</f>
        <v>0</v>
      </c>
    </row>
    <row r="9" spans="1:29" x14ac:dyDescent="0.25">
      <c r="B9" s="3" t="s">
        <v>24</v>
      </c>
      <c r="C9" s="12">
        <v>2130077789</v>
      </c>
      <c r="D9" s="14">
        <v>0.30930000000000002</v>
      </c>
      <c r="E9" s="12">
        <f t="shared" si="0"/>
        <v>658833060.13770008</v>
      </c>
      <c r="F9" s="14">
        <v>0.1971</v>
      </c>
      <c r="G9" s="12">
        <f t="shared" si="1"/>
        <v>419838332.2119</v>
      </c>
      <c r="H9" s="14">
        <v>0.44240000000000002</v>
      </c>
      <c r="I9" s="12">
        <f t="shared" si="2"/>
        <v>942346413.85360003</v>
      </c>
      <c r="J9" s="14">
        <v>5.1200000000000002E-2</v>
      </c>
      <c r="K9" s="12">
        <f>J9*C9</f>
        <v>109059982.7968</v>
      </c>
      <c r="L9" s="14"/>
      <c r="M9" s="12">
        <f t="shared" si="5"/>
        <v>0</v>
      </c>
      <c r="N9" s="14"/>
      <c r="O9" s="12">
        <f t="shared" si="3"/>
        <v>0</v>
      </c>
      <c r="S9" s="12">
        <f>E9-'Set23'!E9</f>
        <v>-13883838.376199961</v>
      </c>
      <c r="T9" s="12">
        <f>G9-'Set23'!G9</f>
        <v>-14638778.476499975</v>
      </c>
      <c r="U9" s="12">
        <f>I9-'Set23'!I9</f>
        <v>-67519302.881599903</v>
      </c>
      <c r="V9" s="12">
        <f>K9-'Set23'!K9</f>
        <v>-2946590.4367999882</v>
      </c>
      <c r="W9" s="12">
        <f>+M9-'Set23'!M9</f>
        <v>0</v>
      </c>
      <c r="Y9" s="28">
        <f>D9-'Set23'!D9</f>
        <v>1.1400000000000021E-2</v>
      </c>
      <c r="Z9" s="28">
        <f>F9-'Set23'!F9</f>
        <v>4.7000000000000097E-3</v>
      </c>
      <c r="AA9" s="28">
        <f>H9-'Set23'!H9</f>
        <v>-4.799999999999971E-3</v>
      </c>
      <c r="AB9" s="28">
        <f>J9-'Set23'!J9</f>
        <v>1.6000000000000042E-3</v>
      </c>
      <c r="AC9" s="28">
        <f>L9-'Set23'!L9</f>
        <v>0</v>
      </c>
    </row>
    <row r="10" spans="1:29" x14ac:dyDescent="0.25">
      <c r="B10" s="3" t="s">
        <v>25</v>
      </c>
      <c r="C10" s="12">
        <v>193749561</v>
      </c>
      <c r="D10" s="14">
        <v>0.53</v>
      </c>
      <c r="E10" s="12">
        <f t="shared" si="0"/>
        <v>102687267.33</v>
      </c>
      <c r="F10" s="14">
        <v>0.06</v>
      </c>
      <c r="G10" s="12">
        <f t="shared" si="1"/>
        <v>11624973.66</v>
      </c>
      <c r="H10" s="14">
        <v>0.34</v>
      </c>
      <c r="I10" s="12">
        <f t="shared" si="2"/>
        <v>65874850.740000002</v>
      </c>
      <c r="J10" s="14">
        <v>7.0000000000000007E-2</v>
      </c>
      <c r="K10" s="12">
        <f>J10*C10</f>
        <v>13562469.270000001</v>
      </c>
      <c r="L10" s="16"/>
      <c r="M10" s="12">
        <f t="shared" si="5"/>
        <v>0</v>
      </c>
      <c r="N10" s="14"/>
      <c r="O10" s="12">
        <f t="shared" si="3"/>
        <v>0</v>
      </c>
      <c r="S10" s="12">
        <f>E10-'Set23'!E10</f>
        <v>-95459431.140000001</v>
      </c>
      <c r="T10" s="12">
        <f>G10-'Set23'!G10</f>
        <v>-4100954.790000001</v>
      </c>
      <c r="U10" s="12">
        <f>I10-'Set23'!I10</f>
        <v>-12754791.509999998</v>
      </c>
      <c r="V10" s="12">
        <f>K10-'Set23'!K10</f>
        <v>-8453830.5600000005</v>
      </c>
      <c r="W10" s="12">
        <f>+M10-'Set23'!M10</f>
        <v>0</v>
      </c>
      <c r="Y10" s="28">
        <f>D10-'Set23'!D10</f>
        <v>-9.9999999999999978E-2</v>
      </c>
      <c r="Z10" s="28">
        <f>F10-'Set23'!F10</f>
        <v>9.999999999999995E-3</v>
      </c>
      <c r="AA10" s="28">
        <f>H10-'Set23'!H10</f>
        <v>9.0000000000000024E-2</v>
      </c>
      <c r="AB10" s="28">
        <f>J10-'Set23'!J10</f>
        <v>0</v>
      </c>
      <c r="AC10" s="28">
        <f>L10-'Set23'!L10</f>
        <v>0</v>
      </c>
    </row>
    <row r="11" spans="1:29" x14ac:dyDescent="0.25">
      <c r="B11" s="3" t="s">
        <v>29</v>
      </c>
      <c r="C11" s="40">
        <v>3791509102.6300001</v>
      </c>
      <c r="D11" s="14">
        <v>0.27300000000000002</v>
      </c>
      <c r="E11" s="12">
        <f t="shared" si="0"/>
        <v>1035081985.0179901</v>
      </c>
      <c r="F11" s="14">
        <f>0.28+0.023</f>
        <v>0.30300000000000005</v>
      </c>
      <c r="G11" s="12">
        <f t="shared" si="1"/>
        <v>1148827258.0968902</v>
      </c>
      <c r="H11" s="14">
        <f>0.377+0.015</f>
        <v>0.39200000000000002</v>
      </c>
      <c r="I11" s="12">
        <f t="shared" si="2"/>
        <v>1486271568.2309601</v>
      </c>
      <c r="J11" s="14">
        <v>3.2000000000000001E-2</v>
      </c>
      <c r="K11" s="12">
        <f>J11*C11</f>
        <v>121328291.28416</v>
      </c>
      <c r="L11" s="16"/>
      <c r="M11" s="12">
        <f t="shared" si="5"/>
        <v>0</v>
      </c>
      <c r="N11" s="14"/>
      <c r="O11" s="12">
        <f t="shared" si="3"/>
        <v>0</v>
      </c>
      <c r="S11" s="12">
        <f>E11-'Set23'!E11</f>
        <v>46684016.112949967</v>
      </c>
      <c r="T11" s="12">
        <f>G11-'Set23'!G11</f>
        <v>71916038.245130062</v>
      </c>
      <c r="U11" s="12">
        <f>I11-'Set23'!I11</f>
        <v>-13437.249380111694</v>
      </c>
      <c r="V11" s="12">
        <f>K11-'Set23'!K11</f>
        <v>-15129637.258699998</v>
      </c>
      <c r="W11" s="12">
        <f>+M11-'Set23'!M11</f>
        <v>0</v>
      </c>
      <c r="Y11" s="28">
        <f>D11-'Set23'!D11</f>
        <v>5.0000000000000044E-3</v>
      </c>
      <c r="Z11" s="28">
        <f>F11-'Set23'!F11</f>
        <v>1.100000000000001E-2</v>
      </c>
      <c r="AA11" s="28">
        <f>H11-'Set23'!H11</f>
        <v>-1.100000000000001E-2</v>
      </c>
      <c r="AB11" s="28">
        <f>J11-'Set23'!J11</f>
        <v>-4.9999999999999975E-3</v>
      </c>
      <c r="AC11" s="28">
        <f>L11-'Set23'!L11</f>
        <v>0</v>
      </c>
    </row>
    <row r="12" spans="1:29" x14ac:dyDescent="0.25">
      <c r="B12" s="3" t="s">
        <v>47</v>
      </c>
      <c r="C12" s="12">
        <v>1567588520.45</v>
      </c>
      <c r="D12" s="14">
        <v>0.624</v>
      </c>
      <c r="E12" s="12">
        <f>D12*C12</f>
        <v>978175236.7608</v>
      </c>
      <c r="F12" s="14">
        <v>0.12</v>
      </c>
      <c r="G12" s="12">
        <f t="shared" si="1"/>
        <v>188110622.454</v>
      </c>
      <c r="H12" s="14">
        <v>0.25600000000000001</v>
      </c>
      <c r="I12" s="12">
        <f t="shared" si="2"/>
        <v>401302661.23520005</v>
      </c>
      <c r="J12" s="14"/>
      <c r="K12" s="12"/>
      <c r="L12" s="16"/>
      <c r="M12" s="12">
        <f>L12*C12</f>
        <v>0</v>
      </c>
      <c r="N12" s="14"/>
      <c r="O12" s="12">
        <f>N12*C12</f>
        <v>0</v>
      </c>
      <c r="Q12" t="s">
        <v>48</v>
      </c>
      <c r="S12" s="12">
        <f>E12-'Set23'!E12</f>
        <v>19759829.206649899</v>
      </c>
      <c r="T12" s="12">
        <f>G12-'Set23'!G12</f>
        <v>13579716.211799979</v>
      </c>
      <c r="U12" s="12">
        <f>I12-'Set23'!I12</f>
        <v>29672197.081550062</v>
      </c>
      <c r="V12" s="12">
        <f>K12-'Set23'!K12</f>
        <v>0</v>
      </c>
      <c r="W12" s="12">
        <f>+M12-'Set23'!M12</f>
        <v>0</v>
      </c>
      <c r="Y12" s="28">
        <f>D12-'Set23'!D12</f>
        <v>-1.3000000000000012E-2</v>
      </c>
      <c r="Z12" s="28">
        <f>F12-'Set23'!F12</f>
        <v>3.9999999999999897E-3</v>
      </c>
      <c r="AA12" s="28">
        <f>H12-'Set23'!H12</f>
        <v>9.000000000000008E-3</v>
      </c>
      <c r="AB12" s="28">
        <f>J12-'Set23'!J12</f>
        <v>0</v>
      </c>
      <c r="AC12" s="28">
        <f>L12-'Set23'!L12</f>
        <v>0</v>
      </c>
    </row>
    <row r="13" spans="1:29" x14ac:dyDescent="0.25">
      <c r="B13" s="3" t="s">
        <v>30</v>
      </c>
      <c r="C13" s="12">
        <v>906960000</v>
      </c>
      <c r="D13" s="14">
        <v>0.28999999999999998</v>
      </c>
      <c r="E13" s="12">
        <f t="shared" ref="E13" si="6">D13*C13</f>
        <v>263018399.99999997</v>
      </c>
      <c r="F13" s="14">
        <v>0.21</v>
      </c>
      <c r="G13" s="12">
        <f t="shared" si="1"/>
        <v>190461600</v>
      </c>
      <c r="H13" s="14">
        <v>0.49</v>
      </c>
      <c r="I13" s="12">
        <f t="shared" si="2"/>
        <v>444410400</v>
      </c>
      <c r="J13" s="14">
        <v>0.01</v>
      </c>
      <c r="K13" s="12">
        <f t="shared" ref="K13" si="7">J13*C13</f>
        <v>9069600</v>
      </c>
      <c r="L13" s="16"/>
      <c r="M13" s="12">
        <f t="shared" si="5"/>
        <v>0</v>
      </c>
      <c r="N13" s="14"/>
      <c r="O13" s="12">
        <f t="shared" si="3"/>
        <v>0</v>
      </c>
      <c r="S13" s="12">
        <f>E13-'Set23'!E13</f>
        <v>5048799.9999999404</v>
      </c>
      <c r="T13" s="12">
        <f>G13-'Set23'!G13</f>
        <v>6197600</v>
      </c>
      <c r="U13" s="12">
        <f>I13-'Set23'!I13</f>
        <v>-25462800</v>
      </c>
      <c r="V13" s="12">
        <f>K13-'Set23'!K13</f>
        <v>-143600</v>
      </c>
      <c r="W13" s="12">
        <f>+M13-'Set23'!M13</f>
        <v>0</v>
      </c>
      <c r="Y13" s="28">
        <f>D13-'Set23'!D13</f>
        <v>9.9999999999999534E-3</v>
      </c>
      <c r="Z13" s="28">
        <f>F13-'Set23'!F13</f>
        <v>9.9999999999999811E-3</v>
      </c>
      <c r="AA13" s="28">
        <f>H13-'Set23'!H13</f>
        <v>-2.0000000000000018E-2</v>
      </c>
      <c r="AB13" s="28">
        <f>J13-'Set23'!J13</f>
        <v>0</v>
      </c>
      <c r="AC13" s="28">
        <f>L13-'Set23'!L13</f>
        <v>0</v>
      </c>
    </row>
    <row r="14" spans="1:29" x14ac:dyDescent="0.25">
      <c r="B14" s="3" t="s">
        <v>31</v>
      </c>
      <c r="C14" s="12">
        <v>47495927.960000001</v>
      </c>
      <c r="D14" s="14">
        <v>0.41</v>
      </c>
      <c r="E14" s="18">
        <f>D14*C14</f>
        <v>19473330.463599999</v>
      </c>
      <c r="F14" s="14">
        <v>0.11600000000000001</v>
      </c>
      <c r="G14" s="12">
        <f>F14*C14</f>
        <v>5509527.6433600001</v>
      </c>
      <c r="H14" s="19">
        <v>0.45700000000000002</v>
      </c>
      <c r="I14" s="18">
        <f>H14*C14</f>
        <v>21705639.077720001</v>
      </c>
      <c r="J14" s="14">
        <v>1.7000000000000001E-2</v>
      </c>
      <c r="K14" s="12">
        <f>J14*C14</f>
        <v>807430.77532000002</v>
      </c>
      <c r="L14" s="16"/>
      <c r="M14" s="12">
        <f>L14*C14</f>
        <v>0</v>
      </c>
      <c r="N14" s="14"/>
      <c r="O14" s="12">
        <f>N14*C14</f>
        <v>0</v>
      </c>
      <c r="S14" s="12">
        <f>E14-'Set23'!E14</f>
        <v>2892708.3593999967</v>
      </c>
      <c r="T14" s="12">
        <f>G14-'Set23'!G14</f>
        <v>77944.540259999223</v>
      </c>
      <c r="U14" s="12">
        <f>I14-'Set23'!I14</f>
        <v>4063203.7353200018</v>
      </c>
      <c r="V14" s="12">
        <f>K14-'Set23'!K14</f>
        <v>-376899.37498000008</v>
      </c>
      <c r="W14" s="12">
        <f>+M14-'Set23'!M14</f>
        <v>0</v>
      </c>
      <c r="Y14" s="28">
        <f>D14-'Set23'!D14</f>
        <v>3.999999999999948E-3</v>
      </c>
      <c r="Z14" s="28">
        <f>F14-'Set23'!F14</f>
        <v>-1.7000000000000001E-2</v>
      </c>
      <c r="AA14" s="28">
        <f>H14-'Set23'!H14</f>
        <v>2.5000000000000022E-2</v>
      </c>
      <c r="AB14" s="28">
        <f>J14-'Set23'!J14</f>
        <v>-1.2E-2</v>
      </c>
      <c r="AC14" s="28">
        <f>L14-'Set23'!L14</f>
        <v>0</v>
      </c>
    </row>
    <row r="15" spans="1:29" s="8" customFormat="1" x14ac:dyDescent="0.25">
      <c r="A15"/>
      <c r="B15" s="21" t="s">
        <v>45</v>
      </c>
      <c r="C15" s="20">
        <f>SUM(C3:C14)</f>
        <v>16295609849.91</v>
      </c>
      <c r="D15" s="15">
        <f>+E15/$C15</f>
        <v>0.33008982194647279</v>
      </c>
      <c r="E15" s="17">
        <f>SUM(E3:E14)</f>
        <v>5379014953.8659801</v>
      </c>
      <c r="F15" s="15">
        <f>+G15/$C15</f>
        <v>0.19517637787809741</v>
      </c>
      <c r="G15" s="20">
        <f>SUM(G3:G14)</f>
        <v>3180518105.8200803</v>
      </c>
      <c r="H15" s="15">
        <f>+I15/$C15</f>
        <v>0.42551724622020365</v>
      </c>
      <c r="I15" s="17">
        <f>SUM(I3:I14)</f>
        <v>6934063028.8125296</v>
      </c>
      <c r="J15" s="15">
        <f>+K15/$C15</f>
        <v>3.6796710161258052E-2</v>
      </c>
      <c r="K15" s="17">
        <f>SUM(K3:K14)</f>
        <v>599624832.54808009</v>
      </c>
      <c r="L15" s="15">
        <f>+M15/$C15</f>
        <v>5.551097760560314E-3</v>
      </c>
      <c r="M15" s="17">
        <f>SUM(M3:M14)</f>
        <v>90458523.344799995</v>
      </c>
      <c r="N15" s="15">
        <f>+O15/$C15</f>
        <v>6.8687460334077759E-3</v>
      </c>
      <c r="O15" s="17">
        <f>SUM(O3:O14)</f>
        <v>111930405.51853</v>
      </c>
      <c r="S15" s="12">
        <f>E15-'Set23'!E15</f>
        <v>-181616158.21545029</v>
      </c>
      <c r="T15" s="12">
        <f>G15-'Set23'!G15</f>
        <v>69638003.930960178</v>
      </c>
      <c r="U15" s="12">
        <f>I15-'Set23'!I15</f>
        <v>-167472186.85436058</v>
      </c>
      <c r="V15" s="12">
        <f>K15-'Set23'!K15</f>
        <v>-17325971.20408988</v>
      </c>
      <c r="W15" s="12">
        <f>+M15-'Set23'!M15</f>
        <v>4264350.4092999846</v>
      </c>
      <c r="Y15" s="28">
        <f>D15-'Set23'!D15</f>
        <v>-3.971336063806119E-3</v>
      </c>
      <c r="Z15" s="28">
        <f>F15-'Set23'!F15</f>
        <v>8.2867625949832324E-3</v>
      </c>
      <c r="AA15" s="28">
        <f>H15-'Set23'!H15</f>
        <v>-1.1154560718300566E-3</v>
      </c>
      <c r="AB15" s="28">
        <f>J15-'Set23'!J15</f>
        <v>-2.673021392586919E-4</v>
      </c>
      <c r="AC15" s="28">
        <f>L15-'Set23'!L15</f>
        <v>3.7288603527410157E-4</v>
      </c>
    </row>
    <row r="16" spans="1:29" x14ac:dyDescent="0.25">
      <c r="C16" s="10"/>
      <c r="D16" s="10"/>
      <c r="E16" s="10"/>
      <c r="F16" s="5"/>
      <c r="G16" s="10"/>
      <c r="H16" s="10"/>
      <c r="I16" s="10"/>
      <c r="J16" s="5"/>
      <c r="K16" s="10"/>
    </row>
    <row r="17" spans="1:29" x14ac:dyDescent="0.25">
      <c r="B17" s="4" t="s">
        <v>2</v>
      </c>
      <c r="C17" s="9" t="s">
        <v>4</v>
      </c>
      <c r="D17" s="112" t="s">
        <v>7</v>
      </c>
      <c r="E17" s="112"/>
      <c r="F17" s="112" t="s">
        <v>8</v>
      </c>
      <c r="G17" s="112"/>
      <c r="H17" s="112" t="s">
        <v>10</v>
      </c>
      <c r="I17" s="112"/>
      <c r="J17" s="112" t="s">
        <v>9</v>
      </c>
      <c r="K17" s="112"/>
      <c r="L17" s="112" t="s">
        <v>21</v>
      </c>
      <c r="M17" s="112"/>
      <c r="N17" s="112" t="s">
        <v>55</v>
      </c>
      <c r="O17" s="112"/>
      <c r="S17" s="27" t="s">
        <v>49</v>
      </c>
      <c r="T17" s="27" t="s">
        <v>50</v>
      </c>
      <c r="U17" s="27" t="s">
        <v>51</v>
      </c>
      <c r="V17" s="27" t="s">
        <v>52</v>
      </c>
      <c r="W17" s="27" t="s">
        <v>53</v>
      </c>
      <c r="Y17" s="27" t="s">
        <v>49</v>
      </c>
      <c r="Z17" s="27" t="s">
        <v>50</v>
      </c>
      <c r="AA17" s="27" t="s">
        <v>51</v>
      </c>
      <c r="AB17" s="27" t="s">
        <v>52</v>
      </c>
      <c r="AC17" s="27" t="s">
        <v>53</v>
      </c>
    </row>
    <row r="18" spans="1:29" x14ac:dyDescent="0.25">
      <c r="B18" s="21" t="s">
        <v>6</v>
      </c>
      <c r="C18" s="22">
        <v>296640958.93000001</v>
      </c>
      <c r="D18" s="26">
        <f>0.145+0.0056</f>
        <v>0.15059999999999998</v>
      </c>
      <c r="E18" s="23">
        <f t="shared" ref="E18:E26" si="8">D18*C18</f>
        <v>44674128.414857998</v>
      </c>
      <c r="F18" s="26">
        <f>0.0915+0.0698+0.0495+0.0079</f>
        <v>0.21869999999999998</v>
      </c>
      <c r="G18" s="22">
        <f>C18*F18</f>
        <v>64875377.717990994</v>
      </c>
      <c r="H18" s="26">
        <f>0.4878+0.0084</f>
        <v>0.49620000000000003</v>
      </c>
      <c r="I18" s="23">
        <f t="shared" ref="I18:I26" si="9">H18*C18</f>
        <v>147193243.82106602</v>
      </c>
      <c r="J18" s="26">
        <v>5.9700000000000003E-2</v>
      </c>
      <c r="K18" s="23">
        <f>J18*C18</f>
        <v>17709465.248121001</v>
      </c>
      <c r="L18" s="24"/>
      <c r="M18" s="23">
        <f>L18*E18</f>
        <v>0</v>
      </c>
      <c r="N18" s="26">
        <v>7.4800000000000005E-2</v>
      </c>
      <c r="O18" s="23">
        <f>N18*G18</f>
        <v>4852678.2533057267</v>
      </c>
      <c r="S18" s="12">
        <f>E18-'Set23'!E18</f>
        <v>-2896882.1845620051</v>
      </c>
      <c r="T18" s="12">
        <f>G18-'Set23'!G18</f>
        <v>-1662256.5879510045</v>
      </c>
      <c r="U18" s="12">
        <f>I18-'Set23'!I18</f>
        <v>-7505211.426918</v>
      </c>
      <c r="V18" s="12">
        <f>K18-'Set23'!K18</f>
        <v>-546682.32607199997</v>
      </c>
      <c r="W18" s="12">
        <f>+M18-'Set23'!M18</f>
        <v>0</v>
      </c>
      <c r="Y18" s="28">
        <f>D18-'Set23'!D18</f>
        <v>-3.4000000000000141E-3</v>
      </c>
      <c r="Z18" s="28">
        <f>F18-'Set23'!F18</f>
        <v>3.2999999999999974E-3</v>
      </c>
      <c r="AA18" s="28">
        <f>H18-'Set23'!H18</f>
        <v>-4.599999999999993E-3</v>
      </c>
      <c r="AB18" s="28">
        <f>J18-'Set23'!J18</f>
        <v>6.0000000000000331E-4</v>
      </c>
      <c r="AC18" s="28">
        <f>L18-'Set23'!L18</f>
        <v>0</v>
      </c>
    </row>
    <row r="19" spans="1:29" x14ac:dyDescent="0.25">
      <c r="B19" s="3" t="s">
        <v>26</v>
      </c>
      <c r="C19" s="12">
        <v>410560970.55000001</v>
      </c>
      <c r="D19" s="14">
        <v>0.23</v>
      </c>
      <c r="E19" s="12">
        <f t="shared" si="8"/>
        <v>94429023.226500005</v>
      </c>
      <c r="F19" s="14">
        <f>0.13</f>
        <v>0.13</v>
      </c>
      <c r="G19" s="12">
        <f t="shared" ref="G19:G26" si="10">C19*F19</f>
        <v>53372926.171500005</v>
      </c>
      <c r="H19" s="14">
        <v>0.48</v>
      </c>
      <c r="I19" s="12">
        <f t="shared" si="9"/>
        <v>197069265.86399999</v>
      </c>
      <c r="J19" s="14">
        <v>0.13</v>
      </c>
      <c r="K19" s="12">
        <f t="shared" ref="K19:O26" si="11">J19*C19</f>
        <v>53372926.171500005</v>
      </c>
      <c r="L19" s="24"/>
      <c r="M19" s="12">
        <f t="shared" si="11"/>
        <v>0</v>
      </c>
      <c r="N19" s="26">
        <v>0.03</v>
      </c>
      <c r="O19" s="12">
        <f t="shared" si="11"/>
        <v>1601187.7851450001</v>
      </c>
      <c r="S19" s="12">
        <f>E19-'Set23'!E19</f>
        <v>12903349.266499996</v>
      </c>
      <c r="T19" s="12">
        <f>G19-'Set23'!G19</f>
        <v>-3695045.6005000025</v>
      </c>
      <c r="U19" s="12">
        <f>I19-'Set23'!I19</f>
        <v>1407648.3599999845</v>
      </c>
      <c r="V19" s="12">
        <f>K19-'Set23'!K19</f>
        <v>-7771329.298499994</v>
      </c>
      <c r="W19" s="12">
        <f>+M19-'Set23'!M19</f>
        <v>0</v>
      </c>
      <c r="Y19" s="28">
        <f>D19-'Set23'!D19</f>
        <v>0.03</v>
      </c>
      <c r="Z19" s="28">
        <f>F19-'Set23'!F19</f>
        <v>-1.0000000000000009E-2</v>
      </c>
      <c r="AA19" s="28">
        <f>H19-'Set23'!H19</f>
        <v>0</v>
      </c>
      <c r="AB19" s="28">
        <f>J19-'Set23'!J19</f>
        <v>-1.999999999999999E-2</v>
      </c>
      <c r="AC19" s="28">
        <f>L19-'Set23'!L19</f>
        <v>0</v>
      </c>
    </row>
    <row r="20" spans="1:29" x14ac:dyDescent="0.25">
      <c r="B20" s="3" t="s">
        <v>27</v>
      </c>
      <c r="C20" s="12">
        <v>813675938</v>
      </c>
      <c r="D20" s="14">
        <v>9.74E-2</v>
      </c>
      <c r="E20" s="12">
        <f t="shared" si="8"/>
        <v>79252036.361200005</v>
      </c>
      <c r="F20" s="14">
        <v>0.23580000000000001</v>
      </c>
      <c r="G20" s="12">
        <f t="shared" si="10"/>
        <v>191864786.18040001</v>
      </c>
      <c r="H20" s="14">
        <f>0.5904+0.0196</f>
        <v>0.61</v>
      </c>
      <c r="I20" s="12">
        <f t="shared" si="9"/>
        <v>496342322.18000001</v>
      </c>
      <c r="J20" s="14">
        <v>4.87E-2</v>
      </c>
      <c r="K20" s="12">
        <f t="shared" si="11"/>
        <v>39626018.180600002</v>
      </c>
      <c r="L20" s="16"/>
      <c r="M20" s="12">
        <f t="shared" si="11"/>
        <v>0</v>
      </c>
      <c r="N20" s="26">
        <v>8.0999999999999996E-3</v>
      </c>
      <c r="O20" s="12">
        <f t="shared" si="11"/>
        <v>1554104.76806124</v>
      </c>
      <c r="S20" s="12">
        <f>E20-'Set23'!E20</f>
        <v>53263951.280800007</v>
      </c>
      <c r="T20" s="12">
        <f>G20-'Set23'!G20</f>
        <v>57540828.355199993</v>
      </c>
      <c r="U20" s="12">
        <f>I20-'Set23'!I20</f>
        <v>173056805.96900004</v>
      </c>
      <c r="V20" s="12">
        <f>K20-'Set23'!K20</f>
        <v>5392717.3518000022</v>
      </c>
      <c r="W20" s="12">
        <f>+M20-'Set23'!M20</f>
        <v>0</v>
      </c>
      <c r="Y20" s="28">
        <f>D20-'Set23'!D20</f>
        <v>4.7600000000000003E-2</v>
      </c>
      <c r="Z20" s="28">
        <f>F20-'Set23'!F20</f>
        <v>-2.1600000000000008E-2</v>
      </c>
      <c r="AA20" s="28">
        <f>H20-'Set23'!H20</f>
        <v>-9.4999999999999529E-3</v>
      </c>
      <c r="AB20" s="28">
        <f>J20-'Set23'!J20</f>
        <v>-1.6900000000000005E-2</v>
      </c>
      <c r="AC20" s="28">
        <f>L20-'Set23'!L20</f>
        <v>0</v>
      </c>
    </row>
    <row r="21" spans="1:29" x14ac:dyDescent="0.25">
      <c r="B21" s="3" t="s">
        <v>28</v>
      </c>
      <c r="C21" s="12">
        <v>1110025223</v>
      </c>
      <c r="D21" s="14">
        <v>0.16</v>
      </c>
      <c r="E21" s="12">
        <f t="shared" si="8"/>
        <v>177604035.68000001</v>
      </c>
      <c r="F21" s="14">
        <f>0.07+0.06+0.01</f>
        <v>0.14000000000000001</v>
      </c>
      <c r="G21" s="12">
        <f t="shared" si="10"/>
        <v>155403531.22000003</v>
      </c>
      <c r="H21" s="14">
        <f>0.53+0.02+0.01</f>
        <v>0.56000000000000005</v>
      </c>
      <c r="I21" s="12">
        <f t="shared" si="9"/>
        <v>621614124.88000011</v>
      </c>
      <c r="J21" s="14">
        <v>0.14000000000000001</v>
      </c>
      <c r="K21" s="12">
        <f t="shared" si="11"/>
        <v>155403531.22000003</v>
      </c>
      <c r="L21" s="16"/>
      <c r="M21" s="12">
        <f t="shared" si="11"/>
        <v>0</v>
      </c>
      <c r="N21" s="26"/>
      <c r="O21" s="12">
        <f t="shared" si="11"/>
        <v>0</v>
      </c>
      <c r="S21" s="12">
        <f>E21-'Set23'!E21</f>
        <v>42930434.600000024</v>
      </c>
      <c r="T21" s="12">
        <f>G21-'Set23'!G21</f>
        <v>-1715670.0399999917</v>
      </c>
      <c r="U21" s="12">
        <f>I21-'Set23'!I21</f>
        <v>-51753880.519999981</v>
      </c>
      <c r="V21" s="12">
        <f>K21-'Set23'!K21</f>
        <v>-1715670.0399999917</v>
      </c>
      <c r="W21" s="12">
        <f>+M21-'Set23'!M21</f>
        <v>0</v>
      </c>
      <c r="Y21" s="28">
        <f>D21-'Set23'!D21</f>
        <v>4.0000000000000008E-2</v>
      </c>
      <c r="Z21" s="28">
        <f>F21-'Set23'!F21</f>
        <v>0</v>
      </c>
      <c r="AA21" s="28">
        <f>H21-'Set23'!H21</f>
        <v>-4.0000000000000036E-2</v>
      </c>
      <c r="AB21" s="28">
        <f>J21-'Set23'!J21</f>
        <v>0</v>
      </c>
      <c r="AC21" s="28">
        <f>L21-'Set23'!L21</f>
        <v>0</v>
      </c>
    </row>
    <row r="22" spans="1:29" x14ac:dyDescent="0.25">
      <c r="B22" s="3" t="s">
        <v>32</v>
      </c>
      <c r="C22" s="12">
        <v>290300000</v>
      </c>
      <c r="D22" s="14">
        <v>0.08</v>
      </c>
      <c r="E22" s="12">
        <f t="shared" si="8"/>
        <v>23224000</v>
      </c>
      <c r="F22" s="14">
        <v>0.1</v>
      </c>
      <c r="G22" s="12">
        <f t="shared" si="10"/>
        <v>29030000</v>
      </c>
      <c r="H22" s="14">
        <v>0.7</v>
      </c>
      <c r="I22" s="12">
        <f t="shared" si="9"/>
        <v>203210000</v>
      </c>
      <c r="J22" s="14">
        <v>0.12</v>
      </c>
      <c r="K22" s="12">
        <f t="shared" si="11"/>
        <v>34836000</v>
      </c>
      <c r="L22" s="16"/>
      <c r="M22" s="12">
        <f t="shared" si="11"/>
        <v>0</v>
      </c>
      <c r="N22" s="26"/>
      <c r="O22" s="12">
        <f t="shared" si="11"/>
        <v>0</v>
      </c>
      <c r="S22" s="12">
        <f>E22-'Set23'!E22</f>
        <v>2727999.9999999963</v>
      </c>
      <c r="T22" s="12">
        <f>G22-'Set23'!G22</f>
        <v>-250000</v>
      </c>
      <c r="U22" s="12">
        <f>I22-'Set23'!I22</f>
        <v>-1750000</v>
      </c>
      <c r="V22" s="12">
        <f>K22-'Set23'!K22</f>
        <v>-3228000</v>
      </c>
      <c r="W22" s="12">
        <f>+M22-'Set23'!M22</f>
        <v>0</v>
      </c>
      <c r="Y22" s="28">
        <f>D22-'Set23'!D22</f>
        <v>9.999999999999995E-3</v>
      </c>
      <c r="Z22" s="28">
        <f>F22-'Set23'!F22</f>
        <v>0</v>
      </c>
      <c r="AA22" s="28">
        <f>H22-'Set23'!H22</f>
        <v>0</v>
      </c>
      <c r="AB22" s="28">
        <f>J22-'Set23'!J22</f>
        <v>-1.0000000000000009E-2</v>
      </c>
      <c r="AC22" s="28">
        <f>L22-'Set23'!L22</f>
        <v>0</v>
      </c>
    </row>
    <row r="23" spans="1:29" x14ac:dyDescent="0.25">
      <c r="B23" s="3" t="s">
        <v>33</v>
      </c>
      <c r="C23" s="12">
        <v>662200000</v>
      </c>
      <c r="D23" s="14">
        <v>0.27</v>
      </c>
      <c r="E23" s="12">
        <f t="shared" si="8"/>
        <v>178794000</v>
      </c>
      <c r="F23" s="14">
        <v>0.17</v>
      </c>
      <c r="G23" s="12">
        <f t="shared" si="10"/>
        <v>112574000.00000001</v>
      </c>
      <c r="H23" s="14">
        <v>0.53</v>
      </c>
      <c r="I23" s="12">
        <f t="shared" si="9"/>
        <v>350966000</v>
      </c>
      <c r="J23" s="14">
        <v>0.03</v>
      </c>
      <c r="K23" s="12">
        <f t="shared" si="11"/>
        <v>19866000</v>
      </c>
      <c r="L23" s="16"/>
      <c r="M23" s="12">
        <f t="shared" si="11"/>
        <v>0</v>
      </c>
      <c r="N23" s="26"/>
      <c r="O23" s="12">
        <f t="shared" si="11"/>
        <v>0</v>
      </c>
      <c r="S23" s="12">
        <f>E23-'Set23'!E23</f>
        <v>60876000</v>
      </c>
      <c r="T23" s="12">
        <f>G23-'Set23'!G23</f>
        <v>1207000</v>
      </c>
      <c r="U23" s="12">
        <f>I23-'Set23'!I23</f>
        <v>-48645000</v>
      </c>
      <c r="V23" s="12">
        <f>K23-'Set23'!K23</f>
        <v>-6338000</v>
      </c>
      <c r="W23" s="12">
        <f>+M23-'Set23'!M23</f>
        <v>0</v>
      </c>
      <c r="Y23" s="28">
        <f>D23-'Set23'!D23</f>
        <v>9.0000000000000024E-2</v>
      </c>
      <c r="Z23" s="28">
        <f>F23-'Set23'!F23</f>
        <v>0</v>
      </c>
      <c r="AA23" s="28">
        <f>H23-'Set23'!H23</f>
        <v>-7.999999999999996E-2</v>
      </c>
      <c r="AB23" s="28">
        <f>J23-'Set23'!J23</f>
        <v>-1.0000000000000002E-2</v>
      </c>
      <c r="AC23" s="28">
        <f>L23-'Set23'!L23</f>
        <v>0</v>
      </c>
    </row>
    <row r="24" spans="1:29" x14ac:dyDescent="0.25">
      <c r="B24" s="3" t="s">
        <v>34</v>
      </c>
      <c r="C24" s="12">
        <v>275686502</v>
      </c>
      <c r="D24" s="14">
        <v>0.21479999999999999</v>
      </c>
      <c r="E24" s="12">
        <f t="shared" si="8"/>
        <v>59217460.629599996</v>
      </c>
      <c r="F24" s="14">
        <v>0.1598</v>
      </c>
      <c r="G24" s="12">
        <f t="shared" si="10"/>
        <v>44054703.019599997</v>
      </c>
      <c r="H24" s="14">
        <v>0.51119999999999999</v>
      </c>
      <c r="I24" s="12">
        <f t="shared" si="9"/>
        <v>140930939.8224</v>
      </c>
      <c r="J24" s="14">
        <v>0.1137</v>
      </c>
      <c r="K24" s="12">
        <f t="shared" si="11"/>
        <v>31345555.277399998</v>
      </c>
      <c r="L24" s="14"/>
      <c r="M24" s="12">
        <f t="shared" si="11"/>
        <v>0</v>
      </c>
      <c r="N24" s="26">
        <v>5.0000000000000001E-4</v>
      </c>
      <c r="O24" s="12">
        <f t="shared" si="11"/>
        <v>22027.351509799999</v>
      </c>
      <c r="S24" s="12">
        <f>E24-'Set23'!E24</f>
        <v>9401474.435999997</v>
      </c>
      <c r="T24" s="12">
        <f>G24-'Set23'!G24</f>
        <v>-1121422.7756000012</v>
      </c>
      <c r="U24" s="12">
        <f>I24-'Set23'!I24</f>
        <v>-7711294.497600019</v>
      </c>
      <c r="V24" s="12">
        <f>K24-'Set23'!K24</f>
        <v>-661146.39299999923</v>
      </c>
      <c r="W24" s="12">
        <f>+M24-'Set23'!M24</f>
        <v>0</v>
      </c>
      <c r="Y24" s="28">
        <f>D24-'Set23'!D24</f>
        <v>3.5500000000000004E-2</v>
      </c>
      <c r="Z24" s="28">
        <f>F24-'Set23'!F24</f>
        <v>-2.7999999999999969E-3</v>
      </c>
      <c r="AA24" s="28">
        <f>H24-'Set23'!H24</f>
        <v>-2.3800000000000043E-2</v>
      </c>
      <c r="AB24" s="28">
        <f>J24-'Set23'!J24</f>
        <v>-1.5000000000000013E-3</v>
      </c>
      <c r="AC24" s="28">
        <f>L24-'Set23'!L24</f>
        <v>0</v>
      </c>
    </row>
    <row r="25" spans="1:29" x14ac:dyDescent="0.25">
      <c r="B25" s="3" t="s">
        <v>35</v>
      </c>
      <c r="C25" s="12">
        <v>239410618</v>
      </c>
      <c r="D25" s="14">
        <v>0.11899999999999999</v>
      </c>
      <c r="E25" s="12">
        <f t="shared" si="8"/>
        <v>28489863.541999999</v>
      </c>
      <c r="F25" s="14">
        <f>0.326+0.046</f>
        <v>0.372</v>
      </c>
      <c r="G25" s="12">
        <f t="shared" si="10"/>
        <v>89060749.895999998</v>
      </c>
      <c r="H25" s="14">
        <f>0.457+0.01</f>
        <v>0.46700000000000003</v>
      </c>
      <c r="I25" s="12">
        <f t="shared" si="9"/>
        <v>111804758.60600001</v>
      </c>
      <c r="J25" s="14">
        <v>4.2000000000000003E-2</v>
      </c>
      <c r="K25" s="12">
        <f t="shared" si="11"/>
        <v>10055245.956</v>
      </c>
      <c r="L25" s="16"/>
      <c r="M25" s="12">
        <f t="shared" si="11"/>
        <v>0</v>
      </c>
      <c r="N25" s="26"/>
      <c r="O25" s="12">
        <f t="shared" si="11"/>
        <v>0</v>
      </c>
      <c r="S25" s="12">
        <f>E25-'Set23'!E25</f>
        <v>5671543.1499999985</v>
      </c>
      <c r="T25" s="12">
        <f>G25-'Set23'!G25</f>
        <v>5238348.4560000002</v>
      </c>
      <c r="U25" s="12">
        <f>I25-'Set23'!I25</f>
        <v>-2985363.3659999967</v>
      </c>
      <c r="V25" s="12">
        <f>K25-'Set23'!K25</f>
        <v>-1353914.2400000002</v>
      </c>
      <c r="W25" s="12">
        <f>+M25-'Set23'!M25</f>
        <v>0</v>
      </c>
      <c r="Y25" s="28">
        <f>D25-'Set23'!D25</f>
        <v>2.0999999999999991E-2</v>
      </c>
      <c r="Z25" s="28">
        <f>F25-'Set23'!F25</f>
        <v>1.2000000000000011E-2</v>
      </c>
      <c r="AA25" s="28">
        <f>H25-'Set23'!H25</f>
        <v>-2.5999999999999968E-2</v>
      </c>
      <c r="AB25" s="28">
        <f>J25-'Set23'!J25</f>
        <v>-6.9999999999999993E-3</v>
      </c>
      <c r="AC25" s="28">
        <f>L25-'Set23'!L25</f>
        <v>0</v>
      </c>
    </row>
    <row r="26" spans="1:29" x14ac:dyDescent="0.25">
      <c r="B26" s="3" t="s">
        <v>36</v>
      </c>
      <c r="C26" s="12">
        <v>413830000</v>
      </c>
      <c r="D26" s="19">
        <v>0.16</v>
      </c>
      <c r="E26" s="18">
        <f t="shared" si="8"/>
        <v>66212800</v>
      </c>
      <c r="F26" s="14">
        <v>0.13</v>
      </c>
      <c r="G26" s="12">
        <f t="shared" si="10"/>
        <v>53797900</v>
      </c>
      <c r="H26" s="19">
        <v>0.65</v>
      </c>
      <c r="I26" s="18">
        <f t="shared" si="9"/>
        <v>268989500</v>
      </c>
      <c r="J26" s="14">
        <v>0.06</v>
      </c>
      <c r="K26" s="12">
        <f t="shared" si="11"/>
        <v>24829800</v>
      </c>
      <c r="L26" s="16"/>
      <c r="M26" s="12">
        <f t="shared" si="11"/>
        <v>0</v>
      </c>
      <c r="N26" s="26"/>
      <c r="O26" s="12">
        <f t="shared" si="11"/>
        <v>0</v>
      </c>
      <c r="S26" s="12">
        <f>E26-'Set23'!E26</f>
        <v>66212800</v>
      </c>
      <c r="T26" s="12">
        <f>G26-'Set23'!G26</f>
        <v>53797900</v>
      </c>
      <c r="U26" s="12">
        <f>I26-'Set23'!I26</f>
        <v>268989500</v>
      </c>
      <c r="V26" s="12">
        <f>K26-'Set23'!K26</f>
        <v>24829800</v>
      </c>
      <c r="W26" s="12">
        <f>+M26-'Set23'!M26</f>
        <v>0</v>
      </c>
      <c r="Y26" s="28">
        <f>D26-'Set23'!D26</f>
        <v>0.16</v>
      </c>
      <c r="Z26" s="28">
        <f>F26-'Set23'!F26</f>
        <v>0.13</v>
      </c>
      <c r="AA26" s="28">
        <f>H26-'Set23'!H26</f>
        <v>0.65</v>
      </c>
      <c r="AB26" s="28">
        <f>J26-'Set23'!J26</f>
        <v>0.06</v>
      </c>
      <c r="AC26" s="28">
        <f>L26-'Set23'!L26</f>
        <v>0</v>
      </c>
    </row>
    <row r="27" spans="1:29" s="8" customFormat="1" x14ac:dyDescent="0.25">
      <c r="A27"/>
      <c r="B27" s="21" t="s">
        <v>45</v>
      </c>
      <c r="C27" s="20">
        <f>SUM(C18:C26)</f>
        <v>4512330210.4799995</v>
      </c>
      <c r="D27" s="15">
        <f>+E27/$C27</f>
        <v>0.16663172081419436</v>
      </c>
      <c r="E27" s="17">
        <f>SUM(E18:E26)</f>
        <v>751897347.85415816</v>
      </c>
      <c r="F27" s="15">
        <f>+G27/$C27</f>
        <v>0.17596982870653555</v>
      </c>
      <c r="G27" s="20">
        <f>SUM(G18:G26)</f>
        <v>794033974.20549107</v>
      </c>
      <c r="H27" s="15">
        <f>+I27/$C27</f>
        <v>0.5624854646671511</v>
      </c>
      <c r="I27" s="17">
        <f>SUM(I18:I26)</f>
        <v>2538120155.1734662</v>
      </c>
      <c r="J27" s="15">
        <f>+K27/$C27</f>
        <v>8.5774871075414746E-2</v>
      </c>
      <c r="K27" s="17">
        <f>SUM(K18:K26)</f>
        <v>387044542.05362105</v>
      </c>
      <c r="L27" s="15">
        <f>+M27/$C27</f>
        <v>0</v>
      </c>
      <c r="M27" s="17">
        <f>SUM(M18:M26)</f>
        <v>0</v>
      </c>
      <c r="N27" s="15">
        <f>+O27/$C27</f>
        <v>1.7795679357357084E-3</v>
      </c>
      <c r="O27" s="17">
        <f>SUM(O18:O26)</f>
        <v>8029998.1580217676</v>
      </c>
      <c r="S27" s="12">
        <f>E27-'Set23'!E27</f>
        <v>251090670.54873812</v>
      </c>
      <c r="T27" s="12">
        <f>G27-'Set23'!G27</f>
        <v>109339681.80714893</v>
      </c>
      <c r="U27" s="12">
        <f>I27-'Set23'!I27</f>
        <v>323103204.51848221</v>
      </c>
      <c r="V27" s="12">
        <f>K27-'Set23'!K27</f>
        <v>8607775.0542280674</v>
      </c>
      <c r="W27" s="12">
        <f>+M27-'Set23'!M27</f>
        <v>0</v>
      </c>
      <c r="Y27" s="28">
        <f>D27-'Set23'!D27</f>
        <v>3.5504274298747529E-2</v>
      </c>
      <c r="Z27" s="28">
        <f>F27-'Set23'!F27</f>
        <v>-3.3053652444849646E-3</v>
      </c>
      <c r="AA27" s="28">
        <f>H27-'Set23'!H27</f>
        <v>-1.7477882248623122E-2</v>
      </c>
      <c r="AB27" s="28">
        <f>J27-'Set23'!J27</f>
        <v>-1.3312160254098357E-2</v>
      </c>
      <c r="AC27" s="28">
        <f>L27-'Set23'!L27</f>
        <v>0</v>
      </c>
    </row>
    <row r="28" spans="1:29" x14ac:dyDescent="0.25">
      <c r="C28" s="10"/>
      <c r="D28" s="10"/>
      <c r="E28" s="10"/>
      <c r="F28" s="5"/>
      <c r="G28" s="10"/>
      <c r="H28" s="10"/>
      <c r="I28" s="10"/>
      <c r="J28" s="5"/>
      <c r="K28" s="10"/>
    </row>
    <row r="29" spans="1:29" x14ac:dyDescent="0.25">
      <c r="B29" s="4" t="s">
        <v>38</v>
      </c>
      <c r="C29" s="9" t="s">
        <v>4</v>
      </c>
      <c r="D29" s="113" t="s">
        <v>7</v>
      </c>
      <c r="E29" s="113"/>
      <c r="F29" s="112" t="s">
        <v>8</v>
      </c>
      <c r="G29" s="112"/>
      <c r="H29" s="112" t="s">
        <v>10</v>
      </c>
      <c r="I29" s="112"/>
      <c r="J29" s="112" t="s">
        <v>9</v>
      </c>
      <c r="K29" s="112"/>
      <c r="L29" s="112" t="s">
        <v>40</v>
      </c>
      <c r="M29" s="112"/>
      <c r="N29" s="112" t="s">
        <v>55</v>
      </c>
      <c r="O29" s="112"/>
      <c r="S29" s="27" t="s">
        <v>49</v>
      </c>
      <c r="T29" s="27" t="s">
        <v>50</v>
      </c>
      <c r="U29" s="27" t="s">
        <v>51</v>
      </c>
      <c r="V29" s="27" t="s">
        <v>52</v>
      </c>
      <c r="W29" s="27" t="s">
        <v>54</v>
      </c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</row>
    <row r="30" spans="1:29" x14ac:dyDescent="0.25">
      <c r="B30" s="21" t="s">
        <v>39</v>
      </c>
      <c r="C30" s="22">
        <v>205732844.40000001</v>
      </c>
      <c r="D30" s="26">
        <f>0.056+0.027</f>
        <v>8.3000000000000004E-2</v>
      </c>
      <c r="E30" s="23">
        <f>D30*C30</f>
        <v>17075826.085200001</v>
      </c>
      <c r="F30" s="26">
        <f>0.093+0.044+0.037</f>
        <v>0.17400000000000002</v>
      </c>
      <c r="G30" s="22">
        <f>F30*C30</f>
        <v>35797514.925600007</v>
      </c>
      <c r="H30" s="26">
        <f>0.575+0.045+0.014</f>
        <v>0.63400000000000001</v>
      </c>
      <c r="I30" s="23">
        <f>H30*C30</f>
        <v>130434623.3496</v>
      </c>
      <c r="J30" s="26">
        <v>0.112</v>
      </c>
      <c r="K30" s="23">
        <f>J30*C30</f>
        <v>23042078.572800003</v>
      </c>
      <c r="L30" s="39">
        <v>6.3E-2</v>
      </c>
      <c r="M30" s="23">
        <f>L30*C30</f>
        <v>12961169.1972</v>
      </c>
      <c r="N30" s="26">
        <v>4.1000000000000002E-2</v>
      </c>
      <c r="O30" s="23">
        <f>N30*E30</f>
        <v>700108.86949320009</v>
      </c>
      <c r="S30" s="12">
        <f>E30-'Set23'!E30</f>
        <v>-1470283.327539999</v>
      </c>
      <c r="T30" s="12">
        <f>G30-'Set23'!G30</f>
        <v>335723.3012400046</v>
      </c>
      <c r="U30" s="12">
        <f>I30-'Set23'!I30</f>
        <v>-5094637.7435000092</v>
      </c>
      <c r="V30" s="12">
        <f>K30-'Set23'!K30</f>
        <v>-191509.04315999523</v>
      </c>
      <c r="W30" s="12">
        <f>+M30-'Set23'!M30</f>
        <v>-1305068.8125999998</v>
      </c>
      <c r="Y30" s="28">
        <f>D30-'Set23'!D30</f>
        <v>-7.9999999999999932E-3</v>
      </c>
      <c r="Z30" s="28">
        <f>F30-'Set23'!F30</f>
        <v>0</v>
      </c>
      <c r="AA30" s="28">
        <f>H30-'Set23'!H30</f>
        <v>-3.1000000000000028E-2</v>
      </c>
      <c r="AB30" s="28">
        <f>J30-'Set23'!J30</f>
        <v>-2.0000000000000018E-3</v>
      </c>
      <c r="AC30" s="28">
        <f>L30-'Set23'!L30</f>
        <v>-7.0000000000000062E-3</v>
      </c>
    </row>
    <row r="31" spans="1:29" hidden="1" outlineLevel="1" x14ac:dyDescent="0.25">
      <c r="B31" s="3" t="s">
        <v>56</v>
      </c>
      <c r="C31" s="12"/>
      <c r="D31" s="14"/>
      <c r="E31" s="12"/>
      <c r="F31" s="14"/>
      <c r="G31" s="12"/>
      <c r="H31" s="14"/>
      <c r="I31" s="12"/>
      <c r="J31" s="14"/>
      <c r="K31" s="12"/>
      <c r="L31" s="14"/>
      <c r="M31" s="12"/>
      <c r="N31" s="14"/>
      <c r="O31" s="12"/>
      <c r="S31" s="12">
        <f>E31-'Set23'!E31</f>
        <v>0</v>
      </c>
      <c r="T31" s="12">
        <f>G31-'Set23'!G31</f>
        <v>0</v>
      </c>
      <c r="U31" s="12">
        <f>I31-'Set23'!I31</f>
        <v>0</v>
      </c>
      <c r="V31" s="12">
        <f>K31-'Set23'!K31</f>
        <v>0</v>
      </c>
      <c r="W31" s="12">
        <f>+M31-'Set23'!M31</f>
        <v>0</v>
      </c>
      <c r="Y31" s="28">
        <f>D31-'Set23'!D31</f>
        <v>0</v>
      </c>
      <c r="Z31" s="28">
        <f>F31-'Set23'!F31</f>
        <v>0</v>
      </c>
      <c r="AA31" s="28">
        <f>H31-'Set23'!H31</f>
        <v>0</v>
      </c>
      <c r="AB31" s="28">
        <f>J31-'Set23'!J31</f>
        <v>0</v>
      </c>
      <c r="AC31" s="28">
        <f>L31-'Set23'!L31</f>
        <v>0</v>
      </c>
    </row>
    <row r="32" spans="1:29" collapsed="1" x14ac:dyDescent="0.25">
      <c r="B32" s="3" t="s">
        <v>42</v>
      </c>
      <c r="C32" s="12">
        <v>257704699</v>
      </c>
      <c r="D32" s="14">
        <v>0.12</v>
      </c>
      <c r="E32" s="12">
        <f>D32*C32</f>
        <v>30924563.879999999</v>
      </c>
      <c r="F32" s="14">
        <v>0.12</v>
      </c>
      <c r="G32" s="12">
        <f>F32*C32</f>
        <v>30924563.879999999</v>
      </c>
      <c r="H32" s="14">
        <f>0.5+0.06+0.03</f>
        <v>0.59000000000000008</v>
      </c>
      <c r="I32" s="12">
        <f>H32*C32</f>
        <v>152045772.41000003</v>
      </c>
      <c r="J32" s="14">
        <v>0.05</v>
      </c>
      <c r="K32" s="12">
        <f>J32*C32</f>
        <v>12885234.950000001</v>
      </c>
      <c r="L32" s="14">
        <v>0.12</v>
      </c>
      <c r="M32" s="12">
        <f>L32*C32</f>
        <v>30924563.879999999</v>
      </c>
      <c r="N32" s="14"/>
      <c r="O32" s="12">
        <f>N32*E32</f>
        <v>0</v>
      </c>
      <c r="S32" s="12">
        <f>E32-'Set23'!E32</f>
        <v>10820279.100000001</v>
      </c>
      <c r="T32" s="12">
        <f>G32-'Set23'!G32</f>
        <v>6352660.2599999979</v>
      </c>
      <c r="U32" s="12">
        <f>I32-'Set23'!I32</f>
        <v>15783397.790000021</v>
      </c>
      <c r="V32" s="12">
        <f>K32-'Set23'!K32</f>
        <v>-517621.56999999844</v>
      </c>
      <c r="W32" s="12">
        <f>+M32-'Set23'!M32</f>
        <v>8586469.679999996</v>
      </c>
      <c r="Y32" s="28">
        <f>D32-'Set23'!D32</f>
        <v>0.03</v>
      </c>
      <c r="Z32" s="28">
        <f>F32-'Set23'!F32</f>
        <v>9.999999999999995E-3</v>
      </c>
      <c r="AA32" s="28">
        <f>H32-'Set23'!H32</f>
        <v>-1.9999999999999907E-2</v>
      </c>
      <c r="AB32" s="28">
        <f>J32-'Set23'!J32</f>
        <v>-9.999999999999995E-3</v>
      </c>
      <c r="AC32" s="28">
        <f>L32-'Set23'!L32</f>
        <v>1.999999999999999E-2</v>
      </c>
    </row>
    <row r="33" spans="1:29" x14ac:dyDescent="0.25">
      <c r="B33" s="3" t="s">
        <v>43</v>
      </c>
      <c r="C33" s="12">
        <v>765891921</v>
      </c>
      <c r="D33" s="14">
        <v>0.12</v>
      </c>
      <c r="E33" s="12">
        <f>D33*C33</f>
        <v>91907030.519999996</v>
      </c>
      <c r="F33" s="14">
        <v>0.12</v>
      </c>
      <c r="G33" s="12">
        <f>F33*C33</f>
        <v>91907030.519999996</v>
      </c>
      <c r="H33" s="14">
        <f>0.58+0.02+0.01</f>
        <v>0.61</v>
      </c>
      <c r="I33" s="12">
        <f>H33*C33</f>
        <v>467194071.81</v>
      </c>
      <c r="J33" s="14">
        <v>0.15</v>
      </c>
      <c r="K33" s="12">
        <f>J33*C33</f>
        <v>114883788.14999999</v>
      </c>
      <c r="L33" s="14"/>
      <c r="M33" s="12">
        <f>L33*C33</f>
        <v>0</v>
      </c>
      <c r="N33" s="14"/>
      <c r="O33" s="12">
        <f>N33*E33</f>
        <v>0</v>
      </c>
      <c r="S33" s="12">
        <f>E33-'Set23'!E33</f>
        <v>20978123.760000005</v>
      </c>
      <c r="T33" s="12">
        <f>G33-'Set23'!G33</f>
        <v>-2664845.1599999964</v>
      </c>
      <c r="U33" s="12">
        <f>I33-'Set23'!I33</f>
        <v>-37189265.150000036</v>
      </c>
      <c r="V33" s="12">
        <f>K33-'Set23'!K33</f>
        <v>-3331056.450000003</v>
      </c>
      <c r="W33" s="12">
        <f>+M33-'Set23'!M33</f>
        <v>0</v>
      </c>
      <c r="Y33" s="28">
        <f>D33-'Set23'!D33</f>
        <v>0.03</v>
      </c>
      <c r="Z33" s="28">
        <f>F33-'Set23'!F33</f>
        <v>0</v>
      </c>
      <c r="AA33" s="28">
        <f>H33-'Set23'!H33</f>
        <v>-3.0000000000000027E-2</v>
      </c>
      <c r="AB33" s="28">
        <f>J33-'Set23'!J33</f>
        <v>0</v>
      </c>
      <c r="AC33" s="28">
        <f>L33-'Set23'!L33</f>
        <v>0</v>
      </c>
    </row>
    <row r="34" spans="1:29" x14ac:dyDescent="0.25">
      <c r="B34" s="3" t="s">
        <v>44</v>
      </c>
      <c r="C34" s="12">
        <v>23300000</v>
      </c>
      <c r="D34" s="14">
        <v>0.34</v>
      </c>
      <c r="E34" s="12">
        <f>D34*C34</f>
        <v>7922000.0000000009</v>
      </c>
      <c r="F34" s="14"/>
      <c r="G34" s="12">
        <f>F34*C34</f>
        <v>0</v>
      </c>
      <c r="H34" s="14">
        <v>0.36</v>
      </c>
      <c r="I34" s="12">
        <f>H34*C34</f>
        <v>8388000</v>
      </c>
      <c r="J34" s="14">
        <v>0.05</v>
      </c>
      <c r="K34" s="12">
        <f>J34*C34</f>
        <v>1165000</v>
      </c>
      <c r="L34" s="14">
        <v>0.25</v>
      </c>
      <c r="M34" s="12">
        <f>L34*C34</f>
        <v>5825000</v>
      </c>
      <c r="N34" s="14"/>
      <c r="O34" s="12">
        <f>N34*E34</f>
        <v>0</v>
      </c>
      <c r="S34" s="12">
        <f>E34-'Set23'!E34</f>
        <v>3437000.0000000009</v>
      </c>
      <c r="T34" s="12">
        <f>G34-'Set23'!G34</f>
        <v>0</v>
      </c>
      <c r="U34" s="12">
        <f>I34-'Set23'!I34</f>
        <v>-1557000</v>
      </c>
      <c r="V34" s="12">
        <f>K34-'Set23'!K34</f>
        <v>1165000</v>
      </c>
      <c r="W34" s="12">
        <f>+M34-'Set23'!M34</f>
        <v>755000</v>
      </c>
      <c r="Y34" s="28">
        <f>D34-'Set23'!D34</f>
        <v>0.11000000000000001</v>
      </c>
      <c r="Z34" s="28">
        <f>F34-'Set23'!F34</f>
        <v>0</v>
      </c>
      <c r="AA34" s="28">
        <f>H34-'Set23'!H34</f>
        <v>-0.15000000000000002</v>
      </c>
      <c r="AB34" s="28">
        <f>J34-'Set23'!J34</f>
        <v>0.05</v>
      </c>
      <c r="AC34" s="28">
        <f>L34-'Set23'!L34</f>
        <v>-1.0000000000000009E-2</v>
      </c>
    </row>
    <row r="35" spans="1:29" s="8" customFormat="1" x14ac:dyDescent="0.25">
      <c r="A35"/>
      <c r="B35" s="3" t="s">
        <v>45</v>
      </c>
      <c r="C35" s="17">
        <f>SUM(C30:C34)</f>
        <v>1252629464.4000001</v>
      </c>
      <c r="D35" s="15">
        <f>+E35/$C35</f>
        <v>0.11801528280033645</v>
      </c>
      <c r="E35" s="17">
        <f>SUM(E30:E34)</f>
        <v>147829420.48519999</v>
      </c>
      <c r="F35" s="15">
        <f>+G35/$C35</f>
        <v>0.12663689768912001</v>
      </c>
      <c r="G35" s="17">
        <f>SUM(G30:G34)</f>
        <v>158629109.3256</v>
      </c>
      <c r="H35" s="15">
        <f>+I35/$C35</f>
        <v>0.6051769410778679</v>
      </c>
      <c r="I35" s="17">
        <f>SUM(I30:I34)</f>
        <v>758062467.56960011</v>
      </c>
      <c r="J35" s="15">
        <f>+K35/$C35</f>
        <v>0.12132566412653832</v>
      </c>
      <c r="K35" s="17">
        <f>SUM(K30:K34)</f>
        <v>151976101.6728</v>
      </c>
      <c r="L35" s="15">
        <f>+M35/$C35</f>
        <v>3.9685106003003894E-2</v>
      </c>
      <c r="M35" s="17">
        <f>SUM(M30:M34)</f>
        <v>49710733.077199996</v>
      </c>
      <c r="N35" s="15">
        <f>+O35/$C35</f>
        <v>5.5891138552177264E-4</v>
      </c>
      <c r="O35" s="17">
        <f>SUM(O30:O34)</f>
        <v>700108.86949320009</v>
      </c>
      <c r="S35" s="12">
        <f>E35-'Set23'!E35</f>
        <v>33765119.532460004</v>
      </c>
      <c r="T35" s="12">
        <f>G35-'Set23'!G35</f>
        <v>4023538.401240021</v>
      </c>
      <c r="U35" s="12">
        <f>I35-'Set23'!I35</f>
        <v>-28057505.103499889</v>
      </c>
      <c r="V35" s="12">
        <f>K35-'Set23'!K35</f>
        <v>-2875187.0631600022</v>
      </c>
      <c r="W35" s="12">
        <f>+M35-'Set23'!M35</f>
        <v>8036400.8673999906</v>
      </c>
      <c r="Y35" s="28">
        <f>D35-'Set23'!D35</f>
        <v>2.5639316599990553E-2</v>
      </c>
      <c r="Z35" s="28">
        <f>F35-'Set23'!F35</f>
        <v>1.4282313947355796E-3</v>
      </c>
      <c r="AA35" s="28">
        <f>H35-'Set23'!H35</f>
        <v>-3.1469156066540438E-2</v>
      </c>
      <c r="AB35" s="28">
        <f>J35-'Set23'!J35</f>
        <v>-4.0819988747000241E-3</v>
      </c>
      <c r="AC35" s="28">
        <f>L35-'Set23'!L35</f>
        <v>5.9347856005713059E-3</v>
      </c>
    </row>
    <row r="37" spans="1:29" x14ac:dyDescent="0.25">
      <c r="E37"/>
    </row>
    <row r="38" spans="1:29" x14ac:dyDescent="0.25">
      <c r="D38" s="38"/>
    </row>
    <row r="39" spans="1:29" x14ac:dyDescent="0.25">
      <c r="C39" s="30"/>
      <c r="D39" s="35"/>
    </row>
    <row r="40" spans="1:29" x14ac:dyDescent="0.25">
      <c r="C40" s="37"/>
      <c r="D40" s="35"/>
    </row>
    <row r="41" spans="1:29" x14ac:dyDescent="0.25">
      <c r="C41" s="37"/>
      <c r="D41" s="35"/>
    </row>
    <row r="42" spans="1:29" x14ac:dyDescent="0.25">
      <c r="C42" s="37"/>
      <c r="D42" s="35"/>
    </row>
    <row r="43" spans="1:29" x14ac:dyDescent="0.25">
      <c r="C43" s="37"/>
      <c r="D43" s="35"/>
    </row>
    <row r="44" spans="1:29" x14ac:dyDescent="0.25">
      <c r="C44" s="37"/>
      <c r="D44" s="35"/>
      <c r="E44" s="37"/>
    </row>
    <row r="45" spans="1:29" x14ac:dyDescent="0.25">
      <c r="C45" s="37"/>
      <c r="D45" s="35"/>
    </row>
    <row r="46" spans="1:29" x14ac:dyDescent="0.25">
      <c r="C46" s="37"/>
      <c r="D46" s="35"/>
    </row>
    <row r="47" spans="1:29" x14ac:dyDescent="0.25">
      <c r="C47" s="37"/>
      <c r="D47" s="35"/>
    </row>
    <row r="48" spans="1:29" x14ac:dyDescent="0.25">
      <c r="C48" s="37"/>
      <c r="D48" s="35"/>
    </row>
    <row r="49" spans="3:4" x14ac:dyDescent="0.25">
      <c r="C49" s="37"/>
      <c r="D49" s="35"/>
    </row>
    <row r="50" spans="3:4" x14ac:dyDescent="0.25">
      <c r="C50" s="37"/>
      <c r="D50" s="35"/>
    </row>
    <row r="51" spans="3:4" x14ac:dyDescent="0.25">
      <c r="C51" s="37"/>
      <c r="D51" s="35"/>
    </row>
    <row r="52" spans="3:4" x14ac:dyDescent="0.25">
      <c r="C52" s="37"/>
      <c r="D52" s="35"/>
    </row>
    <row r="53" spans="3:4" x14ac:dyDescent="0.25">
      <c r="C53" s="37"/>
      <c r="D53" s="35"/>
    </row>
    <row r="54" spans="3:4" x14ac:dyDescent="0.25">
      <c r="C54" s="37"/>
      <c r="D54" s="35"/>
    </row>
    <row r="55" spans="3:4" x14ac:dyDescent="0.25">
      <c r="C55" s="37"/>
      <c r="D55" s="35"/>
    </row>
    <row r="56" spans="3:4" x14ac:dyDescent="0.25">
      <c r="C56" s="37"/>
      <c r="D56" s="35"/>
    </row>
    <row r="57" spans="3:4" x14ac:dyDescent="0.25">
      <c r="C57" s="37"/>
      <c r="D57" s="35"/>
    </row>
    <row r="58" spans="3:4" x14ac:dyDescent="0.25">
      <c r="C58" s="37"/>
      <c r="D58" s="35"/>
    </row>
    <row r="59" spans="3:4" x14ac:dyDescent="0.25">
      <c r="C59" s="37"/>
      <c r="D59" s="35"/>
    </row>
    <row r="60" spans="3:4" x14ac:dyDescent="0.25">
      <c r="C60" s="37"/>
      <c r="D60" s="35"/>
    </row>
    <row r="61" spans="3:4" x14ac:dyDescent="0.25">
      <c r="C61" s="37"/>
      <c r="D61" s="35"/>
    </row>
    <row r="62" spans="3:4" x14ac:dyDescent="0.25">
      <c r="C62" s="37"/>
      <c r="D62" s="35"/>
    </row>
    <row r="63" spans="3:4" x14ac:dyDescent="0.25">
      <c r="C63" s="37"/>
      <c r="D63" s="35"/>
    </row>
    <row r="64" spans="3:4" x14ac:dyDescent="0.25">
      <c r="C64" s="37"/>
      <c r="D64" s="35"/>
    </row>
    <row r="65" spans="3:4" x14ac:dyDescent="0.25">
      <c r="C65" s="37"/>
      <c r="D65" s="35"/>
    </row>
    <row r="66" spans="3:4" x14ac:dyDescent="0.25">
      <c r="C66" s="37"/>
      <c r="D66" s="35"/>
    </row>
    <row r="67" spans="3:4" x14ac:dyDescent="0.25">
      <c r="C67" s="37"/>
      <c r="D67" s="35"/>
    </row>
    <row r="68" spans="3:4" x14ac:dyDescent="0.25">
      <c r="C68" s="37"/>
      <c r="D68" s="35"/>
    </row>
    <row r="69" spans="3:4" x14ac:dyDescent="0.25">
      <c r="C69" s="37"/>
      <c r="D69" s="35"/>
    </row>
    <row r="70" spans="3:4" x14ac:dyDescent="0.25">
      <c r="C70" s="37"/>
      <c r="D70" s="35"/>
    </row>
    <row r="71" spans="3:4" x14ac:dyDescent="0.25">
      <c r="C71" s="37"/>
      <c r="D71" s="35"/>
    </row>
    <row r="72" spans="3:4" x14ac:dyDescent="0.25">
      <c r="C72" s="37"/>
      <c r="D72" s="35"/>
    </row>
    <row r="73" spans="3:4" x14ac:dyDescent="0.25">
      <c r="C73" s="37"/>
      <c r="D73" s="35"/>
    </row>
    <row r="74" spans="3:4" x14ac:dyDescent="0.25">
      <c r="C74" s="37"/>
      <c r="D74" s="35"/>
    </row>
    <row r="75" spans="3:4" x14ac:dyDescent="0.25">
      <c r="C75" s="37"/>
      <c r="D75" s="35"/>
    </row>
    <row r="76" spans="3:4" x14ac:dyDescent="0.25">
      <c r="C76" s="37"/>
      <c r="D76" s="35"/>
    </row>
    <row r="77" spans="3:4" x14ac:dyDescent="0.25">
      <c r="C77" s="37"/>
      <c r="D77" s="35"/>
    </row>
    <row r="78" spans="3:4" x14ac:dyDescent="0.25">
      <c r="C78" s="37"/>
      <c r="D78" s="35"/>
    </row>
    <row r="79" spans="3:4" x14ac:dyDescent="0.25">
      <c r="C79" s="37"/>
      <c r="D79" s="35"/>
    </row>
    <row r="80" spans="3:4" x14ac:dyDescent="0.25">
      <c r="C80" s="37"/>
      <c r="D80" s="35"/>
    </row>
    <row r="81" spans="3:4" x14ac:dyDescent="0.25">
      <c r="C81" s="37"/>
      <c r="D81" s="35"/>
    </row>
    <row r="82" spans="3:4" x14ac:dyDescent="0.25">
      <c r="C82" s="37"/>
      <c r="D82" s="35"/>
    </row>
    <row r="83" spans="3:4" x14ac:dyDescent="0.25">
      <c r="C83" s="37"/>
      <c r="D83" s="35"/>
    </row>
    <row r="84" spans="3:4" x14ac:dyDescent="0.25">
      <c r="C84" s="37"/>
      <c r="D84" s="35"/>
    </row>
    <row r="85" spans="3:4" x14ac:dyDescent="0.25">
      <c r="C85" s="37"/>
      <c r="D85" s="35"/>
    </row>
    <row r="86" spans="3:4" x14ac:dyDescent="0.25">
      <c r="C86" s="37"/>
      <c r="D86" s="35"/>
    </row>
    <row r="87" spans="3:4" x14ac:dyDescent="0.25">
      <c r="C87" s="37"/>
      <c r="D87" s="35"/>
    </row>
    <row r="88" spans="3:4" x14ac:dyDescent="0.25">
      <c r="C88" s="37"/>
      <c r="D88" s="35"/>
    </row>
    <row r="89" spans="3:4" x14ac:dyDescent="0.25">
      <c r="C89" s="37"/>
      <c r="D89" s="35"/>
    </row>
    <row r="90" spans="3:4" x14ac:dyDescent="0.25">
      <c r="C90" s="37"/>
      <c r="D90" s="35"/>
    </row>
    <row r="91" spans="3:4" x14ac:dyDescent="0.25">
      <c r="C91" s="37"/>
      <c r="D91" s="35"/>
    </row>
    <row r="92" spans="3:4" x14ac:dyDescent="0.25">
      <c r="C92" s="37"/>
      <c r="D92" s="35"/>
    </row>
    <row r="93" spans="3:4" x14ac:dyDescent="0.25">
      <c r="C93" s="37"/>
      <c r="D93" s="35"/>
    </row>
    <row r="94" spans="3:4" x14ac:dyDescent="0.25">
      <c r="C94" s="37"/>
      <c r="D94" s="35"/>
    </row>
    <row r="95" spans="3:4" x14ac:dyDescent="0.25">
      <c r="C95" s="37"/>
      <c r="D95" s="35"/>
    </row>
    <row r="96" spans="3:4" x14ac:dyDescent="0.25">
      <c r="C96" s="37"/>
      <c r="D96" s="35"/>
    </row>
    <row r="97" spans="3:4" x14ac:dyDescent="0.25">
      <c r="C97" s="37"/>
      <c r="D97" s="35"/>
    </row>
    <row r="98" spans="3:4" x14ac:dyDescent="0.25">
      <c r="C98" s="37"/>
      <c r="D98" s="35"/>
    </row>
    <row r="99" spans="3:4" x14ac:dyDescent="0.25">
      <c r="C99" s="37"/>
      <c r="D99" s="35"/>
    </row>
    <row r="100" spans="3:4" x14ac:dyDescent="0.25">
      <c r="C100" s="37"/>
      <c r="D100" s="35"/>
    </row>
    <row r="101" spans="3:4" x14ac:dyDescent="0.25">
      <c r="C101" s="37"/>
      <c r="D101" s="35"/>
    </row>
    <row r="102" spans="3:4" x14ac:dyDescent="0.25">
      <c r="C102" s="37"/>
      <c r="D102" s="35"/>
    </row>
    <row r="103" spans="3:4" x14ac:dyDescent="0.25">
      <c r="C103" s="37"/>
      <c r="D103" s="35"/>
    </row>
    <row r="104" spans="3:4" x14ac:dyDescent="0.25">
      <c r="C104" s="37"/>
      <c r="D104" s="35"/>
    </row>
    <row r="105" spans="3:4" x14ac:dyDescent="0.25">
      <c r="C105" s="37"/>
      <c r="D105" s="35"/>
    </row>
    <row r="106" spans="3:4" x14ac:dyDescent="0.25">
      <c r="C106" s="37"/>
      <c r="D106" s="35"/>
    </row>
    <row r="107" spans="3:4" x14ac:dyDescent="0.25">
      <c r="C107" s="37"/>
      <c r="D107" s="35"/>
    </row>
    <row r="108" spans="3:4" x14ac:dyDescent="0.25">
      <c r="C108" s="37"/>
      <c r="D108" s="35"/>
    </row>
    <row r="109" spans="3:4" x14ac:dyDescent="0.25">
      <c r="C109" s="37"/>
      <c r="D109" s="35"/>
    </row>
    <row r="110" spans="3:4" x14ac:dyDescent="0.25">
      <c r="C110" s="37"/>
      <c r="D110" s="35"/>
    </row>
    <row r="111" spans="3:4" x14ac:dyDescent="0.25">
      <c r="C111" s="37"/>
      <c r="D111" s="35"/>
    </row>
    <row r="112" spans="3:4" x14ac:dyDescent="0.25">
      <c r="C112" s="37"/>
      <c r="D112" s="35"/>
    </row>
    <row r="113" spans="3:4" x14ac:dyDescent="0.25">
      <c r="C113" s="37"/>
      <c r="D113" s="35"/>
    </row>
    <row r="114" spans="3:4" x14ac:dyDescent="0.25">
      <c r="C114" s="37"/>
      <c r="D114" s="35"/>
    </row>
    <row r="115" spans="3:4" x14ac:dyDescent="0.25">
      <c r="C115" s="37"/>
      <c r="D115" s="35"/>
    </row>
    <row r="116" spans="3:4" x14ac:dyDescent="0.25">
      <c r="C116" s="37"/>
      <c r="D116" s="35"/>
    </row>
    <row r="117" spans="3:4" x14ac:dyDescent="0.25">
      <c r="C117" s="37"/>
      <c r="D117" s="35"/>
    </row>
    <row r="118" spans="3:4" x14ac:dyDescent="0.25">
      <c r="C118" s="37"/>
      <c r="D118" s="35"/>
    </row>
    <row r="119" spans="3:4" x14ac:dyDescent="0.25">
      <c r="C119" s="37"/>
      <c r="D119" s="35"/>
    </row>
    <row r="120" spans="3:4" x14ac:dyDescent="0.25">
      <c r="C120" s="37"/>
      <c r="D120" s="35"/>
    </row>
    <row r="121" spans="3:4" x14ac:dyDescent="0.25">
      <c r="C121" s="37"/>
      <c r="D121" s="35"/>
    </row>
    <row r="122" spans="3:4" x14ac:dyDescent="0.25">
      <c r="C122" s="37"/>
      <c r="D122" s="35"/>
    </row>
    <row r="123" spans="3:4" x14ac:dyDescent="0.25">
      <c r="C123" s="37"/>
      <c r="D123" s="35"/>
    </row>
    <row r="124" spans="3:4" x14ac:dyDescent="0.25">
      <c r="C124" s="37"/>
      <c r="D124" s="35"/>
    </row>
    <row r="125" spans="3:4" x14ac:dyDescent="0.25">
      <c r="C125" s="37"/>
      <c r="D125" s="35"/>
    </row>
    <row r="126" spans="3:4" x14ac:dyDescent="0.25">
      <c r="C126" s="37"/>
      <c r="D126" s="35"/>
    </row>
    <row r="127" spans="3:4" x14ac:dyDescent="0.25">
      <c r="C127" s="37"/>
      <c r="D127" s="35"/>
    </row>
    <row r="128" spans="3:4" x14ac:dyDescent="0.25">
      <c r="C128" s="37"/>
      <c r="D128" s="35"/>
    </row>
    <row r="129" spans="3:4" x14ac:dyDescent="0.25">
      <c r="C129" s="37"/>
      <c r="D129" s="35"/>
    </row>
    <row r="130" spans="3:4" x14ac:dyDescent="0.25">
      <c r="C130" s="37"/>
      <c r="D130" s="35"/>
    </row>
    <row r="131" spans="3:4" x14ac:dyDescent="0.25">
      <c r="C131" s="37"/>
      <c r="D131" s="35"/>
    </row>
    <row r="132" spans="3:4" x14ac:dyDescent="0.25">
      <c r="C132" s="37"/>
      <c r="D132" s="35"/>
    </row>
    <row r="133" spans="3:4" x14ac:dyDescent="0.25">
      <c r="C133" s="37"/>
      <c r="D133" s="35"/>
    </row>
    <row r="134" spans="3:4" x14ac:dyDescent="0.25">
      <c r="C134" s="37"/>
      <c r="D134" s="35"/>
    </row>
    <row r="135" spans="3:4" x14ac:dyDescent="0.25">
      <c r="C135" s="37"/>
      <c r="D135" s="35"/>
    </row>
    <row r="136" spans="3:4" x14ac:dyDescent="0.25">
      <c r="C136" s="37"/>
      <c r="D136" s="35"/>
    </row>
    <row r="137" spans="3:4" x14ac:dyDescent="0.25">
      <c r="C137" s="37"/>
      <c r="D137" s="35"/>
    </row>
    <row r="138" spans="3:4" x14ac:dyDescent="0.25">
      <c r="C138" s="37"/>
      <c r="D138" s="35"/>
    </row>
    <row r="139" spans="3:4" x14ac:dyDescent="0.25">
      <c r="C139" s="37"/>
      <c r="D139" s="35"/>
    </row>
    <row r="140" spans="3:4" x14ac:dyDescent="0.25">
      <c r="C140" s="37"/>
      <c r="D140" s="35"/>
    </row>
    <row r="141" spans="3:4" x14ac:dyDescent="0.25">
      <c r="C141" s="37"/>
      <c r="D141" s="35"/>
    </row>
    <row r="142" spans="3:4" x14ac:dyDescent="0.25">
      <c r="C142" s="37"/>
      <c r="D142" s="35"/>
    </row>
    <row r="143" spans="3:4" x14ac:dyDescent="0.25">
      <c r="C143" s="37"/>
      <c r="D143" s="35"/>
    </row>
    <row r="144" spans="3:4" x14ac:dyDescent="0.25">
      <c r="C144" s="37"/>
      <c r="D144" s="35"/>
    </row>
    <row r="145" spans="3:4" x14ac:dyDescent="0.25">
      <c r="C145" s="37"/>
      <c r="D145" s="35"/>
    </row>
    <row r="146" spans="3:4" x14ac:dyDescent="0.25">
      <c r="C146" s="37"/>
      <c r="D146" s="35"/>
    </row>
    <row r="147" spans="3:4" x14ac:dyDescent="0.25">
      <c r="C147" s="37"/>
      <c r="D147" s="35"/>
    </row>
    <row r="148" spans="3:4" x14ac:dyDescent="0.25">
      <c r="C148" s="37"/>
      <c r="D148" s="35"/>
    </row>
    <row r="149" spans="3:4" x14ac:dyDescent="0.25">
      <c r="C149" s="37"/>
      <c r="D149" s="35"/>
    </row>
    <row r="150" spans="3:4" x14ac:dyDescent="0.25">
      <c r="C150" s="37"/>
      <c r="D150" s="35"/>
    </row>
    <row r="151" spans="3:4" x14ac:dyDescent="0.25">
      <c r="C151" s="37"/>
      <c r="D151" s="35"/>
    </row>
    <row r="152" spans="3:4" x14ac:dyDescent="0.25">
      <c r="C152" s="37"/>
      <c r="D152" s="35"/>
    </row>
    <row r="153" spans="3:4" x14ac:dyDescent="0.25">
      <c r="C153" s="37"/>
      <c r="D153" s="35"/>
    </row>
    <row r="154" spans="3:4" x14ac:dyDescent="0.25">
      <c r="C154" s="37"/>
      <c r="D154" s="35"/>
    </row>
    <row r="155" spans="3:4" x14ac:dyDescent="0.25">
      <c r="C155" s="37"/>
      <c r="D155" s="35"/>
    </row>
    <row r="156" spans="3:4" x14ac:dyDescent="0.25">
      <c r="C156" s="37"/>
      <c r="D156" s="35"/>
    </row>
    <row r="157" spans="3:4" x14ac:dyDescent="0.25">
      <c r="C157" s="37"/>
      <c r="D157" s="35"/>
    </row>
    <row r="158" spans="3:4" x14ac:dyDescent="0.25">
      <c r="C158" s="37"/>
      <c r="D158" s="35"/>
    </row>
    <row r="159" spans="3:4" x14ac:dyDescent="0.25">
      <c r="C159" s="37"/>
      <c r="D159" s="35"/>
    </row>
    <row r="160" spans="3:4" x14ac:dyDescent="0.25">
      <c r="C160" s="37"/>
      <c r="D160" s="35"/>
    </row>
    <row r="161" spans="3:4" x14ac:dyDescent="0.25">
      <c r="C161" s="37"/>
      <c r="D161" s="35"/>
    </row>
    <row r="162" spans="3:4" x14ac:dyDescent="0.25">
      <c r="C162" s="37"/>
      <c r="D162" s="35"/>
    </row>
    <row r="163" spans="3:4" x14ac:dyDescent="0.25">
      <c r="C163" s="37"/>
      <c r="D163" s="35"/>
    </row>
    <row r="164" spans="3:4" x14ac:dyDescent="0.25">
      <c r="C164" s="37"/>
      <c r="D164" s="35"/>
    </row>
    <row r="165" spans="3:4" x14ac:dyDescent="0.25">
      <c r="C165" s="37"/>
      <c r="D165" s="35"/>
    </row>
    <row r="166" spans="3:4" x14ac:dyDescent="0.25">
      <c r="C166" s="37"/>
      <c r="D166" s="35"/>
    </row>
    <row r="167" spans="3:4" x14ac:dyDescent="0.25">
      <c r="C167" s="37"/>
      <c r="D167" s="35"/>
    </row>
    <row r="168" spans="3:4" x14ac:dyDescent="0.25">
      <c r="C168" s="37"/>
      <c r="D168" s="35"/>
    </row>
    <row r="169" spans="3:4" x14ac:dyDescent="0.25">
      <c r="C169" s="37"/>
      <c r="D169" s="35"/>
    </row>
    <row r="170" spans="3:4" x14ac:dyDescent="0.25">
      <c r="C170" s="37"/>
      <c r="D170" s="35"/>
    </row>
    <row r="171" spans="3:4" x14ac:dyDescent="0.25">
      <c r="C171" s="37"/>
      <c r="D171" s="35"/>
    </row>
    <row r="172" spans="3:4" x14ac:dyDescent="0.25">
      <c r="C172" s="37"/>
      <c r="D172" s="35"/>
    </row>
    <row r="173" spans="3:4" x14ac:dyDescent="0.25">
      <c r="C173" s="37"/>
      <c r="D173" s="35"/>
    </row>
    <row r="174" spans="3:4" x14ac:dyDescent="0.25">
      <c r="C174" s="37"/>
      <c r="D174" s="35"/>
    </row>
    <row r="175" spans="3:4" x14ac:dyDescent="0.25">
      <c r="C175" s="37"/>
      <c r="D175" s="35"/>
    </row>
    <row r="176" spans="3:4" x14ac:dyDescent="0.25">
      <c r="C176" s="37"/>
      <c r="D176" s="35"/>
    </row>
    <row r="177" spans="3:4" x14ac:dyDescent="0.25">
      <c r="C177" s="37"/>
      <c r="D177" s="35"/>
    </row>
    <row r="178" spans="3:4" x14ac:dyDescent="0.25">
      <c r="C178" s="37"/>
      <c r="D178" s="35"/>
    </row>
    <row r="179" spans="3:4" x14ac:dyDescent="0.25">
      <c r="C179" s="37"/>
      <c r="D179" s="35"/>
    </row>
    <row r="180" spans="3:4" x14ac:dyDescent="0.25">
      <c r="C180" s="37"/>
      <c r="D180" s="35"/>
    </row>
    <row r="181" spans="3:4" x14ac:dyDescent="0.25">
      <c r="C181" s="37"/>
      <c r="D181" s="35"/>
    </row>
    <row r="182" spans="3:4" x14ac:dyDescent="0.25">
      <c r="C182" s="37"/>
      <c r="D182" s="35"/>
    </row>
    <row r="183" spans="3:4" x14ac:dyDescent="0.25">
      <c r="C183" s="37"/>
      <c r="D183" s="35"/>
    </row>
    <row r="184" spans="3:4" x14ac:dyDescent="0.25">
      <c r="C184" s="37"/>
      <c r="D184" s="35"/>
    </row>
    <row r="185" spans="3:4" x14ac:dyDescent="0.25">
      <c r="C185" s="37"/>
      <c r="D185" s="35"/>
    </row>
    <row r="186" spans="3:4" x14ac:dyDescent="0.25">
      <c r="C186" s="37"/>
      <c r="D186" s="35"/>
    </row>
    <row r="187" spans="3:4" x14ac:dyDescent="0.25">
      <c r="C187" s="37"/>
      <c r="D187" s="35"/>
    </row>
    <row r="188" spans="3:4" x14ac:dyDescent="0.25">
      <c r="C188" s="37"/>
      <c r="D188" s="35"/>
    </row>
    <row r="189" spans="3:4" x14ac:dyDescent="0.25">
      <c r="C189" s="37"/>
      <c r="D189" s="35"/>
    </row>
    <row r="190" spans="3:4" x14ac:dyDescent="0.25">
      <c r="C190" s="37"/>
      <c r="D190" s="35"/>
    </row>
    <row r="191" spans="3:4" x14ac:dyDescent="0.25">
      <c r="C191" s="37"/>
      <c r="D191" s="35"/>
    </row>
    <row r="192" spans="3:4" x14ac:dyDescent="0.25">
      <c r="C192" s="37"/>
      <c r="D192" s="35"/>
    </row>
    <row r="193" spans="3:4" x14ac:dyDescent="0.25">
      <c r="C193" s="37"/>
      <c r="D193" s="35"/>
    </row>
    <row r="194" spans="3:4" x14ac:dyDescent="0.25">
      <c r="C194" s="37"/>
      <c r="D194" s="35"/>
    </row>
    <row r="195" spans="3:4" x14ac:dyDescent="0.25">
      <c r="C195" s="37"/>
      <c r="D195" s="35"/>
    </row>
    <row r="196" spans="3:4" x14ac:dyDescent="0.25">
      <c r="C196" s="37"/>
      <c r="D196" s="35"/>
    </row>
    <row r="197" spans="3:4" x14ac:dyDescent="0.25">
      <c r="C197" s="37"/>
      <c r="D197" s="35"/>
    </row>
    <row r="198" spans="3:4" x14ac:dyDescent="0.25">
      <c r="C198" s="37"/>
      <c r="D198" s="35"/>
    </row>
    <row r="199" spans="3:4" x14ac:dyDescent="0.25">
      <c r="C199" s="37"/>
      <c r="D199" s="35"/>
    </row>
    <row r="200" spans="3:4" x14ac:dyDescent="0.25">
      <c r="C200" s="37"/>
      <c r="D200" s="35"/>
    </row>
    <row r="201" spans="3:4" x14ac:dyDescent="0.25">
      <c r="C201" s="37"/>
      <c r="D201" s="35"/>
    </row>
    <row r="202" spans="3:4" x14ac:dyDescent="0.25">
      <c r="C202" s="37"/>
      <c r="D202" s="35"/>
    </row>
    <row r="203" spans="3:4" x14ac:dyDescent="0.25">
      <c r="C203" s="37"/>
      <c r="D203" s="35"/>
    </row>
    <row r="204" spans="3:4" x14ac:dyDescent="0.25">
      <c r="C204" s="37"/>
      <c r="D204" s="35"/>
    </row>
    <row r="205" spans="3:4" x14ac:dyDescent="0.25">
      <c r="C205" s="37"/>
      <c r="D205" s="35"/>
    </row>
    <row r="206" spans="3:4" x14ac:dyDescent="0.25">
      <c r="C206" s="37"/>
      <c r="D206" s="35"/>
    </row>
    <row r="207" spans="3:4" x14ac:dyDescent="0.25">
      <c r="C207" s="37"/>
      <c r="D207" s="35"/>
    </row>
    <row r="208" spans="3:4" x14ac:dyDescent="0.25">
      <c r="C208" s="37"/>
      <c r="D208" s="35"/>
    </row>
    <row r="209" spans="3:4" x14ac:dyDescent="0.25">
      <c r="C209" s="37"/>
      <c r="D209" s="35"/>
    </row>
    <row r="210" spans="3:4" x14ac:dyDescent="0.25">
      <c r="C210" s="37"/>
      <c r="D210" s="35"/>
    </row>
    <row r="211" spans="3:4" x14ac:dyDescent="0.25">
      <c r="C211" s="37"/>
      <c r="D211" s="35"/>
    </row>
    <row r="212" spans="3:4" x14ac:dyDescent="0.25">
      <c r="C212" s="37"/>
      <c r="D212" s="35"/>
    </row>
    <row r="213" spans="3:4" x14ac:dyDescent="0.25">
      <c r="C213" s="37"/>
      <c r="D213" s="35"/>
    </row>
    <row r="214" spans="3:4" x14ac:dyDescent="0.25">
      <c r="C214" s="37"/>
      <c r="D214" s="35"/>
    </row>
    <row r="215" spans="3:4" x14ac:dyDescent="0.25">
      <c r="C215" s="37"/>
      <c r="D215" s="35"/>
    </row>
    <row r="216" spans="3:4" x14ac:dyDescent="0.25">
      <c r="C216" s="37"/>
      <c r="D216" s="35"/>
    </row>
    <row r="217" spans="3:4" x14ac:dyDescent="0.25">
      <c r="C217" s="37"/>
      <c r="D217" s="35"/>
    </row>
    <row r="218" spans="3:4" x14ac:dyDescent="0.25">
      <c r="C218" s="37"/>
      <c r="D218" s="35"/>
    </row>
    <row r="219" spans="3:4" x14ac:dyDescent="0.25">
      <c r="C219" s="37"/>
      <c r="D219" s="35"/>
    </row>
    <row r="220" spans="3:4" x14ac:dyDescent="0.25">
      <c r="C220" s="37"/>
      <c r="D220" s="35"/>
    </row>
    <row r="221" spans="3:4" x14ac:dyDescent="0.25">
      <c r="C221" s="37"/>
      <c r="D221" s="35"/>
    </row>
    <row r="222" spans="3:4" x14ac:dyDescent="0.25">
      <c r="C222" s="37"/>
      <c r="D222" s="35"/>
    </row>
    <row r="223" spans="3:4" x14ac:dyDescent="0.25">
      <c r="C223" s="37"/>
      <c r="D223" s="35"/>
    </row>
    <row r="224" spans="3:4" x14ac:dyDescent="0.25">
      <c r="C224" s="37"/>
      <c r="D224" s="35"/>
    </row>
    <row r="225" spans="3:4" x14ac:dyDescent="0.25">
      <c r="C225" s="37"/>
      <c r="D225" s="35"/>
    </row>
    <row r="226" spans="3:4" x14ac:dyDescent="0.25">
      <c r="C226" s="37"/>
      <c r="D226" s="35"/>
    </row>
    <row r="227" spans="3:4" x14ac:dyDescent="0.25">
      <c r="C227" s="37"/>
      <c r="D227" s="35"/>
    </row>
    <row r="228" spans="3:4" x14ac:dyDescent="0.25">
      <c r="C228" s="37"/>
      <c r="D228" s="35"/>
    </row>
    <row r="229" spans="3:4" x14ac:dyDescent="0.25">
      <c r="C229" s="37"/>
      <c r="D229" s="35"/>
    </row>
    <row r="230" spans="3:4" x14ac:dyDescent="0.25">
      <c r="C230" s="37"/>
      <c r="D230" s="35"/>
    </row>
    <row r="231" spans="3:4" x14ac:dyDescent="0.25">
      <c r="C231" s="37"/>
      <c r="D231" s="35"/>
    </row>
    <row r="232" spans="3:4" x14ac:dyDescent="0.25">
      <c r="C232" s="37"/>
      <c r="D232" s="35"/>
    </row>
    <row r="233" spans="3:4" x14ac:dyDescent="0.25">
      <c r="C233" s="37"/>
      <c r="D233" s="35"/>
    </row>
    <row r="234" spans="3:4" x14ac:dyDescent="0.25">
      <c r="C234" s="37"/>
      <c r="D234" s="35"/>
    </row>
    <row r="235" spans="3:4" x14ac:dyDescent="0.25">
      <c r="C235" s="37"/>
      <c r="D235" s="35"/>
    </row>
    <row r="236" spans="3:4" x14ac:dyDescent="0.25">
      <c r="C236" s="37"/>
      <c r="D236" s="35"/>
    </row>
    <row r="237" spans="3:4" x14ac:dyDescent="0.25">
      <c r="C237" s="37"/>
      <c r="D237" s="35"/>
    </row>
    <row r="238" spans="3:4" x14ac:dyDescent="0.25">
      <c r="C238" s="37"/>
      <c r="D238" s="35"/>
    </row>
    <row r="239" spans="3:4" x14ac:dyDescent="0.25">
      <c r="C239" s="37"/>
      <c r="D239" s="35"/>
    </row>
    <row r="240" spans="3:4" x14ac:dyDescent="0.25">
      <c r="C240" s="37"/>
      <c r="D240" s="35"/>
    </row>
    <row r="241" spans="3:4" x14ac:dyDescent="0.25">
      <c r="C241" s="37"/>
      <c r="D241" s="35"/>
    </row>
    <row r="242" spans="3:4" x14ac:dyDescent="0.25">
      <c r="C242" s="37"/>
      <c r="D242" s="35"/>
    </row>
    <row r="243" spans="3:4" x14ac:dyDescent="0.25">
      <c r="C243" s="37"/>
      <c r="D243" s="35"/>
    </row>
    <row r="244" spans="3:4" x14ac:dyDescent="0.25">
      <c r="C244" s="37"/>
      <c r="D244" s="35"/>
    </row>
    <row r="245" spans="3:4" x14ac:dyDescent="0.25">
      <c r="C245" s="37"/>
      <c r="D245" s="35"/>
    </row>
    <row r="246" spans="3:4" x14ac:dyDescent="0.25">
      <c r="C246" s="37"/>
      <c r="D246" s="35"/>
    </row>
    <row r="247" spans="3:4" x14ac:dyDescent="0.25">
      <c r="C247" s="37"/>
      <c r="D247" s="35"/>
    </row>
    <row r="248" spans="3:4" x14ac:dyDescent="0.25">
      <c r="C248" s="37"/>
      <c r="D248" s="35"/>
    </row>
    <row r="249" spans="3:4" x14ac:dyDescent="0.25">
      <c r="C249" s="37"/>
      <c r="D249" s="35"/>
    </row>
    <row r="250" spans="3:4" x14ac:dyDescent="0.25">
      <c r="C250" s="37"/>
      <c r="D250" s="35"/>
    </row>
    <row r="251" spans="3:4" x14ac:dyDescent="0.25">
      <c r="C251" s="37"/>
      <c r="D251" s="35"/>
    </row>
    <row r="252" spans="3:4" x14ac:dyDescent="0.25">
      <c r="C252" s="37"/>
      <c r="D252" s="35"/>
    </row>
    <row r="253" spans="3:4" x14ac:dyDescent="0.25">
      <c r="C253" s="37"/>
      <c r="D253" s="35"/>
    </row>
    <row r="254" spans="3:4" x14ac:dyDescent="0.25">
      <c r="C254" s="37"/>
      <c r="D254" s="35"/>
    </row>
    <row r="255" spans="3:4" x14ac:dyDescent="0.25">
      <c r="C255" s="37"/>
      <c r="D255" s="35"/>
    </row>
    <row r="256" spans="3:4" x14ac:dyDescent="0.25">
      <c r="C256" s="37"/>
      <c r="D256" s="35"/>
    </row>
    <row r="257" spans="3:4" x14ac:dyDescent="0.25">
      <c r="C257" s="37"/>
      <c r="D257" s="35"/>
    </row>
    <row r="258" spans="3:4" x14ac:dyDescent="0.25">
      <c r="C258" s="37"/>
      <c r="D258" s="35"/>
    </row>
    <row r="259" spans="3:4" x14ac:dyDescent="0.25">
      <c r="C259" s="37"/>
      <c r="D259" s="35"/>
    </row>
    <row r="260" spans="3:4" x14ac:dyDescent="0.25">
      <c r="C260" s="37"/>
      <c r="D260" s="35"/>
    </row>
    <row r="261" spans="3:4" x14ac:dyDescent="0.25">
      <c r="C261" s="37"/>
      <c r="D261" s="35"/>
    </row>
    <row r="262" spans="3:4" x14ac:dyDescent="0.25">
      <c r="C262" s="37"/>
      <c r="D262" s="35"/>
    </row>
    <row r="263" spans="3:4" x14ac:dyDescent="0.25">
      <c r="C263" s="37"/>
      <c r="D263" s="35"/>
    </row>
    <row r="264" spans="3:4" x14ac:dyDescent="0.25">
      <c r="C264" s="37"/>
      <c r="D264" s="35"/>
    </row>
    <row r="265" spans="3:4" x14ac:dyDescent="0.25">
      <c r="C265" s="37"/>
      <c r="D265" s="35"/>
    </row>
    <row r="266" spans="3:4" x14ac:dyDescent="0.25">
      <c r="C266" s="37"/>
      <c r="D266" s="35"/>
    </row>
    <row r="267" spans="3:4" x14ac:dyDescent="0.25">
      <c r="C267" s="37"/>
      <c r="D267" s="35"/>
    </row>
    <row r="268" spans="3:4" x14ac:dyDescent="0.25">
      <c r="C268" s="37"/>
      <c r="D268" s="35"/>
    </row>
    <row r="269" spans="3:4" x14ac:dyDescent="0.25">
      <c r="C269" s="37"/>
      <c r="D269" s="35"/>
    </row>
    <row r="270" spans="3:4" x14ac:dyDescent="0.25">
      <c r="C270" s="37"/>
      <c r="D270" s="35"/>
    </row>
    <row r="271" spans="3:4" x14ac:dyDescent="0.25">
      <c r="C271" s="37"/>
      <c r="D271" s="35"/>
    </row>
    <row r="272" spans="3:4" x14ac:dyDescent="0.25">
      <c r="C272" s="37"/>
      <c r="D272" s="35"/>
    </row>
    <row r="273" spans="3:4" x14ac:dyDescent="0.25">
      <c r="C273" s="37"/>
      <c r="D273" s="35"/>
    </row>
    <row r="274" spans="3:4" x14ac:dyDescent="0.25">
      <c r="C274" s="37"/>
      <c r="D274" s="35"/>
    </row>
    <row r="275" spans="3:4" x14ac:dyDescent="0.25">
      <c r="C275" s="37"/>
      <c r="D275" s="35"/>
    </row>
    <row r="276" spans="3:4" x14ac:dyDescent="0.25">
      <c r="C276" s="37"/>
      <c r="D276" s="35"/>
    </row>
    <row r="277" spans="3:4" x14ac:dyDescent="0.25">
      <c r="C277" s="37"/>
      <c r="D277" s="35"/>
    </row>
    <row r="278" spans="3:4" x14ac:dyDescent="0.25">
      <c r="C278" s="37"/>
      <c r="D278" s="35"/>
    </row>
    <row r="279" spans="3:4" x14ac:dyDescent="0.25">
      <c r="C279" s="37"/>
      <c r="D279" s="35"/>
    </row>
    <row r="280" spans="3:4" x14ac:dyDescent="0.25">
      <c r="C280" s="37"/>
      <c r="D280" s="35"/>
    </row>
    <row r="281" spans="3:4" x14ac:dyDescent="0.25">
      <c r="C281" s="37"/>
      <c r="D281" s="35"/>
    </row>
    <row r="282" spans="3:4" x14ac:dyDescent="0.25">
      <c r="C282" s="37"/>
      <c r="D282" s="35"/>
    </row>
    <row r="283" spans="3:4" x14ac:dyDescent="0.25">
      <c r="C283" s="37"/>
      <c r="D283" s="35"/>
    </row>
    <row r="284" spans="3:4" x14ac:dyDescent="0.25">
      <c r="C284" s="37"/>
      <c r="D284" s="35"/>
    </row>
    <row r="285" spans="3:4" x14ac:dyDescent="0.25">
      <c r="C285" s="37"/>
      <c r="D285" s="35"/>
    </row>
    <row r="286" spans="3:4" x14ac:dyDescent="0.25">
      <c r="C286" s="37"/>
      <c r="D286" s="35"/>
    </row>
    <row r="287" spans="3:4" x14ac:dyDescent="0.25">
      <c r="C287" s="37"/>
      <c r="D287" s="35"/>
    </row>
    <row r="288" spans="3:4" x14ac:dyDescent="0.25">
      <c r="C288" s="37"/>
      <c r="D288" s="35"/>
    </row>
    <row r="289" spans="3:4" x14ac:dyDescent="0.25">
      <c r="C289" s="37"/>
      <c r="D289" s="35"/>
    </row>
    <row r="290" spans="3:4" x14ac:dyDescent="0.25">
      <c r="C290" s="37"/>
      <c r="D290" s="35"/>
    </row>
    <row r="291" spans="3:4" x14ac:dyDescent="0.25">
      <c r="C291" s="37"/>
      <c r="D291" s="35"/>
    </row>
    <row r="292" spans="3:4" x14ac:dyDescent="0.25">
      <c r="C292" s="37"/>
      <c r="D292" s="35"/>
    </row>
    <row r="293" spans="3:4" x14ac:dyDescent="0.25">
      <c r="C293" s="37"/>
      <c r="D293" s="35"/>
    </row>
    <row r="294" spans="3:4" x14ac:dyDescent="0.25">
      <c r="C294" s="37"/>
      <c r="D294" s="35"/>
    </row>
    <row r="295" spans="3:4" x14ac:dyDescent="0.25">
      <c r="C295" s="37"/>
      <c r="D295" s="35"/>
    </row>
    <row r="296" spans="3:4" x14ac:dyDescent="0.25">
      <c r="C296" s="37"/>
      <c r="D296" s="35"/>
    </row>
    <row r="297" spans="3:4" x14ac:dyDescent="0.25">
      <c r="C297" s="37"/>
      <c r="D297" s="35"/>
    </row>
    <row r="298" spans="3:4" x14ac:dyDescent="0.25">
      <c r="C298" s="37"/>
      <c r="D298" s="35"/>
    </row>
    <row r="299" spans="3:4" x14ac:dyDescent="0.25">
      <c r="C299" s="37"/>
      <c r="D299" s="35"/>
    </row>
    <row r="300" spans="3:4" x14ac:dyDescent="0.25">
      <c r="C300" s="37"/>
      <c r="D300" s="35"/>
    </row>
    <row r="301" spans="3:4" x14ac:dyDescent="0.25">
      <c r="C301" s="37"/>
      <c r="D301" s="35"/>
    </row>
    <row r="302" spans="3:4" x14ac:dyDescent="0.25">
      <c r="C302" s="37"/>
      <c r="D302" s="35"/>
    </row>
    <row r="303" spans="3:4" x14ac:dyDescent="0.25">
      <c r="C303" s="37"/>
      <c r="D303" s="35"/>
    </row>
    <row r="304" spans="3:4" x14ac:dyDescent="0.25">
      <c r="C304" s="37"/>
      <c r="D304" s="35"/>
    </row>
    <row r="305" spans="3:6" x14ac:dyDescent="0.25">
      <c r="C305" s="37"/>
      <c r="D305" s="35"/>
    </row>
    <row r="306" spans="3:6" x14ac:dyDescent="0.25">
      <c r="C306" s="37"/>
      <c r="D306" s="35"/>
    </row>
    <row r="307" spans="3:6" x14ac:dyDescent="0.25">
      <c r="C307" s="37"/>
      <c r="D307" s="35"/>
    </row>
    <row r="308" spans="3:6" x14ac:dyDescent="0.25">
      <c r="C308" s="37"/>
      <c r="D308" s="35"/>
    </row>
    <row r="309" spans="3:6" x14ac:dyDescent="0.25">
      <c r="C309" s="37"/>
      <c r="D309" s="35"/>
    </row>
    <row r="310" spans="3:6" x14ac:dyDescent="0.25">
      <c r="C310" s="37"/>
      <c r="D310" s="35"/>
    </row>
    <row r="311" spans="3:6" x14ac:dyDescent="0.25">
      <c r="C311" s="37"/>
      <c r="D311" s="35"/>
      <c r="F311" s="36"/>
    </row>
    <row r="312" spans="3:6" x14ac:dyDescent="0.25">
      <c r="C312" s="37"/>
      <c r="D312" s="35"/>
    </row>
    <row r="313" spans="3:6" x14ac:dyDescent="0.25">
      <c r="C313" s="37"/>
      <c r="D313" s="35"/>
    </row>
    <row r="314" spans="3:6" x14ac:dyDescent="0.25">
      <c r="C314" s="37"/>
      <c r="D314" s="35"/>
    </row>
    <row r="315" spans="3:6" x14ac:dyDescent="0.25">
      <c r="C315" s="37"/>
      <c r="D315" s="35"/>
    </row>
    <row r="316" spans="3:6" x14ac:dyDescent="0.25">
      <c r="C316" s="37"/>
      <c r="D316" s="35"/>
    </row>
    <row r="317" spans="3:6" x14ac:dyDescent="0.25">
      <c r="C317" s="37"/>
      <c r="D317" s="35"/>
    </row>
    <row r="318" spans="3:6" x14ac:dyDescent="0.25">
      <c r="C318" s="37"/>
      <c r="D318" s="35"/>
    </row>
    <row r="319" spans="3:6" x14ac:dyDescent="0.25">
      <c r="C319" s="37"/>
      <c r="D319" s="35"/>
    </row>
    <row r="320" spans="3:6" x14ac:dyDescent="0.25">
      <c r="C320" s="37"/>
      <c r="D320" s="35"/>
    </row>
    <row r="321" spans="3:4" x14ac:dyDescent="0.25">
      <c r="C321" s="37"/>
      <c r="D321" s="35"/>
    </row>
    <row r="322" spans="3:4" x14ac:dyDescent="0.25">
      <c r="C322" s="37"/>
      <c r="D322" s="35"/>
    </row>
    <row r="323" spans="3:4" x14ac:dyDescent="0.25">
      <c r="C323" s="37"/>
      <c r="D323" s="35"/>
    </row>
    <row r="324" spans="3:4" x14ac:dyDescent="0.25">
      <c r="C324" s="37"/>
      <c r="D324" s="35"/>
    </row>
    <row r="325" spans="3:4" x14ac:dyDescent="0.25">
      <c r="C325" s="37"/>
      <c r="D325" s="35"/>
    </row>
    <row r="326" spans="3:4" x14ac:dyDescent="0.25">
      <c r="C326" s="37"/>
      <c r="D326" s="35"/>
    </row>
    <row r="327" spans="3:4" x14ac:dyDescent="0.25">
      <c r="C327" s="37"/>
      <c r="D327" s="35"/>
    </row>
    <row r="328" spans="3:4" x14ac:dyDescent="0.25">
      <c r="C328" s="37"/>
      <c r="D328" s="35"/>
    </row>
    <row r="329" spans="3:4" x14ac:dyDescent="0.25">
      <c r="C329" s="37"/>
      <c r="D329" s="35"/>
    </row>
    <row r="330" spans="3:4" x14ac:dyDescent="0.25">
      <c r="C330" s="37"/>
      <c r="D330" s="35"/>
    </row>
    <row r="331" spans="3:4" x14ac:dyDescent="0.25">
      <c r="C331" s="37"/>
      <c r="D331" s="35"/>
    </row>
    <row r="332" spans="3:4" x14ac:dyDescent="0.25">
      <c r="C332" s="37"/>
      <c r="D332" s="35"/>
    </row>
    <row r="333" spans="3:4" x14ac:dyDescent="0.25">
      <c r="C333" s="37"/>
      <c r="D333" s="35"/>
    </row>
    <row r="334" spans="3:4" x14ac:dyDescent="0.25">
      <c r="C334" s="37"/>
      <c r="D334" s="35"/>
    </row>
    <row r="335" spans="3:4" x14ac:dyDescent="0.25">
      <c r="C335" s="37"/>
      <c r="D335" s="35"/>
    </row>
    <row r="336" spans="3:4" x14ac:dyDescent="0.25">
      <c r="C336" s="37"/>
      <c r="D336" s="35"/>
    </row>
    <row r="337" spans="3:4" x14ac:dyDescent="0.25">
      <c r="C337" s="37"/>
      <c r="D337" s="35"/>
    </row>
    <row r="338" spans="3:4" x14ac:dyDescent="0.25">
      <c r="C338" s="37"/>
      <c r="D338" s="35"/>
    </row>
    <row r="339" spans="3:4" x14ac:dyDescent="0.25">
      <c r="C339" s="37"/>
      <c r="D339" s="35"/>
    </row>
    <row r="340" spans="3:4" x14ac:dyDescent="0.25">
      <c r="C340" s="37"/>
      <c r="D340" s="35"/>
    </row>
    <row r="341" spans="3:4" x14ac:dyDescent="0.25">
      <c r="C341" s="37"/>
      <c r="D341" s="35"/>
    </row>
    <row r="342" spans="3:4" x14ac:dyDescent="0.25">
      <c r="C342" s="37"/>
      <c r="D342" s="35"/>
    </row>
    <row r="343" spans="3:4" x14ac:dyDescent="0.25">
      <c r="C343" s="37"/>
      <c r="D343" s="35"/>
    </row>
    <row r="344" spans="3:4" x14ac:dyDescent="0.25">
      <c r="C344" s="37"/>
      <c r="D344" s="35"/>
    </row>
    <row r="345" spans="3:4" x14ac:dyDescent="0.25">
      <c r="C345" s="37"/>
      <c r="D345" s="35"/>
    </row>
    <row r="346" spans="3:4" x14ac:dyDescent="0.25">
      <c r="C346" s="37"/>
      <c r="D346" s="35"/>
    </row>
    <row r="347" spans="3:4" x14ac:dyDescent="0.25">
      <c r="C347" s="37"/>
      <c r="D347" s="35"/>
    </row>
    <row r="348" spans="3:4" x14ac:dyDescent="0.25">
      <c r="C348" s="37"/>
      <c r="D348" s="35"/>
    </row>
    <row r="349" spans="3:4" x14ac:dyDescent="0.25">
      <c r="C349" s="37"/>
      <c r="D349" s="35"/>
    </row>
    <row r="350" spans="3:4" x14ac:dyDescent="0.25">
      <c r="C350" s="37"/>
      <c r="D350" s="35"/>
    </row>
    <row r="351" spans="3:4" x14ac:dyDescent="0.25">
      <c r="C351" s="37"/>
      <c r="D351" s="35"/>
    </row>
    <row r="352" spans="3:4" x14ac:dyDescent="0.25">
      <c r="C352" s="37"/>
      <c r="D352" s="35"/>
    </row>
    <row r="353" spans="3:4" x14ac:dyDescent="0.25">
      <c r="C353" s="37"/>
      <c r="D353" s="35"/>
    </row>
    <row r="354" spans="3:4" x14ac:dyDescent="0.25">
      <c r="C354" s="37"/>
      <c r="D354" s="35"/>
    </row>
    <row r="355" spans="3:4" x14ac:dyDescent="0.25">
      <c r="C355" s="37"/>
      <c r="D355" s="35"/>
    </row>
    <row r="356" spans="3:4" x14ac:dyDescent="0.25">
      <c r="C356" s="37"/>
      <c r="D356" s="35"/>
    </row>
    <row r="357" spans="3:4" x14ac:dyDescent="0.25">
      <c r="C357" s="37"/>
      <c r="D357" s="35"/>
    </row>
    <row r="358" spans="3:4" x14ac:dyDescent="0.25">
      <c r="C358" s="37"/>
      <c r="D358" s="35"/>
    </row>
    <row r="359" spans="3:4" x14ac:dyDescent="0.25">
      <c r="C359" s="37"/>
      <c r="D359" s="35"/>
    </row>
    <row r="360" spans="3:4" x14ac:dyDescent="0.25">
      <c r="C360" s="37"/>
      <c r="D360" s="35"/>
    </row>
    <row r="361" spans="3:4" x14ac:dyDescent="0.25">
      <c r="C361" s="37"/>
      <c r="D361" s="35"/>
    </row>
    <row r="362" spans="3:4" x14ac:dyDescent="0.25">
      <c r="C362" s="37"/>
      <c r="D362" s="35"/>
    </row>
    <row r="363" spans="3:4" x14ac:dyDescent="0.25">
      <c r="C363" s="37"/>
      <c r="D363" s="35"/>
    </row>
    <row r="364" spans="3:4" x14ac:dyDescent="0.25">
      <c r="C364" s="37"/>
      <c r="D364" s="35"/>
    </row>
    <row r="365" spans="3:4" x14ac:dyDescent="0.25">
      <c r="C365" s="37"/>
      <c r="D365" s="35"/>
    </row>
    <row r="366" spans="3:4" x14ac:dyDescent="0.25">
      <c r="C366" s="37"/>
      <c r="D366" s="35"/>
    </row>
    <row r="367" spans="3:4" x14ac:dyDescent="0.25">
      <c r="C367" s="37"/>
      <c r="D367" s="35"/>
    </row>
    <row r="368" spans="3:4" x14ac:dyDescent="0.25">
      <c r="C368" s="37"/>
      <c r="D368" s="35"/>
    </row>
    <row r="369" spans="3:4" x14ac:dyDescent="0.25">
      <c r="C369" s="37"/>
      <c r="D369" s="35"/>
    </row>
    <row r="370" spans="3:4" x14ac:dyDescent="0.25">
      <c r="C370" s="37"/>
      <c r="D370" s="35"/>
    </row>
    <row r="371" spans="3:4" x14ac:dyDescent="0.25">
      <c r="C371" s="37"/>
      <c r="D371" s="35"/>
    </row>
    <row r="372" spans="3:4" x14ac:dyDescent="0.25">
      <c r="C372" s="37"/>
      <c r="D372" s="35"/>
    </row>
    <row r="373" spans="3:4" x14ac:dyDescent="0.25">
      <c r="C373" s="37"/>
      <c r="D373" s="35"/>
    </row>
    <row r="374" spans="3:4" x14ac:dyDescent="0.25">
      <c r="C374" s="37"/>
      <c r="D374" s="35"/>
    </row>
    <row r="375" spans="3:4" x14ac:dyDescent="0.25">
      <c r="C375" s="37"/>
      <c r="D375" s="35"/>
    </row>
    <row r="376" spans="3:4" x14ac:dyDescent="0.25">
      <c r="C376" s="37"/>
      <c r="D376" s="35"/>
    </row>
    <row r="377" spans="3:4" x14ac:dyDescent="0.25">
      <c r="C377" s="37"/>
      <c r="D377" s="35"/>
    </row>
    <row r="378" spans="3:4" x14ac:dyDescent="0.25">
      <c r="C378" s="37"/>
      <c r="D378" s="35"/>
    </row>
    <row r="379" spans="3:4" x14ac:dyDescent="0.25">
      <c r="C379" s="37"/>
      <c r="D379" s="35"/>
    </row>
    <row r="380" spans="3:4" x14ac:dyDescent="0.25">
      <c r="C380" s="37"/>
      <c r="D380" s="35"/>
    </row>
    <row r="381" spans="3:4" x14ac:dyDescent="0.25">
      <c r="C381" s="37"/>
      <c r="D381" s="35"/>
    </row>
    <row r="382" spans="3:4" x14ac:dyDescent="0.25">
      <c r="C382" s="37"/>
      <c r="D382" s="35"/>
    </row>
    <row r="383" spans="3:4" x14ac:dyDescent="0.25">
      <c r="C383" s="37"/>
      <c r="D383" s="35"/>
    </row>
    <row r="384" spans="3:4" x14ac:dyDescent="0.25">
      <c r="C384" s="37"/>
      <c r="D384" s="35"/>
    </row>
    <row r="385" spans="3:4" x14ac:dyDescent="0.25">
      <c r="C385" s="37"/>
      <c r="D385" s="35"/>
    </row>
    <row r="386" spans="3:4" x14ac:dyDescent="0.25">
      <c r="C386" s="37"/>
      <c r="D386" s="35"/>
    </row>
    <row r="387" spans="3:4" x14ac:dyDescent="0.25">
      <c r="C387" s="37"/>
      <c r="D387" s="35"/>
    </row>
    <row r="388" spans="3:4" x14ac:dyDescent="0.25">
      <c r="C388" s="37"/>
      <c r="D388" s="35"/>
    </row>
    <row r="389" spans="3:4" x14ac:dyDescent="0.25">
      <c r="C389" s="37"/>
      <c r="D389" s="35"/>
    </row>
    <row r="390" spans="3:4" x14ac:dyDescent="0.25">
      <c r="C390" s="37"/>
      <c r="D390" s="35"/>
    </row>
    <row r="391" spans="3:4" x14ac:dyDescent="0.25">
      <c r="C391" s="37"/>
      <c r="D391" s="35"/>
    </row>
    <row r="392" spans="3:4" x14ac:dyDescent="0.25">
      <c r="C392" s="37"/>
      <c r="D392" s="35"/>
    </row>
    <row r="393" spans="3:4" x14ac:dyDescent="0.25">
      <c r="C393" s="37"/>
      <c r="D393" s="35"/>
    </row>
    <row r="394" spans="3:4" x14ac:dyDescent="0.25">
      <c r="C394" s="37"/>
      <c r="D394" s="35"/>
    </row>
    <row r="395" spans="3:4" x14ac:dyDescent="0.25">
      <c r="C395" s="37"/>
      <c r="D395" s="35"/>
    </row>
    <row r="396" spans="3:4" x14ac:dyDescent="0.25">
      <c r="C396" s="37"/>
      <c r="D396" s="35"/>
    </row>
    <row r="397" spans="3:4" x14ac:dyDescent="0.25">
      <c r="C397" s="37"/>
      <c r="D397" s="35"/>
    </row>
    <row r="398" spans="3:4" x14ac:dyDescent="0.25">
      <c r="C398" s="37"/>
      <c r="D398" s="35"/>
    </row>
    <row r="399" spans="3:4" x14ac:dyDescent="0.25">
      <c r="C399" s="37"/>
      <c r="D399" s="35"/>
    </row>
    <row r="400" spans="3:4" x14ac:dyDescent="0.25">
      <c r="C400" s="37"/>
      <c r="D400" s="35"/>
    </row>
    <row r="401" spans="3:4" x14ac:dyDescent="0.25">
      <c r="C401" s="37"/>
      <c r="D401" s="35"/>
    </row>
    <row r="402" spans="3:4" x14ac:dyDescent="0.25">
      <c r="C402" s="37"/>
      <c r="D402" s="35"/>
    </row>
    <row r="403" spans="3:4" x14ac:dyDescent="0.25">
      <c r="C403" s="37"/>
      <c r="D403" s="35"/>
    </row>
    <row r="404" spans="3:4" x14ac:dyDescent="0.25">
      <c r="C404" s="37"/>
      <c r="D404" s="35"/>
    </row>
    <row r="405" spans="3:4" x14ac:dyDescent="0.25">
      <c r="C405" s="37"/>
      <c r="D405" s="35"/>
    </row>
    <row r="406" spans="3:4" x14ac:dyDescent="0.25">
      <c r="C406" s="37"/>
      <c r="D406" s="35"/>
    </row>
    <row r="407" spans="3:4" x14ac:dyDescent="0.25">
      <c r="C407" s="37"/>
      <c r="D407" s="35"/>
    </row>
    <row r="408" spans="3:4" x14ac:dyDescent="0.25">
      <c r="C408" s="37"/>
      <c r="D408" s="35"/>
    </row>
    <row r="409" spans="3:4" x14ac:dyDescent="0.25">
      <c r="C409" s="37"/>
      <c r="D409" s="35"/>
    </row>
    <row r="410" spans="3:4" x14ac:dyDescent="0.25">
      <c r="C410" s="37"/>
      <c r="D410" s="35"/>
    </row>
    <row r="411" spans="3:4" x14ac:dyDescent="0.25">
      <c r="C411" s="37"/>
      <c r="D411" s="35"/>
    </row>
    <row r="412" spans="3:4" x14ac:dyDescent="0.25">
      <c r="C412" s="37"/>
      <c r="D412" s="35"/>
    </row>
    <row r="413" spans="3:4" x14ac:dyDescent="0.25">
      <c r="C413" s="37"/>
      <c r="D413" s="35"/>
    </row>
    <row r="414" spans="3:4" x14ac:dyDescent="0.25">
      <c r="C414" s="37"/>
      <c r="D414" s="35"/>
    </row>
    <row r="415" spans="3:4" x14ac:dyDescent="0.25">
      <c r="C415" s="37"/>
      <c r="D415" s="35"/>
    </row>
    <row r="416" spans="3:4" x14ac:dyDescent="0.25">
      <c r="C416" s="37"/>
      <c r="D416" s="35"/>
    </row>
    <row r="417" spans="3:4" x14ac:dyDescent="0.25">
      <c r="C417" s="37"/>
      <c r="D417" s="35"/>
    </row>
    <row r="418" spans="3:4" x14ac:dyDescent="0.25">
      <c r="C418" s="37"/>
      <c r="D418" s="35"/>
    </row>
    <row r="419" spans="3:4" x14ac:dyDescent="0.25">
      <c r="C419" s="37"/>
      <c r="D419" s="35"/>
    </row>
    <row r="420" spans="3:4" x14ac:dyDescent="0.25">
      <c r="C420" s="37"/>
      <c r="D420" s="35"/>
    </row>
    <row r="421" spans="3:4" x14ac:dyDescent="0.25">
      <c r="C421" s="37"/>
      <c r="D421" s="35"/>
    </row>
    <row r="422" spans="3:4" x14ac:dyDescent="0.25">
      <c r="C422" s="37"/>
      <c r="D422" s="35"/>
    </row>
    <row r="423" spans="3:4" x14ac:dyDescent="0.25">
      <c r="C423" s="37"/>
      <c r="D423" s="35"/>
    </row>
    <row r="424" spans="3:4" x14ac:dyDescent="0.25">
      <c r="C424" s="37"/>
      <c r="D424" s="35"/>
    </row>
    <row r="425" spans="3:4" x14ac:dyDescent="0.25">
      <c r="C425" s="37"/>
      <c r="D425" s="35"/>
    </row>
    <row r="426" spans="3:4" x14ac:dyDescent="0.25">
      <c r="C426" s="37"/>
      <c r="D426" s="35"/>
    </row>
    <row r="427" spans="3:4" x14ac:dyDescent="0.25">
      <c r="C427" s="37"/>
      <c r="D427" s="35"/>
    </row>
    <row r="428" spans="3:4" x14ac:dyDescent="0.25">
      <c r="C428" s="37"/>
      <c r="D428" s="35"/>
    </row>
    <row r="429" spans="3:4" x14ac:dyDescent="0.25">
      <c r="C429" s="37"/>
      <c r="D429" s="35"/>
    </row>
    <row r="430" spans="3:4" x14ac:dyDescent="0.25">
      <c r="C430" s="37"/>
      <c r="D430" s="35"/>
    </row>
    <row r="431" spans="3:4" x14ac:dyDescent="0.25">
      <c r="C431" s="37"/>
      <c r="D431" s="35"/>
    </row>
    <row r="432" spans="3:4" x14ac:dyDescent="0.25">
      <c r="C432" s="37"/>
      <c r="D432" s="35"/>
    </row>
    <row r="433" spans="3:4" x14ac:dyDescent="0.25">
      <c r="C433" s="37"/>
      <c r="D433" s="35"/>
    </row>
    <row r="434" spans="3:4" x14ac:dyDescent="0.25">
      <c r="C434" s="37"/>
      <c r="D434" s="35"/>
    </row>
    <row r="435" spans="3:4" x14ac:dyDescent="0.25">
      <c r="C435" s="37"/>
      <c r="D435" s="35"/>
    </row>
    <row r="436" spans="3:4" x14ac:dyDescent="0.25">
      <c r="C436" s="37"/>
      <c r="D436" s="35"/>
    </row>
    <row r="437" spans="3:4" x14ac:dyDescent="0.25">
      <c r="C437" s="37"/>
      <c r="D437" s="35"/>
    </row>
    <row r="438" spans="3:4" x14ac:dyDescent="0.25">
      <c r="C438" s="37"/>
      <c r="D438" s="35"/>
    </row>
    <row r="439" spans="3:4" x14ac:dyDescent="0.25">
      <c r="C439" s="37"/>
      <c r="D439" s="35"/>
    </row>
    <row r="440" spans="3:4" x14ac:dyDescent="0.25">
      <c r="C440" s="37"/>
      <c r="D440" s="35"/>
    </row>
    <row r="441" spans="3:4" x14ac:dyDescent="0.25">
      <c r="C441" s="37"/>
      <c r="D441" s="35"/>
    </row>
    <row r="442" spans="3:4" x14ac:dyDescent="0.25">
      <c r="C442" s="37"/>
      <c r="D442" s="35"/>
    </row>
    <row r="443" spans="3:4" x14ac:dyDescent="0.25">
      <c r="C443" s="37"/>
      <c r="D443" s="35"/>
    </row>
    <row r="444" spans="3:4" x14ac:dyDescent="0.25">
      <c r="C444" s="37"/>
      <c r="D444" s="35"/>
    </row>
    <row r="445" spans="3:4" x14ac:dyDescent="0.25">
      <c r="C445" s="37"/>
      <c r="D445" s="35"/>
    </row>
    <row r="446" spans="3:4" x14ac:dyDescent="0.25">
      <c r="C446" s="37"/>
      <c r="D446" s="35"/>
    </row>
    <row r="447" spans="3:4" x14ac:dyDescent="0.25">
      <c r="C447" s="37"/>
      <c r="D447" s="35"/>
    </row>
    <row r="448" spans="3:4" x14ac:dyDescent="0.25">
      <c r="C448" s="37"/>
      <c r="D448" s="35"/>
    </row>
    <row r="449" spans="3:4" x14ac:dyDescent="0.25">
      <c r="C449" s="37"/>
      <c r="D449" s="35"/>
    </row>
    <row r="450" spans="3:4" x14ac:dyDescent="0.25">
      <c r="C450" s="37"/>
      <c r="D450" s="35"/>
    </row>
    <row r="451" spans="3:4" x14ac:dyDescent="0.25">
      <c r="C451" s="37"/>
      <c r="D451" s="35"/>
    </row>
    <row r="452" spans="3:4" x14ac:dyDescent="0.25">
      <c r="C452" s="37"/>
      <c r="D452" s="35"/>
    </row>
    <row r="453" spans="3:4" x14ac:dyDescent="0.25">
      <c r="C453" s="37"/>
      <c r="D453" s="35"/>
    </row>
    <row r="454" spans="3:4" x14ac:dyDescent="0.25">
      <c r="C454" s="37"/>
      <c r="D454" s="35"/>
    </row>
    <row r="455" spans="3:4" x14ac:dyDescent="0.25">
      <c r="C455" s="37"/>
      <c r="D455" s="35"/>
    </row>
    <row r="456" spans="3:4" x14ac:dyDescent="0.25">
      <c r="C456" s="37"/>
      <c r="D456" s="35"/>
    </row>
    <row r="457" spans="3:4" x14ac:dyDescent="0.25">
      <c r="C457" s="37"/>
      <c r="D457" s="35"/>
    </row>
    <row r="458" spans="3:4" x14ac:dyDescent="0.25">
      <c r="C458" s="37"/>
      <c r="D458" s="35"/>
    </row>
    <row r="459" spans="3:4" x14ac:dyDescent="0.25">
      <c r="C459" s="37"/>
      <c r="D459" s="35"/>
    </row>
    <row r="460" spans="3:4" x14ac:dyDescent="0.25">
      <c r="C460" s="37"/>
      <c r="D460" s="35"/>
    </row>
    <row r="461" spans="3:4" x14ac:dyDescent="0.25">
      <c r="C461" s="37"/>
      <c r="D461" s="35"/>
    </row>
    <row r="462" spans="3:4" x14ac:dyDescent="0.25">
      <c r="C462" s="37"/>
      <c r="D462" s="35"/>
    </row>
    <row r="463" spans="3:4" x14ac:dyDescent="0.25">
      <c r="C463" s="37"/>
      <c r="D463" s="35"/>
    </row>
    <row r="464" spans="3:4" x14ac:dyDescent="0.25">
      <c r="C464" s="37"/>
      <c r="D464" s="35"/>
    </row>
    <row r="465" spans="3:4" x14ac:dyDescent="0.25">
      <c r="C465" s="37"/>
      <c r="D465" s="35"/>
    </row>
    <row r="466" spans="3:4" x14ac:dyDescent="0.25">
      <c r="C466" s="37"/>
      <c r="D466" s="35"/>
    </row>
    <row r="467" spans="3:4" x14ac:dyDescent="0.25">
      <c r="C467" s="37"/>
      <c r="D467" s="35"/>
    </row>
    <row r="468" spans="3:4" x14ac:dyDescent="0.25">
      <c r="C468" s="37"/>
      <c r="D468" s="35"/>
    </row>
    <row r="469" spans="3:4" x14ac:dyDescent="0.25">
      <c r="C469" s="37"/>
      <c r="D469" s="35"/>
    </row>
    <row r="470" spans="3:4" x14ac:dyDescent="0.25">
      <c r="C470" s="37"/>
      <c r="D470" s="35"/>
    </row>
    <row r="471" spans="3:4" x14ac:dyDescent="0.25">
      <c r="C471" s="37"/>
      <c r="D471" s="35"/>
    </row>
    <row r="472" spans="3:4" x14ac:dyDescent="0.25">
      <c r="C472" s="37"/>
      <c r="D472" s="35"/>
    </row>
    <row r="473" spans="3:4" x14ac:dyDescent="0.25">
      <c r="C473" s="37"/>
      <c r="D473" s="35"/>
    </row>
    <row r="474" spans="3:4" x14ac:dyDescent="0.25">
      <c r="C474" s="37"/>
      <c r="D474" s="35"/>
    </row>
    <row r="475" spans="3:4" x14ac:dyDescent="0.25">
      <c r="C475" s="37"/>
      <c r="D475" s="35"/>
    </row>
    <row r="476" spans="3:4" x14ac:dyDescent="0.25">
      <c r="C476" s="37"/>
      <c r="D476" s="35"/>
    </row>
    <row r="477" spans="3:4" x14ac:dyDescent="0.25">
      <c r="C477" s="37"/>
      <c r="D477" s="35"/>
    </row>
    <row r="478" spans="3:4" x14ac:dyDescent="0.25">
      <c r="C478" s="37"/>
      <c r="D478" s="35"/>
    </row>
    <row r="479" spans="3:4" x14ac:dyDescent="0.25">
      <c r="C479" s="37"/>
      <c r="D479" s="35"/>
    </row>
    <row r="480" spans="3:4" x14ac:dyDescent="0.25">
      <c r="C480" s="37"/>
      <c r="D480" s="35"/>
    </row>
    <row r="481" spans="3:4" x14ac:dyDescent="0.25">
      <c r="C481" s="37"/>
      <c r="D481" s="35"/>
    </row>
    <row r="482" spans="3:4" x14ac:dyDescent="0.25">
      <c r="C482" s="37"/>
      <c r="D482" s="35"/>
    </row>
    <row r="483" spans="3:4" x14ac:dyDescent="0.25">
      <c r="C483" s="37"/>
      <c r="D483" s="35"/>
    </row>
    <row r="484" spans="3:4" x14ac:dyDescent="0.25">
      <c r="C484" s="37"/>
      <c r="D484" s="35"/>
    </row>
    <row r="485" spans="3:4" x14ac:dyDescent="0.25">
      <c r="C485" s="37"/>
      <c r="D485" s="35"/>
    </row>
    <row r="486" spans="3:4" x14ac:dyDescent="0.25">
      <c r="C486" s="37"/>
      <c r="D486" s="35"/>
    </row>
    <row r="487" spans="3:4" x14ac:dyDescent="0.25">
      <c r="C487" s="37"/>
      <c r="D487" s="35"/>
    </row>
    <row r="488" spans="3:4" x14ac:dyDescent="0.25">
      <c r="C488" s="37"/>
      <c r="D488" s="35"/>
    </row>
    <row r="489" spans="3:4" x14ac:dyDescent="0.25">
      <c r="C489" s="37"/>
      <c r="D489" s="35"/>
    </row>
    <row r="490" spans="3:4" x14ac:dyDescent="0.25">
      <c r="C490" s="37"/>
      <c r="D490" s="35"/>
    </row>
    <row r="491" spans="3:4" x14ac:dyDescent="0.25">
      <c r="C491" s="37"/>
      <c r="D491" s="35"/>
    </row>
    <row r="492" spans="3:4" x14ac:dyDescent="0.25">
      <c r="C492" s="37"/>
      <c r="D492" s="35"/>
    </row>
    <row r="493" spans="3:4" x14ac:dyDescent="0.25">
      <c r="C493" s="37"/>
      <c r="D493" s="35"/>
    </row>
    <row r="494" spans="3:4" x14ac:dyDescent="0.25">
      <c r="C494" s="37"/>
      <c r="D494" s="35"/>
    </row>
    <row r="495" spans="3:4" x14ac:dyDescent="0.25">
      <c r="C495" s="37"/>
      <c r="D495" s="35"/>
    </row>
    <row r="496" spans="3:4" x14ac:dyDescent="0.25">
      <c r="C496" s="37"/>
      <c r="D496" s="35"/>
    </row>
    <row r="497" spans="3:4" x14ac:dyDescent="0.25">
      <c r="C497" s="37"/>
      <c r="D497" s="35"/>
    </row>
    <row r="498" spans="3:4" x14ac:dyDescent="0.25">
      <c r="C498" s="37"/>
      <c r="D498" s="35"/>
    </row>
    <row r="499" spans="3:4" x14ac:dyDescent="0.25">
      <c r="C499" s="37"/>
      <c r="D499" s="35"/>
    </row>
    <row r="500" spans="3:4" x14ac:dyDescent="0.25">
      <c r="C500" s="37"/>
      <c r="D500" s="35"/>
    </row>
    <row r="501" spans="3:4" x14ac:dyDescent="0.25">
      <c r="C501" s="37"/>
      <c r="D501" s="35"/>
    </row>
    <row r="502" spans="3:4" x14ac:dyDescent="0.25">
      <c r="C502" s="37"/>
      <c r="D502" s="35"/>
    </row>
    <row r="503" spans="3:4" x14ac:dyDescent="0.25">
      <c r="C503" s="37"/>
      <c r="D503" s="35"/>
    </row>
    <row r="504" spans="3:4" x14ac:dyDescent="0.25">
      <c r="C504" s="37"/>
      <c r="D504" s="35"/>
    </row>
    <row r="505" spans="3:4" x14ac:dyDescent="0.25">
      <c r="C505" s="37"/>
      <c r="D505" s="35"/>
    </row>
    <row r="506" spans="3:4" x14ac:dyDescent="0.25">
      <c r="C506" s="37"/>
      <c r="D506" s="35"/>
    </row>
    <row r="507" spans="3:4" x14ac:dyDescent="0.25">
      <c r="C507" s="37"/>
      <c r="D507" s="35"/>
    </row>
    <row r="508" spans="3:4" x14ac:dyDescent="0.25">
      <c r="C508" s="37"/>
      <c r="D508" s="35"/>
    </row>
    <row r="509" spans="3:4" x14ac:dyDescent="0.25">
      <c r="C509" s="37"/>
      <c r="D509" s="35"/>
    </row>
    <row r="510" spans="3:4" x14ac:dyDescent="0.25">
      <c r="C510" s="37"/>
      <c r="D510" s="35"/>
    </row>
    <row r="511" spans="3:4" x14ac:dyDescent="0.25">
      <c r="C511" s="37"/>
      <c r="D511" s="35"/>
    </row>
    <row r="512" spans="3:4" x14ac:dyDescent="0.25">
      <c r="C512" s="37"/>
      <c r="D512" s="35"/>
    </row>
    <row r="513" spans="3:4" x14ac:dyDescent="0.25">
      <c r="C513" s="37"/>
      <c r="D513" s="35"/>
    </row>
    <row r="514" spans="3:4" x14ac:dyDescent="0.25">
      <c r="C514" s="37"/>
      <c r="D514" s="35"/>
    </row>
    <row r="515" spans="3:4" x14ac:dyDescent="0.25">
      <c r="C515" s="37"/>
      <c r="D515" s="35"/>
    </row>
    <row r="516" spans="3:4" x14ac:dyDescent="0.25">
      <c r="C516" s="37"/>
      <c r="D516" s="35"/>
    </row>
    <row r="517" spans="3:4" x14ac:dyDescent="0.25">
      <c r="C517" s="37"/>
      <c r="D517" s="35"/>
    </row>
    <row r="518" spans="3:4" x14ac:dyDescent="0.25">
      <c r="C518" s="37"/>
      <c r="D518" s="35"/>
    </row>
    <row r="519" spans="3:4" x14ac:dyDescent="0.25">
      <c r="C519" s="37"/>
      <c r="D519" s="35"/>
    </row>
    <row r="520" spans="3:4" x14ac:dyDescent="0.25">
      <c r="C520" s="37"/>
      <c r="D520" s="35"/>
    </row>
    <row r="521" spans="3:4" x14ac:dyDescent="0.25">
      <c r="C521" s="37"/>
      <c r="D521" s="35"/>
    </row>
    <row r="522" spans="3:4" x14ac:dyDescent="0.25">
      <c r="C522" s="37"/>
      <c r="D522" s="35"/>
    </row>
    <row r="523" spans="3:4" x14ac:dyDescent="0.25">
      <c r="C523" s="37"/>
      <c r="D523" s="35"/>
    </row>
    <row r="524" spans="3:4" x14ac:dyDescent="0.25">
      <c r="C524" s="37"/>
      <c r="D524" s="35"/>
    </row>
    <row r="525" spans="3:4" x14ac:dyDescent="0.25">
      <c r="C525" s="37"/>
      <c r="D525" s="35"/>
    </row>
    <row r="526" spans="3:4" x14ac:dyDescent="0.25">
      <c r="C526" s="37"/>
      <c r="D526" s="35"/>
    </row>
    <row r="527" spans="3:4" x14ac:dyDescent="0.25">
      <c r="C527" s="37"/>
      <c r="D527" s="35"/>
    </row>
    <row r="528" spans="3:4" x14ac:dyDescent="0.25">
      <c r="C528" s="37"/>
      <c r="D528" s="35"/>
    </row>
    <row r="529" spans="3:4" x14ac:dyDescent="0.25">
      <c r="C529" s="37"/>
      <c r="D529" s="35"/>
    </row>
    <row r="530" spans="3:4" x14ac:dyDescent="0.25">
      <c r="C530" s="37"/>
      <c r="D530" s="35"/>
    </row>
    <row r="531" spans="3:4" x14ac:dyDescent="0.25">
      <c r="C531" s="37"/>
      <c r="D531" s="35"/>
    </row>
    <row r="532" spans="3:4" x14ac:dyDescent="0.25">
      <c r="C532" s="37"/>
      <c r="D532" s="35"/>
    </row>
    <row r="533" spans="3:4" x14ac:dyDescent="0.25">
      <c r="C533" s="37"/>
      <c r="D533" s="35"/>
    </row>
    <row r="534" spans="3:4" x14ac:dyDescent="0.25">
      <c r="C534" s="37"/>
      <c r="D534" s="35"/>
    </row>
    <row r="535" spans="3:4" x14ac:dyDescent="0.25">
      <c r="C535" s="37"/>
      <c r="D535" s="35"/>
    </row>
    <row r="536" spans="3:4" x14ac:dyDescent="0.25">
      <c r="C536" s="37"/>
      <c r="D536" s="35"/>
    </row>
    <row r="537" spans="3:4" x14ac:dyDescent="0.25">
      <c r="C537" s="37"/>
      <c r="D537" s="35"/>
    </row>
    <row r="538" spans="3:4" x14ac:dyDescent="0.25">
      <c r="C538" s="37"/>
      <c r="D538" s="35"/>
    </row>
    <row r="539" spans="3:4" x14ac:dyDescent="0.25">
      <c r="C539" s="37"/>
      <c r="D539" s="35"/>
    </row>
    <row r="540" spans="3:4" x14ac:dyDescent="0.25">
      <c r="C540" s="37"/>
      <c r="D540" s="35"/>
    </row>
    <row r="541" spans="3:4" x14ac:dyDescent="0.25">
      <c r="C541" s="37"/>
      <c r="D541" s="35"/>
    </row>
    <row r="542" spans="3:4" x14ac:dyDescent="0.25">
      <c r="C542" s="37"/>
      <c r="D542" s="35"/>
    </row>
    <row r="543" spans="3:4" x14ac:dyDescent="0.25">
      <c r="C543" s="37"/>
      <c r="D543" s="35"/>
    </row>
    <row r="544" spans="3:4" x14ac:dyDescent="0.25">
      <c r="C544" s="37"/>
      <c r="D544" s="35"/>
    </row>
    <row r="545" spans="3:4" x14ac:dyDescent="0.25">
      <c r="C545" s="37"/>
      <c r="D545" s="35"/>
    </row>
    <row r="546" spans="3:4" x14ac:dyDescent="0.25">
      <c r="C546" s="37"/>
      <c r="D546" s="35"/>
    </row>
    <row r="547" spans="3:4" x14ac:dyDescent="0.25">
      <c r="C547" s="37"/>
      <c r="D547" s="35"/>
    </row>
    <row r="548" spans="3:4" x14ac:dyDescent="0.25">
      <c r="C548" s="37"/>
      <c r="D548" s="35"/>
    </row>
    <row r="549" spans="3:4" x14ac:dyDescent="0.25">
      <c r="C549" s="37"/>
      <c r="D549" s="35"/>
    </row>
    <row r="550" spans="3:4" x14ac:dyDescent="0.25">
      <c r="C550" s="37"/>
      <c r="D550" s="35"/>
    </row>
    <row r="551" spans="3:4" x14ac:dyDescent="0.25">
      <c r="C551" s="37"/>
      <c r="D551" s="35"/>
    </row>
    <row r="552" spans="3:4" x14ac:dyDescent="0.25">
      <c r="C552" s="37"/>
      <c r="D552" s="35"/>
    </row>
    <row r="553" spans="3:4" x14ac:dyDescent="0.25">
      <c r="C553" s="37"/>
      <c r="D553" s="35"/>
    </row>
    <row r="554" spans="3:4" x14ac:dyDescent="0.25">
      <c r="C554" s="37"/>
      <c r="D554" s="35"/>
    </row>
    <row r="555" spans="3:4" x14ac:dyDescent="0.25">
      <c r="C555" s="37"/>
      <c r="D555" s="35"/>
    </row>
    <row r="556" spans="3:4" x14ac:dyDescent="0.25">
      <c r="C556" s="37"/>
      <c r="D556" s="35"/>
    </row>
    <row r="557" spans="3:4" x14ac:dyDescent="0.25">
      <c r="C557" s="37"/>
      <c r="D557" s="35"/>
    </row>
    <row r="558" spans="3:4" x14ac:dyDescent="0.25">
      <c r="C558" s="37"/>
      <c r="D558" s="35"/>
    </row>
    <row r="559" spans="3:4" x14ac:dyDescent="0.25">
      <c r="C559" s="37"/>
      <c r="D559" s="35"/>
    </row>
    <row r="560" spans="3:4" x14ac:dyDescent="0.25">
      <c r="C560" s="37"/>
      <c r="D560" s="35"/>
    </row>
    <row r="561" spans="3:4" x14ac:dyDescent="0.25">
      <c r="C561" s="37"/>
      <c r="D561" s="35"/>
    </row>
    <row r="562" spans="3:4" x14ac:dyDescent="0.25">
      <c r="C562" s="37"/>
      <c r="D562" s="35"/>
    </row>
    <row r="563" spans="3:4" x14ac:dyDescent="0.25">
      <c r="C563" s="37"/>
      <c r="D563" s="35"/>
    </row>
    <row r="564" spans="3:4" x14ac:dyDescent="0.25">
      <c r="C564" s="37"/>
      <c r="D564" s="35"/>
    </row>
    <row r="565" spans="3:4" x14ac:dyDescent="0.25">
      <c r="C565" s="37"/>
      <c r="D565" s="35"/>
    </row>
    <row r="566" spans="3:4" x14ac:dyDescent="0.25">
      <c r="C566" s="37"/>
      <c r="D566" s="35"/>
    </row>
    <row r="567" spans="3:4" x14ac:dyDescent="0.25">
      <c r="C567" s="37"/>
      <c r="D567" s="35"/>
    </row>
    <row r="568" spans="3:4" x14ac:dyDescent="0.25">
      <c r="C568" s="37"/>
      <c r="D568" s="35"/>
    </row>
    <row r="569" spans="3:4" x14ac:dyDescent="0.25">
      <c r="C569" s="37"/>
      <c r="D569" s="35"/>
    </row>
    <row r="570" spans="3:4" x14ac:dyDescent="0.25">
      <c r="C570" s="37"/>
      <c r="D570" s="35"/>
    </row>
    <row r="571" spans="3:4" x14ac:dyDescent="0.25">
      <c r="C571" s="37"/>
      <c r="D571" s="35"/>
    </row>
    <row r="572" spans="3:4" x14ac:dyDescent="0.25">
      <c r="C572" s="37"/>
      <c r="D572" s="35"/>
    </row>
    <row r="573" spans="3:4" x14ac:dyDescent="0.25">
      <c r="C573" s="37"/>
      <c r="D573" s="35"/>
    </row>
    <row r="574" spans="3:4" x14ac:dyDescent="0.25">
      <c r="C574" s="37"/>
      <c r="D574" s="35"/>
    </row>
    <row r="575" spans="3:4" x14ac:dyDescent="0.25">
      <c r="C575" s="37"/>
      <c r="D575" s="35"/>
    </row>
    <row r="576" spans="3:4" x14ac:dyDescent="0.25">
      <c r="C576" s="37"/>
      <c r="D576" s="35"/>
    </row>
    <row r="577" spans="3:4" x14ac:dyDescent="0.25">
      <c r="C577" s="37"/>
      <c r="D577" s="35"/>
    </row>
    <row r="578" spans="3:4" x14ac:dyDescent="0.25">
      <c r="C578" s="37"/>
      <c r="D578" s="35"/>
    </row>
    <row r="579" spans="3:4" x14ac:dyDescent="0.25">
      <c r="C579" s="37"/>
      <c r="D579" s="35"/>
    </row>
    <row r="580" spans="3:4" x14ac:dyDescent="0.25">
      <c r="C580" s="37"/>
      <c r="D580" s="35"/>
    </row>
    <row r="581" spans="3:4" x14ac:dyDescent="0.25">
      <c r="C581" s="37"/>
      <c r="D581" s="35"/>
    </row>
    <row r="582" spans="3:4" x14ac:dyDescent="0.25">
      <c r="C582" s="37"/>
      <c r="D582" s="35"/>
    </row>
    <row r="583" spans="3:4" x14ac:dyDescent="0.25">
      <c r="C583" s="37"/>
      <c r="D583" s="35"/>
    </row>
    <row r="584" spans="3:4" x14ac:dyDescent="0.25">
      <c r="C584" s="37"/>
      <c r="D584" s="35"/>
    </row>
    <row r="585" spans="3:4" x14ac:dyDescent="0.25">
      <c r="C585" s="37"/>
      <c r="D585" s="35"/>
    </row>
    <row r="586" spans="3:4" x14ac:dyDescent="0.25">
      <c r="C586" s="37"/>
      <c r="D586" s="35"/>
    </row>
    <row r="587" spans="3:4" x14ac:dyDescent="0.25">
      <c r="C587" s="37"/>
      <c r="D587" s="35"/>
    </row>
    <row r="588" spans="3:4" x14ac:dyDescent="0.25">
      <c r="C588" s="37"/>
      <c r="D588" s="35"/>
    </row>
    <row r="589" spans="3:4" x14ac:dyDescent="0.25">
      <c r="C589" s="37"/>
      <c r="D589" s="35"/>
    </row>
    <row r="590" spans="3:4" x14ac:dyDescent="0.25">
      <c r="C590" s="37"/>
      <c r="D590" s="35"/>
    </row>
    <row r="591" spans="3:4" x14ac:dyDescent="0.25">
      <c r="C591" s="37"/>
      <c r="D591" s="35"/>
    </row>
    <row r="592" spans="3:4" x14ac:dyDescent="0.25">
      <c r="C592" s="37"/>
      <c r="D592" s="35"/>
    </row>
    <row r="593" spans="3:4" x14ac:dyDescent="0.25">
      <c r="C593" s="37"/>
      <c r="D593" s="35"/>
    </row>
    <row r="594" spans="3:4" x14ac:dyDescent="0.25">
      <c r="C594" s="37"/>
      <c r="D594" s="35"/>
    </row>
    <row r="595" spans="3:4" x14ac:dyDescent="0.25">
      <c r="C595" s="37"/>
      <c r="D595" s="35"/>
    </row>
    <row r="596" spans="3:4" x14ac:dyDescent="0.25">
      <c r="C596" s="37"/>
      <c r="D596" s="35"/>
    </row>
    <row r="597" spans="3:4" x14ac:dyDescent="0.25">
      <c r="C597" s="37"/>
      <c r="D597" s="35"/>
    </row>
    <row r="598" spans="3:4" x14ac:dyDescent="0.25">
      <c r="C598" s="37"/>
      <c r="D598" s="35"/>
    </row>
    <row r="599" spans="3:4" x14ac:dyDescent="0.25">
      <c r="C599" s="37"/>
      <c r="D599" s="35"/>
    </row>
    <row r="600" spans="3:4" x14ac:dyDescent="0.25">
      <c r="C600" s="37"/>
      <c r="D600" s="35"/>
    </row>
    <row r="601" spans="3:4" x14ac:dyDescent="0.25">
      <c r="C601" s="37"/>
      <c r="D601" s="35"/>
    </row>
    <row r="602" spans="3:4" x14ac:dyDescent="0.25">
      <c r="C602" s="37"/>
      <c r="D602" s="35"/>
    </row>
    <row r="603" spans="3:4" x14ac:dyDescent="0.25">
      <c r="C603" s="37"/>
      <c r="D603" s="35"/>
    </row>
    <row r="604" spans="3:4" x14ac:dyDescent="0.25">
      <c r="C604" s="37"/>
      <c r="D604" s="35"/>
    </row>
    <row r="605" spans="3:4" x14ac:dyDescent="0.25">
      <c r="C605" s="37"/>
      <c r="D605" s="35"/>
    </row>
    <row r="606" spans="3:4" x14ac:dyDescent="0.25">
      <c r="C606" s="37"/>
      <c r="D606" s="35"/>
    </row>
    <row r="607" spans="3:4" x14ac:dyDescent="0.25">
      <c r="C607" s="37"/>
      <c r="D607" s="35"/>
    </row>
    <row r="608" spans="3:4" x14ac:dyDescent="0.25">
      <c r="C608" s="37"/>
      <c r="D608" s="35"/>
    </row>
    <row r="609" spans="3:4" x14ac:dyDescent="0.25">
      <c r="C609" s="37"/>
      <c r="D609" s="35"/>
    </row>
    <row r="610" spans="3:4" x14ac:dyDescent="0.25">
      <c r="C610" s="37"/>
      <c r="D610" s="35"/>
    </row>
    <row r="611" spans="3:4" x14ac:dyDescent="0.25">
      <c r="C611" s="37"/>
      <c r="D611" s="35"/>
    </row>
    <row r="612" spans="3:4" x14ac:dyDescent="0.25">
      <c r="C612" s="37"/>
      <c r="D612" s="35"/>
    </row>
    <row r="613" spans="3:4" x14ac:dyDescent="0.25">
      <c r="C613" s="37"/>
      <c r="D613" s="35"/>
    </row>
    <row r="614" spans="3:4" x14ac:dyDescent="0.25">
      <c r="C614" s="37"/>
      <c r="D614" s="35"/>
    </row>
    <row r="615" spans="3:4" x14ac:dyDescent="0.25">
      <c r="C615" s="37"/>
      <c r="D615" s="35"/>
    </row>
    <row r="616" spans="3:4" x14ac:dyDescent="0.25">
      <c r="C616" s="37"/>
      <c r="D616" s="35"/>
    </row>
    <row r="617" spans="3:4" x14ac:dyDescent="0.25">
      <c r="C617" s="37"/>
      <c r="D617" s="35"/>
    </row>
    <row r="618" spans="3:4" x14ac:dyDescent="0.25">
      <c r="C618" s="37"/>
      <c r="D618" s="35"/>
    </row>
    <row r="619" spans="3:4" x14ac:dyDescent="0.25">
      <c r="C619" s="37"/>
      <c r="D619" s="35"/>
    </row>
    <row r="620" spans="3:4" x14ac:dyDescent="0.25">
      <c r="C620" s="37"/>
      <c r="D620" s="35"/>
    </row>
    <row r="621" spans="3:4" x14ac:dyDescent="0.25">
      <c r="C621" s="37"/>
      <c r="D621" s="35"/>
    </row>
    <row r="622" spans="3:4" x14ac:dyDescent="0.25">
      <c r="C622" s="37"/>
      <c r="D622" s="35"/>
    </row>
    <row r="623" spans="3:4" x14ac:dyDescent="0.25">
      <c r="C623" s="37"/>
      <c r="D623" s="35"/>
    </row>
    <row r="624" spans="3:4" x14ac:dyDescent="0.25">
      <c r="C624" s="37"/>
      <c r="D624" s="35"/>
    </row>
    <row r="625" spans="3:4" x14ac:dyDescent="0.25">
      <c r="C625" s="37"/>
      <c r="D625" s="35"/>
    </row>
    <row r="626" spans="3:4" x14ac:dyDescent="0.25">
      <c r="C626" s="37"/>
      <c r="D626" s="35"/>
    </row>
    <row r="627" spans="3:4" x14ac:dyDescent="0.25">
      <c r="C627" s="37"/>
      <c r="D627" s="35"/>
    </row>
    <row r="628" spans="3:4" x14ac:dyDescent="0.25">
      <c r="C628" s="37"/>
      <c r="D628" s="35"/>
    </row>
    <row r="629" spans="3:4" x14ac:dyDescent="0.25">
      <c r="C629" s="37"/>
      <c r="D629" s="35"/>
    </row>
    <row r="630" spans="3:4" x14ac:dyDescent="0.25">
      <c r="C630" s="37"/>
      <c r="D630" s="35"/>
    </row>
    <row r="631" spans="3:4" x14ac:dyDescent="0.25">
      <c r="C631" s="37"/>
      <c r="D631" s="35"/>
    </row>
    <row r="632" spans="3:4" x14ac:dyDescent="0.25">
      <c r="C632" s="37"/>
      <c r="D632" s="35"/>
    </row>
    <row r="633" spans="3:4" x14ac:dyDescent="0.25">
      <c r="C633" s="37"/>
      <c r="D633" s="35"/>
    </row>
    <row r="634" spans="3:4" x14ac:dyDescent="0.25">
      <c r="C634" s="37"/>
      <c r="D634" s="35"/>
    </row>
    <row r="635" spans="3:4" x14ac:dyDescent="0.25">
      <c r="C635" s="37"/>
      <c r="D635" s="35"/>
    </row>
    <row r="636" spans="3:4" x14ac:dyDescent="0.25">
      <c r="C636" s="37"/>
      <c r="D636" s="35"/>
    </row>
    <row r="637" spans="3:4" x14ac:dyDescent="0.25">
      <c r="C637" s="37"/>
      <c r="D637" s="35"/>
    </row>
    <row r="638" spans="3:4" x14ac:dyDescent="0.25">
      <c r="C638" s="37"/>
      <c r="D638" s="35"/>
    </row>
    <row r="639" spans="3:4" x14ac:dyDescent="0.25">
      <c r="C639" s="37"/>
      <c r="D639" s="35"/>
    </row>
    <row r="640" spans="3:4" x14ac:dyDescent="0.25">
      <c r="C640" s="37"/>
      <c r="D640" s="35"/>
    </row>
    <row r="641" spans="3:4" x14ac:dyDescent="0.25">
      <c r="C641" s="37"/>
      <c r="D641" s="35"/>
    </row>
    <row r="642" spans="3:4" x14ac:dyDescent="0.25">
      <c r="C642" s="37"/>
      <c r="D642" s="35"/>
    </row>
    <row r="643" spans="3:4" x14ac:dyDescent="0.25">
      <c r="C643" s="37"/>
      <c r="D643" s="35"/>
    </row>
    <row r="644" spans="3:4" x14ac:dyDescent="0.25">
      <c r="C644" s="37"/>
      <c r="D644" s="35"/>
    </row>
    <row r="645" spans="3:4" x14ac:dyDescent="0.25">
      <c r="C645" s="37"/>
      <c r="D645" s="35"/>
    </row>
    <row r="646" spans="3:4" x14ac:dyDescent="0.25">
      <c r="C646" s="37"/>
      <c r="D646" s="35"/>
    </row>
    <row r="647" spans="3:4" x14ac:dyDescent="0.25">
      <c r="C647" s="37"/>
      <c r="D647" s="35"/>
    </row>
    <row r="648" spans="3:4" x14ac:dyDescent="0.25">
      <c r="C648" s="37"/>
      <c r="D648" s="35"/>
    </row>
    <row r="649" spans="3:4" x14ac:dyDescent="0.25">
      <c r="C649" s="37"/>
      <c r="D649" s="35"/>
    </row>
    <row r="650" spans="3:4" x14ac:dyDescent="0.25">
      <c r="C650" s="37"/>
      <c r="D650" s="35"/>
    </row>
    <row r="651" spans="3:4" x14ac:dyDescent="0.25">
      <c r="C651" s="37"/>
      <c r="D651" s="35"/>
    </row>
    <row r="652" spans="3:4" x14ac:dyDescent="0.25">
      <c r="C652" s="37"/>
      <c r="D652" s="35"/>
    </row>
    <row r="653" spans="3:4" x14ac:dyDescent="0.25">
      <c r="C653" s="37"/>
      <c r="D653" s="35"/>
    </row>
    <row r="654" spans="3:4" x14ac:dyDescent="0.25">
      <c r="C654" s="37"/>
      <c r="D654" s="35"/>
    </row>
    <row r="655" spans="3:4" x14ac:dyDescent="0.25">
      <c r="C655" s="37"/>
      <c r="D655" s="35"/>
    </row>
    <row r="656" spans="3:4" x14ac:dyDescent="0.25">
      <c r="C656" s="37"/>
      <c r="D656" s="35"/>
    </row>
    <row r="657" spans="3:4" x14ac:dyDescent="0.25">
      <c r="C657" s="37"/>
      <c r="D657" s="35"/>
    </row>
    <row r="658" spans="3:4" x14ac:dyDescent="0.25">
      <c r="C658" s="37"/>
      <c r="D658" s="35"/>
    </row>
    <row r="659" spans="3:4" x14ac:dyDescent="0.25">
      <c r="C659" s="37"/>
      <c r="D659" s="35"/>
    </row>
    <row r="660" spans="3:4" x14ac:dyDescent="0.25">
      <c r="C660" s="37"/>
      <c r="D660" s="35"/>
    </row>
    <row r="661" spans="3:4" x14ac:dyDescent="0.25">
      <c r="C661" s="37"/>
      <c r="D661" s="35"/>
    </row>
    <row r="662" spans="3:4" x14ac:dyDescent="0.25">
      <c r="C662" s="37"/>
      <c r="D662" s="35"/>
    </row>
    <row r="663" spans="3:4" x14ac:dyDescent="0.25">
      <c r="C663" s="37"/>
      <c r="D663" s="35"/>
    </row>
    <row r="664" spans="3:4" x14ac:dyDescent="0.25">
      <c r="C664" s="37"/>
      <c r="D664" s="35"/>
    </row>
    <row r="665" spans="3:4" x14ac:dyDescent="0.25">
      <c r="C665" s="37"/>
      <c r="D665" s="35"/>
    </row>
    <row r="666" spans="3:4" x14ac:dyDescent="0.25">
      <c r="C666" s="37"/>
      <c r="D666" s="35"/>
    </row>
    <row r="667" spans="3:4" x14ac:dyDescent="0.25">
      <c r="C667" s="37"/>
      <c r="D667" s="35"/>
    </row>
    <row r="668" spans="3:4" x14ac:dyDescent="0.25">
      <c r="C668" s="37"/>
      <c r="D668" s="35"/>
    </row>
    <row r="669" spans="3:4" x14ac:dyDescent="0.25">
      <c r="C669" s="37"/>
      <c r="D669" s="35"/>
    </row>
    <row r="670" spans="3:4" x14ac:dyDescent="0.25">
      <c r="C670" s="37"/>
      <c r="D670" s="35"/>
    </row>
    <row r="671" spans="3:4" x14ac:dyDescent="0.25">
      <c r="C671" s="37"/>
      <c r="D671" s="35"/>
    </row>
    <row r="672" spans="3:4" x14ac:dyDescent="0.25">
      <c r="C672" s="37"/>
      <c r="D672" s="35"/>
    </row>
    <row r="673" spans="3:4" x14ac:dyDescent="0.25">
      <c r="C673" s="37"/>
      <c r="D673" s="35"/>
    </row>
    <row r="674" spans="3:4" x14ac:dyDescent="0.25">
      <c r="C674" s="37"/>
      <c r="D674" s="35"/>
    </row>
    <row r="675" spans="3:4" x14ac:dyDescent="0.25">
      <c r="C675" s="37"/>
      <c r="D675" s="35"/>
    </row>
    <row r="676" spans="3:4" x14ac:dyDescent="0.25">
      <c r="C676" s="37"/>
      <c r="D676" s="35"/>
    </row>
    <row r="677" spans="3:4" x14ac:dyDescent="0.25">
      <c r="C677" s="37"/>
      <c r="D677" s="35"/>
    </row>
    <row r="678" spans="3:4" x14ac:dyDescent="0.25">
      <c r="C678" s="37"/>
      <c r="D678" s="35"/>
    </row>
    <row r="679" spans="3:4" x14ac:dyDescent="0.25">
      <c r="C679" s="37"/>
      <c r="D679" s="35"/>
    </row>
    <row r="680" spans="3:4" x14ac:dyDescent="0.25">
      <c r="C680" s="37"/>
      <c r="D680" s="35"/>
    </row>
    <row r="681" spans="3:4" x14ac:dyDescent="0.25">
      <c r="C681" s="37"/>
      <c r="D681" s="35"/>
    </row>
    <row r="682" spans="3:4" x14ac:dyDescent="0.25">
      <c r="C682" s="37"/>
      <c r="D682" s="35"/>
    </row>
    <row r="683" spans="3:4" x14ac:dyDescent="0.25">
      <c r="C683" s="37"/>
      <c r="D683" s="35"/>
    </row>
    <row r="684" spans="3:4" x14ac:dyDescent="0.25">
      <c r="C684" s="37"/>
      <c r="D684" s="35"/>
    </row>
    <row r="685" spans="3:4" x14ac:dyDescent="0.25">
      <c r="C685" s="37"/>
      <c r="D685" s="35"/>
    </row>
    <row r="686" spans="3:4" x14ac:dyDescent="0.25">
      <c r="C686" s="37"/>
      <c r="D686" s="35"/>
    </row>
    <row r="687" spans="3:4" x14ac:dyDescent="0.25">
      <c r="C687" s="37"/>
      <c r="D687" s="35"/>
    </row>
    <row r="688" spans="3:4" x14ac:dyDescent="0.25">
      <c r="C688" s="37"/>
      <c r="D688" s="35"/>
    </row>
    <row r="689" spans="3:4" x14ac:dyDescent="0.25">
      <c r="C689" s="37"/>
      <c r="D689" s="35"/>
    </row>
    <row r="690" spans="3:4" x14ac:dyDescent="0.25">
      <c r="C690" s="37"/>
      <c r="D690" s="35"/>
    </row>
    <row r="691" spans="3:4" x14ac:dyDescent="0.25">
      <c r="C691" s="37"/>
      <c r="D691" s="35"/>
    </row>
    <row r="692" spans="3:4" x14ac:dyDescent="0.25">
      <c r="C692" s="37"/>
      <c r="D692" s="35"/>
    </row>
    <row r="693" spans="3:4" x14ac:dyDescent="0.25">
      <c r="C693" s="37"/>
      <c r="D693" s="35"/>
    </row>
    <row r="694" spans="3:4" x14ac:dyDescent="0.25">
      <c r="C694" s="37"/>
      <c r="D694" s="35"/>
    </row>
    <row r="695" spans="3:4" x14ac:dyDescent="0.25">
      <c r="C695" s="37"/>
      <c r="D695" s="35"/>
    </row>
    <row r="696" spans="3:4" x14ac:dyDescent="0.25">
      <c r="C696" s="37"/>
      <c r="D696" s="35"/>
    </row>
    <row r="697" spans="3:4" x14ac:dyDescent="0.25">
      <c r="C697" s="37"/>
      <c r="D697" s="35"/>
    </row>
    <row r="698" spans="3:4" x14ac:dyDescent="0.25">
      <c r="C698" s="37"/>
      <c r="D698" s="35"/>
    </row>
    <row r="699" spans="3:4" x14ac:dyDescent="0.25">
      <c r="C699" s="37"/>
      <c r="D699" s="35"/>
    </row>
    <row r="700" spans="3:4" x14ac:dyDescent="0.25">
      <c r="C700" s="37"/>
      <c r="D700" s="35"/>
    </row>
    <row r="701" spans="3:4" x14ac:dyDescent="0.25">
      <c r="C701" s="37"/>
      <c r="D701" s="35"/>
    </row>
    <row r="702" spans="3:4" x14ac:dyDescent="0.25">
      <c r="C702" s="37"/>
      <c r="D702" s="35"/>
    </row>
    <row r="703" spans="3:4" x14ac:dyDescent="0.25">
      <c r="C703" s="37"/>
      <c r="D703" s="35"/>
    </row>
    <row r="704" spans="3:4" x14ac:dyDescent="0.25">
      <c r="C704" s="37"/>
      <c r="D704" s="35"/>
    </row>
    <row r="705" spans="3:4" x14ac:dyDescent="0.25">
      <c r="C705" s="37"/>
      <c r="D705" s="35"/>
    </row>
    <row r="706" spans="3:4" x14ac:dyDescent="0.25">
      <c r="C706" s="37"/>
      <c r="D706" s="35"/>
    </row>
    <row r="707" spans="3:4" x14ac:dyDescent="0.25">
      <c r="C707" s="37"/>
      <c r="D707" s="35"/>
    </row>
    <row r="708" spans="3:4" x14ac:dyDescent="0.25">
      <c r="C708" s="37"/>
      <c r="D708" s="35"/>
    </row>
    <row r="709" spans="3:4" x14ac:dyDescent="0.25">
      <c r="C709" s="37"/>
      <c r="D709" s="35"/>
    </row>
    <row r="710" spans="3:4" x14ac:dyDescent="0.25">
      <c r="C710" s="37"/>
      <c r="D710" s="35"/>
    </row>
    <row r="711" spans="3:4" x14ac:dyDescent="0.25">
      <c r="C711" s="37"/>
      <c r="D711" s="35"/>
    </row>
    <row r="712" spans="3:4" x14ac:dyDescent="0.25">
      <c r="C712" s="37"/>
      <c r="D712" s="35"/>
    </row>
    <row r="713" spans="3:4" x14ac:dyDescent="0.25">
      <c r="C713" s="37"/>
      <c r="D713" s="35"/>
    </row>
    <row r="714" spans="3:4" x14ac:dyDescent="0.25">
      <c r="C714" s="37"/>
      <c r="D714" s="35"/>
    </row>
    <row r="715" spans="3:4" x14ac:dyDescent="0.25">
      <c r="C715" s="37"/>
      <c r="D715" s="35"/>
    </row>
    <row r="716" spans="3:4" x14ac:dyDescent="0.25">
      <c r="C716" s="37"/>
      <c r="D716" s="35"/>
    </row>
    <row r="717" spans="3:4" x14ac:dyDescent="0.25">
      <c r="C717" s="37"/>
      <c r="D717" s="35"/>
    </row>
    <row r="718" spans="3:4" x14ac:dyDescent="0.25">
      <c r="C718" s="37"/>
      <c r="D718" s="35"/>
    </row>
    <row r="719" spans="3:4" x14ac:dyDescent="0.25">
      <c r="C719" s="37"/>
      <c r="D719" s="35"/>
    </row>
    <row r="720" spans="3:4" x14ac:dyDescent="0.25">
      <c r="C720" s="37"/>
      <c r="D720" s="35"/>
    </row>
    <row r="721" spans="3:4" x14ac:dyDescent="0.25">
      <c r="C721" s="37"/>
      <c r="D721" s="35"/>
    </row>
    <row r="722" spans="3:4" x14ac:dyDescent="0.25">
      <c r="C722" s="37"/>
      <c r="D722" s="35"/>
    </row>
    <row r="723" spans="3:4" x14ac:dyDescent="0.25">
      <c r="C723" s="37"/>
      <c r="D723" s="35"/>
    </row>
    <row r="724" spans="3:4" x14ac:dyDescent="0.25">
      <c r="C724" s="37"/>
      <c r="D724" s="35"/>
    </row>
    <row r="725" spans="3:4" x14ac:dyDescent="0.25">
      <c r="C725" s="37"/>
      <c r="D725" s="35"/>
    </row>
    <row r="726" spans="3:4" x14ac:dyDescent="0.25">
      <c r="C726" s="37"/>
      <c r="D726" s="35"/>
    </row>
    <row r="727" spans="3:4" x14ac:dyDescent="0.25">
      <c r="C727" s="37"/>
      <c r="D727" s="35"/>
    </row>
    <row r="728" spans="3:4" x14ac:dyDescent="0.25">
      <c r="C728" s="37"/>
      <c r="D728" s="35"/>
    </row>
    <row r="729" spans="3:4" x14ac:dyDescent="0.25">
      <c r="C729" s="37"/>
      <c r="D729" s="35"/>
    </row>
    <row r="730" spans="3:4" x14ac:dyDescent="0.25">
      <c r="C730" s="37"/>
      <c r="D730" s="35"/>
    </row>
    <row r="731" spans="3:4" x14ac:dyDescent="0.25">
      <c r="C731" s="37"/>
      <c r="D731" s="35"/>
    </row>
    <row r="732" spans="3:4" x14ac:dyDescent="0.25">
      <c r="C732" s="37"/>
      <c r="D732" s="35"/>
    </row>
    <row r="733" spans="3:4" x14ac:dyDescent="0.25">
      <c r="C733" s="37"/>
      <c r="D733" s="35"/>
    </row>
    <row r="734" spans="3:4" x14ac:dyDescent="0.25">
      <c r="C734" s="37"/>
      <c r="D734" s="35"/>
    </row>
    <row r="735" spans="3:4" x14ac:dyDescent="0.25">
      <c r="C735" s="37"/>
      <c r="D735" s="35"/>
    </row>
    <row r="736" spans="3:4" x14ac:dyDescent="0.25">
      <c r="C736" s="37"/>
      <c r="D736" s="35"/>
    </row>
    <row r="737" spans="3:4" x14ac:dyDescent="0.25">
      <c r="C737" s="37"/>
      <c r="D737" s="35"/>
    </row>
    <row r="738" spans="3:4" x14ac:dyDescent="0.25">
      <c r="C738" s="37"/>
      <c r="D738" s="35"/>
    </row>
    <row r="739" spans="3:4" x14ac:dyDescent="0.25">
      <c r="C739" s="37"/>
      <c r="D739" s="35"/>
    </row>
    <row r="740" spans="3:4" x14ac:dyDescent="0.25">
      <c r="C740" s="37"/>
      <c r="D740" s="35"/>
    </row>
    <row r="741" spans="3:4" x14ac:dyDescent="0.25">
      <c r="C741" s="37"/>
      <c r="D741" s="35"/>
    </row>
    <row r="742" spans="3:4" x14ac:dyDescent="0.25">
      <c r="C742" s="37"/>
      <c r="D742" s="35"/>
    </row>
    <row r="743" spans="3:4" x14ac:dyDescent="0.25">
      <c r="C743" s="37"/>
      <c r="D743" s="35"/>
    </row>
    <row r="744" spans="3:4" x14ac:dyDescent="0.25">
      <c r="C744" s="37"/>
      <c r="D744" s="35"/>
    </row>
    <row r="745" spans="3:4" x14ac:dyDescent="0.25">
      <c r="C745" s="37"/>
      <c r="D745" s="35"/>
    </row>
    <row r="746" spans="3:4" x14ac:dyDescent="0.25">
      <c r="C746" s="37"/>
      <c r="D746" s="35"/>
    </row>
    <row r="747" spans="3:4" x14ac:dyDescent="0.25">
      <c r="C747" s="37"/>
      <c r="D747" s="35"/>
    </row>
    <row r="748" spans="3:4" x14ac:dyDescent="0.25">
      <c r="C748" s="37"/>
      <c r="D748" s="35"/>
    </row>
    <row r="749" spans="3:4" x14ac:dyDescent="0.25">
      <c r="C749" s="37"/>
      <c r="D749" s="35"/>
    </row>
    <row r="750" spans="3:4" x14ac:dyDescent="0.25">
      <c r="C750" s="37"/>
      <c r="D750" s="35"/>
    </row>
    <row r="751" spans="3:4" x14ac:dyDescent="0.25">
      <c r="C751" s="37"/>
      <c r="D751" s="35"/>
    </row>
    <row r="752" spans="3:4" x14ac:dyDescent="0.25">
      <c r="C752" s="37"/>
      <c r="D752" s="35"/>
    </row>
    <row r="753" spans="3:4" x14ac:dyDescent="0.25">
      <c r="C753" s="37"/>
      <c r="D753" s="35"/>
    </row>
    <row r="754" spans="3:4" x14ac:dyDescent="0.25">
      <c r="C754" s="37"/>
      <c r="D754" s="35"/>
    </row>
    <row r="755" spans="3:4" x14ac:dyDescent="0.25">
      <c r="C755" s="37"/>
      <c r="D755" s="35"/>
    </row>
    <row r="756" spans="3:4" x14ac:dyDescent="0.25">
      <c r="C756" s="37"/>
      <c r="D756" s="35"/>
    </row>
    <row r="757" spans="3:4" x14ac:dyDescent="0.25">
      <c r="C757" s="37"/>
      <c r="D757" s="35"/>
    </row>
    <row r="758" spans="3:4" x14ac:dyDescent="0.25">
      <c r="C758" s="37"/>
      <c r="D758" s="35"/>
    </row>
    <row r="759" spans="3:4" x14ac:dyDescent="0.25">
      <c r="C759" s="37"/>
      <c r="D759" s="35"/>
    </row>
    <row r="760" spans="3:4" x14ac:dyDescent="0.25">
      <c r="C760" s="37"/>
      <c r="D760" s="35"/>
    </row>
    <row r="761" spans="3:4" x14ac:dyDescent="0.25">
      <c r="C761" s="37"/>
      <c r="D761" s="35"/>
    </row>
    <row r="762" spans="3:4" x14ac:dyDescent="0.25">
      <c r="C762" s="37"/>
      <c r="D762" s="35"/>
    </row>
    <row r="763" spans="3:4" x14ac:dyDescent="0.25">
      <c r="C763" s="37"/>
      <c r="D763" s="35"/>
    </row>
    <row r="764" spans="3:4" x14ac:dyDescent="0.25">
      <c r="C764" s="37"/>
      <c r="D764" s="35"/>
    </row>
    <row r="765" spans="3:4" x14ac:dyDescent="0.25">
      <c r="C765" s="37"/>
      <c r="D765" s="35"/>
    </row>
    <row r="766" spans="3:4" x14ac:dyDescent="0.25">
      <c r="C766" s="37"/>
      <c r="D766" s="35"/>
    </row>
    <row r="767" spans="3:4" x14ac:dyDescent="0.25">
      <c r="C767" s="37"/>
      <c r="D767" s="35"/>
    </row>
    <row r="768" spans="3:4" x14ac:dyDescent="0.25">
      <c r="C768" s="37"/>
      <c r="D768" s="35"/>
    </row>
    <row r="769" spans="3:4" x14ac:dyDescent="0.25">
      <c r="C769" s="37"/>
      <c r="D769" s="35"/>
    </row>
    <row r="770" spans="3:4" x14ac:dyDescent="0.25">
      <c r="C770" s="37"/>
      <c r="D770" s="35"/>
    </row>
    <row r="771" spans="3:4" x14ac:dyDescent="0.25">
      <c r="C771" s="37"/>
      <c r="D771" s="35"/>
    </row>
    <row r="772" spans="3:4" x14ac:dyDescent="0.25">
      <c r="C772" s="37"/>
      <c r="D772" s="35"/>
    </row>
    <row r="773" spans="3:4" x14ac:dyDescent="0.25">
      <c r="C773" s="37"/>
      <c r="D773" s="35"/>
    </row>
    <row r="774" spans="3:4" x14ac:dyDescent="0.25">
      <c r="C774" s="37"/>
      <c r="D774" s="35"/>
    </row>
    <row r="775" spans="3:4" x14ac:dyDescent="0.25">
      <c r="C775" s="37"/>
      <c r="D775" s="35"/>
    </row>
    <row r="776" spans="3:4" x14ac:dyDescent="0.25">
      <c r="C776" s="37"/>
      <c r="D776" s="35"/>
    </row>
    <row r="777" spans="3:4" x14ac:dyDescent="0.25">
      <c r="C777" s="37"/>
      <c r="D777" s="35"/>
    </row>
    <row r="778" spans="3:4" x14ac:dyDescent="0.25">
      <c r="C778" s="37"/>
      <c r="D778" s="35"/>
    </row>
    <row r="779" spans="3:4" x14ac:dyDescent="0.25">
      <c r="C779" s="37"/>
      <c r="D779" s="35"/>
    </row>
    <row r="780" spans="3:4" x14ac:dyDescent="0.25">
      <c r="C780" s="37"/>
      <c r="D780" s="35"/>
    </row>
    <row r="781" spans="3:4" x14ac:dyDescent="0.25">
      <c r="C781" s="37"/>
      <c r="D781" s="35"/>
    </row>
    <row r="782" spans="3:4" x14ac:dyDescent="0.25">
      <c r="C782" s="37"/>
      <c r="D782" s="35"/>
    </row>
    <row r="783" spans="3:4" x14ac:dyDescent="0.25">
      <c r="C783" s="37"/>
      <c r="D783" s="35"/>
    </row>
    <row r="784" spans="3:4" x14ac:dyDescent="0.25">
      <c r="C784" s="37"/>
      <c r="D784" s="35"/>
    </row>
    <row r="785" spans="3:4" x14ac:dyDescent="0.25">
      <c r="C785" s="37"/>
      <c r="D785" s="35"/>
    </row>
    <row r="786" spans="3:4" x14ac:dyDescent="0.25">
      <c r="C786" s="37"/>
      <c r="D786" s="35"/>
    </row>
    <row r="787" spans="3:4" x14ac:dyDescent="0.25">
      <c r="C787" s="37"/>
      <c r="D787" s="35"/>
    </row>
    <row r="788" spans="3:4" x14ac:dyDescent="0.25">
      <c r="C788" s="37"/>
      <c r="D788" s="35"/>
    </row>
    <row r="789" spans="3:4" x14ac:dyDescent="0.25">
      <c r="C789" s="37"/>
      <c r="D789" s="35"/>
    </row>
    <row r="790" spans="3:4" x14ac:dyDescent="0.25">
      <c r="C790" s="37"/>
      <c r="D790" s="35"/>
    </row>
    <row r="791" spans="3:4" x14ac:dyDescent="0.25">
      <c r="C791" s="37"/>
      <c r="D791" s="35"/>
    </row>
    <row r="792" spans="3:4" x14ac:dyDescent="0.25">
      <c r="C792" s="37"/>
      <c r="D792" s="35"/>
    </row>
    <row r="793" spans="3:4" x14ac:dyDescent="0.25">
      <c r="C793" s="37"/>
      <c r="D793" s="35"/>
    </row>
    <row r="794" spans="3:4" x14ac:dyDescent="0.25">
      <c r="C794" s="37"/>
      <c r="D794" s="35"/>
    </row>
    <row r="795" spans="3:4" x14ac:dyDescent="0.25">
      <c r="C795" s="37"/>
      <c r="D795" s="35"/>
    </row>
    <row r="796" spans="3:4" x14ac:dyDescent="0.25">
      <c r="C796" s="37"/>
      <c r="D796" s="35"/>
    </row>
    <row r="797" spans="3:4" x14ac:dyDescent="0.25">
      <c r="C797" s="37"/>
      <c r="D797" s="35"/>
    </row>
    <row r="798" spans="3:4" x14ac:dyDescent="0.25">
      <c r="C798" s="37"/>
      <c r="D798" s="35"/>
    </row>
    <row r="799" spans="3:4" x14ac:dyDescent="0.25">
      <c r="C799" s="37"/>
      <c r="D799" s="35"/>
    </row>
    <row r="800" spans="3:4" x14ac:dyDescent="0.25">
      <c r="C800" s="37"/>
      <c r="D800" s="35"/>
    </row>
    <row r="801" spans="3:4" x14ac:dyDescent="0.25">
      <c r="C801" s="37"/>
      <c r="D801" s="35"/>
    </row>
    <row r="802" spans="3:4" x14ac:dyDescent="0.25">
      <c r="C802" s="37"/>
      <c r="D802" s="35"/>
    </row>
    <row r="803" spans="3:4" x14ac:dyDescent="0.25">
      <c r="C803" s="37"/>
      <c r="D803" s="35"/>
    </row>
    <row r="804" spans="3:4" x14ac:dyDescent="0.25">
      <c r="C804" s="37"/>
      <c r="D804" s="35"/>
    </row>
    <row r="805" spans="3:4" x14ac:dyDescent="0.25">
      <c r="C805" s="37"/>
      <c r="D805" s="35"/>
    </row>
    <row r="806" spans="3:4" x14ac:dyDescent="0.25">
      <c r="C806" s="37"/>
      <c r="D806" s="35"/>
    </row>
    <row r="807" spans="3:4" x14ac:dyDescent="0.25">
      <c r="C807" s="37"/>
      <c r="D807" s="35"/>
    </row>
    <row r="808" spans="3:4" x14ac:dyDescent="0.25">
      <c r="C808" s="37"/>
      <c r="D808" s="35"/>
    </row>
    <row r="809" spans="3:4" x14ac:dyDescent="0.25">
      <c r="C809" s="37"/>
      <c r="D809" s="35"/>
    </row>
    <row r="810" spans="3:4" x14ac:dyDescent="0.25">
      <c r="C810" s="37"/>
      <c r="D810" s="35"/>
    </row>
    <row r="811" spans="3:4" x14ac:dyDescent="0.25">
      <c r="C811" s="37"/>
      <c r="D811" s="35"/>
    </row>
    <row r="812" spans="3:4" x14ac:dyDescent="0.25">
      <c r="C812" s="37"/>
      <c r="D812" s="35"/>
    </row>
    <row r="813" spans="3:4" x14ac:dyDescent="0.25">
      <c r="C813" s="37"/>
      <c r="D813" s="35"/>
    </row>
    <row r="814" spans="3:4" x14ac:dyDescent="0.25">
      <c r="C814" s="37"/>
      <c r="D814" s="35"/>
    </row>
    <row r="815" spans="3:4" x14ac:dyDescent="0.25">
      <c r="C815" s="37"/>
      <c r="D815" s="35"/>
    </row>
    <row r="816" spans="3:4" x14ac:dyDescent="0.25">
      <c r="C816" s="37"/>
      <c r="D816" s="35"/>
    </row>
    <row r="817" spans="3:4" x14ac:dyDescent="0.25">
      <c r="C817" s="37"/>
      <c r="D817" s="35"/>
    </row>
    <row r="818" spans="3:4" x14ac:dyDescent="0.25">
      <c r="C818" s="37"/>
      <c r="D818" s="35"/>
    </row>
    <row r="819" spans="3:4" x14ac:dyDescent="0.25">
      <c r="C819" s="37"/>
      <c r="D819" s="35"/>
    </row>
    <row r="820" spans="3:4" x14ac:dyDescent="0.25">
      <c r="C820" s="37"/>
      <c r="D820" s="35"/>
    </row>
    <row r="821" spans="3:4" x14ac:dyDescent="0.25">
      <c r="C821" s="37"/>
      <c r="D821" s="35"/>
    </row>
    <row r="822" spans="3:4" x14ac:dyDescent="0.25">
      <c r="C822" s="37"/>
      <c r="D822" s="35"/>
    </row>
    <row r="823" spans="3:4" x14ac:dyDescent="0.25">
      <c r="C823" s="37"/>
      <c r="D823" s="35"/>
    </row>
    <row r="824" spans="3:4" x14ac:dyDescent="0.25">
      <c r="C824" s="37"/>
      <c r="D824" s="35"/>
    </row>
    <row r="825" spans="3:4" x14ac:dyDescent="0.25">
      <c r="C825" s="37"/>
      <c r="D825" s="35"/>
    </row>
    <row r="826" spans="3:4" x14ac:dyDescent="0.25">
      <c r="C826" s="37"/>
      <c r="D826" s="35"/>
    </row>
    <row r="827" spans="3:4" x14ac:dyDescent="0.25">
      <c r="C827" s="37"/>
      <c r="D827" s="35"/>
    </row>
    <row r="828" spans="3:4" x14ac:dyDescent="0.25">
      <c r="C828" s="37"/>
      <c r="D828" s="35"/>
    </row>
    <row r="829" spans="3:4" x14ac:dyDescent="0.25">
      <c r="C829" s="37"/>
      <c r="D829" s="35"/>
    </row>
    <row r="830" spans="3:4" x14ac:dyDescent="0.25">
      <c r="C830" s="37"/>
      <c r="D830" s="35"/>
    </row>
    <row r="831" spans="3:4" x14ac:dyDescent="0.25">
      <c r="C831" s="37"/>
      <c r="D831" s="35"/>
    </row>
    <row r="832" spans="3:4" x14ac:dyDescent="0.25">
      <c r="C832" s="37"/>
      <c r="D832" s="35"/>
    </row>
    <row r="833" spans="3:4" x14ac:dyDescent="0.25">
      <c r="C833" s="37"/>
      <c r="D833" s="35"/>
    </row>
    <row r="834" spans="3:4" x14ac:dyDescent="0.25">
      <c r="C834" s="37"/>
      <c r="D834" s="35"/>
    </row>
    <row r="835" spans="3:4" x14ac:dyDescent="0.25">
      <c r="C835" s="37"/>
      <c r="D835" s="35"/>
    </row>
    <row r="836" spans="3:4" x14ac:dyDescent="0.25">
      <c r="C836" s="37"/>
      <c r="D836" s="35"/>
    </row>
    <row r="837" spans="3:4" x14ac:dyDescent="0.25">
      <c r="C837" s="37"/>
      <c r="D837" s="35"/>
    </row>
    <row r="838" spans="3:4" x14ac:dyDescent="0.25">
      <c r="C838" s="37"/>
      <c r="D838" s="35"/>
    </row>
    <row r="839" spans="3:4" x14ac:dyDescent="0.25">
      <c r="C839" s="37"/>
      <c r="D839" s="35"/>
    </row>
    <row r="840" spans="3:4" x14ac:dyDescent="0.25">
      <c r="C840" s="37"/>
      <c r="D840" s="35"/>
    </row>
    <row r="841" spans="3:4" x14ac:dyDescent="0.25">
      <c r="C841" s="37"/>
      <c r="D841" s="35"/>
    </row>
    <row r="842" spans="3:4" x14ac:dyDescent="0.25">
      <c r="C842" s="37"/>
      <c r="D842" s="35"/>
    </row>
    <row r="843" spans="3:4" x14ac:dyDescent="0.25">
      <c r="C843" s="37"/>
      <c r="D843" s="35"/>
    </row>
    <row r="844" spans="3:4" x14ac:dyDescent="0.25">
      <c r="C844" s="37"/>
      <c r="D844" s="35"/>
    </row>
    <row r="845" spans="3:4" x14ac:dyDescent="0.25">
      <c r="C845" s="37"/>
      <c r="D845" s="35"/>
    </row>
    <row r="846" spans="3:4" x14ac:dyDescent="0.25">
      <c r="C846" s="37"/>
      <c r="D846" s="35"/>
    </row>
    <row r="847" spans="3:4" x14ac:dyDescent="0.25">
      <c r="C847" s="37"/>
      <c r="D847" s="35"/>
    </row>
    <row r="848" spans="3:4" x14ac:dyDescent="0.25">
      <c r="C848" s="37"/>
      <c r="D848" s="35"/>
    </row>
    <row r="849" spans="3:4" x14ac:dyDescent="0.25">
      <c r="C849" s="37"/>
      <c r="D849" s="35"/>
    </row>
    <row r="850" spans="3:4" x14ac:dyDescent="0.25">
      <c r="C850" s="37"/>
      <c r="D850" s="35"/>
    </row>
    <row r="851" spans="3:4" x14ac:dyDescent="0.25">
      <c r="C851" s="37"/>
      <c r="D851" s="35"/>
    </row>
    <row r="852" spans="3:4" x14ac:dyDescent="0.25">
      <c r="C852" s="37"/>
      <c r="D852" s="35"/>
    </row>
    <row r="853" spans="3:4" x14ac:dyDescent="0.25">
      <c r="C853" s="37"/>
      <c r="D853" s="35"/>
    </row>
    <row r="854" spans="3:4" x14ac:dyDescent="0.25">
      <c r="C854" s="37"/>
      <c r="D854" s="35"/>
    </row>
    <row r="855" spans="3:4" x14ac:dyDescent="0.25">
      <c r="C855" s="37"/>
      <c r="D855" s="35"/>
    </row>
    <row r="856" spans="3:4" x14ac:dyDescent="0.25">
      <c r="C856" s="37"/>
      <c r="D856" s="35"/>
    </row>
    <row r="857" spans="3:4" x14ac:dyDescent="0.25">
      <c r="C857" s="37"/>
      <c r="D857" s="35"/>
    </row>
    <row r="858" spans="3:4" x14ac:dyDescent="0.25">
      <c r="C858" s="37"/>
      <c r="D858" s="35"/>
    </row>
    <row r="859" spans="3:4" x14ac:dyDescent="0.25">
      <c r="C859" s="37"/>
      <c r="D859" s="35"/>
    </row>
    <row r="860" spans="3:4" x14ac:dyDescent="0.25">
      <c r="C860" s="37"/>
      <c r="D860" s="35"/>
    </row>
    <row r="861" spans="3:4" x14ac:dyDescent="0.25">
      <c r="C861" s="37"/>
      <c r="D861" s="35"/>
    </row>
    <row r="862" spans="3:4" x14ac:dyDescent="0.25">
      <c r="C862" s="37"/>
      <c r="D862" s="35"/>
    </row>
    <row r="863" spans="3:4" x14ac:dyDescent="0.25">
      <c r="C863" s="37"/>
      <c r="D863" s="35"/>
    </row>
    <row r="864" spans="3:4" x14ac:dyDescent="0.25">
      <c r="C864" s="37"/>
      <c r="D864" s="35"/>
    </row>
    <row r="865" spans="3:4" x14ac:dyDescent="0.25">
      <c r="C865" s="37"/>
      <c r="D865" s="35"/>
    </row>
    <row r="866" spans="3:4" x14ac:dyDescent="0.25">
      <c r="C866" s="37"/>
      <c r="D866" s="35"/>
    </row>
    <row r="867" spans="3:4" x14ac:dyDescent="0.25">
      <c r="C867" s="37"/>
      <c r="D867" s="35"/>
    </row>
    <row r="868" spans="3:4" x14ac:dyDescent="0.25">
      <c r="C868" s="37"/>
      <c r="D868" s="35"/>
    </row>
    <row r="869" spans="3:4" x14ac:dyDescent="0.25">
      <c r="C869" s="37"/>
      <c r="D869" s="35"/>
    </row>
    <row r="870" spans="3:4" x14ac:dyDescent="0.25">
      <c r="C870" s="37"/>
      <c r="D870" s="35"/>
    </row>
    <row r="871" spans="3:4" x14ac:dyDescent="0.25">
      <c r="C871" s="37"/>
      <c r="D871" s="35"/>
    </row>
    <row r="872" spans="3:4" x14ac:dyDescent="0.25">
      <c r="C872" s="37"/>
      <c r="D872" s="35"/>
    </row>
    <row r="873" spans="3:4" x14ac:dyDescent="0.25">
      <c r="C873" s="37"/>
      <c r="D873" s="35"/>
    </row>
    <row r="874" spans="3:4" x14ac:dyDescent="0.25">
      <c r="C874" s="37"/>
      <c r="D874" s="35"/>
    </row>
    <row r="875" spans="3:4" x14ac:dyDescent="0.25">
      <c r="C875" s="37"/>
      <c r="D875" s="35"/>
    </row>
    <row r="876" spans="3:4" x14ac:dyDescent="0.25">
      <c r="C876" s="37"/>
      <c r="D876" s="35"/>
    </row>
    <row r="877" spans="3:4" x14ac:dyDescent="0.25">
      <c r="C877" s="37"/>
      <c r="D877" s="35"/>
    </row>
    <row r="878" spans="3:4" x14ac:dyDescent="0.25">
      <c r="C878" s="37"/>
      <c r="D878" s="35"/>
    </row>
    <row r="879" spans="3:4" x14ac:dyDescent="0.25">
      <c r="C879" s="37"/>
      <c r="D879" s="35"/>
    </row>
    <row r="880" spans="3:4" x14ac:dyDescent="0.25">
      <c r="C880" s="37"/>
      <c r="D880" s="35"/>
    </row>
    <row r="881" spans="3:4" x14ac:dyDescent="0.25">
      <c r="C881" s="37"/>
      <c r="D881" s="35"/>
    </row>
    <row r="882" spans="3:4" x14ac:dyDescent="0.25">
      <c r="C882" s="37"/>
      <c r="D882" s="35"/>
    </row>
    <row r="883" spans="3:4" x14ac:dyDescent="0.25">
      <c r="C883" s="37"/>
      <c r="D883" s="35"/>
    </row>
    <row r="884" spans="3:4" x14ac:dyDescent="0.25">
      <c r="C884" s="37"/>
      <c r="D884" s="35"/>
    </row>
    <row r="885" spans="3:4" x14ac:dyDescent="0.25">
      <c r="C885" s="37"/>
      <c r="D885" s="35"/>
    </row>
    <row r="886" spans="3:4" x14ac:dyDescent="0.25">
      <c r="C886" s="37"/>
      <c r="D886" s="35"/>
    </row>
    <row r="887" spans="3:4" x14ac:dyDescent="0.25">
      <c r="C887" s="37"/>
      <c r="D887" s="35"/>
    </row>
    <row r="888" spans="3:4" x14ac:dyDescent="0.25">
      <c r="C888" s="37"/>
      <c r="D888" s="35"/>
    </row>
    <row r="889" spans="3:4" x14ac:dyDescent="0.25">
      <c r="C889" s="37"/>
      <c r="D889" s="35"/>
    </row>
    <row r="890" spans="3:4" x14ac:dyDescent="0.25">
      <c r="C890" s="37"/>
      <c r="D890" s="35"/>
    </row>
    <row r="891" spans="3:4" x14ac:dyDescent="0.25">
      <c r="C891" s="37"/>
      <c r="D891" s="35"/>
    </row>
    <row r="892" spans="3:4" x14ac:dyDescent="0.25">
      <c r="C892" s="37"/>
      <c r="D892" s="35"/>
    </row>
    <row r="893" spans="3:4" x14ac:dyDescent="0.25">
      <c r="C893" s="37"/>
      <c r="D893" s="35"/>
    </row>
    <row r="894" spans="3:4" x14ac:dyDescent="0.25">
      <c r="C894" s="37"/>
      <c r="D894" s="35"/>
    </row>
    <row r="895" spans="3:4" x14ac:dyDescent="0.25">
      <c r="C895" s="37"/>
      <c r="D895" s="35"/>
    </row>
    <row r="896" spans="3:4" x14ac:dyDescent="0.25">
      <c r="C896" s="37"/>
      <c r="D896" s="35"/>
    </row>
    <row r="897" spans="3:4" x14ac:dyDescent="0.25">
      <c r="C897" s="37"/>
      <c r="D897" s="35"/>
    </row>
    <row r="898" spans="3:4" x14ac:dyDescent="0.25">
      <c r="C898" s="37"/>
      <c r="D898" s="35"/>
    </row>
    <row r="899" spans="3:4" x14ac:dyDescent="0.25">
      <c r="C899" s="37"/>
      <c r="D899" s="35"/>
    </row>
    <row r="900" spans="3:4" x14ac:dyDescent="0.25">
      <c r="C900" s="37"/>
      <c r="D900" s="35"/>
    </row>
    <row r="901" spans="3:4" x14ac:dyDescent="0.25">
      <c r="C901" s="37"/>
      <c r="D901" s="35"/>
    </row>
    <row r="902" spans="3:4" x14ac:dyDescent="0.25">
      <c r="C902" s="37"/>
      <c r="D902" s="35"/>
    </row>
    <row r="903" spans="3:4" x14ac:dyDescent="0.25">
      <c r="C903" s="37"/>
      <c r="D903" s="35"/>
    </row>
    <row r="904" spans="3:4" x14ac:dyDescent="0.25">
      <c r="C904" s="37"/>
      <c r="D904" s="35"/>
    </row>
    <row r="905" spans="3:4" x14ac:dyDescent="0.25">
      <c r="C905" s="37"/>
      <c r="D905" s="35"/>
    </row>
    <row r="906" spans="3:4" x14ac:dyDescent="0.25">
      <c r="C906" s="37"/>
      <c r="D906" s="35"/>
    </row>
    <row r="907" spans="3:4" x14ac:dyDescent="0.25">
      <c r="C907" s="37"/>
      <c r="D907" s="35"/>
    </row>
    <row r="908" spans="3:4" x14ac:dyDescent="0.25">
      <c r="C908" s="37"/>
      <c r="D908" s="35"/>
    </row>
    <row r="909" spans="3:4" x14ac:dyDescent="0.25">
      <c r="C909" s="37"/>
      <c r="D909" s="35"/>
    </row>
    <row r="910" spans="3:4" x14ac:dyDescent="0.25">
      <c r="C910" s="37"/>
      <c r="D910" s="35"/>
    </row>
    <row r="911" spans="3:4" x14ac:dyDescent="0.25">
      <c r="C911" s="37"/>
      <c r="D911" s="35"/>
    </row>
    <row r="912" spans="3:4" x14ac:dyDescent="0.25">
      <c r="C912" s="37"/>
      <c r="D912" s="35"/>
    </row>
    <row r="913" spans="3:4" x14ac:dyDescent="0.25">
      <c r="C913" s="37"/>
      <c r="D913" s="35"/>
    </row>
    <row r="914" spans="3:4" x14ac:dyDescent="0.25">
      <c r="C914" s="37"/>
      <c r="D914" s="35"/>
    </row>
    <row r="915" spans="3:4" x14ac:dyDescent="0.25">
      <c r="C915" s="37"/>
      <c r="D915" s="35"/>
    </row>
    <row r="916" spans="3:4" x14ac:dyDescent="0.25">
      <c r="C916" s="37"/>
      <c r="D916" s="35"/>
    </row>
    <row r="917" spans="3:4" x14ac:dyDescent="0.25">
      <c r="C917" s="37"/>
      <c r="D917" s="35"/>
    </row>
    <row r="918" spans="3:4" x14ac:dyDescent="0.25">
      <c r="C918" s="37"/>
      <c r="D918" s="35"/>
    </row>
    <row r="919" spans="3:4" x14ac:dyDescent="0.25">
      <c r="C919" s="37"/>
      <c r="D919" s="35"/>
    </row>
    <row r="920" spans="3:4" x14ac:dyDescent="0.25">
      <c r="C920" s="37"/>
      <c r="D920" s="35"/>
    </row>
    <row r="921" spans="3:4" x14ac:dyDescent="0.25">
      <c r="C921" s="37"/>
      <c r="D921" s="35"/>
    </row>
    <row r="922" spans="3:4" x14ac:dyDescent="0.25">
      <c r="C922" s="37"/>
      <c r="D922" s="35"/>
    </row>
    <row r="923" spans="3:4" x14ac:dyDescent="0.25">
      <c r="C923" s="37"/>
      <c r="D923" s="35"/>
    </row>
    <row r="924" spans="3:4" x14ac:dyDescent="0.25">
      <c r="C924" s="37"/>
      <c r="D924" s="35"/>
    </row>
    <row r="925" spans="3:4" x14ac:dyDescent="0.25">
      <c r="C925" s="37"/>
      <c r="D925" s="35"/>
    </row>
    <row r="926" spans="3:4" x14ac:dyDescent="0.25">
      <c r="C926" s="37"/>
      <c r="D926" s="35"/>
    </row>
    <row r="927" spans="3:4" x14ac:dyDescent="0.25">
      <c r="C927" s="37"/>
      <c r="D927" s="35"/>
    </row>
    <row r="928" spans="3:4" x14ac:dyDescent="0.25">
      <c r="C928" s="37"/>
      <c r="D928" s="35"/>
    </row>
    <row r="929" spans="3:4" x14ac:dyDescent="0.25">
      <c r="C929" s="37"/>
      <c r="D929" s="35"/>
    </row>
    <row r="930" spans="3:4" x14ac:dyDescent="0.25">
      <c r="C930" s="37"/>
      <c r="D930" s="35"/>
    </row>
    <row r="931" spans="3:4" x14ac:dyDescent="0.25">
      <c r="C931" s="37"/>
      <c r="D931" s="35"/>
    </row>
    <row r="932" spans="3:4" x14ac:dyDescent="0.25">
      <c r="C932" s="37"/>
      <c r="D932" s="35"/>
    </row>
    <row r="933" spans="3:4" x14ac:dyDescent="0.25">
      <c r="C933" s="37"/>
      <c r="D933" s="35"/>
    </row>
    <row r="934" spans="3:4" x14ac:dyDescent="0.25">
      <c r="C934" s="37"/>
      <c r="D934" s="35"/>
    </row>
    <row r="935" spans="3:4" x14ac:dyDescent="0.25">
      <c r="C935" s="37"/>
      <c r="D935" s="35"/>
    </row>
    <row r="936" spans="3:4" x14ac:dyDescent="0.25">
      <c r="C936" s="37"/>
      <c r="D936" s="35"/>
    </row>
    <row r="937" spans="3:4" x14ac:dyDescent="0.25">
      <c r="C937" s="37"/>
      <c r="D937" s="35"/>
    </row>
    <row r="938" spans="3:4" x14ac:dyDescent="0.25">
      <c r="C938" s="37"/>
      <c r="D938" s="35"/>
    </row>
    <row r="939" spans="3:4" x14ac:dyDescent="0.25">
      <c r="C939" s="37"/>
      <c r="D939" s="35"/>
    </row>
    <row r="940" spans="3:4" x14ac:dyDescent="0.25">
      <c r="C940" s="37"/>
      <c r="D940" s="35"/>
    </row>
    <row r="941" spans="3:4" x14ac:dyDescent="0.25">
      <c r="C941" s="37"/>
      <c r="D941" s="35"/>
    </row>
    <row r="942" spans="3:4" x14ac:dyDescent="0.25">
      <c r="C942" s="37"/>
      <c r="D942" s="35"/>
    </row>
    <row r="943" spans="3:4" x14ac:dyDescent="0.25">
      <c r="C943" s="37"/>
      <c r="D943" s="35"/>
    </row>
    <row r="944" spans="3:4" x14ac:dyDescent="0.25">
      <c r="C944" s="37"/>
      <c r="D944" s="35"/>
    </row>
    <row r="945" spans="3:4" x14ac:dyDescent="0.25">
      <c r="C945" s="37"/>
      <c r="D945" s="35"/>
    </row>
    <row r="946" spans="3:4" x14ac:dyDescent="0.25">
      <c r="C946" s="37"/>
      <c r="D946" s="35"/>
    </row>
    <row r="947" spans="3:4" x14ac:dyDescent="0.25">
      <c r="C947" s="37"/>
      <c r="D947" s="35"/>
    </row>
    <row r="948" spans="3:4" x14ac:dyDescent="0.25">
      <c r="C948" s="37"/>
      <c r="D948" s="35"/>
    </row>
    <row r="949" spans="3:4" x14ac:dyDescent="0.25">
      <c r="C949" s="37"/>
      <c r="D949" s="35"/>
    </row>
    <row r="950" spans="3:4" x14ac:dyDescent="0.25">
      <c r="C950" s="37"/>
      <c r="D950" s="35"/>
    </row>
    <row r="951" spans="3:4" x14ac:dyDescent="0.25">
      <c r="C951" s="37"/>
      <c r="D951" s="35"/>
    </row>
    <row r="952" spans="3:4" x14ac:dyDescent="0.25">
      <c r="C952" s="37"/>
      <c r="D952" s="35"/>
    </row>
    <row r="953" spans="3:4" x14ac:dyDescent="0.25">
      <c r="C953" s="37"/>
      <c r="D953" s="35"/>
    </row>
    <row r="954" spans="3:4" x14ac:dyDescent="0.25">
      <c r="C954" s="37"/>
      <c r="D954" s="35"/>
    </row>
    <row r="955" spans="3:4" x14ac:dyDescent="0.25">
      <c r="C955" s="37"/>
      <c r="D955" s="35"/>
    </row>
    <row r="956" spans="3:4" x14ac:dyDescent="0.25">
      <c r="C956" s="37"/>
      <c r="D956" s="35"/>
    </row>
    <row r="957" spans="3:4" x14ac:dyDescent="0.25">
      <c r="C957" s="37"/>
      <c r="D957" s="35"/>
    </row>
    <row r="958" spans="3:4" x14ac:dyDescent="0.25">
      <c r="C958" s="37"/>
      <c r="D958" s="35"/>
    </row>
    <row r="959" spans="3:4" x14ac:dyDescent="0.25">
      <c r="C959" s="37"/>
      <c r="D959" s="35"/>
    </row>
    <row r="960" spans="3:4" x14ac:dyDescent="0.25">
      <c r="C960" s="37"/>
      <c r="D960" s="35"/>
    </row>
    <row r="961" spans="3:4" x14ac:dyDescent="0.25">
      <c r="C961" s="37"/>
      <c r="D961" s="35"/>
    </row>
    <row r="962" spans="3:4" x14ac:dyDescent="0.25">
      <c r="C962" s="37"/>
      <c r="D962" s="35"/>
    </row>
    <row r="963" spans="3:4" x14ac:dyDescent="0.25">
      <c r="C963" s="37"/>
      <c r="D963" s="35"/>
    </row>
    <row r="964" spans="3:4" x14ac:dyDescent="0.25">
      <c r="C964" s="37"/>
      <c r="D964" s="35"/>
    </row>
    <row r="965" spans="3:4" x14ac:dyDescent="0.25">
      <c r="C965" s="37"/>
      <c r="D965" s="35"/>
    </row>
    <row r="966" spans="3:4" x14ac:dyDescent="0.25">
      <c r="C966" s="37"/>
      <c r="D966" s="35"/>
    </row>
    <row r="967" spans="3:4" x14ac:dyDescent="0.25">
      <c r="C967" s="37"/>
      <c r="D967" s="35"/>
    </row>
    <row r="968" spans="3:4" x14ac:dyDescent="0.25">
      <c r="C968" s="37"/>
      <c r="D968" s="35"/>
    </row>
    <row r="969" spans="3:4" x14ac:dyDescent="0.25">
      <c r="C969" s="37"/>
      <c r="D969" s="35"/>
    </row>
    <row r="970" spans="3:4" x14ac:dyDescent="0.25">
      <c r="C970" s="37"/>
      <c r="D970" s="35"/>
    </row>
    <row r="971" spans="3:4" x14ac:dyDescent="0.25">
      <c r="C971" s="37"/>
      <c r="D971" s="35"/>
    </row>
    <row r="972" spans="3:4" x14ac:dyDescent="0.25">
      <c r="C972" s="37"/>
      <c r="D972" s="35"/>
    </row>
    <row r="973" spans="3:4" x14ac:dyDescent="0.25">
      <c r="C973" s="37"/>
      <c r="D973" s="35"/>
    </row>
    <row r="974" spans="3:4" x14ac:dyDescent="0.25">
      <c r="C974" s="37"/>
      <c r="D974" s="35"/>
    </row>
    <row r="975" spans="3:4" x14ac:dyDescent="0.25">
      <c r="C975" s="37"/>
      <c r="D975" s="35"/>
    </row>
    <row r="976" spans="3:4" x14ac:dyDescent="0.25">
      <c r="C976" s="37"/>
      <c r="D976" s="35"/>
    </row>
    <row r="977" spans="3:4" x14ac:dyDescent="0.25">
      <c r="C977" s="37"/>
      <c r="D977" s="35"/>
    </row>
    <row r="978" spans="3:4" x14ac:dyDescent="0.25">
      <c r="C978" s="37"/>
      <c r="D978" s="35"/>
    </row>
    <row r="979" spans="3:4" x14ac:dyDescent="0.25">
      <c r="C979" s="37"/>
      <c r="D979" s="35"/>
    </row>
    <row r="980" spans="3:4" x14ac:dyDescent="0.25">
      <c r="C980" s="37"/>
      <c r="D980" s="35"/>
    </row>
    <row r="981" spans="3:4" x14ac:dyDescent="0.25">
      <c r="C981" s="37"/>
      <c r="D981" s="35"/>
    </row>
    <row r="982" spans="3:4" x14ac:dyDescent="0.25">
      <c r="C982" s="37"/>
      <c r="D982" s="35"/>
    </row>
    <row r="983" spans="3:4" x14ac:dyDescent="0.25">
      <c r="C983" s="37"/>
      <c r="D983" s="35"/>
    </row>
    <row r="984" spans="3:4" x14ac:dyDescent="0.25">
      <c r="C984" s="37"/>
      <c r="D984" s="35"/>
    </row>
    <row r="985" spans="3:4" x14ac:dyDescent="0.25">
      <c r="C985" s="37"/>
      <c r="D985" s="35"/>
    </row>
    <row r="986" spans="3:4" x14ac:dyDescent="0.25">
      <c r="C986" s="37"/>
      <c r="D986" s="35"/>
    </row>
    <row r="987" spans="3:4" x14ac:dyDescent="0.25">
      <c r="C987" s="37"/>
      <c r="D987" s="35"/>
    </row>
    <row r="988" spans="3:4" x14ac:dyDescent="0.25">
      <c r="C988" s="37"/>
      <c r="D988" s="35"/>
    </row>
    <row r="989" spans="3:4" x14ac:dyDescent="0.25">
      <c r="C989" s="37"/>
      <c r="D989" s="35"/>
    </row>
    <row r="990" spans="3:4" x14ac:dyDescent="0.25">
      <c r="C990" s="37"/>
      <c r="D990" s="35"/>
    </row>
    <row r="991" spans="3:4" x14ac:dyDescent="0.25">
      <c r="C991" s="37"/>
      <c r="D991" s="35"/>
    </row>
    <row r="992" spans="3:4" x14ac:dyDescent="0.25">
      <c r="C992" s="37"/>
      <c r="D992" s="35"/>
    </row>
    <row r="993" spans="3:4" x14ac:dyDescent="0.25">
      <c r="C993" s="37"/>
      <c r="D993" s="35"/>
    </row>
    <row r="994" spans="3:4" x14ac:dyDescent="0.25">
      <c r="C994" s="37"/>
      <c r="D994" s="35"/>
    </row>
    <row r="995" spans="3:4" x14ac:dyDescent="0.25">
      <c r="C995" s="37"/>
      <c r="D995" s="35"/>
    </row>
    <row r="996" spans="3:4" x14ac:dyDescent="0.25">
      <c r="C996" s="37"/>
      <c r="D996" s="35"/>
    </row>
    <row r="997" spans="3:4" x14ac:dyDescent="0.25">
      <c r="C997" s="37"/>
      <c r="D997" s="35"/>
    </row>
    <row r="998" spans="3:4" x14ac:dyDescent="0.25">
      <c r="C998" s="37"/>
      <c r="D998" s="35"/>
    </row>
    <row r="999" spans="3:4" x14ac:dyDescent="0.25">
      <c r="C999" s="37"/>
      <c r="D999" s="35"/>
    </row>
    <row r="1000" spans="3:4" x14ac:dyDescent="0.25">
      <c r="C1000" s="37"/>
      <c r="D1000" s="35"/>
    </row>
    <row r="1001" spans="3:4" x14ac:dyDescent="0.25">
      <c r="C1001" s="37"/>
      <c r="D1001" s="35"/>
    </row>
    <row r="1002" spans="3:4" x14ac:dyDescent="0.25">
      <c r="C1002" s="37"/>
      <c r="D1002" s="35"/>
    </row>
    <row r="1003" spans="3:4" x14ac:dyDescent="0.25">
      <c r="C1003" s="37"/>
      <c r="D1003" s="35"/>
    </row>
    <row r="1004" spans="3:4" x14ac:dyDescent="0.25">
      <c r="C1004" s="37"/>
      <c r="D1004" s="35"/>
    </row>
    <row r="1005" spans="3:4" x14ac:dyDescent="0.25">
      <c r="C1005" s="37"/>
      <c r="D1005" s="35"/>
    </row>
    <row r="1006" spans="3:4" x14ac:dyDescent="0.25">
      <c r="C1006" s="37"/>
      <c r="D1006" s="35"/>
    </row>
    <row r="1007" spans="3:4" x14ac:dyDescent="0.25">
      <c r="C1007" s="37"/>
      <c r="D1007" s="35"/>
    </row>
    <row r="1008" spans="3:4" x14ac:dyDescent="0.25">
      <c r="C1008" s="37"/>
      <c r="D1008" s="35"/>
    </row>
    <row r="1009" spans="3:4" x14ac:dyDescent="0.25">
      <c r="C1009" s="37"/>
      <c r="D1009" s="35"/>
    </row>
    <row r="1010" spans="3:4" x14ac:dyDescent="0.25">
      <c r="C1010" s="37"/>
      <c r="D1010" s="35"/>
    </row>
    <row r="1011" spans="3:4" x14ac:dyDescent="0.25">
      <c r="C1011" s="37"/>
      <c r="D1011" s="35"/>
    </row>
    <row r="1012" spans="3:4" x14ac:dyDescent="0.25">
      <c r="C1012" s="37"/>
      <c r="D1012" s="35"/>
    </row>
    <row r="1013" spans="3:4" x14ac:dyDescent="0.25">
      <c r="C1013" s="37"/>
      <c r="D1013" s="35"/>
    </row>
    <row r="1014" spans="3:4" x14ac:dyDescent="0.25">
      <c r="C1014" s="37"/>
      <c r="D1014" s="35"/>
    </row>
    <row r="1015" spans="3:4" x14ac:dyDescent="0.25">
      <c r="C1015" s="37"/>
      <c r="D1015" s="35"/>
    </row>
    <row r="1016" spans="3:4" x14ac:dyDescent="0.25">
      <c r="C1016" s="37"/>
      <c r="D1016" s="35"/>
    </row>
    <row r="1017" spans="3:4" x14ac:dyDescent="0.25">
      <c r="C1017" s="37"/>
      <c r="D1017" s="35"/>
    </row>
    <row r="1018" spans="3:4" x14ac:dyDescent="0.25">
      <c r="C1018" s="37"/>
      <c r="D1018" s="35"/>
    </row>
    <row r="1019" spans="3:4" x14ac:dyDescent="0.25">
      <c r="C1019" s="37"/>
      <c r="D1019" s="35"/>
    </row>
    <row r="1020" spans="3:4" x14ac:dyDescent="0.25">
      <c r="C1020" s="37"/>
      <c r="D1020" s="35"/>
    </row>
    <row r="1021" spans="3:4" x14ac:dyDescent="0.25">
      <c r="C1021" s="37"/>
      <c r="D1021" s="35"/>
    </row>
    <row r="1022" spans="3:4" x14ac:dyDescent="0.25">
      <c r="C1022" s="37"/>
      <c r="D1022" s="35"/>
    </row>
    <row r="1023" spans="3:4" x14ac:dyDescent="0.25">
      <c r="C1023" s="37"/>
      <c r="D1023" s="35"/>
    </row>
    <row r="1024" spans="3:4" x14ac:dyDescent="0.25">
      <c r="C1024" s="37"/>
      <c r="D1024" s="35"/>
    </row>
    <row r="1025" spans="3:4" x14ac:dyDescent="0.25">
      <c r="C1025" s="37"/>
      <c r="D1025" s="35"/>
    </row>
    <row r="1026" spans="3:4" x14ac:dyDescent="0.25">
      <c r="C1026" s="37"/>
      <c r="D1026" s="35"/>
    </row>
    <row r="1027" spans="3:4" x14ac:dyDescent="0.25">
      <c r="C1027" s="37"/>
      <c r="D1027" s="35"/>
    </row>
    <row r="1028" spans="3:4" x14ac:dyDescent="0.25">
      <c r="C1028" s="37"/>
      <c r="D1028" s="35"/>
    </row>
    <row r="1029" spans="3:4" x14ac:dyDescent="0.25">
      <c r="C1029" s="37"/>
      <c r="D1029" s="35"/>
    </row>
    <row r="1030" spans="3:4" x14ac:dyDescent="0.25">
      <c r="C1030" s="37"/>
      <c r="D1030" s="35"/>
    </row>
    <row r="1031" spans="3:4" x14ac:dyDescent="0.25">
      <c r="C1031" s="37"/>
      <c r="D1031" s="35"/>
    </row>
    <row r="1032" spans="3:4" x14ac:dyDescent="0.25">
      <c r="C1032" s="37"/>
      <c r="D1032" s="35"/>
    </row>
    <row r="1033" spans="3:4" x14ac:dyDescent="0.25">
      <c r="C1033" s="37"/>
      <c r="D1033" s="35"/>
    </row>
    <row r="1034" spans="3:4" x14ac:dyDescent="0.25">
      <c r="C1034" s="37"/>
      <c r="D1034" s="35"/>
    </row>
    <row r="1035" spans="3:4" x14ac:dyDescent="0.25">
      <c r="C1035" s="37"/>
      <c r="D1035" s="35"/>
    </row>
    <row r="1036" spans="3:4" x14ac:dyDescent="0.25">
      <c r="C1036" s="37"/>
      <c r="D1036" s="35"/>
    </row>
    <row r="1037" spans="3:4" x14ac:dyDescent="0.25">
      <c r="C1037" s="37"/>
      <c r="D1037" s="35"/>
    </row>
    <row r="1038" spans="3:4" x14ac:dyDescent="0.25">
      <c r="C1038" s="37"/>
      <c r="D1038" s="35"/>
    </row>
    <row r="1039" spans="3:4" x14ac:dyDescent="0.25">
      <c r="C1039" s="37"/>
      <c r="D1039" s="35"/>
    </row>
    <row r="1040" spans="3:4" x14ac:dyDescent="0.25">
      <c r="C1040" s="37"/>
      <c r="D1040" s="35"/>
    </row>
    <row r="1041" spans="3:4" x14ac:dyDescent="0.25">
      <c r="C1041" s="37"/>
      <c r="D1041" s="35"/>
    </row>
    <row r="1042" spans="3:4" x14ac:dyDescent="0.25">
      <c r="C1042" s="37"/>
      <c r="D1042" s="35"/>
    </row>
    <row r="1043" spans="3:4" x14ac:dyDescent="0.25">
      <c r="C1043" s="37"/>
      <c r="D1043" s="35"/>
    </row>
    <row r="1044" spans="3:4" x14ac:dyDescent="0.25">
      <c r="C1044" s="37"/>
      <c r="D1044" s="35"/>
    </row>
    <row r="1045" spans="3:4" x14ac:dyDescent="0.25">
      <c r="C1045" s="37"/>
      <c r="D1045" s="35"/>
    </row>
    <row r="1046" spans="3:4" x14ac:dyDescent="0.25">
      <c r="C1046" s="37"/>
      <c r="D1046" s="35"/>
    </row>
    <row r="1047" spans="3:4" x14ac:dyDescent="0.25">
      <c r="C1047" s="37"/>
      <c r="D1047" s="35"/>
    </row>
    <row r="1048" spans="3:4" x14ac:dyDescent="0.25">
      <c r="C1048" s="37"/>
      <c r="D1048" s="35"/>
    </row>
    <row r="1049" spans="3:4" x14ac:dyDescent="0.25">
      <c r="C1049" s="37"/>
      <c r="D1049" s="35"/>
    </row>
    <row r="1050" spans="3:4" x14ac:dyDescent="0.25">
      <c r="C1050" s="37"/>
      <c r="D1050" s="35"/>
    </row>
    <row r="1051" spans="3:4" x14ac:dyDescent="0.25">
      <c r="C1051" s="37"/>
      <c r="D1051" s="35"/>
    </row>
    <row r="1052" spans="3:4" x14ac:dyDescent="0.25">
      <c r="C1052" s="37"/>
      <c r="D1052" s="35"/>
    </row>
    <row r="1053" spans="3:4" x14ac:dyDescent="0.25">
      <c r="C1053" s="37"/>
      <c r="D1053" s="35"/>
    </row>
    <row r="1054" spans="3:4" x14ac:dyDescent="0.25">
      <c r="C1054" s="37"/>
      <c r="D1054" s="35"/>
    </row>
    <row r="1055" spans="3:4" x14ac:dyDescent="0.25">
      <c r="C1055" s="37"/>
      <c r="D1055" s="35"/>
    </row>
    <row r="1056" spans="3:4" x14ac:dyDescent="0.25">
      <c r="C1056" s="37"/>
      <c r="D1056" s="35"/>
    </row>
    <row r="1057" spans="3:4" x14ac:dyDescent="0.25">
      <c r="C1057" s="37"/>
      <c r="D1057" s="35"/>
    </row>
    <row r="1058" spans="3:4" x14ac:dyDescent="0.25">
      <c r="C1058" s="37"/>
      <c r="D1058" s="35"/>
    </row>
    <row r="1059" spans="3:4" x14ac:dyDescent="0.25">
      <c r="C1059" s="37"/>
      <c r="D1059" s="35"/>
    </row>
    <row r="1060" spans="3:4" x14ac:dyDescent="0.25">
      <c r="C1060" s="37"/>
      <c r="D1060" s="35"/>
    </row>
    <row r="1061" spans="3:4" x14ac:dyDescent="0.25">
      <c r="C1061" s="37"/>
      <c r="D1061" s="35"/>
    </row>
    <row r="1062" spans="3:4" x14ac:dyDescent="0.25">
      <c r="C1062" s="37"/>
      <c r="D1062" s="35"/>
    </row>
    <row r="1063" spans="3:4" x14ac:dyDescent="0.25">
      <c r="C1063" s="37"/>
      <c r="D1063" s="35"/>
    </row>
    <row r="1064" spans="3:4" x14ac:dyDescent="0.25">
      <c r="C1064" s="37"/>
      <c r="D1064" s="35"/>
    </row>
    <row r="1065" spans="3:4" x14ac:dyDescent="0.25">
      <c r="C1065" s="37"/>
      <c r="D1065" s="35"/>
    </row>
    <row r="1066" spans="3:4" x14ac:dyDescent="0.25">
      <c r="C1066" s="37"/>
      <c r="D1066" s="35"/>
    </row>
    <row r="1067" spans="3:4" x14ac:dyDescent="0.25">
      <c r="C1067" s="37"/>
      <c r="D1067" s="35"/>
    </row>
    <row r="1068" spans="3:4" x14ac:dyDescent="0.25">
      <c r="C1068" s="37"/>
      <c r="D1068" s="35"/>
    </row>
    <row r="1069" spans="3:4" x14ac:dyDescent="0.25">
      <c r="C1069" s="37"/>
      <c r="D1069" s="35"/>
    </row>
    <row r="1070" spans="3:4" x14ac:dyDescent="0.25">
      <c r="C1070" s="37"/>
      <c r="D1070" s="35"/>
    </row>
    <row r="1071" spans="3:4" x14ac:dyDescent="0.25">
      <c r="C1071" s="37"/>
      <c r="D1071" s="35"/>
    </row>
    <row r="1072" spans="3:4" x14ac:dyDescent="0.25">
      <c r="C1072" s="37"/>
      <c r="D1072" s="35"/>
    </row>
    <row r="1073" spans="3:4" x14ac:dyDescent="0.25">
      <c r="C1073" s="37"/>
      <c r="D1073" s="35"/>
    </row>
    <row r="1074" spans="3:4" x14ac:dyDescent="0.25">
      <c r="C1074" s="37"/>
      <c r="D1074" s="35"/>
    </row>
    <row r="1075" spans="3:4" x14ac:dyDescent="0.25">
      <c r="C1075" s="37"/>
      <c r="D1075" s="35"/>
    </row>
    <row r="1076" spans="3:4" x14ac:dyDescent="0.25">
      <c r="C1076" s="37"/>
      <c r="D1076" s="35"/>
    </row>
    <row r="1077" spans="3:4" x14ac:dyDescent="0.25">
      <c r="C1077" s="37"/>
      <c r="D1077" s="35"/>
    </row>
    <row r="1078" spans="3:4" x14ac:dyDescent="0.25">
      <c r="C1078" s="37"/>
      <c r="D1078" s="35"/>
    </row>
    <row r="1079" spans="3:4" x14ac:dyDescent="0.25">
      <c r="C1079" s="37"/>
      <c r="D1079" s="35"/>
    </row>
    <row r="1080" spans="3:4" x14ac:dyDescent="0.25">
      <c r="C1080" s="37"/>
      <c r="D1080" s="35"/>
    </row>
    <row r="1081" spans="3:4" x14ac:dyDescent="0.25">
      <c r="C1081" s="37"/>
      <c r="D1081" s="35"/>
    </row>
    <row r="1082" spans="3:4" x14ac:dyDescent="0.25">
      <c r="C1082" s="37"/>
      <c r="D1082" s="35"/>
    </row>
    <row r="1083" spans="3:4" x14ac:dyDescent="0.25">
      <c r="C1083" s="37"/>
      <c r="D1083" s="35"/>
    </row>
    <row r="1084" spans="3:4" x14ac:dyDescent="0.25">
      <c r="C1084" s="37"/>
      <c r="D1084" s="35"/>
    </row>
    <row r="1085" spans="3:4" x14ac:dyDescent="0.25">
      <c r="C1085" s="37"/>
      <c r="D1085" s="35"/>
    </row>
    <row r="1086" spans="3:4" x14ac:dyDescent="0.25">
      <c r="C1086" s="37"/>
      <c r="D1086" s="35"/>
    </row>
    <row r="1087" spans="3:4" x14ac:dyDescent="0.25">
      <c r="C1087" s="37"/>
      <c r="D1087" s="35"/>
    </row>
    <row r="1088" spans="3:4" x14ac:dyDescent="0.25">
      <c r="C1088" s="37"/>
      <c r="D1088" s="35"/>
    </row>
    <row r="1089" spans="3:4" x14ac:dyDescent="0.25">
      <c r="C1089" s="37"/>
      <c r="D1089" s="35"/>
    </row>
    <row r="1090" spans="3:4" x14ac:dyDescent="0.25">
      <c r="C1090" s="37"/>
      <c r="D1090" s="35"/>
    </row>
    <row r="1091" spans="3:4" x14ac:dyDescent="0.25">
      <c r="C1091" s="37"/>
      <c r="D1091" s="35"/>
    </row>
    <row r="1092" spans="3:4" x14ac:dyDescent="0.25">
      <c r="C1092" s="37"/>
      <c r="D1092" s="35"/>
    </row>
    <row r="1093" spans="3:4" x14ac:dyDescent="0.25">
      <c r="C1093" s="37"/>
      <c r="D1093" s="35"/>
    </row>
    <row r="1094" spans="3:4" x14ac:dyDescent="0.25">
      <c r="C1094" s="37"/>
      <c r="D1094" s="35"/>
    </row>
    <row r="1095" spans="3:4" x14ac:dyDescent="0.25">
      <c r="C1095" s="37"/>
      <c r="D1095" s="35"/>
    </row>
    <row r="1096" spans="3:4" x14ac:dyDescent="0.25">
      <c r="C1096" s="37"/>
      <c r="D1096" s="35"/>
    </row>
    <row r="1097" spans="3:4" x14ac:dyDescent="0.25">
      <c r="C1097" s="37"/>
      <c r="D1097" s="35"/>
    </row>
    <row r="1098" spans="3:4" x14ac:dyDescent="0.25">
      <c r="C1098" s="37"/>
      <c r="D1098" s="35"/>
    </row>
    <row r="1099" spans="3:4" x14ac:dyDescent="0.25">
      <c r="C1099" s="37"/>
      <c r="D1099" s="35"/>
    </row>
    <row r="1100" spans="3:4" x14ac:dyDescent="0.25">
      <c r="C1100" s="37"/>
      <c r="D1100" s="35"/>
    </row>
    <row r="1101" spans="3:4" x14ac:dyDescent="0.25">
      <c r="C1101" s="37"/>
      <c r="D1101" s="35"/>
    </row>
    <row r="1102" spans="3:4" x14ac:dyDescent="0.25">
      <c r="C1102" s="37"/>
      <c r="D1102" s="35"/>
    </row>
    <row r="1103" spans="3:4" x14ac:dyDescent="0.25">
      <c r="C1103" s="37"/>
      <c r="D1103" s="35"/>
    </row>
    <row r="1104" spans="3:4" x14ac:dyDescent="0.25">
      <c r="C1104" s="37"/>
      <c r="D1104" s="35"/>
    </row>
    <row r="1105" spans="3:4" x14ac:dyDescent="0.25">
      <c r="C1105" s="37"/>
      <c r="D1105" s="35"/>
    </row>
    <row r="1106" spans="3:4" x14ac:dyDescent="0.25">
      <c r="C1106" s="37"/>
      <c r="D1106" s="35"/>
    </row>
    <row r="1107" spans="3:4" x14ac:dyDescent="0.25">
      <c r="C1107" s="37"/>
      <c r="D1107" s="35"/>
    </row>
    <row r="1108" spans="3:4" x14ac:dyDescent="0.25">
      <c r="C1108" s="37"/>
      <c r="D1108" s="35"/>
    </row>
    <row r="1109" spans="3:4" x14ac:dyDescent="0.25">
      <c r="C1109" s="37"/>
      <c r="D1109" s="35"/>
    </row>
    <row r="1110" spans="3:4" x14ac:dyDescent="0.25">
      <c r="C1110" s="37"/>
      <c r="D1110" s="35"/>
    </row>
    <row r="1111" spans="3:4" x14ac:dyDescent="0.25">
      <c r="C1111" s="37"/>
      <c r="D1111" s="35"/>
    </row>
    <row r="1112" spans="3:4" x14ac:dyDescent="0.25">
      <c r="C1112" s="37"/>
      <c r="D1112" s="35"/>
    </row>
    <row r="1113" spans="3:4" x14ac:dyDescent="0.25">
      <c r="C1113" s="37"/>
      <c r="D1113" s="35"/>
    </row>
    <row r="1114" spans="3:4" x14ac:dyDescent="0.25">
      <c r="C1114" s="37"/>
      <c r="D1114" s="35"/>
    </row>
    <row r="1115" spans="3:4" x14ac:dyDescent="0.25">
      <c r="C1115" s="37"/>
      <c r="D1115" s="35"/>
    </row>
    <row r="1116" spans="3:4" x14ac:dyDescent="0.25">
      <c r="C1116" s="37"/>
      <c r="D1116" s="35"/>
    </row>
    <row r="1117" spans="3:4" x14ac:dyDescent="0.25">
      <c r="C1117" s="37"/>
      <c r="D1117" s="35"/>
    </row>
    <row r="1118" spans="3:4" x14ac:dyDescent="0.25">
      <c r="C1118" s="37"/>
      <c r="D1118" s="35"/>
    </row>
    <row r="1119" spans="3:4" x14ac:dyDescent="0.25">
      <c r="C1119" s="37"/>
      <c r="D1119" s="35"/>
    </row>
    <row r="1120" spans="3:4" x14ac:dyDescent="0.25">
      <c r="C1120" s="37"/>
      <c r="D1120" s="35"/>
    </row>
    <row r="1121" spans="3:4" x14ac:dyDescent="0.25">
      <c r="C1121" s="37"/>
      <c r="D1121" s="35"/>
    </row>
    <row r="1122" spans="3:4" x14ac:dyDescent="0.25">
      <c r="C1122" s="37"/>
      <c r="D1122" s="35"/>
    </row>
    <row r="1123" spans="3:4" x14ac:dyDescent="0.25">
      <c r="C1123" s="37"/>
      <c r="D1123" s="35"/>
    </row>
    <row r="1124" spans="3:4" x14ac:dyDescent="0.25">
      <c r="C1124" s="37"/>
      <c r="D1124" s="35"/>
    </row>
    <row r="1125" spans="3:4" x14ac:dyDescent="0.25">
      <c r="C1125" s="37"/>
      <c r="D1125" s="35"/>
    </row>
    <row r="1126" spans="3:4" x14ac:dyDescent="0.25">
      <c r="C1126" s="37"/>
      <c r="D1126" s="35"/>
    </row>
    <row r="1127" spans="3:4" x14ac:dyDescent="0.25">
      <c r="C1127" s="37"/>
      <c r="D1127" s="35"/>
    </row>
    <row r="1128" spans="3:4" x14ac:dyDescent="0.25">
      <c r="C1128" s="37"/>
      <c r="D1128" s="35"/>
    </row>
    <row r="1129" spans="3:4" x14ac:dyDescent="0.25">
      <c r="C1129" s="37"/>
      <c r="D1129" s="35"/>
    </row>
    <row r="1130" spans="3:4" x14ac:dyDescent="0.25">
      <c r="C1130" s="37"/>
      <c r="D1130" s="35"/>
    </row>
    <row r="1131" spans="3:4" x14ac:dyDescent="0.25">
      <c r="C1131" s="37"/>
      <c r="D1131" s="35"/>
    </row>
    <row r="1132" spans="3:4" x14ac:dyDescent="0.25">
      <c r="C1132" s="37"/>
      <c r="D1132" s="35"/>
    </row>
    <row r="1133" spans="3:4" x14ac:dyDescent="0.25">
      <c r="C1133" s="37"/>
      <c r="D1133" s="35"/>
    </row>
    <row r="1134" spans="3:4" x14ac:dyDescent="0.25">
      <c r="C1134" s="37"/>
      <c r="D1134" s="35"/>
    </row>
    <row r="1135" spans="3:4" x14ac:dyDescent="0.25">
      <c r="C1135" s="37"/>
      <c r="D1135" s="35"/>
    </row>
    <row r="1136" spans="3:4" x14ac:dyDescent="0.25">
      <c r="C1136" s="37"/>
      <c r="D1136" s="35"/>
    </row>
    <row r="1137" spans="3:4" x14ac:dyDescent="0.25">
      <c r="C1137" s="37"/>
      <c r="D1137" s="35"/>
    </row>
    <row r="1138" spans="3:4" x14ac:dyDescent="0.25">
      <c r="C1138" s="37"/>
      <c r="D1138" s="35"/>
    </row>
    <row r="1139" spans="3:4" x14ac:dyDescent="0.25">
      <c r="C1139" s="37"/>
      <c r="D1139" s="35"/>
    </row>
    <row r="1140" spans="3:4" x14ac:dyDescent="0.25">
      <c r="C1140" s="37"/>
      <c r="D1140" s="35"/>
    </row>
    <row r="1141" spans="3:4" x14ac:dyDescent="0.25">
      <c r="C1141" s="37"/>
      <c r="D1141" s="35"/>
    </row>
    <row r="1142" spans="3:4" x14ac:dyDescent="0.25">
      <c r="C1142" s="37"/>
      <c r="D1142" s="35"/>
    </row>
    <row r="1143" spans="3:4" x14ac:dyDescent="0.25">
      <c r="C1143" s="37"/>
      <c r="D1143" s="35"/>
    </row>
    <row r="1144" spans="3:4" x14ac:dyDescent="0.25">
      <c r="C1144" s="37"/>
      <c r="D1144" s="35"/>
    </row>
    <row r="1145" spans="3:4" x14ac:dyDescent="0.25">
      <c r="C1145" s="37"/>
      <c r="D1145" s="35"/>
    </row>
    <row r="1146" spans="3:4" x14ac:dyDescent="0.25">
      <c r="C1146" s="37"/>
      <c r="D1146" s="35"/>
    </row>
    <row r="1147" spans="3:4" x14ac:dyDescent="0.25">
      <c r="C1147" s="37"/>
      <c r="D1147" s="35"/>
    </row>
    <row r="1148" spans="3:4" x14ac:dyDescent="0.25">
      <c r="C1148" s="37"/>
      <c r="D1148" s="35"/>
    </row>
    <row r="1149" spans="3:4" x14ac:dyDescent="0.25">
      <c r="C1149" s="37"/>
      <c r="D1149" s="35"/>
    </row>
    <row r="1150" spans="3:4" x14ac:dyDescent="0.25">
      <c r="C1150" s="37"/>
      <c r="D1150" s="35"/>
    </row>
    <row r="1151" spans="3:4" x14ac:dyDescent="0.25">
      <c r="C1151" s="37"/>
      <c r="D1151" s="35"/>
    </row>
    <row r="1152" spans="3:4" x14ac:dyDescent="0.25">
      <c r="C1152" s="37"/>
      <c r="D1152" s="35"/>
    </row>
    <row r="1153" spans="3:4" x14ac:dyDescent="0.25">
      <c r="C1153" s="37"/>
      <c r="D1153" s="35"/>
    </row>
    <row r="1154" spans="3:4" x14ac:dyDescent="0.25">
      <c r="C1154" s="37"/>
      <c r="D1154" s="35"/>
    </row>
    <row r="1155" spans="3:4" x14ac:dyDescent="0.25">
      <c r="C1155" s="37"/>
      <c r="D1155" s="35"/>
    </row>
    <row r="1156" spans="3:4" x14ac:dyDescent="0.25">
      <c r="C1156" s="37"/>
      <c r="D1156" s="35"/>
    </row>
    <row r="1157" spans="3:4" x14ac:dyDescent="0.25">
      <c r="C1157" s="37"/>
      <c r="D1157" s="35"/>
    </row>
    <row r="1158" spans="3:4" x14ac:dyDescent="0.25">
      <c r="C1158" s="37"/>
      <c r="D1158" s="35"/>
    </row>
    <row r="1159" spans="3:4" x14ac:dyDescent="0.25">
      <c r="C1159" s="37"/>
      <c r="D1159" s="35"/>
    </row>
    <row r="1160" spans="3:4" x14ac:dyDescent="0.25">
      <c r="C1160" s="37"/>
      <c r="D1160" s="35"/>
    </row>
    <row r="1161" spans="3:4" x14ac:dyDescent="0.25">
      <c r="C1161" s="37"/>
      <c r="D1161" s="35"/>
    </row>
    <row r="1162" spans="3:4" x14ac:dyDescent="0.25">
      <c r="C1162" s="37"/>
      <c r="D1162" s="35"/>
    </row>
    <row r="1163" spans="3:4" x14ac:dyDescent="0.25">
      <c r="C1163" s="37"/>
      <c r="D1163" s="35"/>
    </row>
    <row r="1164" spans="3:4" x14ac:dyDescent="0.25">
      <c r="C1164" s="37"/>
      <c r="D1164" s="35"/>
    </row>
    <row r="1165" spans="3:4" x14ac:dyDescent="0.25">
      <c r="C1165" s="37"/>
      <c r="D1165" s="35"/>
    </row>
    <row r="1166" spans="3:4" x14ac:dyDescent="0.25">
      <c r="C1166" s="37"/>
      <c r="D1166" s="35"/>
    </row>
    <row r="1167" spans="3:4" x14ac:dyDescent="0.25">
      <c r="C1167" s="37"/>
      <c r="D1167" s="35"/>
    </row>
    <row r="1168" spans="3:4" x14ac:dyDescent="0.25">
      <c r="C1168" s="37"/>
      <c r="D1168" s="35"/>
    </row>
    <row r="1169" spans="3:4" x14ac:dyDescent="0.25">
      <c r="C1169" s="37"/>
      <c r="D1169" s="35"/>
    </row>
    <row r="1170" spans="3:4" x14ac:dyDescent="0.25">
      <c r="C1170" s="37"/>
      <c r="D1170" s="35"/>
    </row>
    <row r="1171" spans="3:4" x14ac:dyDescent="0.25">
      <c r="C1171" s="37"/>
      <c r="D1171" s="35"/>
    </row>
    <row r="1172" spans="3:4" x14ac:dyDescent="0.25">
      <c r="C1172" s="37"/>
      <c r="D1172" s="35"/>
    </row>
    <row r="1173" spans="3:4" x14ac:dyDescent="0.25">
      <c r="C1173" s="37"/>
      <c r="D1173" s="35"/>
    </row>
    <row r="1174" spans="3:4" x14ac:dyDescent="0.25">
      <c r="C1174" s="37"/>
      <c r="D1174" s="35"/>
    </row>
    <row r="1175" spans="3:4" x14ac:dyDescent="0.25">
      <c r="C1175" s="37"/>
      <c r="D1175" s="35"/>
    </row>
    <row r="1176" spans="3:4" x14ac:dyDescent="0.25">
      <c r="C1176" s="37"/>
      <c r="D1176" s="35"/>
    </row>
    <row r="1177" spans="3:4" x14ac:dyDescent="0.25">
      <c r="C1177" s="37"/>
      <c r="D1177" s="35"/>
    </row>
    <row r="1178" spans="3:4" x14ac:dyDescent="0.25">
      <c r="C1178" s="37"/>
      <c r="D1178" s="35"/>
    </row>
    <row r="1179" spans="3:4" x14ac:dyDescent="0.25">
      <c r="C1179" s="37"/>
      <c r="D1179" s="35"/>
    </row>
    <row r="1180" spans="3:4" x14ac:dyDescent="0.25">
      <c r="C1180" s="37"/>
      <c r="D1180" s="35"/>
    </row>
    <row r="1181" spans="3:4" x14ac:dyDescent="0.25">
      <c r="C1181" s="37"/>
      <c r="D1181" s="35"/>
    </row>
    <row r="1182" spans="3:4" x14ac:dyDescent="0.25">
      <c r="C1182" s="37"/>
      <c r="D1182" s="35"/>
    </row>
    <row r="1183" spans="3:4" x14ac:dyDescent="0.25">
      <c r="C1183" s="37"/>
      <c r="D1183" s="35"/>
    </row>
    <row r="1184" spans="3:4" x14ac:dyDescent="0.25">
      <c r="C1184" s="37"/>
      <c r="D1184" s="35"/>
    </row>
    <row r="1185" spans="3:4" x14ac:dyDescent="0.25">
      <c r="C1185" s="37"/>
      <c r="D1185" s="35"/>
    </row>
    <row r="1186" spans="3:4" x14ac:dyDescent="0.25">
      <c r="C1186" s="37"/>
      <c r="D1186" s="35"/>
    </row>
    <row r="1187" spans="3:4" x14ac:dyDescent="0.25">
      <c r="C1187" s="37"/>
      <c r="D1187" s="35"/>
    </row>
    <row r="1188" spans="3:4" x14ac:dyDescent="0.25">
      <c r="C1188" s="37"/>
      <c r="D1188" s="35"/>
    </row>
    <row r="1189" spans="3:4" x14ac:dyDescent="0.25">
      <c r="C1189" s="37"/>
      <c r="D1189" s="35"/>
    </row>
    <row r="1190" spans="3:4" x14ac:dyDescent="0.25">
      <c r="C1190" s="37"/>
      <c r="D1190" s="35"/>
    </row>
    <row r="1191" spans="3:4" x14ac:dyDescent="0.25">
      <c r="C1191" s="37"/>
      <c r="D1191" s="35"/>
    </row>
    <row r="1192" spans="3:4" x14ac:dyDescent="0.25">
      <c r="C1192" s="37"/>
      <c r="D1192" s="35"/>
    </row>
    <row r="1193" spans="3:4" x14ac:dyDescent="0.25">
      <c r="C1193" s="37"/>
      <c r="D1193" s="35"/>
    </row>
    <row r="1194" spans="3:4" x14ac:dyDescent="0.25">
      <c r="C1194" s="37"/>
      <c r="D1194" s="35"/>
    </row>
    <row r="1195" spans="3:4" x14ac:dyDescent="0.25">
      <c r="C1195" s="37"/>
      <c r="D1195" s="35"/>
    </row>
    <row r="1196" spans="3:4" x14ac:dyDescent="0.25">
      <c r="C1196" s="37"/>
      <c r="D1196" s="35"/>
    </row>
    <row r="1197" spans="3:4" x14ac:dyDescent="0.25">
      <c r="C1197" s="37"/>
      <c r="D1197" s="35"/>
    </row>
    <row r="1198" spans="3:4" x14ac:dyDescent="0.25">
      <c r="C1198" s="37"/>
      <c r="D1198" s="35"/>
    </row>
    <row r="1199" spans="3:4" x14ac:dyDescent="0.25">
      <c r="C1199" s="37"/>
      <c r="D1199" s="35"/>
    </row>
    <row r="1200" spans="3:4" x14ac:dyDescent="0.25">
      <c r="C1200" s="37"/>
      <c r="D1200" s="35"/>
    </row>
    <row r="1201" spans="3:4" x14ac:dyDescent="0.25">
      <c r="C1201" s="37"/>
      <c r="D1201" s="35"/>
    </row>
    <row r="1202" spans="3:4" x14ac:dyDescent="0.25">
      <c r="C1202" s="37"/>
      <c r="D1202" s="35"/>
    </row>
    <row r="1203" spans="3:4" x14ac:dyDescent="0.25">
      <c r="C1203" s="37"/>
      <c r="D1203" s="35"/>
    </row>
    <row r="1204" spans="3:4" x14ac:dyDescent="0.25">
      <c r="C1204" s="37"/>
      <c r="D1204" s="35"/>
    </row>
    <row r="1205" spans="3:4" x14ac:dyDescent="0.25">
      <c r="C1205" s="37"/>
      <c r="D1205" s="35"/>
    </row>
    <row r="1206" spans="3:4" x14ac:dyDescent="0.25">
      <c r="C1206" s="37"/>
      <c r="D1206" s="35"/>
    </row>
    <row r="1207" spans="3:4" x14ac:dyDescent="0.25">
      <c r="C1207" s="37"/>
      <c r="D1207" s="35"/>
    </row>
    <row r="1208" spans="3:4" x14ac:dyDescent="0.25">
      <c r="C1208" s="37"/>
      <c r="D1208" s="35"/>
    </row>
    <row r="1209" spans="3:4" x14ac:dyDescent="0.25">
      <c r="C1209" s="37"/>
      <c r="D1209" s="35"/>
    </row>
    <row r="1210" spans="3:4" x14ac:dyDescent="0.25">
      <c r="C1210" s="37"/>
      <c r="D1210" s="35"/>
    </row>
    <row r="1211" spans="3:4" x14ac:dyDescent="0.25">
      <c r="C1211" s="37"/>
      <c r="D1211" s="35"/>
    </row>
    <row r="1212" spans="3:4" x14ac:dyDescent="0.25">
      <c r="C1212" s="37"/>
      <c r="D1212" s="35"/>
    </row>
    <row r="1213" spans="3:4" x14ac:dyDescent="0.25">
      <c r="C1213" s="37"/>
      <c r="D1213" s="35"/>
    </row>
    <row r="1214" spans="3:4" x14ac:dyDescent="0.25">
      <c r="C1214" s="37"/>
      <c r="D1214" s="35"/>
    </row>
    <row r="1215" spans="3:4" x14ac:dyDescent="0.25">
      <c r="C1215" s="37"/>
      <c r="D1215" s="35"/>
    </row>
    <row r="1216" spans="3:4" x14ac:dyDescent="0.25">
      <c r="C1216" s="37"/>
      <c r="D1216" s="35"/>
    </row>
    <row r="1217" spans="3:4" x14ac:dyDescent="0.25">
      <c r="C1217" s="37"/>
      <c r="D1217" s="35"/>
    </row>
    <row r="1218" spans="3:4" x14ac:dyDescent="0.25">
      <c r="C1218" s="37"/>
      <c r="D1218" s="35"/>
    </row>
    <row r="1219" spans="3:4" x14ac:dyDescent="0.25">
      <c r="C1219" s="37"/>
      <c r="D1219" s="35"/>
    </row>
    <row r="1220" spans="3:4" x14ac:dyDescent="0.25">
      <c r="C1220" s="37"/>
      <c r="D1220" s="35"/>
    </row>
    <row r="1221" spans="3:4" x14ac:dyDescent="0.25">
      <c r="C1221" s="37"/>
      <c r="D1221" s="35"/>
    </row>
    <row r="1222" spans="3:4" x14ac:dyDescent="0.25">
      <c r="C1222" s="37"/>
      <c r="D1222" s="35"/>
    </row>
    <row r="1223" spans="3:4" x14ac:dyDescent="0.25">
      <c r="C1223" s="37"/>
      <c r="D1223" s="35"/>
    </row>
    <row r="1224" spans="3:4" x14ac:dyDescent="0.25">
      <c r="C1224" s="37"/>
      <c r="D1224" s="35"/>
    </row>
    <row r="1225" spans="3:4" x14ac:dyDescent="0.25">
      <c r="C1225" s="37"/>
      <c r="D1225" s="35"/>
    </row>
    <row r="1226" spans="3:4" x14ac:dyDescent="0.25">
      <c r="C1226" s="37"/>
      <c r="D1226" s="35"/>
    </row>
    <row r="1227" spans="3:4" x14ac:dyDescent="0.25">
      <c r="C1227" s="37"/>
      <c r="D1227" s="35"/>
    </row>
    <row r="1228" spans="3:4" x14ac:dyDescent="0.25">
      <c r="C1228" s="37"/>
      <c r="D1228" s="35"/>
    </row>
    <row r="1229" spans="3:4" x14ac:dyDescent="0.25">
      <c r="C1229" s="37"/>
      <c r="D1229" s="35"/>
    </row>
    <row r="1230" spans="3:4" x14ac:dyDescent="0.25">
      <c r="C1230" s="37"/>
      <c r="D1230" s="35"/>
    </row>
    <row r="1231" spans="3:4" x14ac:dyDescent="0.25">
      <c r="C1231" s="37"/>
      <c r="D1231" s="35"/>
    </row>
    <row r="1232" spans="3:4" x14ac:dyDescent="0.25">
      <c r="C1232" s="37"/>
      <c r="D1232" s="35"/>
    </row>
    <row r="1233" spans="3:4" x14ac:dyDescent="0.25">
      <c r="C1233" s="37"/>
      <c r="D1233" s="35"/>
    </row>
    <row r="1234" spans="3:4" x14ac:dyDescent="0.25">
      <c r="C1234" s="37"/>
      <c r="D1234" s="35"/>
    </row>
    <row r="1235" spans="3:4" x14ac:dyDescent="0.25">
      <c r="C1235" s="37"/>
      <c r="D1235" s="35"/>
    </row>
    <row r="1236" spans="3:4" x14ac:dyDescent="0.25">
      <c r="C1236" s="37"/>
      <c r="D1236" s="35"/>
    </row>
    <row r="1237" spans="3:4" x14ac:dyDescent="0.25">
      <c r="C1237" s="37"/>
      <c r="D1237" s="35"/>
    </row>
    <row r="1238" spans="3:4" x14ac:dyDescent="0.25">
      <c r="C1238" s="37"/>
      <c r="D1238" s="35"/>
    </row>
    <row r="1239" spans="3:4" x14ac:dyDescent="0.25">
      <c r="C1239" s="37"/>
      <c r="D1239" s="35"/>
    </row>
    <row r="1240" spans="3:4" x14ac:dyDescent="0.25">
      <c r="C1240" s="37"/>
      <c r="D1240" s="35"/>
    </row>
    <row r="1241" spans="3:4" x14ac:dyDescent="0.25">
      <c r="C1241" s="37"/>
      <c r="D1241" s="35"/>
    </row>
    <row r="1242" spans="3:4" x14ac:dyDescent="0.25">
      <c r="C1242" s="37"/>
      <c r="D1242" s="35"/>
    </row>
    <row r="1243" spans="3:4" x14ac:dyDescent="0.25">
      <c r="C1243" s="37"/>
      <c r="D1243" s="35"/>
    </row>
    <row r="1244" spans="3:4" x14ac:dyDescent="0.25">
      <c r="C1244" s="37"/>
      <c r="D1244" s="35"/>
    </row>
    <row r="1245" spans="3:4" x14ac:dyDescent="0.25">
      <c r="C1245" s="37"/>
      <c r="D1245" s="35"/>
    </row>
    <row r="1246" spans="3:4" x14ac:dyDescent="0.25">
      <c r="C1246" s="37"/>
      <c r="D1246" s="35"/>
    </row>
    <row r="1247" spans="3:4" x14ac:dyDescent="0.25">
      <c r="C1247" s="37"/>
      <c r="D1247" s="35"/>
    </row>
    <row r="1248" spans="3:4" x14ac:dyDescent="0.25">
      <c r="C1248" s="37"/>
      <c r="D1248" s="35"/>
    </row>
    <row r="1249" spans="3:4" x14ac:dyDescent="0.25">
      <c r="C1249" s="37"/>
      <c r="D1249" s="35"/>
    </row>
    <row r="1250" spans="3:4" x14ac:dyDescent="0.25">
      <c r="C1250" s="37"/>
      <c r="D1250" s="35"/>
    </row>
    <row r="1251" spans="3:4" x14ac:dyDescent="0.25">
      <c r="C1251" s="37"/>
      <c r="D1251" s="35"/>
    </row>
    <row r="1252" spans="3:4" x14ac:dyDescent="0.25">
      <c r="C1252" s="37"/>
      <c r="D1252" s="35"/>
    </row>
    <row r="1253" spans="3:4" x14ac:dyDescent="0.25">
      <c r="C1253" s="37"/>
      <c r="D1253" s="35"/>
    </row>
    <row r="1254" spans="3:4" x14ac:dyDescent="0.25">
      <c r="C1254" s="37"/>
      <c r="D1254" s="35"/>
    </row>
    <row r="1255" spans="3:4" x14ac:dyDescent="0.25">
      <c r="C1255" s="37"/>
      <c r="D1255" s="35"/>
    </row>
    <row r="1256" spans="3:4" x14ac:dyDescent="0.25">
      <c r="C1256" s="37"/>
      <c r="D1256" s="35"/>
    </row>
    <row r="1257" spans="3:4" x14ac:dyDescent="0.25">
      <c r="C1257" s="37"/>
      <c r="D1257" s="35"/>
    </row>
    <row r="1258" spans="3:4" x14ac:dyDescent="0.25">
      <c r="C1258" s="37"/>
      <c r="D1258" s="35"/>
    </row>
    <row r="1259" spans="3:4" x14ac:dyDescent="0.25">
      <c r="C1259" s="37"/>
      <c r="D1259" s="35"/>
    </row>
    <row r="1260" spans="3:4" x14ac:dyDescent="0.25">
      <c r="C1260" s="37"/>
      <c r="D1260" s="35"/>
    </row>
    <row r="1261" spans="3:4" x14ac:dyDescent="0.25">
      <c r="C1261" s="37"/>
      <c r="D1261" s="35"/>
    </row>
    <row r="1262" spans="3:4" x14ac:dyDescent="0.25">
      <c r="C1262" s="37"/>
      <c r="D1262" s="35"/>
    </row>
    <row r="1263" spans="3:4" x14ac:dyDescent="0.25">
      <c r="C1263" s="37"/>
      <c r="D1263" s="35"/>
    </row>
    <row r="1264" spans="3:4" x14ac:dyDescent="0.25">
      <c r="C1264" s="37"/>
      <c r="D1264" s="35"/>
    </row>
    <row r="1265" spans="3:4" x14ac:dyDescent="0.25">
      <c r="C1265" s="37"/>
      <c r="D1265" s="35"/>
    </row>
    <row r="1266" spans="3:4" x14ac:dyDescent="0.25">
      <c r="C1266" s="37"/>
      <c r="D1266" s="35"/>
    </row>
    <row r="1267" spans="3:4" x14ac:dyDescent="0.25">
      <c r="C1267" s="37"/>
      <c r="D1267" s="35"/>
    </row>
    <row r="1268" spans="3:4" x14ac:dyDescent="0.25">
      <c r="C1268" s="37"/>
      <c r="D1268" s="35"/>
    </row>
    <row r="1269" spans="3:4" x14ac:dyDescent="0.25">
      <c r="C1269" s="37"/>
      <c r="D1269" s="35"/>
    </row>
    <row r="1270" spans="3:4" x14ac:dyDescent="0.25">
      <c r="C1270" s="37"/>
      <c r="D1270" s="35"/>
    </row>
    <row r="1271" spans="3:4" x14ac:dyDescent="0.25">
      <c r="C1271" s="37"/>
      <c r="D1271" s="35"/>
    </row>
    <row r="1272" spans="3:4" x14ac:dyDescent="0.25">
      <c r="C1272" s="37"/>
      <c r="D1272" s="35"/>
    </row>
    <row r="1273" spans="3:4" x14ac:dyDescent="0.25">
      <c r="C1273" s="37"/>
      <c r="D1273" s="35"/>
    </row>
    <row r="1274" spans="3:4" x14ac:dyDescent="0.25">
      <c r="C1274" s="37"/>
      <c r="D1274" s="35"/>
    </row>
    <row r="1275" spans="3:4" x14ac:dyDescent="0.25">
      <c r="C1275" s="37"/>
      <c r="D1275" s="35"/>
    </row>
    <row r="1276" spans="3:4" x14ac:dyDescent="0.25">
      <c r="C1276" s="37"/>
      <c r="D1276" s="35"/>
    </row>
    <row r="1277" spans="3:4" x14ac:dyDescent="0.25">
      <c r="C1277" s="37"/>
      <c r="D1277" s="35"/>
    </row>
    <row r="1278" spans="3:4" x14ac:dyDescent="0.25">
      <c r="C1278" s="37"/>
      <c r="D1278" s="35"/>
    </row>
    <row r="1279" spans="3:4" x14ac:dyDescent="0.25">
      <c r="C1279" s="37"/>
      <c r="D1279" s="35"/>
    </row>
    <row r="1280" spans="3:4" x14ac:dyDescent="0.25">
      <c r="C1280" s="37"/>
      <c r="D1280" s="35"/>
    </row>
    <row r="1281" spans="3:4" x14ac:dyDescent="0.25">
      <c r="C1281" s="37"/>
      <c r="D1281" s="35"/>
    </row>
    <row r="1282" spans="3:4" x14ac:dyDescent="0.25">
      <c r="C1282" s="37"/>
      <c r="D1282" s="35"/>
    </row>
    <row r="1283" spans="3:4" x14ac:dyDescent="0.25">
      <c r="C1283" s="37"/>
      <c r="D1283" s="35"/>
    </row>
    <row r="1284" spans="3:4" x14ac:dyDescent="0.25">
      <c r="C1284" s="37"/>
      <c r="D1284" s="35"/>
    </row>
    <row r="1285" spans="3:4" x14ac:dyDescent="0.25">
      <c r="C1285" s="37"/>
      <c r="D1285" s="35"/>
    </row>
    <row r="1286" spans="3:4" x14ac:dyDescent="0.25">
      <c r="C1286" s="37"/>
      <c r="D1286" s="35"/>
    </row>
    <row r="1287" spans="3:4" x14ac:dyDescent="0.25">
      <c r="C1287" s="37"/>
      <c r="D1287" s="35"/>
    </row>
    <row r="1288" spans="3:4" x14ac:dyDescent="0.25">
      <c r="C1288" s="37"/>
      <c r="D1288" s="35"/>
    </row>
    <row r="1289" spans="3:4" x14ac:dyDescent="0.25">
      <c r="C1289" s="37"/>
      <c r="D1289" s="35"/>
    </row>
    <row r="1290" spans="3:4" x14ac:dyDescent="0.25">
      <c r="C1290" s="37"/>
      <c r="D1290" s="35"/>
    </row>
    <row r="1291" spans="3:4" x14ac:dyDescent="0.25">
      <c r="C1291" s="37"/>
      <c r="D1291" s="35"/>
    </row>
    <row r="1292" spans="3:4" x14ac:dyDescent="0.25">
      <c r="C1292" s="37"/>
      <c r="D1292" s="35"/>
    </row>
    <row r="1293" spans="3:4" x14ac:dyDescent="0.25">
      <c r="C1293" s="37"/>
      <c r="D1293" s="35"/>
    </row>
    <row r="1294" spans="3:4" x14ac:dyDescent="0.25">
      <c r="C1294" s="37"/>
      <c r="D1294" s="35"/>
    </row>
    <row r="1295" spans="3:4" x14ac:dyDescent="0.25">
      <c r="C1295" s="37"/>
      <c r="D1295" s="35"/>
    </row>
    <row r="1296" spans="3:4" x14ac:dyDescent="0.25">
      <c r="C1296" s="37"/>
      <c r="D1296" s="35"/>
    </row>
    <row r="1297" spans="3:4" x14ac:dyDescent="0.25">
      <c r="C1297" s="37"/>
      <c r="D1297" s="35"/>
    </row>
    <row r="1298" spans="3:4" x14ac:dyDescent="0.25">
      <c r="C1298" s="37"/>
      <c r="D1298" s="35"/>
    </row>
    <row r="1299" spans="3:4" x14ac:dyDescent="0.25">
      <c r="C1299" s="37"/>
      <c r="D1299" s="35"/>
    </row>
    <row r="1300" spans="3:4" x14ac:dyDescent="0.25">
      <c r="C1300" s="37"/>
      <c r="D1300" s="35"/>
    </row>
    <row r="1301" spans="3:4" x14ac:dyDescent="0.25">
      <c r="C1301" s="37"/>
      <c r="D1301" s="35"/>
    </row>
    <row r="1302" spans="3:4" x14ac:dyDescent="0.25">
      <c r="C1302" s="37"/>
      <c r="D1302" s="35"/>
    </row>
    <row r="1303" spans="3:4" x14ac:dyDescent="0.25">
      <c r="C1303" s="37"/>
      <c r="D1303" s="35"/>
    </row>
    <row r="1304" spans="3:4" x14ac:dyDescent="0.25">
      <c r="C1304" s="37"/>
      <c r="D1304" s="35"/>
    </row>
    <row r="1305" spans="3:4" x14ac:dyDescent="0.25">
      <c r="C1305" s="37"/>
      <c r="D1305" s="35"/>
    </row>
    <row r="1306" spans="3:4" x14ac:dyDescent="0.25">
      <c r="C1306" s="37"/>
      <c r="D1306" s="35"/>
    </row>
    <row r="1307" spans="3:4" x14ac:dyDescent="0.25">
      <c r="C1307" s="37"/>
      <c r="D1307" s="35"/>
    </row>
    <row r="1308" spans="3:4" x14ac:dyDescent="0.25">
      <c r="C1308" s="37"/>
      <c r="D1308" s="35"/>
    </row>
    <row r="1309" spans="3:4" x14ac:dyDescent="0.25">
      <c r="C1309" s="37"/>
      <c r="D1309" s="35"/>
    </row>
    <row r="1310" spans="3:4" x14ac:dyDescent="0.25">
      <c r="C1310" s="37"/>
      <c r="D1310" s="35"/>
    </row>
    <row r="1311" spans="3:4" x14ac:dyDescent="0.25">
      <c r="C1311" s="37"/>
      <c r="D1311" s="35"/>
    </row>
    <row r="1312" spans="3:4" x14ac:dyDescent="0.25">
      <c r="C1312" s="37"/>
      <c r="D1312" s="35"/>
    </row>
    <row r="1313" spans="3:4" x14ac:dyDescent="0.25">
      <c r="C1313" s="37"/>
      <c r="D1313" s="35"/>
    </row>
    <row r="1314" spans="3:4" x14ac:dyDescent="0.25">
      <c r="C1314" s="37"/>
      <c r="D1314" s="35"/>
    </row>
    <row r="1315" spans="3:4" x14ac:dyDescent="0.25">
      <c r="C1315" s="37"/>
      <c r="D1315" s="35"/>
    </row>
    <row r="1316" spans="3:4" x14ac:dyDescent="0.25">
      <c r="C1316" s="37"/>
      <c r="D1316" s="35"/>
    </row>
    <row r="1317" spans="3:4" x14ac:dyDescent="0.25">
      <c r="C1317" s="37"/>
      <c r="D1317" s="35"/>
    </row>
    <row r="1318" spans="3:4" x14ac:dyDescent="0.25">
      <c r="C1318" s="37"/>
      <c r="D1318" s="35"/>
    </row>
    <row r="1319" spans="3:4" x14ac:dyDescent="0.25">
      <c r="C1319" s="37"/>
      <c r="D1319" s="35"/>
    </row>
    <row r="1320" spans="3:4" x14ac:dyDescent="0.25">
      <c r="C1320" s="37"/>
      <c r="D1320" s="35"/>
    </row>
    <row r="1321" spans="3:4" x14ac:dyDescent="0.25">
      <c r="C1321" s="37"/>
      <c r="D1321" s="35"/>
    </row>
    <row r="1322" spans="3:4" x14ac:dyDescent="0.25">
      <c r="C1322" s="37"/>
      <c r="D1322" s="35"/>
    </row>
    <row r="1323" spans="3:4" x14ac:dyDescent="0.25">
      <c r="C1323" s="37"/>
      <c r="D1323" s="35"/>
    </row>
    <row r="1324" spans="3:4" x14ac:dyDescent="0.25">
      <c r="C1324" s="37"/>
      <c r="D1324" s="35"/>
    </row>
    <row r="1325" spans="3:4" x14ac:dyDescent="0.25">
      <c r="C1325" s="37"/>
      <c r="D1325" s="35"/>
    </row>
    <row r="1326" spans="3:4" x14ac:dyDescent="0.25">
      <c r="C1326" s="37"/>
      <c r="D1326" s="35"/>
    </row>
    <row r="1327" spans="3:4" x14ac:dyDescent="0.25">
      <c r="C1327" s="37"/>
      <c r="D1327" s="35"/>
    </row>
    <row r="1328" spans="3:4" x14ac:dyDescent="0.25">
      <c r="C1328" s="37"/>
      <c r="D1328" s="35"/>
    </row>
    <row r="1329" spans="3:4" x14ac:dyDescent="0.25">
      <c r="C1329" s="37"/>
      <c r="D1329" s="35"/>
    </row>
    <row r="1330" spans="3:4" x14ac:dyDescent="0.25">
      <c r="C1330" s="37"/>
      <c r="D1330" s="35"/>
    </row>
    <row r="1331" spans="3:4" x14ac:dyDescent="0.25">
      <c r="C1331" s="37"/>
      <c r="D1331" s="35"/>
    </row>
    <row r="1332" spans="3:4" x14ac:dyDescent="0.25">
      <c r="C1332" s="37"/>
      <c r="D1332" s="35"/>
    </row>
    <row r="1333" spans="3:4" x14ac:dyDescent="0.25">
      <c r="C1333" s="37"/>
      <c r="D1333" s="35"/>
    </row>
  </sheetData>
  <mergeCells count="18">
    <mergeCell ref="N29:O29"/>
    <mergeCell ref="D17:E17"/>
    <mergeCell ref="F17:G17"/>
    <mergeCell ref="H17:I17"/>
    <mergeCell ref="J17:K17"/>
    <mergeCell ref="L17:M17"/>
    <mergeCell ref="N17:O17"/>
    <mergeCell ref="D29:E29"/>
    <mergeCell ref="F29:G29"/>
    <mergeCell ref="H29:I29"/>
    <mergeCell ref="J29:K29"/>
    <mergeCell ref="L29:M29"/>
    <mergeCell ref="N2:O2"/>
    <mergeCell ref="D2:E2"/>
    <mergeCell ref="F2:G2"/>
    <mergeCell ref="H2:I2"/>
    <mergeCell ref="J2:K2"/>
    <mergeCell ref="L2:M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90803-8A82-4FD8-BD60-B4AF8484DAE6}">
  <dimension ref="A1:AC1333"/>
  <sheetViews>
    <sheetView workbookViewId="0"/>
  </sheetViews>
  <sheetFormatPr defaultRowHeight="15" outlineLevelCol="1" x14ac:dyDescent="0.25"/>
  <cols>
    <col min="1" max="1" width="9.42578125" customWidth="1"/>
    <col min="2" max="2" width="25.140625" bestFit="1" customWidth="1"/>
    <col min="3" max="3" width="24.28515625" style="11" bestFit="1" customWidth="1"/>
    <col min="4" max="4" width="15.85546875" style="6" bestFit="1" customWidth="1"/>
    <col min="5" max="5" width="19.5703125" style="11" bestFit="1" customWidth="1"/>
    <col min="6" max="6" width="9.28515625" style="6" customWidth="1"/>
    <col min="7" max="7" width="19.5703125" style="11" bestFit="1" customWidth="1"/>
    <col min="8" max="8" width="9.140625" style="6"/>
    <col min="9" max="9" width="19.5703125" style="11" bestFit="1" customWidth="1"/>
    <col min="10" max="10" width="7.140625" style="6" bestFit="1" customWidth="1"/>
    <col min="11" max="11" width="18" style="11" bestFit="1" customWidth="1"/>
    <col min="12" max="12" width="7.140625" style="5" bestFit="1" customWidth="1"/>
    <col min="13" max="13" width="19.5703125" style="10" bestFit="1" customWidth="1"/>
    <col min="14" max="14" width="8.140625" style="10" bestFit="1" customWidth="1"/>
    <col min="15" max="15" width="19.5703125" style="10" customWidth="1"/>
    <col min="16" max="16" width="7.140625" bestFit="1" customWidth="1"/>
    <col min="17" max="18" width="7.140625" hidden="1" customWidth="1" outlineLevel="1"/>
    <col min="19" max="19" width="18" bestFit="1" customWidth="1" collapsed="1"/>
    <col min="20" max="20" width="16.85546875" bestFit="1" customWidth="1"/>
    <col min="21" max="21" width="18" bestFit="1" customWidth="1"/>
    <col min="22" max="22" width="16.85546875" bestFit="1" customWidth="1"/>
    <col min="23" max="23" width="15.28515625" bestFit="1" customWidth="1"/>
    <col min="25" max="25" width="7.85546875" bestFit="1" customWidth="1"/>
    <col min="26" max="26" width="11.140625" bestFit="1" customWidth="1"/>
    <col min="27" max="27" width="13.28515625" bestFit="1" customWidth="1"/>
    <col min="28" max="28" width="7.85546875" bestFit="1" customWidth="1"/>
    <col min="29" max="29" width="8.140625" bestFit="1" customWidth="1"/>
  </cols>
  <sheetData>
    <row r="1" spans="1:29" ht="9" customHeight="1" x14ac:dyDescent="0.25"/>
    <row r="2" spans="1:29" x14ac:dyDescent="0.25">
      <c r="B2" s="4" t="s">
        <v>1</v>
      </c>
      <c r="C2" s="9" t="s">
        <v>4</v>
      </c>
      <c r="D2" s="112" t="s">
        <v>7</v>
      </c>
      <c r="E2" s="112"/>
      <c r="F2" s="112" t="s">
        <v>8</v>
      </c>
      <c r="G2" s="112"/>
      <c r="H2" s="112" t="s">
        <v>10</v>
      </c>
      <c r="I2" s="112"/>
      <c r="J2" s="112" t="s">
        <v>9</v>
      </c>
      <c r="K2" s="112"/>
      <c r="L2" s="112" t="s">
        <v>21</v>
      </c>
      <c r="M2" s="112"/>
      <c r="N2" s="112" t="s">
        <v>55</v>
      </c>
      <c r="O2" s="112"/>
      <c r="Q2" s="1" t="s">
        <v>46</v>
      </c>
      <c r="S2" s="27" t="s">
        <v>49</v>
      </c>
      <c r="T2" s="27" t="s">
        <v>50</v>
      </c>
      <c r="U2" s="27" t="s">
        <v>51</v>
      </c>
      <c r="V2" s="27" t="s">
        <v>52</v>
      </c>
      <c r="W2" s="27" t="s">
        <v>53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</row>
    <row r="3" spans="1:29" x14ac:dyDescent="0.25">
      <c r="B3" s="21" t="s">
        <v>5</v>
      </c>
      <c r="C3" s="23">
        <v>340683183.38</v>
      </c>
      <c r="D3" s="26">
        <f>0.245+0.013</f>
        <v>0.25800000000000001</v>
      </c>
      <c r="E3" s="23">
        <f>D3*C3</f>
        <v>87896261.312040001</v>
      </c>
      <c r="F3" s="26">
        <f>0.117+0.089+0.027+0.009</f>
        <v>0.24200000000000002</v>
      </c>
      <c r="G3" s="22">
        <f>F3*C3</f>
        <v>82445330.377960011</v>
      </c>
      <c r="H3" s="26">
        <v>0.38</v>
      </c>
      <c r="I3" s="23">
        <f>H3*C3</f>
        <v>129459609.68440001</v>
      </c>
      <c r="J3" s="26">
        <v>3.2000000000000001E-2</v>
      </c>
      <c r="K3" s="23">
        <f>J3*C3</f>
        <v>10901861.86816</v>
      </c>
      <c r="L3" s="24"/>
      <c r="M3" s="25">
        <f>L3*C3</f>
        <v>0</v>
      </c>
      <c r="N3" s="14">
        <v>8.7999999999999995E-2</v>
      </c>
      <c r="O3" s="12">
        <f>N3*C3</f>
        <v>29980120.137439996</v>
      </c>
      <c r="S3" s="12">
        <f>E3-'Ago23'!E3</f>
        <v>-14119228.959400013</v>
      </c>
      <c r="T3" s="12">
        <f>G3-'Ago23'!G3</f>
        <v>-22176395.046399996</v>
      </c>
      <c r="U3" s="12">
        <f>I3-'Ago23'!I3</f>
        <v>-1596786.5767199844</v>
      </c>
      <c r="V3" s="12">
        <f>K3-'Ago23'!K3</f>
        <v>-1012355.9737599995</v>
      </c>
      <c r="W3" s="12">
        <f>+M3-'Ago23'!M3</f>
        <v>0</v>
      </c>
      <c r="Y3" s="28">
        <f>D3-'Ago23'!D3</f>
        <v>-1.6000000000000014E-2</v>
      </c>
      <c r="Z3" s="28">
        <f>F3-'Ago23'!F3</f>
        <v>-3.9000000000000007E-2</v>
      </c>
      <c r="AA3" s="28">
        <f>H3-'Ago23'!H3</f>
        <v>2.8000000000000025E-2</v>
      </c>
      <c r="AB3" s="28">
        <f>J3-'Ago23'!J3</f>
        <v>0</v>
      </c>
      <c r="AC3" s="28">
        <f>L3-'Ago23'!L3</f>
        <v>0</v>
      </c>
    </row>
    <row r="4" spans="1:29" x14ac:dyDescent="0.25">
      <c r="B4" s="3" t="s">
        <v>0</v>
      </c>
      <c r="C4" s="12">
        <v>1439393847</v>
      </c>
      <c r="D4" s="14">
        <v>0.33</v>
      </c>
      <c r="E4" s="12">
        <f t="shared" ref="E4:E11" si="0">D4*C4</f>
        <v>474999969.51000005</v>
      </c>
      <c r="F4" s="14">
        <v>0.14000000000000001</v>
      </c>
      <c r="G4" s="12">
        <f t="shared" ref="G4:G13" si="1">F4*C4</f>
        <v>201515138.58000001</v>
      </c>
      <c r="H4" s="14">
        <f>0.4+0.02+0.02</f>
        <v>0.44000000000000006</v>
      </c>
      <c r="I4" s="12">
        <f t="shared" ref="I4:I13" si="2">H4*C4</f>
        <v>633333292.68000007</v>
      </c>
      <c r="J4" s="14">
        <v>0.09</v>
      </c>
      <c r="K4" s="12">
        <f>J4*C4</f>
        <v>129545446.22999999</v>
      </c>
      <c r="L4" s="14"/>
      <c r="M4" s="12">
        <f>L4*C4</f>
        <v>0</v>
      </c>
      <c r="N4" s="14"/>
      <c r="O4" s="12">
        <f t="shared" ref="O4:O13" si="3">N4*C4</f>
        <v>0</v>
      </c>
      <c r="S4" s="12">
        <f>E4-'Ago23'!E4</f>
        <v>45852431.75000006</v>
      </c>
      <c r="T4" s="12">
        <f>G4-'Ago23'!G4</f>
        <v>-6136895.8199999928</v>
      </c>
      <c r="U4" s="12">
        <f>I4-'Ago23'!I4</f>
        <v>10377189.480000019</v>
      </c>
      <c r="V4" s="12">
        <f>K4-'Ago23'!K4</f>
        <v>4954225.5899999887</v>
      </c>
      <c r="W4" s="12">
        <f>+M4-'Ago23'!M4</f>
        <v>0</v>
      </c>
      <c r="Y4" s="28">
        <f>D4-'Ago23'!D4</f>
        <v>2.0000000000000018E-2</v>
      </c>
      <c r="Z4" s="28">
        <f>F4-'Ago23'!F4</f>
        <v>-9.9999999999999811E-3</v>
      </c>
      <c r="AA4" s="28">
        <f>H4-'Ago23'!H4</f>
        <v>-1.0000000000000009E-2</v>
      </c>
      <c r="AB4" s="28">
        <f>J4-'Ago23'!J4</f>
        <v>0</v>
      </c>
      <c r="AC4" s="28">
        <f>L4-'Ago23'!L4</f>
        <v>0</v>
      </c>
    </row>
    <row r="5" spans="1:29" x14ac:dyDescent="0.25">
      <c r="B5" s="3" t="s">
        <v>3</v>
      </c>
      <c r="C5" s="12">
        <v>1231345327.6500001</v>
      </c>
      <c r="D5" s="14">
        <f>0.45+0.02</f>
        <v>0.47000000000000003</v>
      </c>
      <c r="E5" s="12">
        <f t="shared" si="0"/>
        <v>578732303.99550009</v>
      </c>
      <c r="F5" s="14"/>
      <c r="G5" s="12">
        <f t="shared" si="1"/>
        <v>0</v>
      </c>
      <c r="H5" s="14">
        <v>0.41</v>
      </c>
      <c r="I5" s="12">
        <f t="shared" si="2"/>
        <v>504851584.33649999</v>
      </c>
      <c r="J5" s="14">
        <v>0.05</v>
      </c>
      <c r="K5" s="12">
        <f t="shared" ref="K5:K7" si="4">J5*C5</f>
        <v>61567266.382500008</v>
      </c>
      <c r="L5" s="14">
        <v>7.0000000000000007E-2</v>
      </c>
      <c r="M5" s="12">
        <f>L5*C5</f>
        <v>86194172.935500011</v>
      </c>
      <c r="N5" s="14"/>
      <c r="O5" s="12">
        <f t="shared" si="3"/>
        <v>0</v>
      </c>
      <c r="S5" s="12">
        <f>E5-'Ago23'!E5</f>
        <v>19659224.859100103</v>
      </c>
      <c r="T5" s="12">
        <f>G5-'Ago23'!G5</f>
        <v>0</v>
      </c>
      <c r="U5" s="12">
        <f>I5-'Ago23'!I5</f>
        <v>-145233391.40350002</v>
      </c>
      <c r="V5" s="12">
        <f>K5-'Ago23'!K5</f>
        <v>61567266.382500008</v>
      </c>
      <c r="W5" s="12">
        <f>+M5-'Ago23'!M5</f>
        <v>-4817723.6680999994</v>
      </c>
      <c r="Y5" s="28">
        <f>D5-'Ago23'!D5</f>
        <v>4.0000000000000036E-2</v>
      </c>
      <c r="Z5" s="28">
        <f>F5-'Ago23'!F5</f>
        <v>0</v>
      </c>
      <c r="AA5" s="28">
        <f>H5-'Ago23'!H5</f>
        <v>-9.0000000000000024E-2</v>
      </c>
      <c r="AB5" s="28">
        <f>J5-'Ago23'!J5</f>
        <v>0.05</v>
      </c>
      <c r="AC5" s="28">
        <f>L5-'Ago23'!L5</f>
        <v>0</v>
      </c>
    </row>
    <row r="6" spans="1:29" x14ac:dyDescent="0.25">
      <c r="B6" s="3" t="s">
        <v>37</v>
      </c>
      <c r="C6" s="12">
        <v>2683583741</v>
      </c>
      <c r="D6" s="14">
        <v>0.31319999999999998</v>
      </c>
      <c r="E6" s="12">
        <f t="shared" si="0"/>
        <v>840498427.68119991</v>
      </c>
      <c r="F6" s="14">
        <v>0.18529999999999999</v>
      </c>
      <c r="G6" s="12">
        <f t="shared" si="1"/>
        <v>497268067.20730001</v>
      </c>
      <c r="H6" s="14">
        <f>0.4234+0.0314+0.0217</f>
        <v>0.47649999999999998</v>
      </c>
      <c r="I6" s="12">
        <f t="shared" si="2"/>
        <v>1278727652.5864999</v>
      </c>
      <c r="J6" s="14"/>
      <c r="K6" s="12">
        <f t="shared" si="4"/>
        <v>0</v>
      </c>
      <c r="L6" s="14"/>
      <c r="M6" s="12">
        <f>L6*C6</f>
        <v>0</v>
      </c>
      <c r="N6" s="14">
        <v>2.5000000000000001E-2</v>
      </c>
      <c r="O6" s="12">
        <f t="shared" si="3"/>
        <v>67089593.525000006</v>
      </c>
      <c r="S6" s="12">
        <f>E6-'Ago23'!E6</f>
        <v>840498427.68119991</v>
      </c>
      <c r="T6" s="12">
        <f>G6-'Ago23'!G6</f>
        <v>497268067.20730001</v>
      </c>
      <c r="U6" s="12">
        <f>I6-'Ago23'!I6</f>
        <v>1278727652.5864999</v>
      </c>
      <c r="V6" s="12">
        <f>K6-'Ago23'!K6</f>
        <v>0</v>
      </c>
      <c r="W6" s="12">
        <f>+M6-'Ago23'!M6</f>
        <v>0</v>
      </c>
      <c r="Y6" s="28">
        <f>D6-'Ago23'!D6</f>
        <v>0.31319999999999998</v>
      </c>
      <c r="Z6" s="28">
        <f>F6-'Ago23'!F6</f>
        <v>0.18529999999999999</v>
      </c>
      <c r="AA6" s="28">
        <f>H6-'Ago23'!H6</f>
        <v>0.47649999999999998</v>
      </c>
      <c r="AB6" s="28">
        <f>J6-'Ago23'!J6</f>
        <v>0</v>
      </c>
      <c r="AC6" s="28">
        <f>L6-'Ago23'!L6</f>
        <v>0</v>
      </c>
    </row>
    <row r="7" spans="1:29" x14ac:dyDescent="0.25">
      <c r="B7" s="3" t="s">
        <v>22</v>
      </c>
      <c r="C7" s="12">
        <v>990000000</v>
      </c>
      <c r="D7" s="14">
        <v>0.26700000000000002</v>
      </c>
      <c r="E7" s="12">
        <f t="shared" si="0"/>
        <v>264330000.00000003</v>
      </c>
      <c r="F7" s="14">
        <v>9.4E-2</v>
      </c>
      <c r="G7" s="12">
        <f t="shared" si="1"/>
        <v>93060000</v>
      </c>
      <c r="H7" s="14">
        <f>0.505+0.092</f>
        <v>0.59699999999999998</v>
      </c>
      <c r="I7" s="12">
        <f t="shared" si="2"/>
        <v>591030000</v>
      </c>
      <c r="J7" s="14">
        <v>4.2000000000000003E-2</v>
      </c>
      <c r="K7" s="12">
        <f t="shared" si="4"/>
        <v>41580000</v>
      </c>
      <c r="L7" s="16"/>
      <c r="M7" s="12">
        <f t="shared" ref="M7:M13" si="5">L7*C7</f>
        <v>0</v>
      </c>
      <c r="N7" s="14"/>
      <c r="O7" s="12">
        <f t="shared" si="3"/>
        <v>0</v>
      </c>
      <c r="S7" s="12">
        <f>E7-'Ago23'!E7</f>
        <v>-6349999.9999999702</v>
      </c>
      <c r="T7" s="12">
        <f>G7-'Ago23'!G7</f>
        <v>9230000</v>
      </c>
      <c r="U7" s="12">
        <f>I7-'Ago23'!I7</f>
        <v>-23050000</v>
      </c>
      <c r="V7" s="12">
        <f>K7-'Ago23'!K7</f>
        <v>170000</v>
      </c>
      <c r="W7" s="12">
        <f>+M7-'Ago23'!M7</f>
        <v>0</v>
      </c>
      <c r="Y7" s="28">
        <f>D7-'Ago23'!D7</f>
        <v>-1.0000000000000009E-3</v>
      </c>
      <c r="Z7" s="28">
        <f>F7-'Ago23'!F7</f>
        <v>1.0999999999999996E-2</v>
      </c>
      <c r="AA7" s="28">
        <f>H7-'Ago23'!H7</f>
        <v>-1.100000000000001E-2</v>
      </c>
      <c r="AB7" s="28">
        <f>J7-'Ago23'!J7</f>
        <v>1.0000000000000009E-3</v>
      </c>
      <c r="AC7" s="28">
        <f>L7-'Ago23'!L7</f>
        <v>0</v>
      </c>
    </row>
    <row r="8" spans="1:29" x14ac:dyDescent="0.25">
      <c r="B8" s="3" t="s">
        <v>23</v>
      </c>
      <c r="C8" s="12">
        <v>1233038633.53</v>
      </c>
      <c r="D8" s="14">
        <v>0.18</v>
      </c>
      <c r="E8" s="12">
        <f t="shared" si="0"/>
        <v>221946954.03539997</v>
      </c>
      <c r="F8" s="14">
        <f>0.06+0.22</f>
        <v>0.28000000000000003</v>
      </c>
      <c r="G8" s="12">
        <f t="shared" si="1"/>
        <v>345250817.38840002</v>
      </c>
      <c r="H8" s="14">
        <f>0.42+0.01</f>
        <v>0.43</v>
      </c>
      <c r="I8" s="12">
        <f t="shared" si="2"/>
        <v>530206612.41789997</v>
      </c>
      <c r="J8" s="14">
        <v>7.4999999999999997E-2</v>
      </c>
      <c r="K8" s="12">
        <f>J8*C8</f>
        <v>92477897.514749989</v>
      </c>
      <c r="L8" s="16"/>
      <c r="M8" s="12">
        <f t="shared" si="5"/>
        <v>0</v>
      </c>
      <c r="N8" s="14">
        <v>3.5000000000000003E-2</v>
      </c>
      <c r="O8" s="12">
        <f t="shared" si="3"/>
        <v>43156352.173550002</v>
      </c>
      <c r="S8" s="12">
        <f>E8-'Ago23'!E8</f>
        <v>-342211.96079999208</v>
      </c>
      <c r="T8" s="12">
        <f>G8-'Ago23'!G8</f>
        <v>-12881727.827700019</v>
      </c>
      <c r="U8" s="12">
        <f>I8-'Ago23'!I8</f>
        <v>11531891.760100007</v>
      </c>
      <c r="V8" s="12">
        <f>K8-'Ago23'!K8</f>
        <v>-6317287.372450009</v>
      </c>
      <c r="W8" s="12">
        <f>+M8-'Ago23'!M8</f>
        <v>0</v>
      </c>
      <c r="Y8" s="28">
        <f>D8-'Ago23'!D8</f>
        <v>0</v>
      </c>
      <c r="Z8" s="28">
        <f>F8-'Ago23'!F8</f>
        <v>-1.0000000000000009E-2</v>
      </c>
      <c r="AA8" s="28">
        <f>H8-'Ago23'!H8</f>
        <v>1.0000000000000009E-2</v>
      </c>
      <c r="AB8" s="28">
        <f>J8-'Ago23'!J8</f>
        <v>-5.0000000000000044E-3</v>
      </c>
      <c r="AC8" s="28">
        <f>L8-'Ago23'!L8</f>
        <v>0</v>
      </c>
    </row>
    <row r="9" spans="1:29" x14ac:dyDescent="0.25">
      <c r="B9" s="3" t="s">
        <v>24</v>
      </c>
      <c r="C9" s="12">
        <v>2258197041</v>
      </c>
      <c r="D9" s="14">
        <v>0.2979</v>
      </c>
      <c r="E9" s="12">
        <f t="shared" si="0"/>
        <v>672716898.51390004</v>
      </c>
      <c r="F9" s="14">
        <v>0.19239999999999999</v>
      </c>
      <c r="G9" s="12">
        <f t="shared" si="1"/>
        <v>434477110.68839997</v>
      </c>
      <c r="H9" s="14">
        <v>0.44719999999999999</v>
      </c>
      <c r="I9" s="12">
        <f t="shared" si="2"/>
        <v>1009865716.7351999</v>
      </c>
      <c r="J9" s="14">
        <v>4.9599999999999998E-2</v>
      </c>
      <c r="K9" s="12">
        <f>J9*C9</f>
        <v>112006573.23359999</v>
      </c>
      <c r="L9" s="14"/>
      <c r="M9" s="12">
        <f t="shared" si="5"/>
        <v>0</v>
      </c>
      <c r="N9" s="14">
        <v>1.29E-2</v>
      </c>
      <c r="O9" s="12">
        <f t="shared" si="3"/>
        <v>29130741.828899998</v>
      </c>
      <c r="S9" s="12">
        <f>E9-'Ago23'!E9</f>
        <v>15608718.632699966</v>
      </c>
      <c r="T9" s="12">
        <f>G9-'Ago23'!G9</f>
        <v>11052463.913099945</v>
      </c>
      <c r="U9" s="12">
        <f>I9-'Ago23'!I9</f>
        <v>-28978147.891800165</v>
      </c>
      <c r="V9" s="12">
        <f>K9-'Ago23'!K9</f>
        <v>6544766.5859999806</v>
      </c>
      <c r="W9" s="12">
        <f>+M9-'Ago23'!M9</f>
        <v>0</v>
      </c>
      <c r="Y9" s="28">
        <f>D9-'Ago23'!D9</f>
        <v>6.2999999999999723E-3</v>
      </c>
      <c r="Z9" s="28">
        <f>F9-'Ago23'!F9</f>
        <v>4.4999999999999762E-3</v>
      </c>
      <c r="AA9" s="28">
        <f>H9-'Ago23'!H9</f>
        <v>-1.3800000000000034E-2</v>
      </c>
      <c r="AB9" s="28">
        <f>J9-'Ago23'!J9</f>
        <v>2.7999999999999969E-3</v>
      </c>
      <c r="AC9" s="28">
        <f>L9-'Ago23'!L9</f>
        <v>0</v>
      </c>
    </row>
    <row r="10" spans="1:29" x14ac:dyDescent="0.25">
      <c r="B10" s="3" t="s">
        <v>25</v>
      </c>
      <c r="C10" s="12">
        <v>314518569</v>
      </c>
      <c r="D10" s="14">
        <v>0.63</v>
      </c>
      <c r="E10" s="12">
        <f t="shared" si="0"/>
        <v>198146698.47</v>
      </c>
      <c r="F10" s="14">
        <v>0.05</v>
      </c>
      <c r="G10" s="12">
        <f t="shared" si="1"/>
        <v>15725928.450000001</v>
      </c>
      <c r="H10" s="14">
        <v>0.25</v>
      </c>
      <c r="I10" s="12">
        <f t="shared" si="2"/>
        <v>78629642.25</v>
      </c>
      <c r="J10" s="14">
        <v>7.0000000000000007E-2</v>
      </c>
      <c r="K10" s="12">
        <f>J10*C10</f>
        <v>22016299.830000002</v>
      </c>
      <c r="L10" s="16"/>
      <c r="M10" s="12">
        <f t="shared" si="5"/>
        <v>0</v>
      </c>
      <c r="N10" s="14"/>
      <c r="O10" s="12">
        <f t="shared" si="3"/>
        <v>0</v>
      </c>
      <c r="S10" s="12">
        <f>E10-'Ago23'!E10</f>
        <v>29124995.659999996</v>
      </c>
      <c r="T10" s="12">
        <f>G10-'Ago23'!G10</f>
        <v>-52796383.5</v>
      </c>
      <c r="U10" s="12">
        <f>I10-'Ago23'!I10</f>
        <v>-104096522.95000002</v>
      </c>
      <c r="V10" s="12">
        <f>K10-'Ago23'!K10</f>
        <v>-14528933.209999997</v>
      </c>
      <c r="W10" s="12">
        <f>+M10-'Ago23'!M10</f>
        <v>0</v>
      </c>
      <c r="Y10" s="28">
        <f>D10-'Ago23'!D10</f>
        <v>0.26</v>
      </c>
      <c r="Z10" s="28">
        <f>F10-'Ago23'!F10</f>
        <v>-9.9999999999999992E-2</v>
      </c>
      <c r="AA10" s="28">
        <f>H10-'Ago23'!H10</f>
        <v>-0.15000000000000002</v>
      </c>
      <c r="AB10" s="28">
        <f>J10-'Ago23'!J10</f>
        <v>-9.999999999999995E-3</v>
      </c>
      <c r="AC10" s="28">
        <f>L10-'Ago23'!L10</f>
        <v>0</v>
      </c>
    </row>
    <row r="11" spans="1:29" x14ac:dyDescent="0.25">
      <c r="B11" s="3" t="s">
        <v>29</v>
      </c>
      <c r="C11" s="12">
        <v>3688052122.7800002</v>
      </c>
      <c r="D11" s="14">
        <v>0.26800000000000002</v>
      </c>
      <c r="E11" s="12">
        <f t="shared" si="0"/>
        <v>988397968.90504014</v>
      </c>
      <c r="F11" s="14">
        <f>0.273+0.019</f>
        <v>0.29200000000000004</v>
      </c>
      <c r="G11" s="12">
        <f t="shared" si="1"/>
        <v>1076911219.8517601</v>
      </c>
      <c r="H11" s="14">
        <f>0.391+0.012</f>
        <v>0.40300000000000002</v>
      </c>
      <c r="I11" s="12">
        <f t="shared" si="2"/>
        <v>1486285005.4803402</v>
      </c>
      <c r="J11" s="14">
        <v>3.6999999999999998E-2</v>
      </c>
      <c r="K11" s="12">
        <f>J11*C11</f>
        <v>136457928.54286</v>
      </c>
      <c r="L11" s="16"/>
      <c r="M11" s="12">
        <f t="shared" si="5"/>
        <v>0</v>
      </c>
      <c r="N11" s="14"/>
      <c r="O11" s="12">
        <f t="shared" si="3"/>
        <v>0</v>
      </c>
      <c r="S11" s="12">
        <f>E11-'Ago23'!E11</f>
        <v>50719150.395040035</v>
      </c>
      <c r="T11" s="12">
        <f>G11-'Ago23'!G11</f>
        <v>156596823.9067601</v>
      </c>
      <c r="U11" s="12">
        <f>I11-'Ago23'!I11</f>
        <v>13781971.968340397</v>
      </c>
      <c r="V11" s="12">
        <f>K11-'Ago23'!K11</f>
        <v>-5930336.490139991</v>
      </c>
      <c r="W11" s="12">
        <f>+M11-'Ago23'!M11</f>
        <v>0</v>
      </c>
      <c r="Y11" s="28">
        <f>D11-'Ago23'!D11</f>
        <v>-2.0000000000000018E-3</v>
      </c>
      <c r="Z11" s="28">
        <f>F11-'Ago23'!F11</f>
        <v>2.7000000000000024E-2</v>
      </c>
      <c r="AA11" s="28">
        <f>H11-'Ago23'!H11</f>
        <v>-2.0999999999999963E-2</v>
      </c>
      <c r="AB11" s="28">
        <f>J11-'Ago23'!J11</f>
        <v>-4.0000000000000036E-3</v>
      </c>
      <c r="AC11" s="28">
        <f>L11-'Ago23'!L11</f>
        <v>0</v>
      </c>
    </row>
    <row r="12" spans="1:29" x14ac:dyDescent="0.25">
      <c r="B12" s="3" t="s">
        <v>47</v>
      </c>
      <c r="C12" s="12">
        <v>1504576777.95</v>
      </c>
      <c r="D12" s="14">
        <v>0.63700000000000001</v>
      </c>
      <c r="E12" s="12">
        <f>D12*C12</f>
        <v>958415407.5541501</v>
      </c>
      <c r="F12" s="14">
        <v>0.11600000000000001</v>
      </c>
      <c r="G12" s="12">
        <f t="shared" si="1"/>
        <v>174530906.24220002</v>
      </c>
      <c r="H12" s="14">
        <v>0.247</v>
      </c>
      <c r="I12" s="12">
        <f t="shared" si="2"/>
        <v>371630464.15364999</v>
      </c>
      <c r="J12" s="14"/>
      <c r="K12" s="12"/>
      <c r="L12" s="16"/>
      <c r="M12" s="12">
        <f>L12*C12</f>
        <v>0</v>
      </c>
      <c r="N12" s="14"/>
      <c r="O12" s="12">
        <f>N12*C12</f>
        <v>0</v>
      </c>
      <c r="Q12" t="s">
        <v>48</v>
      </c>
      <c r="S12" s="12">
        <f>E12-'Ago23'!E12</f>
        <v>57580303.554150105</v>
      </c>
      <c r="T12" s="12">
        <f>G12-'Ago23'!G12</f>
        <v>44822054.242200017</v>
      </c>
      <c r="U12" s="12">
        <f>I12-'Ago23'!I12</f>
        <v>-23197579.846350074</v>
      </c>
      <c r="V12" s="12">
        <f>K12-'Ago23'!K12</f>
        <v>0</v>
      </c>
      <c r="W12" s="12">
        <f>+M12-'Ago23'!M12</f>
        <v>0</v>
      </c>
      <c r="Y12" s="28">
        <f>D12-'Ago23'!D12</f>
        <v>5.0000000000000044E-3</v>
      </c>
      <c r="Z12" s="28">
        <f>F12-'Ago23'!F12</f>
        <v>2.5000000000000008E-2</v>
      </c>
      <c r="AA12" s="28">
        <f>H12-'Ago23'!H12</f>
        <v>-3.0000000000000027E-2</v>
      </c>
      <c r="AB12" s="28">
        <f>J12-'Ago23'!J12</f>
        <v>0</v>
      </c>
      <c r="AC12" s="28">
        <f>L12-'Ago23'!L12</f>
        <v>0</v>
      </c>
    </row>
    <row r="13" spans="1:29" x14ac:dyDescent="0.25">
      <c r="B13" s="3" t="s">
        <v>30</v>
      </c>
      <c r="C13" s="12">
        <v>921320000</v>
      </c>
      <c r="D13" s="14">
        <v>0.28000000000000003</v>
      </c>
      <c r="E13" s="12">
        <f t="shared" ref="E13" si="6">D13*C13</f>
        <v>257969600.00000003</v>
      </c>
      <c r="F13" s="14">
        <v>0.2</v>
      </c>
      <c r="G13" s="12">
        <f t="shared" si="1"/>
        <v>184264000</v>
      </c>
      <c r="H13" s="14">
        <v>0.51</v>
      </c>
      <c r="I13" s="12">
        <f t="shared" si="2"/>
        <v>469873200</v>
      </c>
      <c r="J13" s="14">
        <v>0.01</v>
      </c>
      <c r="K13" s="12">
        <f t="shared" ref="K13" si="7">J13*C13</f>
        <v>9213200</v>
      </c>
      <c r="L13" s="16"/>
      <c r="M13" s="12">
        <f t="shared" si="5"/>
        <v>0</v>
      </c>
      <c r="N13" s="14"/>
      <c r="O13" s="12">
        <f t="shared" si="3"/>
        <v>0</v>
      </c>
      <c r="S13" s="12">
        <f>E13-'Ago23'!E13</f>
        <v>8861000.0000000298</v>
      </c>
      <c r="T13" s="12">
        <f>G13-'Ago23'!G13</f>
        <v>-16939100</v>
      </c>
      <c r="U13" s="12">
        <f>I13-'Ago23'!I13</f>
        <v>-28344000</v>
      </c>
      <c r="V13" s="12">
        <f>K13-'Ago23'!K13</f>
        <v>-367900</v>
      </c>
      <c r="W13" s="12">
        <f>+M13-'Ago23'!M13</f>
        <v>0</v>
      </c>
      <c r="Y13" s="28">
        <f>D13-'Ago23'!D13</f>
        <v>2.0000000000000018E-2</v>
      </c>
      <c r="Z13" s="28">
        <f>F13-'Ago23'!F13</f>
        <v>-9.9999999999999811E-3</v>
      </c>
      <c r="AA13" s="28">
        <f>H13-'Ago23'!H13</f>
        <v>-1.0000000000000009E-2</v>
      </c>
      <c r="AB13" s="28">
        <f>J13-'Ago23'!J13</f>
        <v>0</v>
      </c>
      <c r="AC13" s="28">
        <f>L13-'Ago23'!L13</f>
        <v>0</v>
      </c>
    </row>
    <row r="14" spans="1:29" x14ac:dyDescent="0.25">
      <c r="B14" s="3" t="s">
        <v>31</v>
      </c>
      <c r="C14" s="12">
        <v>40838970.700000003</v>
      </c>
      <c r="D14" s="14">
        <v>0.40600000000000003</v>
      </c>
      <c r="E14" s="18">
        <f>D14*C14</f>
        <v>16580622.104200002</v>
      </c>
      <c r="F14" s="14">
        <v>0.13300000000000001</v>
      </c>
      <c r="G14" s="12">
        <f>F14*C14</f>
        <v>5431583.1031000009</v>
      </c>
      <c r="H14" s="19">
        <v>0.432</v>
      </c>
      <c r="I14" s="18">
        <f>H14*C14</f>
        <v>17642435.342399999</v>
      </c>
      <c r="J14" s="14">
        <v>2.9000000000000001E-2</v>
      </c>
      <c r="K14" s="12">
        <f>J14*C14</f>
        <v>1184330.1503000001</v>
      </c>
      <c r="L14" s="16"/>
      <c r="M14" s="12">
        <f>L14*C14</f>
        <v>0</v>
      </c>
      <c r="N14" s="14"/>
      <c r="O14" s="12">
        <f>N14*C14</f>
        <v>0</v>
      </c>
      <c r="S14" s="12">
        <f>E14-'Ago23'!E14</f>
        <v>3864205.0646400023</v>
      </c>
      <c r="T14" s="12">
        <f>G14-'Ago23'!G14</f>
        <v>-23684.561799998395</v>
      </c>
      <c r="U14" s="12">
        <f>I14-'Ago23'!I14</f>
        <v>674671.77778000012</v>
      </c>
      <c r="V14" s="12">
        <f>K14-'Ago23'!K14</f>
        <v>-1298757.20062</v>
      </c>
      <c r="W14" s="12">
        <f>+M14-'Ago23'!M14</f>
        <v>0</v>
      </c>
      <c r="Y14" s="28">
        <f>D14-'Ago23'!D14</f>
        <v>6.8000000000000005E-2</v>
      </c>
      <c r="Z14" s="28">
        <f>F14-'Ago23'!F14</f>
        <v>-1.1999999999999983E-2</v>
      </c>
      <c r="AA14" s="28">
        <f>H14-'Ago23'!H14</f>
        <v>-1.9000000000000017E-2</v>
      </c>
      <c r="AB14" s="28">
        <f>J14-'Ago23'!J14</f>
        <v>-3.7000000000000005E-2</v>
      </c>
      <c r="AC14" s="28">
        <f>L14-'Ago23'!L14</f>
        <v>0</v>
      </c>
    </row>
    <row r="15" spans="1:29" s="8" customFormat="1" x14ac:dyDescent="0.25">
      <c r="A15"/>
      <c r="B15" s="21" t="s">
        <v>45</v>
      </c>
      <c r="C15" s="20">
        <f>SUM(C3:C14)</f>
        <v>16645548213.990004</v>
      </c>
      <c r="D15" s="15">
        <f>+E15/$C15</f>
        <v>0.33406115801027891</v>
      </c>
      <c r="E15" s="17">
        <f>SUM(E3:E14)</f>
        <v>5560631112.0814304</v>
      </c>
      <c r="F15" s="15">
        <f>+G15/$C15</f>
        <v>0.18688961528311418</v>
      </c>
      <c r="G15" s="20">
        <f>SUM(G3:G14)</f>
        <v>3110880101.8891201</v>
      </c>
      <c r="H15" s="15">
        <f>+I15/$C15</f>
        <v>0.42663270229203371</v>
      </c>
      <c r="I15" s="17">
        <f>SUM(I3:I14)</f>
        <v>7101535215.6668901</v>
      </c>
      <c r="J15" s="15">
        <f>+K15/$C15</f>
        <v>3.7064012300516744E-2</v>
      </c>
      <c r="K15" s="17">
        <f>SUM(K3:K14)</f>
        <v>616950803.75216997</v>
      </c>
      <c r="L15" s="15">
        <f>+M15/$C15</f>
        <v>5.1782117252862124E-3</v>
      </c>
      <c r="M15" s="17">
        <f>SUM(M3:M14)</f>
        <v>86194172.935500011</v>
      </c>
      <c r="N15" s="15">
        <f>+O15/$C15</f>
        <v>1.0174300388770105E-2</v>
      </c>
      <c r="O15" s="17">
        <f>SUM(O3:O14)</f>
        <v>169356807.66489002</v>
      </c>
      <c r="S15" s="12">
        <f>E15-'Ago23'!E15</f>
        <v>1050957016.67663</v>
      </c>
      <c r="T15" s="12">
        <f>G15-'Ago23'!G15</f>
        <v>608015222.51346016</v>
      </c>
      <c r="U15" s="12">
        <f>I15-'Ago23'!I15</f>
        <v>960596948.90435028</v>
      </c>
      <c r="V15" s="12">
        <f>K15-'Ago23'!K15</f>
        <v>43780688.311529994</v>
      </c>
      <c r="W15" s="12">
        <f>+M15-'Ago23'!M15</f>
        <v>-4817723.6680999994</v>
      </c>
      <c r="Y15" s="28">
        <f>D15-'Ago23'!D15</f>
        <v>9.7650393749973419E-3</v>
      </c>
      <c r="Z15" s="28">
        <f>F15-'Ago23'!F15</f>
        <v>6.9055746010721619E-3</v>
      </c>
      <c r="AA15" s="28">
        <f>H15-'Ago23'!H15</f>
        <v>-1.4969595913775779E-2</v>
      </c>
      <c r="AB15" s="28">
        <f>J15-'Ago23'!J15</f>
        <v>-4.1533439480285275E-3</v>
      </c>
      <c r="AC15" s="28">
        <f>L15-'Ago23'!L15</f>
        <v>-1.3665638380427649E-3</v>
      </c>
    </row>
    <row r="16" spans="1:29" x14ac:dyDescent="0.25">
      <c r="C16" s="10"/>
      <c r="D16" s="10"/>
      <c r="E16" s="10"/>
      <c r="F16" s="5"/>
      <c r="G16" s="10"/>
      <c r="H16" s="10"/>
      <c r="I16" s="10"/>
      <c r="J16" s="5"/>
      <c r="K16" s="10"/>
    </row>
    <row r="17" spans="1:29" x14ac:dyDescent="0.25">
      <c r="B17" s="4" t="s">
        <v>2</v>
      </c>
      <c r="C17" s="9" t="s">
        <v>4</v>
      </c>
      <c r="D17" s="112" t="s">
        <v>7</v>
      </c>
      <c r="E17" s="112"/>
      <c r="F17" s="112" t="s">
        <v>8</v>
      </c>
      <c r="G17" s="112"/>
      <c r="H17" s="112" t="s">
        <v>10</v>
      </c>
      <c r="I17" s="112"/>
      <c r="J17" s="112" t="s">
        <v>9</v>
      </c>
      <c r="K17" s="112"/>
      <c r="L17" s="112" t="s">
        <v>21</v>
      </c>
      <c r="M17" s="112"/>
      <c r="N17" s="112" t="s">
        <v>55</v>
      </c>
      <c r="O17" s="112"/>
      <c r="S17" s="27" t="s">
        <v>49</v>
      </c>
      <c r="T17" s="27" t="s">
        <v>50</v>
      </c>
      <c r="U17" s="27" t="s">
        <v>51</v>
      </c>
      <c r="V17" s="27" t="s">
        <v>52</v>
      </c>
      <c r="W17" s="27" t="s">
        <v>53</v>
      </c>
      <c r="Y17" s="27" t="s">
        <v>49</v>
      </c>
      <c r="Z17" s="27" t="s">
        <v>50</v>
      </c>
      <c r="AA17" s="27" t="s">
        <v>51</v>
      </c>
      <c r="AB17" s="27" t="s">
        <v>52</v>
      </c>
      <c r="AC17" s="27" t="s">
        <v>53</v>
      </c>
    </row>
    <row r="18" spans="1:29" x14ac:dyDescent="0.25">
      <c r="B18" s="21" t="s">
        <v>6</v>
      </c>
      <c r="C18" s="22">
        <v>308902666.23000002</v>
      </c>
      <c r="D18" s="26">
        <f>0.1487+0.0053</f>
        <v>0.154</v>
      </c>
      <c r="E18" s="23">
        <f t="shared" ref="E18:E26" si="8">D18*C18</f>
        <v>47571010.599420004</v>
      </c>
      <c r="F18" s="26">
        <f>0.0936+0.0673+0.047+0.0075</f>
        <v>0.21539999999999998</v>
      </c>
      <c r="G18" s="22">
        <f>C18*F18</f>
        <v>66537634.305941999</v>
      </c>
      <c r="H18" s="26">
        <f>0.492+0.0088</f>
        <v>0.50080000000000002</v>
      </c>
      <c r="I18" s="23">
        <f t="shared" ref="I18:I26" si="9">H18*C18</f>
        <v>154698455.24798402</v>
      </c>
      <c r="J18" s="26">
        <v>5.91E-2</v>
      </c>
      <c r="K18" s="23">
        <f>J18*C18</f>
        <v>18256147.574193001</v>
      </c>
      <c r="L18" s="24"/>
      <c r="M18" s="23">
        <f>L18*E18</f>
        <v>0</v>
      </c>
      <c r="N18" s="26">
        <v>7.0699999999999999E-2</v>
      </c>
      <c r="O18" s="23">
        <f>N18*G18</f>
        <v>4704210.7454300988</v>
      </c>
      <c r="S18" s="12">
        <f>E18-'Ago23'!E18</f>
        <v>-7882745.0297679901</v>
      </c>
      <c r="T18" s="12">
        <f>G18-'Ago23'!G18</f>
        <v>-3257609.8480360061</v>
      </c>
      <c r="U18" s="12">
        <f>I18-'Ago23'!I18</f>
        <v>-652249.4818379879</v>
      </c>
      <c r="V18" s="12">
        <f>K18-'Ago23'!K18</f>
        <v>-434050.37424299866</v>
      </c>
      <c r="W18" s="12">
        <f>+M18-'Ago23'!M18</f>
        <v>0</v>
      </c>
      <c r="Y18" s="28">
        <f>D18-'Ago23'!D18</f>
        <v>-2.579999999999999E-2</v>
      </c>
      <c r="Z18" s="28">
        <f>F18-'Ago23'!F18</f>
        <v>-1.0900000000000021E-2</v>
      </c>
      <c r="AA18" s="28">
        <f>H18-'Ago23'!H18</f>
        <v>-2.9000000000000137E-3</v>
      </c>
      <c r="AB18" s="28">
        <f>J18-'Ago23'!J18</f>
        <v>-1.5000000000000013E-3</v>
      </c>
      <c r="AC18" s="28">
        <f>L18-'Ago23'!L18</f>
        <v>0</v>
      </c>
    </row>
    <row r="19" spans="1:29" x14ac:dyDescent="0.25">
      <c r="B19" s="3" t="s">
        <v>26</v>
      </c>
      <c r="C19" s="12">
        <v>407628369.80000001</v>
      </c>
      <c r="D19" s="14">
        <v>0.2</v>
      </c>
      <c r="E19" s="12">
        <f t="shared" si="8"/>
        <v>81525673.960000008</v>
      </c>
      <c r="F19" s="14">
        <f>0.01+0.13</f>
        <v>0.14000000000000001</v>
      </c>
      <c r="G19" s="12">
        <f t="shared" ref="G19:G26" si="10">C19*F19</f>
        <v>57067971.772000007</v>
      </c>
      <c r="H19" s="14">
        <f>0.03+0.45</f>
        <v>0.48</v>
      </c>
      <c r="I19" s="12">
        <f t="shared" si="9"/>
        <v>195661617.50400001</v>
      </c>
      <c r="J19" s="14">
        <v>0.15</v>
      </c>
      <c r="K19" s="12">
        <f t="shared" ref="K19:O26" si="11">J19*C19</f>
        <v>61144255.469999999</v>
      </c>
      <c r="L19" s="16"/>
      <c r="M19" s="12">
        <f t="shared" si="11"/>
        <v>0</v>
      </c>
      <c r="N19" s="26">
        <v>0.03</v>
      </c>
      <c r="O19" s="12">
        <f t="shared" si="11"/>
        <v>1712039.1531600002</v>
      </c>
      <c r="S19" s="12">
        <f>E19-'Ago23'!E19</f>
        <v>8420106.0490000099</v>
      </c>
      <c r="T19" s="12">
        <f>G19-'Ago23'!G19</f>
        <v>-7914755.2599999905</v>
      </c>
      <c r="U19" s="12">
        <f>I19-'Ago23'!I19</f>
        <v>713436.40800002217</v>
      </c>
      <c r="V19" s="12">
        <f>K19-'Ago23'!K19</f>
        <v>222948.87750000507</v>
      </c>
      <c r="W19" s="12">
        <f>+M19-'Ago23'!M19</f>
        <v>0</v>
      </c>
      <c r="Y19" s="28">
        <f>D19-'Ago23'!D19</f>
        <v>2.0000000000000018E-2</v>
      </c>
      <c r="Z19" s="28">
        <f>F19-'Ago23'!F19</f>
        <v>-1.999999999999999E-2</v>
      </c>
      <c r="AA19" s="28">
        <f>H19-'Ago23'!H19</f>
        <v>0</v>
      </c>
      <c r="AB19" s="28">
        <f>J19-'Ago23'!J19</f>
        <v>0</v>
      </c>
      <c r="AC19" s="28">
        <f>L19-'Ago23'!L19</f>
        <v>0</v>
      </c>
    </row>
    <row r="20" spans="1:29" x14ac:dyDescent="0.25">
      <c r="B20" s="3" t="s">
        <v>27</v>
      </c>
      <c r="C20" s="12">
        <v>521849098</v>
      </c>
      <c r="D20" s="14">
        <v>4.9799999999999997E-2</v>
      </c>
      <c r="E20" s="12">
        <f t="shared" si="8"/>
        <v>25988085.080399998</v>
      </c>
      <c r="F20" s="14">
        <v>0.25740000000000002</v>
      </c>
      <c r="G20" s="12">
        <f t="shared" si="10"/>
        <v>134323957.82520002</v>
      </c>
      <c r="H20" s="14">
        <f>0.5657+0.0538</f>
        <v>0.61949999999999994</v>
      </c>
      <c r="I20" s="12">
        <f t="shared" si="9"/>
        <v>323285516.21099997</v>
      </c>
      <c r="J20" s="14">
        <v>6.5600000000000006E-2</v>
      </c>
      <c r="K20" s="12">
        <f t="shared" si="11"/>
        <v>34233300.8288</v>
      </c>
      <c r="L20" s="16"/>
      <c r="M20" s="12">
        <f t="shared" si="11"/>
        <v>0</v>
      </c>
      <c r="N20" s="26">
        <v>7.7000000000000002E-3</v>
      </c>
      <c r="O20" s="12">
        <f t="shared" si="11"/>
        <v>1034294.4752540402</v>
      </c>
      <c r="S20" s="12">
        <f>E20-'Ago23'!E20</f>
        <v>25988085.080399998</v>
      </c>
      <c r="T20" s="12">
        <f>G20-'Ago23'!G20</f>
        <v>134323957.82520002</v>
      </c>
      <c r="U20" s="12">
        <f>I20-'Ago23'!I20</f>
        <v>323285516.21099997</v>
      </c>
      <c r="V20" s="12">
        <f>K20-'Ago23'!K20</f>
        <v>34233300.8288</v>
      </c>
      <c r="W20" s="12">
        <f>+M20-'Ago23'!M20</f>
        <v>0</v>
      </c>
      <c r="Y20" s="28">
        <f>D20-'Ago23'!D20</f>
        <v>4.9799999999999997E-2</v>
      </c>
      <c r="Z20" s="28">
        <f>F20-'Ago23'!F20</f>
        <v>0.25740000000000002</v>
      </c>
      <c r="AA20" s="28">
        <f>H20-'Ago23'!H20</f>
        <v>0.61949999999999994</v>
      </c>
      <c r="AB20" s="28">
        <f>J20-'Ago23'!J20</f>
        <v>6.5600000000000006E-2</v>
      </c>
      <c r="AC20" s="28">
        <f>L20-'Ago23'!L20</f>
        <v>0</v>
      </c>
    </row>
    <row r="21" spans="1:29" x14ac:dyDescent="0.25">
      <c r="B21" s="3" t="s">
        <v>28</v>
      </c>
      <c r="C21" s="12">
        <v>1122280009</v>
      </c>
      <c r="D21" s="14">
        <v>0.12</v>
      </c>
      <c r="E21" s="12">
        <f t="shared" si="8"/>
        <v>134673601.07999998</v>
      </c>
      <c r="F21" s="14">
        <v>0.14000000000000001</v>
      </c>
      <c r="G21" s="12">
        <f t="shared" si="10"/>
        <v>157119201.26000002</v>
      </c>
      <c r="H21" s="14">
        <f>0.56+0.04</f>
        <v>0.60000000000000009</v>
      </c>
      <c r="I21" s="12">
        <f t="shared" si="9"/>
        <v>673368005.4000001</v>
      </c>
      <c r="J21" s="14">
        <v>0.14000000000000001</v>
      </c>
      <c r="K21" s="12">
        <f t="shared" si="11"/>
        <v>157119201.26000002</v>
      </c>
      <c r="L21" s="16"/>
      <c r="M21" s="12">
        <f t="shared" si="11"/>
        <v>0</v>
      </c>
      <c r="N21" s="26"/>
      <c r="O21" s="12">
        <f t="shared" si="11"/>
        <v>0</v>
      </c>
      <c r="S21" s="12">
        <f>E21-'Ago23'!E21</f>
        <v>817379.39999999106</v>
      </c>
      <c r="T21" s="12">
        <f>G21-'Ago23'!G21</f>
        <v>12108294.440000027</v>
      </c>
      <c r="U21" s="12">
        <f>I21-'Ago23'!I21</f>
        <v>-7067788.1399998665</v>
      </c>
      <c r="V21" s="12">
        <f>K21-'Ago23'!K21</f>
        <v>953609.30000001192</v>
      </c>
      <c r="W21" s="12">
        <f>+M21-'Ago23'!M21</f>
        <v>0</v>
      </c>
      <c r="Y21" s="28">
        <f>D21-'Ago23'!D21</f>
        <v>0</v>
      </c>
      <c r="Z21" s="28">
        <f>F21-'Ago23'!F21</f>
        <v>1.0000000000000009E-2</v>
      </c>
      <c r="AA21" s="28">
        <f>H21-'Ago23'!H21</f>
        <v>-9.9999999999998979E-3</v>
      </c>
      <c r="AB21" s="28">
        <f>J21-'Ago23'!J21</f>
        <v>0</v>
      </c>
      <c r="AC21" s="28">
        <f>L21-'Ago23'!L21</f>
        <v>0</v>
      </c>
    </row>
    <row r="22" spans="1:29" x14ac:dyDescent="0.25">
      <c r="B22" s="3" t="s">
        <v>32</v>
      </c>
      <c r="C22" s="12">
        <v>292800000</v>
      </c>
      <c r="D22" s="14">
        <v>7.0000000000000007E-2</v>
      </c>
      <c r="E22" s="12">
        <f t="shared" si="8"/>
        <v>20496000.000000004</v>
      </c>
      <c r="F22" s="14">
        <v>0.1</v>
      </c>
      <c r="G22" s="12">
        <f t="shared" si="10"/>
        <v>29280000</v>
      </c>
      <c r="H22" s="14">
        <v>0.7</v>
      </c>
      <c r="I22" s="12">
        <f t="shared" si="9"/>
        <v>204960000</v>
      </c>
      <c r="J22" s="14">
        <v>0.13</v>
      </c>
      <c r="K22" s="12">
        <f t="shared" si="11"/>
        <v>38064000</v>
      </c>
      <c r="L22" s="16"/>
      <c r="M22" s="12">
        <f t="shared" si="11"/>
        <v>0</v>
      </c>
      <c r="N22" s="26"/>
      <c r="O22" s="12">
        <f t="shared" si="11"/>
        <v>0</v>
      </c>
      <c r="S22" s="12">
        <f>E22-'Ago23'!E22</f>
        <v>2441000.0000000037</v>
      </c>
      <c r="T22" s="12">
        <f>G22-'Ago23'!G22</f>
        <v>-6830000</v>
      </c>
      <c r="U22" s="12">
        <f>I22-'Ago23'!I22</f>
        <v>-58643000</v>
      </c>
      <c r="V22" s="12">
        <f>K22-'Ago23'!K22</f>
        <v>-5268000</v>
      </c>
      <c r="W22" s="12">
        <f>+M22-'Ago23'!M22</f>
        <v>0</v>
      </c>
      <c r="Y22" s="28">
        <f>D22-'Ago23'!D22</f>
        <v>2.0000000000000004E-2</v>
      </c>
      <c r="Z22" s="28">
        <f>F22-'Ago23'!F22</f>
        <v>0</v>
      </c>
      <c r="AA22" s="28">
        <f>H22-'Ago23'!H22</f>
        <v>-3.0000000000000027E-2</v>
      </c>
      <c r="AB22" s="28">
        <f>J22-'Ago23'!J22</f>
        <v>1.0000000000000009E-2</v>
      </c>
      <c r="AC22" s="28">
        <f>L22-'Ago23'!L22</f>
        <v>0</v>
      </c>
    </row>
    <row r="23" spans="1:29" x14ac:dyDescent="0.25">
      <c r="B23" s="3" t="s">
        <v>33</v>
      </c>
      <c r="C23" s="12">
        <v>655100000</v>
      </c>
      <c r="D23" s="14">
        <v>0.18</v>
      </c>
      <c r="E23" s="12">
        <f t="shared" si="8"/>
        <v>117918000</v>
      </c>
      <c r="F23" s="14">
        <v>0.17</v>
      </c>
      <c r="G23" s="12">
        <f t="shared" si="10"/>
        <v>111367000.00000001</v>
      </c>
      <c r="H23" s="14">
        <v>0.61</v>
      </c>
      <c r="I23" s="12">
        <f t="shared" si="9"/>
        <v>399611000</v>
      </c>
      <c r="J23" s="14">
        <v>0.04</v>
      </c>
      <c r="K23" s="12">
        <f t="shared" si="11"/>
        <v>26204000</v>
      </c>
      <c r="L23" s="16"/>
      <c r="M23" s="12">
        <f t="shared" si="11"/>
        <v>0</v>
      </c>
      <c r="N23" s="26"/>
      <c r="O23" s="12">
        <f t="shared" si="11"/>
        <v>0</v>
      </c>
      <c r="S23" s="12">
        <f>E23-'Ago23'!E23</f>
        <v>24873000</v>
      </c>
      <c r="T23" s="12">
        <f>G23-'Ago23'!G23</f>
        <v>-286999.9999999851</v>
      </c>
      <c r="U23" s="12">
        <f>I23-'Ago23'!I23</f>
        <v>8822000</v>
      </c>
      <c r="V23" s="12">
        <f>K23-'Ago23'!K23</f>
        <v>1392000</v>
      </c>
      <c r="W23" s="12">
        <f>+M23-'Ago23'!M23</f>
        <v>0</v>
      </c>
      <c r="Y23" s="28">
        <f>D23-'Ago23'!D23</f>
        <v>0.03</v>
      </c>
      <c r="Z23" s="28">
        <f>F23-'Ago23'!F23</f>
        <v>-9.9999999999999811E-3</v>
      </c>
      <c r="AA23" s="28">
        <f>H23-'Ago23'!H23</f>
        <v>-2.0000000000000018E-2</v>
      </c>
      <c r="AB23" s="28">
        <f>J23-'Ago23'!J23</f>
        <v>0</v>
      </c>
      <c r="AC23" s="28">
        <f>L23-'Ago23'!L23</f>
        <v>0</v>
      </c>
    </row>
    <row r="24" spans="1:29" x14ac:dyDescent="0.25">
      <c r="B24" s="3" t="s">
        <v>34</v>
      </c>
      <c r="C24" s="12">
        <v>277835952</v>
      </c>
      <c r="D24" s="14">
        <v>0.17929999999999999</v>
      </c>
      <c r="E24" s="12">
        <f t="shared" si="8"/>
        <v>49815986.193599999</v>
      </c>
      <c r="F24" s="14">
        <v>0.16259999999999999</v>
      </c>
      <c r="G24" s="12">
        <f t="shared" si="10"/>
        <v>45176125.795199998</v>
      </c>
      <c r="H24" s="14">
        <v>0.53500000000000003</v>
      </c>
      <c r="I24" s="12">
        <f t="shared" si="9"/>
        <v>148642234.32000002</v>
      </c>
      <c r="J24" s="14">
        <v>0.1152</v>
      </c>
      <c r="K24" s="12">
        <f t="shared" si="11"/>
        <v>32006701.670399997</v>
      </c>
      <c r="L24" s="14"/>
      <c r="M24" s="12">
        <f t="shared" si="11"/>
        <v>0</v>
      </c>
      <c r="N24" s="26">
        <v>7.9000000000000008E-3</v>
      </c>
      <c r="O24" s="12">
        <f t="shared" si="11"/>
        <v>356891.39378208003</v>
      </c>
      <c r="S24" s="12">
        <f>E24-'Ago23'!E24</f>
        <v>3200064.7415999994</v>
      </c>
      <c r="T24" s="12">
        <f>G24-'Ago23'!G24</f>
        <v>1425485.5671999976</v>
      </c>
      <c r="U24" s="12">
        <f>I24-'Ago23'!I24</f>
        <v>-5917647.0900000036</v>
      </c>
      <c r="V24" s="12">
        <f>K24-'Ago23'!K24</f>
        <v>3574295.6783999987</v>
      </c>
      <c r="W24" s="12">
        <f>+M24-'Ago23'!M24</f>
        <v>0</v>
      </c>
      <c r="Y24" s="28">
        <f>D24-'Ago23'!D24</f>
        <v>1.0099999999999998E-2</v>
      </c>
      <c r="Z24" s="28">
        <f>F24-'Ago23'!F24</f>
        <v>3.7999999999999978E-3</v>
      </c>
      <c r="AA24" s="28">
        <f>H24-'Ago23'!H24</f>
        <v>-2.6000000000000023E-2</v>
      </c>
      <c r="AB24" s="28">
        <f>J24-'Ago23'!J24</f>
        <v>1.1999999999999997E-2</v>
      </c>
      <c r="AC24" s="28">
        <f>L24-'Ago23'!L24</f>
        <v>0</v>
      </c>
    </row>
    <row r="25" spans="1:29" x14ac:dyDescent="0.25">
      <c r="B25" s="3" t="s">
        <v>35</v>
      </c>
      <c r="C25" s="12">
        <v>232840004</v>
      </c>
      <c r="D25" s="14">
        <v>9.8000000000000004E-2</v>
      </c>
      <c r="E25" s="12">
        <f t="shared" si="8"/>
        <v>22818320.392000001</v>
      </c>
      <c r="F25" s="14">
        <f>0.313+0.047</f>
        <v>0.36</v>
      </c>
      <c r="G25" s="12">
        <f t="shared" si="10"/>
        <v>83822401.439999998</v>
      </c>
      <c r="H25" s="14">
        <f>0.482+0.011</f>
        <v>0.49299999999999999</v>
      </c>
      <c r="I25" s="12">
        <f t="shared" si="9"/>
        <v>114790121.972</v>
      </c>
      <c r="J25" s="14">
        <v>4.9000000000000002E-2</v>
      </c>
      <c r="K25" s="12">
        <f t="shared" si="11"/>
        <v>11409160.196</v>
      </c>
      <c r="L25" s="16"/>
      <c r="M25" s="12">
        <f t="shared" si="11"/>
        <v>0</v>
      </c>
      <c r="N25" s="26"/>
      <c r="O25" s="12">
        <f t="shared" si="11"/>
        <v>0</v>
      </c>
      <c r="S25" s="12">
        <f>E25-'Ago23'!E25</f>
        <v>3817819.4040000029</v>
      </c>
      <c r="T25" s="12">
        <f>G25-'Ago23'!G25</f>
        <v>7599461.4300000072</v>
      </c>
      <c r="U25" s="12">
        <f>I25-'Ago23'!I25</f>
        <v>1008052.1019999981</v>
      </c>
      <c r="V25" s="12">
        <f>K25-'Ago23'!K25</f>
        <v>-521386.93599999882</v>
      </c>
      <c r="W25" s="12">
        <f>+M25-'Ago23'!M25</f>
        <v>0</v>
      </c>
      <c r="Y25" s="28">
        <f>D25-'Ago23'!D25</f>
        <v>1.2000000000000011E-2</v>
      </c>
      <c r="Z25" s="28">
        <f>F25-'Ago23'!F25</f>
        <v>1.5000000000000013E-2</v>
      </c>
      <c r="AA25" s="28">
        <f>H25-'Ago23'!H25</f>
        <v>-2.200000000000002E-2</v>
      </c>
      <c r="AB25" s="28">
        <f>J25-'Ago23'!J25</f>
        <v>-4.9999999999999975E-3</v>
      </c>
      <c r="AC25" s="28">
        <f>L25-'Ago23'!L25</f>
        <v>0</v>
      </c>
    </row>
    <row r="26" spans="1:29" x14ac:dyDescent="0.25">
      <c r="B26" s="3" t="s">
        <v>36</v>
      </c>
      <c r="C26" s="12"/>
      <c r="D26" s="19"/>
      <c r="E26" s="18">
        <f t="shared" si="8"/>
        <v>0</v>
      </c>
      <c r="F26" s="14"/>
      <c r="G26" s="12">
        <f t="shared" si="10"/>
        <v>0</v>
      </c>
      <c r="H26" s="19"/>
      <c r="I26" s="18">
        <f t="shared" si="9"/>
        <v>0</v>
      </c>
      <c r="J26" s="14"/>
      <c r="K26" s="12">
        <f t="shared" si="11"/>
        <v>0</v>
      </c>
      <c r="L26" s="16"/>
      <c r="M26" s="12">
        <f t="shared" si="11"/>
        <v>0</v>
      </c>
      <c r="N26" s="26"/>
      <c r="O26" s="12">
        <f t="shared" si="11"/>
        <v>0</v>
      </c>
      <c r="S26" s="12">
        <f>E26-'Ago23'!E26</f>
        <v>-24161900.000000004</v>
      </c>
      <c r="T26" s="12">
        <f>G26-'Ago23'!G26</f>
        <v>-55227200</v>
      </c>
      <c r="U26" s="12">
        <f>I26-'Ago23'!I26</f>
        <v>-231263900</v>
      </c>
      <c r="V26" s="12">
        <f>K26-'Ago23'!K26</f>
        <v>-34517000</v>
      </c>
      <c r="W26" s="12">
        <f>+M26-'Ago23'!M26</f>
        <v>0</v>
      </c>
      <c r="Y26" s="28">
        <f>D26-'Ago23'!D26</f>
        <v>-7.0000000000000007E-2</v>
      </c>
      <c r="Z26" s="28">
        <f>F26-'Ago23'!F26</f>
        <v>-0.16</v>
      </c>
      <c r="AA26" s="28">
        <f>H26-'Ago23'!H26</f>
        <v>-0.67</v>
      </c>
      <c r="AB26" s="28">
        <f>J26-'Ago23'!J26</f>
        <v>-0.1</v>
      </c>
      <c r="AC26" s="28">
        <f>L26-'Ago23'!L26</f>
        <v>0</v>
      </c>
    </row>
    <row r="27" spans="1:29" s="8" customFormat="1" x14ac:dyDescent="0.25">
      <c r="A27"/>
      <c r="B27" s="21" t="s">
        <v>45</v>
      </c>
      <c r="C27" s="20">
        <f>SUM(C18:C26)</f>
        <v>3819236099.0299997</v>
      </c>
      <c r="D27" s="15">
        <f>+E27/$C27</f>
        <v>0.13112744651544683</v>
      </c>
      <c r="E27" s="17">
        <f>SUM(E18:E26)</f>
        <v>500806677.30542004</v>
      </c>
      <c r="F27" s="15">
        <f>+G27/$C27</f>
        <v>0.17927519395102051</v>
      </c>
      <c r="G27" s="20">
        <f>SUM(G18:G26)</f>
        <v>684694292.39834213</v>
      </c>
      <c r="H27" s="15">
        <f>+I27/$C27</f>
        <v>0.57996334691577422</v>
      </c>
      <c r="I27" s="17">
        <f>SUM(I18:I26)</f>
        <v>2215016950.654984</v>
      </c>
      <c r="J27" s="15">
        <f>+K27/$C27</f>
        <v>9.9087031329513103E-2</v>
      </c>
      <c r="K27" s="17">
        <f>SUM(K18:K26)</f>
        <v>378436766.99939299</v>
      </c>
      <c r="L27" s="15">
        <f>+M27/$C27</f>
        <v>0</v>
      </c>
      <c r="M27" s="17">
        <f>SUM(M18:M26)</f>
        <v>0</v>
      </c>
      <c r="N27" s="15">
        <f>+O27/$C27</f>
        <v>2.0442401478162433E-3</v>
      </c>
      <c r="O27" s="17">
        <f>SUM(O18:O26)</f>
        <v>7807435.7676262194</v>
      </c>
      <c r="S27" s="12">
        <f>E27-'Ago23'!E27</f>
        <v>37512809.645232081</v>
      </c>
      <c r="T27" s="12">
        <f>G27-'Ago23'!G27</f>
        <v>81940634.154364109</v>
      </c>
      <c r="U27" s="12">
        <f>I27-'Ago23'!I27</f>
        <v>30284420.009161949</v>
      </c>
      <c r="V27" s="12">
        <f>K27-'Ago23'!K27</f>
        <v>-364282.62554299831</v>
      </c>
      <c r="W27" s="12">
        <f>+M27-'Ago23'!M27</f>
        <v>0</v>
      </c>
      <c r="Y27" s="28">
        <f>D27-'Ago23'!D27</f>
        <v>4.3033713718299837E-3</v>
      </c>
      <c r="Z27" s="28">
        <f>F27-'Ago23'!F27</f>
        <v>1.4274790141891425E-2</v>
      </c>
      <c r="AA27" s="28">
        <f>H27-'Ago23'!H27</f>
        <v>-1.8094823020024076E-2</v>
      </c>
      <c r="AB27" s="28">
        <f>J27-'Ago23'!J27</f>
        <v>-4.6076129029689605E-3</v>
      </c>
      <c r="AC27" s="28">
        <f>L27-'Ago23'!L27</f>
        <v>0</v>
      </c>
    </row>
    <row r="28" spans="1:29" x14ac:dyDescent="0.25">
      <c r="C28" s="10"/>
      <c r="D28" s="10"/>
      <c r="E28" s="10"/>
      <c r="F28" s="5"/>
      <c r="G28" s="10"/>
      <c r="H28" s="10"/>
      <c r="I28" s="10"/>
      <c r="J28" s="5"/>
      <c r="K28" s="10"/>
    </row>
    <row r="29" spans="1:29" x14ac:dyDescent="0.25">
      <c r="B29" s="4" t="s">
        <v>38</v>
      </c>
      <c r="C29" s="9" t="s">
        <v>4</v>
      </c>
      <c r="D29" s="113" t="s">
        <v>7</v>
      </c>
      <c r="E29" s="113"/>
      <c r="F29" s="112" t="s">
        <v>8</v>
      </c>
      <c r="G29" s="112"/>
      <c r="H29" s="112" t="s">
        <v>10</v>
      </c>
      <c r="I29" s="112"/>
      <c r="J29" s="112" t="s">
        <v>9</v>
      </c>
      <c r="K29" s="112"/>
      <c r="L29" s="112" t="s">
        <v>40</v>
      </c>
      <c r="M29" s="112"/>
      <c r="N29" s="112" t="s">
        <v>55</v>
      </c>
      <c r="O29" s="112"/>
      <c r="S29" s="27" t="s">
        <v>49</v>
      </c>
      <c r="T29" s="27" t="s">
        <v>50</v>
      </c>
      <c r="U29" s="27" t="s">
        <v>51</v>
      </c>
      <c r="V29" s="27" t="s">
        <v>52</v>
      </c>
      <c r="W29" s="27" t="s">
        <v>54</v>
      </c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</row>
    <row r="30" spans="1:29" x14ac:dyDescent="0.25">
      <c r="B30" s="21" t="s">
        <v>39</v>
      </c>
      <c r="C30" s="22">
        <v>203803400.13999999</v>
      </c>
      <c r="D30" s="26">
        <f>0.064+0.027</f>
        <v>9.0999999999999998E-2</v>
      </c>
      <c r="E30" s="23">
        <f>D30*C30</f>
        <v>18546109.41274</v>
      </c>
      <c r="F30" s="26">
        <f>0.093+0.044+0.037</f>
        <v>0.17400000000000002</v>
      </c>
      <c r="G30" s="22">
        <f>F30*C30</f>
        <v>35461791.624360003</v>
      </c>
      <c r="H30" s="26">
        <f>0.607+0.048+0.01</f>
        <v>0.66500000000000004</v>
      </c>
      <c r="I30" s="23">
        <f>H30*C30</f>
        <v>135529261.09310001</v>
      </c>
      <c r="J30" s="26">
        <v>0.114</v>
      </c>
      <c r="K30" s="23">
        <f>J30*C30</f>
        <v>23233587.615959998</v>
      </c>
      <c r="L30" s="39">
        <v>7.0000000000000007E-2</v>
      </c>
      <c r="M30" s="23">
        <f>L30*C30</f>
        <v>14266238.0098</v>
      </c>
      <c r="N30" s="26"/>
      <c r="O30" s="23">
        <f>N30*E30</f>
        <v>0</v>
      </c>
      <c r="S30" s="12">
        <f>E30-'Ago23'!E30</f>
        <v>3010058.4969699997</v>
      </c>
      <c r="T30" s="12">
        <f>G30-'Ago23'!G30</f>
        <v>2372020.8427200019</v>
      </c>
      <c r="U30" s="12">
        <f>I30-'Ago23'!I30</f>
        <v>143674.54139000177</v>
      </c>
      <c r="V30" s="12">
        <f>K30-'Ago23'!K30</f>
        <v>30394.689809996635</v>
      </c>
      <c r="W30" s="12">
        <f>+M30-'Ago23'!M30</f>
        <v>-59211.535909997299</v>
      </c>
      <c r="Y30" s="28">
        <f>D30-'Ago23'!D30</f>
        <v>1.3999999999999999E-2</v>
      </c>
      <c r="Z30" s="28">
        <f>F30-'Ago23'!F30</f>
        <v>1.0000000000000009E-2</v>
      </c>
      <c r="AA30" s="28">
        <f>H30-'Ago23'!H30</f>
        <v>-6.0000000000000053E-3</v>
      </c>
      <c r="AB30" s="28">
        <f>J30-'Ago23'!J30</f>
        <v>-1.0000000000000009E-3</v>
      </c>
      <c r="AC30" s="28">
        <f>L30-'Ago23'!L30</f>
        <v>-9.9999999999998701E-4</v>
      </c>
    </row>
    <row r="31" spans="1:29" x14ac:dyDescent="0.25">
      <c r="B31" s="3" t="s">
        <v>56</v>
      </c>
      <c r="C31" s="12"/>
      <c r="D31" s="14"/>
      <c r="E31" s="12"/>
      <c r="F31" s="14"/>
      <c r="G31" s="12"/>
      <c r="H31" s="14"/>
      <c r="I31" s="12"/>
      <c r="J31" s="14"/>
      <c r="K31" s="12"/>
      <c r="L31" s="14"/>
      <c r="M31" s="12"/>
      <c r="N31" s="14"/>
      <c r="O31" s="12"/>
      <c r="S31" s="12">
        <f>E31-'Ago23'!E31</f>
        <v>0</v>
      </c>
      <c r="T31" s="12">
        <f>G31-'Ago23'!G31</f>
        <v>0</v>
      </c>
      <c r="U31" s="12">
        <f>I31-'Ago23'!I31</f>
        <v>0</v>
      </c>
      <c r="V31" s="12">
        <f>K31-'Ago23'!K31</f>
        <v>0</v>
      </c>
      <c r="W31" s="12">
        <f>+M31-'Ago23'!M31</f>
        <v>0</v>
      </c>
      <c r="Y31" s="28">
        <f>D31-'Ago23'!D31</f>
        <v>0</v>
      </c>
      <c r="Z31" s="28">
        <f>F31-'Ago23'!F31</f>
        <v>0</v>
      </c>
      <c r="AA31" s="28">
        <f>H31-'Ago23'!H31</f>
        <v>0</v>
      </c>
      <c r="AB31" s="28">
        <f>J31-'Ago23'!J31</f>
        <v>0</v>
      </c>
      <c r="AC31" s="28">
        <f>L31-'Ago23'!L31</f>
        <v>0</v>
      </c>
    </row>
    <row r="32" spans="1:29" x14ac:dyDescent="0.25">
      <c r="B32" s="3" t="s">
        <v>42</v>
      </c>
      <c r="C32" s="12">
        <v>223380942</v>
      </c>
      <c r="D32" s="14">
        <v>0.09</v>
      </c>
      <c r="E32" s="12">
        <f>D32*C32</f>
        <v>20104284.779999997</v>
      </c>
      <c r="F32" s="14">
        <v>0.11</v>
      </c>
      <c r="G32" s="12">
        <f>F32*C32</f>
        <v>24571903.620000001</v>
      </c>
      <c r="H32" s="14">
        <v>0.61</v>
      </c>
      <c r="I32" s="12">
        <f>H32*C32</f>
        <v>136262374.62</v>
      </c>
      <c r="J32" s="14">
        <v>0.06</v>
      </c>
      <c r="K32" s="12">
        <f>J32*C32</f>
        <v>13402856.52</v>
      </c>
      <c r="L32" s="14">
        <v>0.1</v>
      </c>
      <c r="M32" s="12">
        <f>L32*C32</f>
        <v>22338094.200000003</v>
      </c>
      <c r="N32" s="14">
        <v>0.03</v>
      </c>
      <c r="O32" s="12">
        <f>N32*E32</f>
        <v>603128.54339999985</v>
      </c>
      <c r="S32" s="12">
        <f>E32-'Ago23'!E32</f>
        <v>-2579822.4200000055</v>
      </c>
      <c r="T32" s="12">
        <f>G32-'Ago23'!G32</f>
        <v>-2649025.0199999996</v>
      </c>
      <c r="U32" s="12">
        <f>I32-'Ago23'!I32</f>
        <v>-8915911.4600000083</v>
      </c>
      <c r="V32" s="12">
        <f>K32-'Ago23'!K32</f>
        <v>2060802.9199999981</v>
      </c>
      <c r="W32" s="12">
        <f>+M32-'Ago23'!M32</f>
        <v>1922397.7200000025</v>
      </c>
      <c r="Y32" s="28">
        <f>D32-'Ago23'!D32</f>
        <v>-1.0000000000000009E-2</v>
      </c>
      <c r="Z32" s="28">
        <f>F32-'Ago23'!F32</f>
        <v>-9.999999999999995E-3</v>
      </c>
      <c r="AA32" s="28">
        <f>H32-'Ago23'!H32</f>
        <v>-3.0000000000000027E-2</v>
      </c>
      <c r="AB32" s="28">
        <f>J32-'Ago23'!J32</f>
        <v>9.999999999999995E-3</v>
      </c>
      <c r="AC32" s="28">
        <f>L32-'Ago23'!L32</f>
        <v>1.0000000000000009E-2</v>
      </c>
    </row>
    <row r="33" spans="1:29" x14ac:dyDescent="0.25">
      <c r="B33" s="3" t="s">
        <v>43</v>
      </c>
      <c r="C33" s="12">
        <v>788098964</v>
      </c>
      <c r="D33" s="14">
        <v>0.09</v>
      </c>
      <c r="E33" s="12">
        <f>D33*C33</f>
        <v>70928906.75999999</v>
      </c>
      <c r="F33" s="14">
        <f>0.11+0.01</f>
        <v>0.12</v>
      </c>
      <c r="G33" s="12">
        <f>F33*C33</f>
        <v>94571875.679999992</v>
      </c>
      <c r="H33" s="14">
        <f>0.61+0.02+0.01</f>
        <v>0.64</v>
      </c>
      <c r="I33" s="12">
        <f>H33*C33</f>
        <v>504383336.96000004</v>
      </c>
      <c r="J33" s="14">
        <v>0.15</v>
      </c>
      <c r="K33" s="12">
        <f>J33*C33</f>
        <v>118214844.59999999</v>
      </c>
      <c r="L33" s="14"/>
      <c r="M33" s="12">
        <f>L33*C33</f>
        <v>0</v>
      </c>
      <c r="N33" s="14"/>
      <c r="O33" s="12">
        <f>N33*E33</f>
        <v>0</v>
      </c>
      <c r="S33" s="12">
        <f>E33-'Ago23'!E33</f>
        <v>-1487516.3100000024</v>
      </c>
      <c r="T33" s="12">
        <f>G33-'Ago23'!G33</f>
        <v>6062914.1499999911</v>
      </c>
      <c r="U33" s="12">
        <f>I33-'Ago23'!I33</f>
        <v>-26670432.219999969</v>
      </c>
      <c r="V33" s="12">
        <f>K33-'Ago23'!K33</f>
        <v>5567075.3799999803</v>
      </c>
      <c r="W33" s="12">
        <f>+M33-'Ago23'!M33</f>
        <v>0</v>
      </c>
      <c r="Y33" s="28">
        <f>D33-'Ago23'!D33</f>
        <v>0</v>
      </c>
      <c r="Z33" s="28">
        <f>F33-'Ago23'!F33</f>
        <v>9.999999999999995E-3</v>
      </c>
      <c r="AA33" s="28">
        <f>H33-'Ago23'!H33</f>
        <v>-2.0000000000000018E-2</v>
      </c>
      <c r="AB33" s="28">
        <f>J33-'Ago23'!J33</f>
        <v>9.9999999999999811E-3</v>
      </c>
      <c r="AC33" s="28">
        <f>L33-'Ago23'!L33</f>
        <v>0</v>
      </c>
    </row>
    <row r="34" spans="1:29" x14ac:dyDescent="0.25">
      <c r="B34" s="3" t="s">
        <v>44</v>
      </c>
      <c r="C34" s="12">
        <v>19500000</v>
      </c>
      <c r="D34" s="14">
        <v>0.23</v>
      </c>
      <c r="E34" s="12">
        <f>D34*C34</f>
        <v>4485000</v>
      </c>
      <c r="F34" s="14"/>
      <c r="G34" s="12">
        <f>F34*C34</f>
        <v>0</v>
      </c>
      <c r="H34" s="14">
        <v>0.51</v>
      </c>
      <c r="I34" s="12">
        <f>H34*C34</f>
        <v>9945000</v>
      </c>
      <c r="J34" s="14"/>
      <c r="K34" s="12">
        <f>J34*C34</f>
        <v>0</v>
      </c>
      <c r="L34" s="14">
        <v>0.26</v>
      </c>
      <c r="M34" s="12">
        <f>L34*C34</f>
        <v>5070000</v>
      </c>
      <c r="N34" s="14"/>
      <c r="O34" s="12">
        <f>N34*E34</f>
        <v>0</v>
      </c>
      <c r="S34" s="12">
        <f>E34-'Ago23'!E34</f>
        <v>-515000</v>
      </c>
      <c r="T34" s="12">
        <f>G34-'Ago23'!G34</f>
        <v>0</v>
      </c>
      <c r="U34" s="12">
        <f>I34-'Ago23'!I34</f>
        <v>-455000</v>
      </c>
      <c r="V34" s="12">
        <f>K34-'Ago23'!K34</f>
        <v>0</v>
      </c>
      <c r="W34" s="12">
        <f>+M34-'Ago23'!M34</f>
        <v>670000</v>
      </c>
      <c r="Y34" s="28">
        <f>D34-'Ago23'!D34</f>
        <v>-1.999999999999999E-2</v>
      </c>
      <c r="Z34" s="28">
        <f>F34-'Ago23'!F34</f>
        <v>0</v>
      </c>
      <c r="AA34" s="28">
        <f>H34-'Ago23'!H34</f>
        <v>-1.0000000000000009E-2</v>
      </c>
      <c r="AB34" s="28">
        <f>J34-'Ago23'!J34</f>
        <v>0</v>
      </c>
      <c r="AC34" s="28">
        <f>L34-'Ago23'!L34</f>
        <v>4.0000000000000008E-2</v>
      </c>
    </row>
    <row r="35" spans="1:29" s="8" customFormat="1" x14ac:dyDescent="0.25">
      <c r="A35"/>
      <c r="B35" s="3" t="s">
        <v>45</v>
      </c>
      <c r="C35" s="17">
        <f>SUM(C30:C34)</f>
        <v>1234783306.1399999</v>
      </c>
      <c r="D35" s="15">
        <f>+E35/$C35</f>
        <v>9.2375966200345896E-2</v>
      </c>
      <c r="E35" s="17">
        <f>SUM(E30:E34)</f>
        <v>114064300.95273998</v>
      </c>
      <c r="F35" s="15">
        <f>+G35/$C35</f>
        <v>0.12520866629438443</v>
      </c>
      <c r="G35" s="17">
        <f>SUM(G30:G34)</f>
        <v>154605570.92435998</v>
      </c>
      <c r="H35" s="15">
        <f>+I35/$C35</f>
        <v>0.63664609714440834</v>
      </c>
      <c r="I35" s="17">
        <f>SUM(I30:I34)</f>
        <v>786119972.67309999</v>
      </c>
      <c r="J35" s="15">
        <f>+K35/$C35</f>
        <v>0.12540766300123835</v>
      </c>
      <c r="K35" s="17">
        <f>SUM(K30:K34)</f>
        <v>154851288.73596001</v>
      </c>
      <c r="L35" s="15">
        <f>+M35/$C35</f>
        <v>3.3750320402432588E-2</v>
      </c>
      <c r="M35" s="17">
        <f>SUM(M30:M34)</f>
        <v>41674332.209800005</v>
      </c>
      <c r="N35" s="15">
        <f>+O35/$C35</f>
        <v>4.884488965804151E-4</v>
      </c>
      <c r="O35" s="17">
        <f>SUM(O30:O34)</f>
        <v>603128.54339999985</v>
      </c>
      <c r="S35" s="12">
        <f>E35-'Ago23'!E35</f>
        <v>-1572280.2330300212</v>
      </c>
      <c r="T35" s="12">
        <f>G35-'Ago23'!G35</f>
        <v>5785909.9727199674</v>
      </c>
      <c r="U35" s="12">
        <f>I35-'Ago23'!I35</f>
        <v>-35897669.138610125</v>
      </c>
      <c r="V35" s="12">
        <f>K35-'Ago23'!K35</f>
        <v>7658272.9898099899</v>
      </c>
      <c r="W35" s="12">
        <f>+M35-'Ago23'!M35</f>
        <v>2533186.1840900034</v>
      </c>
      <c r="Y35" s="28">
        <f>D35-'Ago23'!D35</f>
        <v>1.0548912733103488E-4</v>
      </c>
      <c r="Z35" s="28">
        <f>F35-'Ago23'!F35</f>
        <v>6.4602479907314575E-3</v>
      </c>
      <c r="AA35" s="28">
        <f>H35-'Ago23'!H35</f>
        <v>-1.9270561707270262E-2</v>
      </c>
      <c r="AB35" s="28">
        <f>J35-'Ago23'!J35</f>
        <v>7.9572018630430091E-3</v>
      </c>
      <c r="AC35" s="28">
        <f>L35-'Ago23'!L35</f>
        <v>2.5182294849847957E-3</v>
      </c>
    </row>
    <row r="37" spans="1:29" x14ac:dyDescent="0.25">
      <c r="E37"/>
    </row>
    <row r="38" spans="1:29" x14ac:dyDescent="0.25">
      <c r="D38" s="38"/>
    </row>
    <row r="39" spans="1:29" x14ac:dyDescent="0.25">
      <c r="C39" s="30"/>
      <c r="D39" s="35"/>
    </row>
    <row r="40" spans="1:29" x14ac:dyDescent="0.25">
      <c r="C40" s="37"/>
      <c r="D40" s="35"/>
    </row>
    <row r="41" spans="1:29" x14ac:dyDescent="0.25">
      <c r="C41" s="37"/>
      <c r="D41" s="35"/>
    </row>
    <row r="42" spans="1:29" x14ac:dyDescent="0.25">
      <c r="C42" s="37"/>
      <c r="D42" s="35"/>
    </row>
    <row r="43" spans="1:29" x14ac:dyDescent="0.25">
      <c r="C43" s="37"/>
      <c r="D43" s="35"/>
    </row>
    <row r="44" spans="1:29" x14ac:dyDescent="0.25">
      <c r="C44" s="37"/>
      <c r="D44" s="35"/>
      <c r="E44" s="37"/>
    </row>
    <row r="45" spans="1:29" x14ac:dyDescent="0.25">
      <c r="C45" s="37"/>
      <c r="D45" s="35"/>
    </row>
    <row r="46" spans="1:29" x14ac:dyDescent="0.25">
      <c r="C46" s="37"/>
      <c r="D46" s="35"/>
    </row>
    <row r="47" spans="1:29" x14ac:dyDescent="0.25">
      <c r="C47" s="37"/>
      <c r="D47" s="35"/>
    </row>
    <row r="48" spans="1:29" x14ac:dyDescent="0.25">
      <c r="C48" s="37"/>
      <c r="D48" s="35"/>
    </row>
    <row r="49" spans="3:4" x14ac:dyDescent="0.25">
      <c r="C49" s="37"/>
      <c r="D49" s="35"/>
    </row>
    <row r="50" spans="3:4" x14ac:dyDescent="0.25">
      <c r="C50" s="37"/>
      <c r="D50" s="35"/>
    </row>
    <row r="51" spans="3:4" x14ac:dyDescent="0.25">
      <c r="C51" s="37"/>
      <c r="D51" s="35"/>
    </row>
    <row r="52" spans="3:4" x14ac:dyDescent="0.25">
      <c r="C52" s="37"/>
      <c r="D52" s="35"/>
    </row>
    <row r="53" spans="3:4" x14ac:dyDescent="0.25">
      <c r="C53" s="37"/>
      <c r="D53" s="35"/>
    </row>
    <row r="54" spans="3:4" x14ac:dyDescent="0.25">
      <c r="C54" s="37"/>
      <c r="D54" s="35"/>
    </row>
    <row r="55" spans="3:4" x14ac:dyDescent="0.25">
      <c r="C55" s="37"/>
      <c r="D55" s="35"/>
    </row>
    <row r="56" spans="3:4" x14ac:dyDescent="0.25">
      <c r="C56" s="37"/>
      <c r="D56" s="35"/>
    </row>
    <row r="57" spans="3:4" x14ac:dyDescent="0.25">
      <c r="C57" s="37"/>
      <c r="D57" s="35"/>
    </row>
    <row r="58" spans="3:4" x14ac:dyDescent="0.25">
      <c r="C58" s="37"/>
      <c r="D58" s="35"/>
    </row>
    <row r="59" spans="3:4" x14ac:dyDescent="0.25">
      <c r="C59" s="37"/>
      <c r="D59" s="35"/>
    </row>
    <row r="60" spans="3:4" x14ac:dyDescent="0.25">
      <c r="C60" s="37"/>
      <c r="D60" s="35"/>
    </row>
    <row r="61" spans="3:4" x14ac:dyDescent="0.25">
      <c r="C61" s="37"/>
      <c r="D61" s="35"/>
    </row>
    <row r="62" spans="3:4" x14ac:dyDescent="0.25">
      <c r="C62" s="37"/>
      <c r="D62" s="35"/>
    </row>
    <row r="63" spans="3:4" x14ac:dyDescent="0.25">
      <c r="C63" s="37"/>
      <c r="D63" s="35"/>
    </row>
    <row r="64" spans="3:4" x14ac:dyDescent="0.25">
      <c r="C64" s="37"/>
      <c r="D64" s="35"/>
    </row>
    <row r="65" spans="3:4" x14ac:dyDescent="0.25">
      <c r="C65" s="37"/>
      <c r="D65" s="35"/>
    </row>
    <row r="66" spans="3:4" x14ac:dyDescent="0.25">
      <c r="C66" s="37"/>
      <c r="D66" s="35"/>
    </row>
    <row r="67" spans="3:4" x14ac:dyDescent="0.25">
      <c r="C67" s="37"/>
      <c r="D67" s="35"/>
    </row>
    <row r="68" spans="3:4" x14ac:dyDescent="0.25">
      <c r="C68" s="37"/>
      <c r="D68" s="35"/>
    </row>
    <row r="69" spans="3:4" x14ac:dyDescent="0.25">
      <c r="C69" s="37"/>
      <c r="D69" s="35"/>
    </row>
    <row r="70" spans="3:4" x14ac:dyDescent="0.25">
      <c r="C70" s="37"/>
      <c r="D70" s="35"/>
    </row>
    <row r="71" spans="3:4" x14ac:dyDescent="0.25">
      <c r="C71" s="37"/>
      <c r="D71" s="35"/>
    </row>
    <row r="72" spans="3:4" x14ac:dyDescent="0.25">
      <c r="C72" s="37"/>
      <c r="D72" s="35"/>
    </row>
    <row r="73" spans="3:4" x14ac:dyDescent="0.25">
      <c r="C73" s="37"/>
      <c r="D73" s="35"/>
    </row>
    <row r="74" spans="3:4" x14ac:dyDescent="0.25">
      <c r="C74" s="37"/>
      <c r="D74" s="35"/>
    </row>
    <row r="75" spans="3:4" x14ac:dyDescent="0.25">
      <c r="C75" s="37"/>
      <c r="D75" s="35"/>
    </row>
    <row r="76" spans="3:4" x14ac:dyDescent="0.25">
      <c r="C76" s="37"/>
      <c r="D76" s="35"/>
    </row>
    <row r="77" spans="3:4" x14ac:dyDescent="0.25">
      <c r="C77" s="37"/>
      <c r="D77" s="35"/>
    </row>
    <row r="78" spans="3:4" x14ac:dyDescent="0.25">
      <c r="C78" s="37"/>
      <c r="D78" s="35"/>
    </row>
    <row r="79" spans="3:4" x14ac:dyDescent="0.25">
      <c r="C79" s="37"/>
      <c r="D79" s="35"/>
    </row>
    <row r="80" spans="3:4" x14ac:dyDescent="0.25">
      <c r="C80" s="37"/>
      <c r="D80" s="35"/>
    </row>
    <row r="81" spans="3:4" x14ac:dyDescent="0.25">
      <c r="C81" s="37"/>
      <c r="D81" s="35"/>
    </row>
    <row r="82" spans="3:4" x14ac:dyDescent="0.25">
      <c r="C82" s="37"/>
      <c r="D82" s="35"/>
    </row>
    <row r="83" spans="3:4" x14ac:dyDescent="0.25">
      <c r="C83" s="37"/>
      <c r="D83" s="35"/>
    </row>
    <row r="84" spans="3:4" x14ac:dyDescent="0.25">
      <c r="C84" s="37"/>
      <c r="D84" s="35"/>
    </row>
    <row r="85" spans="3:4" x14ac:dyDescent="0.25">
      <c r="C85" s="37"/>
      <c r="D85" s="35"/>
    </row>
    <row r="86" spans="3:4" x14ac:dyDescent="0.25">
      <c r="C86" s="37"/>
      <c r="D86" s="35"/>
    </row>
    <row r="87" spans="3:4" x14ac:dyDescent="0.25">
      <c r="C87" s="37"/>
      <c r="D87" s="35"/>
    </row>
    <row r="88" spans="3:4" x14ac:dyDescent="0.25">
      <c r="C88" s="37"/>
      <c r="D88" s="35"/>
    </row>
    <row r="89" spans="3:4" x14ac:dyDescent="0.25">
      <c r="C89" s="37"/>
      <c r="D89" s="35"/>
    </row>
    <row r="90" spans="3:4" x14ac:dyDescent="0.25">
      <c r="C90" s="37"/>
      <c r="D90" s="35"/>
    </row>
    <row r="91" spans="3:4" x14ac:dyDescent="0.25">
      <c r="C91" s="37"/>
      <c r="D91" s="35"/>
    </row>
    <row r="92" spans="3:4" x14ac:dyDescent="0.25">
      <c r="C92" s="37"/>
      <c r="D92" s="35"/>
    </row>
    <row r="93" spans="3:4" x14ac:dyDescent="0.25">
      <c r="C93" s="37"/>
      <c r="D93" s="35"/>
    </row>
    <row r="94" spans="3:4" x14ac:dyDescent="0.25">
      <c r="C94" s="37"/>
      <c r="D94" s="35"/>
    </row>
    <row r="95" spans="3:4" x14ac:dyDescent="0.25">
      <c r="C95" s="37"/>
      <c r="D95" s="35"/>
    </row>
    <row r="96" spans="3:4" x14ac:dyDescent="0.25">
      <c r="C96" s="37"/>
      <c r="D96" s="35"/>
    </row>
    <row r="97" spans="3:4" x14ac:dyDescent="0.25">
      <c r="C97" s="37"/>
      <c r="D97" s="35"/>
    </row>
    <row r="98" spans="3:4" x14ac:dyDescent="0.25">
      <c r="C98" s="37"/>
      <c r="D98" s="35"/>
    </row>
    <row r="99" spans="3:4" x14ac:dyDescent="0.25">
      <c r="C99" s="37"/>
      <c r="D99" s="35"/>
    </row>
    <row r="100" spans="3:4" x14ac:dyDescent="0.25">
      <c r="C100" s="37"/>
      <c r="D100" s="35"/>
    </row>
    <row r="101" spans="3:4" x14ac:dyDescent="0.25">
      <c r="C101" s="37"/>
      <c r="D101" s="35"/>
    </row>
    <row r="102" spans="3:4" x14ac:dyDescent="0.25">
      <c r="C102" s="37"/>
      <c r="D102" s="35"/>
    </row>
    <row r="103" spans="3:4" x14ac:dyDescent="0.25">
      <c r="C103" s="37"/>
      <c r="D103" s="35"/>
    </row>
    <row r="104" spans="3:4" x14ac:dyDescent="0.25">
      <c r="C104" s="37"/>
      <c r="D104" s="35"/>
    </row>
    <row r="105" spans="3:4" x14ac:dyDescent="0.25">
      <c r="C105" s="37"/>
      <c r="D105" s="35"/>
    </row>
    <row r="106" spans="3:4" x14ac:dyDescent="0.25">
      <c r="C106" s="37"/>
      <c r="D106" s="35"/>
    </row>
    <row r="107" spans="3:4" x14ac:dyDescent="0.25">
      <c r="C107" s="37"/>
      <c r="D107" s="35"/>
    </row>
    <row r="108" spans="3:4" x14ac:dyDescent="0.25">
      <c r="C108" s="37"/>
      <c r="D108" s="35"/>
    </row>
    <row r="109" spans="3:4" x14ac:dyDescent="0.25">
      <c r="C109" s="37"/>
      <c r="D109" s="35"/>
    </row>
    <row r="110" spans="3:4" x14ac:dyDescent="0.25">
      <c r="C110" s="37"/>
      <c r="D110" s="35"/>
    </row>
    <row r="111" spans="3:4" x14ac:dyDescent="0.25">
      <c r="C111" s="37"/>
      <c r="D111" s="35"/>
    </row>
    <row r="112" spans="3:4" x14ac:dyDescent="0.25">
      <c r="C112" s="37"/>
      <c r="D112" s="35"/>
    </row>
    <row r="113" spans="3:4" x14ac:dyDescent="0.25">
      <c r="C113" s="37"/>
      <c r="D113" s="35"/>
    </row>
    <row r="114" spans="3:4" x14ac:dyDescent="0.25">
      <c r="C114" s="37"/>
      <c r="D114" s="35"/>
    </row>
    <row r="115" spans="3:4" x14ac:dyDescent="0.25">
      <c r="C115" s="37"/>
      <c r="D115" s="35"/>
    </row>
    <row r="116" spans="3:4" x14ac:dyDescent="0.25">
      <c r="C116" s="37"/>
      <c r="D116" s="35"/>
    </row>
    <row r="117" spans="3:4" x14ac:dyDescent="0.25">
      <c r="C117" s="37"/>
      <c r="D117" s="35"/>
    </row>
    <row r="118" spans="3:4" x14ac:dyDescent="0.25">
      <c r="C118" s="37"/>
      <c r="D118" s="35"/>
    </row>
    <row r="119" spans="3:4" x14ac:dyDescent="0.25">
      <c r="C119" s="37"/>
      <c r="D119" s="35"/>
    </row>
    <row r="120" spans="3:4" x14ac:dyDescent="0.25">
      <c r="C120" s="37"/>
      <c r="D120" s="35"/>
    </row>
    <row r="121" spans="3:4" x14ac:dyDescent="0.25">
      <c r="C121" s="37"/>
      <c r="D121" s="35"/>
    </row>
    <row r="122" spans="3:4" x14ac:dyDescent="0.25">
      <c r="C122" s="37"/>
      <c r="D122" s="35"/>
    </row>
    <row r="123" spans="3:4" x14ac:dyDescent="0.25">
      <c r="C123" s="37"/>
      <c r="D123" s="35"/>
    </row>
    <row r="124" spans="3:4" x14ac:dyDescent="0.25">
      <c r="C124" s="37"/>
      <c r="D124" s="35"/>
    </row>
    <row r="125" spans="3:4" x14ac:dyDescent="0.25">
      <c r="C125" s="37"/>
      <c r="D125" s="35"/>
    </row>
    <row r="126" spans="3:4" x14ac:dyDescent="0.25">
      <c r="C126" s="37"/>
      <c r="D126" s="35"/>
    </row>
    <row r="127" spans="3:4" x14ac:dyDescent="0.25">
      <c r="C127" s="37"/>
      <c r="D127" s="35"/>
    </row>
    <row r="128" spans="3:4" x14ac:dyDescent="0.25">
      <c r="C128" s="37"/>
      <c r="D128" s="35"/>
    </row>
    <row r="129" spans="3:4" x14ac:dyDescent="0.25">
      <c r="C129" s="37"/>
      <c r="D129" s="35"/>
    </row>
    <row r="130" spans="3:4" x14ac:dyDescent="0.25">
      <c r="C130" s="37"/>
      <c r="D130" s="35"/>
    </row>
    <row r="131" spans="3:4" x14ac:dyDescent="0.25">
      <c r="C131" s="37"/>
      <c r="D131" s="35"/>
    </row>
    <row r="132" spans="3:4" x14ac:dyDescent="0.25">
      <c r="C132" s="37"/>
      <c r="D132" s="35"/>
    </row>
    <row r="133" spans="3:4" x14ac:dyDescent="0.25">
      <c r="C133" s="37"/>
      <c r="D133" s="35"/>
    </row>
    <row r="134" spans="3:4" x14ac:dyDescent="0.25">
      <c r="C134" s="37"/>
      <c r="D134" s="35"/>
    </row>
    <row r="135" spans="3:4" x14ac:dyDescent="0.25">
      <c r="C135" s="37"/>
      <c r="D135" s="35"/>
    </row>
    <row r="136" spans="3:4" x14ac:dyDescent="0.25">
      <c r="C136" s="37"/>
      <c r="D136" s="35"/>
    </row>
    <row r="137" spans="3:4" x14ac:dyDescent="0.25">
      <c r="C137" s="37"/>
      <c r="D137" s="35"/>
    </row>
    <row r="138" spans="3:4" x14ac:dyDescent="0.25">
      <c r="C138" s="37"/>
      <c r="D138" s="35"/>
    </row>
    <row r="139" spans="3:4" x14ac:dyDescent="0.25">
      <c r="C139" s="37"/>
      <c r="D139" s="35"/>
    </row>
    <row r="140" spans="3:4" x14ac:dyDescent="0.25">
      <c r="C140" s="37"/>
      <c r="D140" s="35"/>
    </row>
    <row r="141" spans="3:4" x14ac:dyDescent="0.25">
      <c r="C141" s="37"/>
      <c r="D141" s="35"/>
    </row>
    <row r="142" spans="3:4" x14ac:dyDescent="0.25">
      <c r="C142" s="37"/>
      <c r="D142" s="35"/>
    </row>
    <row r="143" spans="3:4" x14ac:dyDescent="0.25">
      <c r="C143" s="37"/>
      <c r="D143" s="35"/>
    </row>
    <row r="144" spans="3:4" x14ac:dyDescent="0.25">
      <c r="C144" s="37"/>
      <c r="D144" s="35"/>
    </row>
    <row r="145" spans="3:4" x14ac:dyDescent="0.25">
      <c r="C145" s="37"/>
      <c r="D145" s="35"/>
    </row>
    <row r="146" spans="3:4" x14ac:dyDescent="0.25">
      <c r="C146" s="37"/>
      <c r="D146" s="35"/>
    </row>
    <row r="147" spans="3:4" x14ac:dyDescent="0.25">
      <c r="C147" s="37"/>
      <c r="D147" s="35"/>
    </row>
    <row r="148" spans="3:4" x14ac:dyDescent="0.25">
      <c r="C148" s="37"/>
      <c r="D148" s="35"/>
    </row>
    <row r="149" spans="3:4" x14ac:dyDescent="0.25">
      <c r="C149" s="37"/>
      <c r="D149" s="35"/>
    </row>
    <row r="150" spans="3:4" x14ac:dyDescent="0.25">
      <c r="C150" s="37"/>
      <c r="D150" s="35"/>
    </row>
    <row r="151" spans="3:4" x14ac:dyDescent="0.25">
      <c r="C151" s="37"/>
      <c r="D151" s="35"/>
    </row>
    <row r="152" spans="3:4" x14ac:dyDescent="0.25">
      <c r="C152" s="37"/>
      <c r="D152" s="35"/>
    </row>
    <row r="153" spans="3:4" x14ac:dyDescent="0.25">
      <c r="C153" s="37"/>
      <c r="D153" s="35"/>
    </row>
    <row r="154" spans="3:4" x14ac:dyDescent="0.25">
      <c r="C154" s="37"/>
      <c r="D154" s="35"/>
    </row>
    <row r="155" spans="3:4" x14ac:dyDescent="0.25">
      <c r="C155" s="37"/>
      <c r="D155" s="35"/>
    </row>
    <row r="156" spans="3:4" x14ac:dyDescent="0.25">
      <c r="C156" s="37"/>
      <c r="D156" s="35"/>
    </row>
    <row r="157" spans="3:4" x14ac:dyDescent="0.25">
      <c r="C157" s="37"/>
      <c r="D157" s="35"/>
    </row>
    <row r="158" spans="3:4" x14ac:dyDescent="0.25">
      <c r="C158" s="37"/>
      <c r="D158" s="35"/>
    </row>
    <row r="159" spans="3:4" x14ac:dyDescent="0.25">
      <c r="C159" s="37"/>
      <c r="D159" s="35"/>
    </row>
    <row r="160" spans="3:4" x14ac:dyDescent="0.25">
      <c r="C160" s="37"/>
      <c r="D160" s="35"/>
    </row>
    <row r="161" spans="3:4" x14ac:dyDescent="0.25">
      <c r="C161" s="37"/>
      <c r="D161" s="35"/>
    </row>
    <row r="162" spans="3:4" x14ac:dyDescent="0.25">
      <c r="C162" s="37"/>
      <c r="D162" s="35"/>
    </row>
    <row r="163" spans="3:4" x14ac:dyDescent="0.25">
      <c r="C163" s="37"/>
      <c r="D163" s="35"/>
    </row>
    <row r="164" spans="3:4" x14ac:dyDescent="0.25">
      <c r="C164" s="37"/>
      <c r="D164" s="35"/>
    </row>
    <row r="165" spans="3:4" x14ac:dyDescent="0.25">
      <c r="C165" s="37"/>
      <c r="D165" s="35"/>
    </row>
    <row r="166" spans="3:4" x14ac:dyDescent="0.25">
      <c r="C166" s="37"/>
      <c r="D166" s="35"/>
    </row>
    <row r="167" spans="3:4" x14ac:dyDescent="0.25">
      <c r="C167" s="37"/>
      <c r="D167" s="35"/>
    </row>
    <row r="168" spans="3:4" x14ac:dyDescent="0.25">
      <c r="C168" s="37"/>
      <c r="D168" s="35"/>
    </row>
    <row r="169" spans="3:4" x14ac:dyDescent="0.25">
      <c r="C169" s="37"/>
      <c r="D169" s="35"/>
    </row>
    <row r="170" spans="3:4" x14ac:dyDescent="0.25">
      <c r="C170" s="37"/>
      <c r="D170" s="35"/>
    </row>
    <row r="171" spans="3:4" x14ac:dyDescent="0.25">
      <c r="C171" s="37"/>
      <c r="D171" s="35"/>
    </row>
    <row r="172" spans="3:4" x14ac:dyDescent="0.25">
      <c r="C172" s="37"/>
      <c r="D172" s="35"/>
    </row>
    <row r="173" spans="3:4" x14ac:dyDescent="0.25">
      <c r="C173" s="37"/>
      <c r="D173" s="35"/>
    </row>
    <row r="174" spans="3:4" x14ac:dyDescent="0.25">
      <c r="C174" s="37"/>
      <c r="D174" s="35"/>
    </row>
    <row r="175" spans="3:4" x14ac:dyDescent="0.25">
      <c r="C175" s="37"/>
      <c r="D175" s="35"/>
    </row>
    <row r="176" spans="3:4" x14ac:dyDescent="0.25">
      <c r="C176" s="37"/>
      <c r="D176" s="35"/>
    </row>
    <row r="177" spans="3:4" x14ac:dyDescent="0.25">
      <c r="C177" s="37"/>
      <c r="D177" s="35"/>
    </row>
    <row r="178" spans="3:4" x14ac:dyDescent="0.25">
      <c r="C178" s="37"/>
      <c r="D178" s="35"/>
    </row>
    <row r="179" spans="3:4" x14ac:dyDescent="0.25">
      <c r="C179" s="37"/>
      <c r="D179" s="35"/>
    </row>
    <row r="180" spans="3:4" x14ac:dyDescent="0.25">
      <c r="C180" s="37"/>
      <c r="D180" s="35"/>
    </row>
    <row r="181" spans="3:4" x14ac:dyDescent="0.25">
      <c r="C181" s="37"/>
      <c r="D181" s="35"/>
    </row>
    <row r="182" spans="3:4" x14ac:dyDescent="0.25">
      <c r="C182" s="37"/>
      <c r="D182" s="35"/>
    </row>
    <row r="183" spans="3:4" x14ac:dyDescent="0.25">
      <c r="C183" s="37"/>
      <c r="D183" s="35"/>
    </row>
    <row r="184" spans="3:4" x14ac:dyDescent="0.25">
      <c r="C184" s="37"/>
      <c r="D184" s="35"/>
    </row>
    <row r="185" spans="3:4" x14ac:dyDescent="0.25">
      <c r="C185" s="37"/>
      <c r="D185" s="35"/>
    </row>
    <row r="186" spans="3:4" x14ac:dyDescent="0.25">
      <c r="C186" s="37"/>
      <c r="D186" s="35"/>
    </row>
    <row r="187" spans="3:4" x14ac:dyDescent="0.25">
      <c r="C187" s="37"/>
      <c r="D187" s="35"/>
    </row>
    <row r="188" spans="3:4" x14ac:dyDescent="0.25">
      <c r="C188" s="37"/>
      <c r="D188" s="35"/>
    </row>
    <row r="189" spans="3:4" x14ac:dyDescent="0.25">
      <c r="C189" s="37"/>
      <c r="D189" s="35"/>
    </row>
    <row r="190" spans="3:4" x14ac:dyDescent="0.25">
      <c r="C190" s="37"/>
      <c r="D190" s="35"/>
    </row>
    <row r="191" spans="3:4" x14ac:dyDescent="0.25">
      <c r="C191" s="37"/>
      <c r="D191" s="35"/>
    </row>
    <row r="192" spans="3:4" x14ac:dyDescent="0.25">
      <c r="C192" s="37"/>
      <c r="D192" s="35"/>
    </row>
    <row r="193" spans="3:4" x14ac:dyDescent="0.25">
      <c r="C193" s="37"/>
      <c r="D193" s="35"/>
    </row>
    <row r="194" spans="3:4" x14ac:dyDescent="0.25">
      <c r="C194" s="37"/>
      <c r="D194" s="35"/>
    </row>
    <row r="195" spans="3:4" x14ac:dyDescent="0.25">
      <c r="C195" s="37"/>
      <c r="D195" s="35"/>
    </row>
    <row r="196" spans="3:4" x14ac:dyDescent="0.25">
      <c r="C196" s="37"/>
      <c r="D196" s="35"/>
    </row>
    <row r="197" spans="3:4" x14ac:dyDescent="0.25">
      <c r="C197" s="37"/>
      <c r="D197" s="35"/>
    </row>
    <row r="198" spans="3:4" x14ac:dyDescent="0.25">
      <c r="C198" s="37"/>
      <c r="D198" s="35"/>
    </row>
    <row r="199" spans="3:4" x14ac:dyDescent="0.25">
      <c r="C199" s="37"/>
      <c r="D199" s="35"/>
    </row>
    <row r="200" spans="3:4" x14ac:dyDescent="0.25">
      <c r="C200" s="37"/>
      <c r="D200" s="35"/>
    </row>
    <row r="201" spans="3:4" x14ac:dyDescent="0.25">
      <c r="C201" s="37"/>
      <c r="D201" s="35"/>
    </row>
    <row r="202" spans="3:4" x14ac:dyDescent="0.25">
      <c r="C202" s="37"/>
      <c r="D202" s="35"/>
    </row>
    <row r="203" spans="3:4" x14ac:dyDescent="0.25">
      <c r="C203" s="37"/>
      <c r="D203" s="35"/>
    </row>
    <row r="204" spans="3:4" x14ac:dyDescent="0.25">
      <c r="C204" s="37"/>
      <c r="D204" s="35"/>
    </row>
    <row r="205" spans="3:4" x14ac:dyDescent="0.25">
      <c r="C205" s="37"/>
      <c r="D205" s="35"/>
    </row>
    <row r="206" spans="3:4" x14ac:dyDescent="0.25">
      <c r="C206" s="37"/>
      <c r="D206" s="35"/>
    </row>
    <row r="207" spans="3:4" x14ac:dyDescent="0.25">
      <c r="C207" s="37"/>
      <c r="D207" s="35"/>
    </row>
    <row r="208" spans="3:4" x14ac:dyDescent="0.25">
      <c r="C208" s="37"/>
      <c r="D208" s="35"/>
    </row>
    <row r="209" spans="3:4" x14ac:dyDescent="0.25">
      <c r="C209" s="37"/>
      <c r="D209" s="35"/>
    </row>
    <row r="210" spans="3:4" x14ac:dyDescent="0.25">
      <c r="C210" s="37"/>
      <c r="D210" s="35"/>
    </row>
    <row r="211" spans="3:4" x14ac:dyDescent="0.25">
      <c r="C211" s="37"/>
      <c r="D211" s="35"/>
    </row>
    <row r="212" spans="3:4" x14ac:dyDescent="0.25">
      <c r="C212" s="37"/>
      <c r="D212" s="35"/>
    </row>
    <row r="213" spans="3:4" x14ac:dyDescent="0.25">
      <c r="C213" s="37"/>
      <c r="D213" s="35"/>
    </row>
    <row r="214" spans="3:4" x14ac:dyDescent="0.25">
      <c r="C214" s="37"/>
      <c r="D214" s="35"/>
    </row>
    <row r="215" spans="3:4" x14ac:dyDescent="0.25">
      <c r="C215" s="37"/>
      <c r="D215" s="35"/>
    </row>
    <row r="216" spans="3:4" x14ac:dyDescent="0.25">
      <c r="C216" s="37"/>
      <c r="D216" s="35"/>
    </row>
    <row r="217" spans="3:4" x14ac:dyDescent="0.25">
      <c r="C217" s="37"/>
      <c r="D217" s="35"/>
    </row>
    <row r="218" spans="3:4" x14ac:dyDescent="0.25">
      <c r="C218" s="37"/>
      <c r="D218" s="35"/>
    </row>
    <row r="219" spans="3:4" x14ac:dyDescent="0.25">
      <c r="C219" s="37"/>
      <c r="D219" s="35"/>
    </row>
    <row r="220" spans="3:4" x14ac:dyDescent="0.25">
      <c r="C220" s="37"/>
      <c r="D220" s="35"/>
    </row>
    <row r="221" spans="3:4" x14ac:dyDescent="0.25">
      <c r="C221" s="37"/>
      <c r="D221" s="35"/>
    </row>
    <row r="222" spans="3:4" x14ac:dyDescent="0.25">
      <c r="C222" s="37"/>
      <c r="D222" s="35"/>
    </row>
    <row r="223" spans="3:4" x14ac:dyDescent="0.25">
      <c r="C223" s="37"/>
      <c r="D223" s="35"/>
    </row>
    <row r="224" spans="3:4" x14ac:dyDescent="0.25">
      <c r="C224" s="37"/>
      <c r="D224" s="35"/>
    </row>
    <row r="225" spans="3:4" x14ac:dyDescent="0.25">
      <c r="C225" s="37"/>
      <c r="D225" s="35"/>
    </row>
    <row r="226" spans="3:4" x14ac:dyDescent="0.25">
      <c r="C226" s="37"/>
      <c r="D226" s="35"/>
    </row>
    <row r="227" spans="3:4" x14ac:dyDescent="0.25">
      <c r="C227" s="37"/>
      <c r="D227" s="35"/>
    </row>
    <row r="228" spans="3:4" x14ac:dyDescent="0.25">
      <c r="C228" s="37"/>
      <c r="D228" s="35"/>
    </row>
    <row r="229" spans="3:4" x14ac:dyDescent="0.25">
      <c r="C229" s="37"/>
      <c r="D229" s="35"/>
    </row>
    <row r="230" spans="3:4" x14ac:dyDescent="0.25">
      <c r="C230" s="37"/>
      <c r="D230" s="35"/>
    </row>
    <row r="231" spans="3:4" x14ac:dyDescent="0.25">
      <c r="C231" s="37"/>
      <c r="D231" s="35"/>
    </row>
    <row r="232" spans="3:4" x14ac:dyDescent="0.25">
      <c r="C232" s="37"/>
      <c r="D232" s="35"/>
    </row>
    <row r="233" spans="3:4" x14ac:dyDescent="0.25">
      <c r="C233" s="37"/>
      <c r="D233" s="35"/>
    </row>
    <row r="234" spans="3:4" x14ac:dyDescent="0.25">
      <c r="C234" s="37"/>
      <c r="D234" s="35"/>
    </row>
    <row r="235" spans="3:4" x14ac:dyDescent="0.25">
      <c r="C235" s="37"/>
      <c r="D235" s="35"/>
    </row>
    <row r="236" spans="3:4" x14ac:dyDescent="0.25">
      <c r="C236" s="37"/>
      <c r="D236" s="35"/>
    </row>
    <row r="237" spans="3:4" x14ac:dyDescent="0.25">
      <c r="C237" s="37"/>
      <c r="D237" s="35"/>
    </row>
    <row r="238" spans="3:4" x14ac:dyDescent="0.25">
      <c r="C238" s="37"/>
      <c r="D238" s="35"/>
    </row>
    <row r="239" spans="3:4" x14ac:dyDescent="0.25">
      <c r="C239" s="37"/>
      <c r="D239" s="35"/>
    </row>
    <row r="240" spans="3:4" x14ac:dyDescent="0.25">
      <c r="C240" s="37"/>
      <c r="D240" s="35"/>
    </row>
    <row r="241" spans="3:4" x14ac:dyDescent="0.25">
      <c r="C241" s="37"/>
      <c r="D241" s="35"/>
    </row>
    <row r="242" spans="3:4" x14ac:dyDescent="0.25">
      <c r="C242" s="37"/>
      <c r="D242" s="35"/>
    </row>
    <row r="243" spans="3:4" x14ac:dyDescent="0.25">
      <c r="C243" s="37"/>
      <c r="D243" s="35"/>
    </row>
    <row r="244" spans="3:4" x14ac:dyDescent="0.25">
      <c r="C244" s="37"/>
      <c r="D244" s="35"/>
    </row>
    <row r="245" spans="3:4" x14ac:dyDescent="0.25">
      <c r="C245" s="37"/>
      <c r="D245" s="35"/>
    </row>
    <row r="246" spans="3:4" x14ac:dyDescent="0.25">
      <c r="C246" s="37"/>
      <c r="D246" s="35"/>
    </row>
    <row r="247" spans="3:4" x14ac:dyDescent="0.25">
      <c r="C247" s="37"/>
      <c r="D247" s="35"/>
    </row>
    <row r="248" spans="3:4" x14ac:dyDescent="0.25">
      <c r="C248" s="37"/>
      <c r="D248" s="35"/>
    </row>
    <row r="249" spans="3:4" x14ac:dyDescent="0.25">
      <c r="C249" s="37"/>
      <c r="D249" s="35"/>
    </row>
    <row r="250" spans="3:4" x14ac:dyDescent="0.25">
      <c r="C250" s="37"/>
      <c r="D250" s="35"/>
    </row>
    <row r="251" spans="3:4" x14ac:dyDescent="0.25">
      <c r="C251" s="37"/>
      <c r="D251" s="35"/>
    </row>
    <row r="252" spans="3:4" x14ac:dyDescent="0.25">
      <c r="C252" s="37"/>
      <c r="D252" s="35"/>
    </row>
    <row r="253" spans="3:4" x14ac:dyDescent="0.25">
      <c r="C253" s="37"/>
      <c r="D253" s="35"/>
    </row>
    <row r="254" spans="3:4" x14ac:dyDescent="0.25">
      <c r="C254" s="37"/>
      <c r="D254" s="35"/>
    </row>
    <row r="255" spans="3:4" x14ac:dyDescent="0.25">
      <c r="C255" s="37"/>
      <c r="D255" s="35"/>
    </row>
    <row r="256" spans="3:4" x14ac:dyDescent="0.25">
      <c r="C256" s="37"/>
      <c r="D256" s="35"/>
    </row>
    <row r="257" spans="3:4" x14ac:dyDescent="0.25">
      <c r="C257" s="37"/>
      <c r="D257" s="35"/>
    </row>
    <row r="258" spans="3:4" x14ac:dyDescent="0.25">
      <c r="C258" s="37"/>
      <c r="D258" s="35"/>
    </row>
    <row r="259" spans="3:4" x14ac:dyDescent="0.25">
      <c r="C259" s="37"/>
      <c r="D259" s="35"/>
    </row>
    <row r="260" spans="3:4" x14ac:dyDescent="0.25">
      <c r="C260" s="37"/>
      <c r="D260" s="35"/>
    </row>
    <row r="261" spans="3:4" x14ac:dyDescent="0.25">
      <c r="C261" s="37"/>
      <c r="D261" s="35"/>
    </row>
    <row r="262" spans="3:4" x14ac:dyDescent="0.25">
      <c r="C262" s="37"/>
      <c r="D262" s="35"/>
    </row>
    <row r="263" spans="3:4" x14ac:dyDescent="0.25">
      <c r="C263" s="37"/>
      <c r="D263" s="35"/>
    </row>
    <row r="264" spans="3:4" x14ac:dyDescent="0.25">
      <c r="C264" s="37"/>
      <c r="D264" s="35"/>
    </row>
    <row r="265" spans="3:4" x14ac:dyDescent="0.25">
      <c r="C265" s="37"/>
      <c r="D265" s="35"/>
    </row>
    <row r="266" spans="3:4" x14ac:dyDescent="0.25">
      <c r="C266" s="37"/>
      <c r="D266" s="35"/>
    </row>
    <row r="267" spans="3:4" x14ac:dyDescent="0.25">
      <c r="C267" s="37"/>
      <c r="D267" s="35"/>
    </row>
    <row r="268" spans="3:4" x14ac:dyDescent="0.25">
      <c r="C268" s="37"/>
      <c r="D268" s="35"/>
    </row>
    <row r="269" spans="3:4" x14ac:dyDescent="0.25">
      <c r="C269" s="37"/>
      <c r="D269" s="35"/>
    </row>
    <row r="270" spans="3:4" x14ac:dyDescent="0.25">
      <c r="C270" s="37"/>
      <c r="D270" s="35"/>
    </row>
    <row r="271" spans="3:4" x14ac:dyDescent="0.25">
      <c r="C271" s="37"/>
      <c r="D271" s="35"/>
    </row>
    <row r="272" spans="3:4" x14ac:dyDescent="0.25">
      <c r="C272" s="37"/>
      <c r="D272" s="35"/>
    </row>
    <row r="273" spans="3:4" x14ac:dyDescent="0.25">
      <c r="C273" s="37"/>
      <c r="D273" s="35"/>
    </row>
    <row r="274" spans="3:4" x14ac:dyDescent="0.25">
      <c r="C274" s="37"/>
      <c r="D274" s="35"/>
    </row>
    <row r="275" spans="3:4" x14ac:dyDescent="0.25">
      <c r="C275" s="37"/>
      <c r="D275" s="35"/>
    </row>
    <row r="276" spans="3:4" x14ac:dyDescent="0.25">
      <c r="C276" s="37"/>
      <c r="D276" s="35"/>
    </row>
    <row r="277" spans="3:4" x14ac:dyDescent="0.25">
      <c r="C277" s="37"/>
      <c r="D277" s="35"/>
    </row>
    <row r="278" spans="3:4" x14ac:dyDescent="0.25">
      <c r="C278" s="37"/>
      <c r="D278" s="35"/>
    </row>
    <row r="279" spans="3:4" x14ac:dyDescent="0.25">
      <c r="C279" s="37"/>
      <c r="D279" s="35"/>
    </row>
    <row r="280" spans="3:4" x14ac:dyDescent="0.25">
      <c r="C280" s="37"/>
      <c r="D280" s="35"/>
    </row>
    <row r="281" spans="3:4" x14ac:dyDescent="0.25">
      <c r="C281" s="37"/>
      <c r="D281" s="35"/>
    </row>
    <row r="282" spans="3:4" x14ac:dyDescent="0.25">
      <c r="C282" s="37"/>
      <c r="D282" s="35"/>
    </row>
    <row r="283" spans="3:4" x14ac:dyDescent="0.25">
      <c r="C283" s="37"/>
      <c r="D283" s="35"/>
    </row>
    <row r="284" spans="3:4" x14ac:dyDescent="0.25">
      <c r="C284" s="37"/>
      <c r="D284" s="35"/>
    </row>
    <row r="285" spans="3:4" x14ac:dyDescent="0.25">
      <c r="C285" s="37"/>
      <c r="D285" s="35"/>
    </row>
    <row r="286" spans="3:4" x14ac:dyDescent="0.25">
      <c r="C286" s="37"/>
      <c r="D286" s="35"/>
    </row>
    <row r="287" spans="3:4" x14ac:dyDescent="0.25">
      <c r="C287" s="37"/>
      <c r="D287" s="35"/>
    </row>
    <row r="288" spans="3:4" x14ac:dyDescent="0.25">
      <c r="C288" s="37"/>
      <c r="D288" s="35"/>
    </row>
    <row r="289" spans="3:4" x14ac:dyDescent="0.25">
      <c r="C289" s="37"/>
      <c r="D289" s="35"/>
    </row>
    <row r="290" spans="3:4" x14ac:dyDescent="0.25">
      <c r="C290" s="37"/>
      <c r="D290" s="35"/>
    </row>
    <row r="291" spans="3:4" x14ac:dyDescent="0.25">
      <c r="C291" s="37"/>
      <c r="D291" s="35"/>
    </row>
    <row r="292" spans="3:4" x14ac:dyDescent="0.25">
      <c r="C292" s="37"/>
      <c r="D292" s="35"/>
    </row>
    <row r="293" spans="3:4" x14ac:dyDescent="0.25">
      <c r="C293" s="37"/>
      <c r="D293" s="35"/>
    </row>
    <row r="294" spans="3:4" x14ac:dyDescent="0.25">
      <c r="C294" s="37"/>
      <c r="D294" s="35"/>
    </row>
    <row r="295" spans="3:4" x14ac:dyDescent="0.25">
      <c r="C295" s="37"/>
      <c r="D295" s="35"/>
    </row>
    <row r="296" spans="3:4" x14ac:dyDescent="0.25">
      <c r="C296" s="37"/>
      <c r="D296" s="35"/>
    </row>
    <row r="297" spans="3:4" x14ac:dyDescent="0.25">
      <c r="C297" s="37"/>
      <c r="D297" s="35"/>
    </row>
    <row r="298" spans="3:4" x14ac:dyDescent="0.25">
      <c r="C298" s="37"/>
      <c r="D298" s="35"/>
    </row>
    <row r="299" spans="3:4" x14ac:dyDescent="0.25">
      <c r="C299" s="37"/>
      <c r="D299" s="35"/>
    </row>
    <row r="300" spans="3:4" x14ac:dyDescent="0.25">
      <c r="C300" s="37"/>
      <c r="D300" s="35"/>
    </row>
    <row r="301" spans="3:4" x14ac:dyDescent="0.25">
      <c r="C301" s="37"/>
      <c r="D301" s="35"/>
    </row>
    <row r="302" spans="3:4" x14ac:dyDescent="0.25">
      <c r="C302" s="37"/>
      <c r="D302" s="35"/>
    </row>
    <row r="303" spans="3:4" x14ac:dyDescent="0.25">
      <c r="C303" s="37"/>
      <c r="D303" s="35"/>
    </row>
    <row r="304" spans="3:4" x14ac:dyDescent="0.25">
      <c r="C304" s="37"/>
      <c r="D304" s="35"/>
    </row>
    <row r="305" spans="3:6" x14ac:dyDescent="0.25">
      <c r="C305" s="37"/>
      <c r="D305" s="35"/>
    </row>
    <row r="306" spans="3:6" x14ac:dyDescent="0.25">
      <c r="C306" s="37"/>
      <c r="D306" s="35"/>
    </row>
    <row r="307" spans="3:6" x14ac:dyDescent="0.25">
      <c r="C307" s="37"/>
      <c r="D307" s="35"/>
    </row>
    <row r="308" spans="3:6" x14ac:dyDescent="0.25">
      <c r="C308" s="37"/>
      <c r="D308" s="35"/>
    </row>
    <row r="309" spans="3:6" x14ac:dyDescent="0.25">
      <c r="C309" s="37"/>
      <c r="D309" s="35"/>
    </row>
    <row r="310" spans="3:6" x14ac:dyDescent="0.25">
      <c r="C310" s="37"/>
      <c r="D310" s="35"/>
    </row>
    <row r="311" spans="3:6" x14ac:dyDescent="0.25">
      <c r="C311" s="37"/>
      <c r="D311" s="35"/>
      <c r="F311" s="36"/>
    </row>
    <row r="312" spans="3:6" x14ac:dyDescent="0.25">
      <c r="C312" s="37"/>
      <c r="D312" s="35"/>
    </row>
    <row r="313" spans="3:6" x14ac:dyDescent="0.25">
      <c r="C313" s="37"/>
      <c r="D313" s="35"/>
    </row>
    <row r="314" spans="3:6" x14ac:dyDescent="0.25">
      <c r="C314" s="37"/>
      <c r="D314" s="35"/>
    </row>
    <row r="315" spans="3:6" x14ac:dyDescent="0.25">
      <c r="C315" s="37"/>
      <c r="D315" s="35"/>
    </row>
    <row r="316" spans="3:6" x14ac:dyDescent="0.25">
      <c r="C316" s="37"/>
      <c r="D316" s="35"/>
    </row>
    <row r="317" spans="3:6" x14ac:dyDescent="0.25">
      <c r="C317" s="37"/>
      <c r="D317" s="35"/>
    </row>
    <row r="318" spans="3:6" x14ac:dyDescent="0.25">
      <c r="C318" s="37"/>
      <c r="D318" s="35"/>
    </row>
    <row r="319" spans="3:6" x14ac:dyDescent="0.25">
      <c r="C319" s="37"/>
      <c r="D319" s="35"/>
    </row>
    <row r="320" spans="3:6" x14ac:dyDescent="0.25">
      <c r="C320" s="37"/>
      <c r="D320" s="35"/>
    </row>
    <row r="321" spans="3:4" x14ac:dyDescent="0.25">
      <c r="C321" s="37"/>
      <c r="D321" s="35"/>
    </row>
    <row r="322" spans="3:4" x14ac:dyDescent="0.25">
      <c r="C322" s="37"/>
      <c r="D322" s="35"/>
    </row>
    <row r="323" spans="3:4" x14ac:dyDescent="0.25">
      <c r="C323" s="37"/>
      <c r="D323" s="35"/>
    </row>
    <row r="324" spans="3:4" x14ac:dyDescent="0.25">
      <c r="C324" s="37"/>
      <c r="D324" s="35"/>
    </row>
    <row r="325" spans="3:4" x14ac:dyDescent="0.25">
      <c r="C325" s="37"/>
      <c r="D325" s="35"/>
    </row>
    <row r="326" spans="3:4" x14ac:dyDescent="0.25">
      <c r="C326" s="37"/>
      <c r="D326" s="35"/>
    </row>
    <row r="327" spans="3:4" x14ac:dyDescent="0.25">
      <c r="C327" s="37"/>
      <c r="D327" s="35"/>
    </row>
    <row r="328" spans="3:4" x14ac:dyDescent="0.25">
      <c r="C328" s="37"/>
      <c r="D328" s="35"/>
    </row>
    <row r="329" spans="3:4" x14ac:dyDescent="0.25">
      <c r="C329" s="37"/>
      <c r="D329" s="35"/>
    </row>
    <row r="330" spans="3:4" x14ac:dyDescent="0.25">
      <c r="C330" s="37"/>
      <c r="D330" s="35"/>
    </row>
    <row r="331" spans="3:4" x14ac:dyDescent="0.25">
      <c r="C331" s="37"/>
      <c r="D331" s="35"/>
    </row>
    <row r="332" spans="3:4" x14ac:dyDescent="0.25">
      <c r="C332" s="37"/>
      <c r="D332" s="35"/>
    </row>
    <row r="333" spans="3:4" x14ac:dyDescent="0.25">
      <c r="C333" s="37"/>
      <c r="D333" s="35"/>
    </row>
    <row r="334" spans="3:4" x14ac:dyDescent="0.25">
      <c r="C334" s="37"/>
      <c r="D334" s="35"/>
    </row>
    <row r="335" spans="3:4" x14ac:dyDescent="0.25">
      <c r="C335" s="37"/>
      <c r="D335" s="35"/>
    </row>
    <row r="336" spans="3:4" x14ac:dyDescent="0.25">
      <c r="C336" s="37"/>
      <c r="D336" s="35"/>
    </row>
    <row r="337" spans="3:4" x14ac:dyDescent="0.25">
      <c r="C337" s="37"/>
      <c r="D337" s="35"/>
    </row>
    <row r="338" spans="3:4" x14ac:dyDescent="0.25">
      <c r="C338" s="37"/>
      <c r="D338" s="35"/>
    </row>
    <row r="339" spans="3:4" x14ac:dyDescent="0.25">
      <c r="C339" s="37"/>
      <c r="D339" s="35"/>
    </row>
    <row r="340" spans="3:4" x14ac:dyDescent="0.25">
      <c r="C340" s="37"/>
      <c r="D340" s="35"/>
    </row>
    <row r="341" spans="3:4" x14ac:dyDescent="0.25">
      <c r="C341" s="37"/>
      <c r="D341" s="35"/>
    </row>
    <row r="342" spans="3:4" x14ac:dyDescent="0.25">
      <c r="C342" s="37"/>
      <c r="D342" s="35"/>
    </row>
    <row r="343" spans="3:4" x14ac:dyDescent="0.25">
      <c r="C343" s="37"/>
      <c r="D343" s="35"/>
    </row>
    <row r="344" spans="3:4" x14ac:dyDescent="0.25">
      <c r="C344" s="37"/>
      <c r="D344" s="35"/>
    </row>
    <row r="345" spans="3:4" x14ac:dyDescent="0.25">
      <c r="C345" s="37"/>
      <c r="D345" s="35"/>
    </row>
    <row r="346" spans="3:4" x14ac:dyDescent="0.25">
      <c r="C346" s="37"/>
      <c r="D346" s="35"/>
    </row>
    <row r="347" spans="3:4" x14ac:dyDescent="0.25">
      <c r="C347" s="37"/>
      <c r="D347" s="35"/>
    </row>
    <row r="348" spans="3:4" x14ac:dyDescent="0.25">
      <c r="C348" s="37"/>
      <c r="D348" s="35"/>
    </row>
    <row r="349" spans="3:4" x14ac:dyDescent="0.25">
      <c r="C349" s="37"/>
      <c r="D349" s="35"/>
    </row>
    <row r="350" spans="3:4" x14ac:dyDescent="0.25">
      <c r="C350" s="37"/>
      <c r="D350" s="35"/>
    </row>
    <row r="351" spans="3:4" x14ac:dyDescent="0.25">
      <c r="C351" s="37"/>
      <c r="D351" s="35"/>
    </row>
    <row r="352" spans="3:4" x14ac:dyDescent="0.25">
      <c r="C352" s="37"/>
      <c r="D352" s="35"/>
    </row>
    <row r="353" spans="3:4" x14ac:dyDescent="0.25">
      <c r="C353" s="37"/>
      <c r="D353" s="35"/>
    </row>
    <row r="354" spans="3:4" x14ac:dyDescent="0.25">
      <c r="C354" s="37"/>
      <c r="D354" s="35"/>
    </row>
    <row r="355" spans="3:4" x14ac:dyDescent="0.25">
      <c r="C355" s="37"/>
      <c r="D355" s="35"/>
    </row>
    <row r="356" spans="3:4" x14ac:dyDescent="0.25">
      <c r="C356" s="37"/>
      <c r="D356" s="35"/>
    </row>
    <row r="357" spans="3:4" x14ac:dyDescent="0.25">
      <c r="C357" s="37"/>
      <c r="D357" s="35"/>
    </row>
    <row r="358" spans="3:4" x14ac:dyDescent="0.25">
      <c r="C358" s="37"/>
      <c r="D358" s="35"/>
    </row>
    <row r="359" spans="3:4" x14ac:dyDescent="0.25">
      <c r="C359" s="37"/>
      <c r="D359" s="35"/>
    </row>
    <row r="360" spans="3:4" x14ac:dyDescent="0.25">
      <c r="C360" s="37"/>
      <c r="D360" s="35"/>
    </row>
    <row r="361" spans="3:4" x14ac:dyDescent="0.25">
      <c r="C361" s="37"/>
      <c r="D361" s="35"/>
    </row>
    <row r="362" spans="3:4" x14ac:dyDescent="0.25">
      <c r="C362" s="37"/>
      <c r="D362" s="35"/>
    </row>
    <row r="363" spans="3:4" x14ac:dyDescent="0.25">
      <c r="C363" s="37"/>
      <c r="D363" s="35"/>
    </row>
    <row r="364" spans="3:4" x14ac:dyDescent="0.25">
      <c r="C364" s="37"/>
      <c r="D364" s="35"/>
    </row>
    <row r="365" spans="3:4" x14ac:dyDescent="0.25">
      <c r="C365" s="37"/>
      <c r="D365" s="35"/>
    </row>
    <row r="366" spans="3:4" x14ac:dyDescent="0.25">
      <c r="C366" s="37"/>
      <c r="D366" s="35"/>
    </row>
    <row r="367" spans="3:4" x14ac:dyDescent="0.25">
      <c r="C367" s="37"/>
      <c r="D367" s="35"/>
    </row>
    <row r="368" spans="3:4" x14ac:dyDescent="0.25">
      <c r="C368" s="37"/>
      <c r="D368" s="35"/>
    </row>
    <row r="369" spans="3:4" x14ac:dyDescent="0.25">
      <c r="C369" s="37"/>
      <c r="D369" s="35"/>
    </row>
    <row r="370" spans="3:4" x14ac:dyDescent="0.25">
      <c r="C370" s="37"/>
      <c r="D370" s="35"/>
    </row>
    <row r="371" spans="3:4" x14ac:dyDescent="0.25">
      <c r="C371" s="37"/>
      <c r="D371" s="35"/>
    </row>
    <row r="372" spans="3:4" x14ac:dyDescent="0.25">
      <c r="C372" s="37"/>
      <c r="D372" s="35"/>
    </row>
    <row r="373" spans="3:4" x14ac:dyDescent="0.25">
      <c r="C373" s="37"/>
      <c r="D373" s="35"/>
    </row>
    <row r="374" spans="3:4" x14ac:dyDescent="0.25">
      <c r="C374" s="37"/>
      <c r="D374" s="35"/>
    </row>
    <row r="375" spans="3:4" x14ac:dyDescent="0.25">
      <c r="C375" s="37"/>
      <c r="D375" s="35"/>
    </row>
    <row r="376" spans="3:4" x14ac:dyDescent="0.25">
      <c r="C376" s="37"/>
      <c r="D376" s="35"/>
    </row>
    <row r="377" spans="3:4" x14ac:dyDescent="0.25">
      <c r="C377" s="37"/>
      <c r="D377" s="35"/>
    </row>
    <row r="378" spans="3:4" x14ac:dyDescent="0.25">
      <c r="C378" s="37"/>
      <c r="D378" s="35"/>
    </row>
    <row r="379" spans="3:4" x14ac:dyDescent="0.25">
      <c r="C379" s="37"/>
      <c r="D379" s="35"/>
    </row>
    <row r="380" spans="3:4" x14ac:dyDescent="0.25">
      <c r="C380" s="37"/>
      <c r="D380" s="35"/>
    </row>
    <row r="381" spans="3:4" x14ac:dyDescent="0.25">
      <c r="C381" s="37"/>
      <c r="D381" s="35"/>
    </row>
    <row r="382" spans="3:4" x14ac:dyDescent="0.25">
      <c r="C382" s="37"/>
      <c r="D382" s="35"/>
    </row>
    <row r="383" spans="3:4" x14ac:dyDescent="0.25">
      <c r="C383" s="37"/>
      <c r="D383" s="35"/>
    </row>
    <row r="384" spans="3:4" x14ac:dyDescent="0.25">
      <c r="C384" s="37"/>
      <c r="D384" s="35"/>
    </row>
    <row r="385" spans="3:4" x14ac:dyDescent="0.25">
      <c r="C385" s="37"/>
      <c r="D385" s="35"/>
    </row>
    <row r="386" spans="3:4" x14ac:dyDescent="0.25">
      <c r="C386" s="37"/>
      <c r="D386" s="35"/>
    </row>
    <row r="387" spans="3:4" x14ac:dyDescent="0.25">
      <c r="C387" s="37"/>
      <c r="D387" s="35"/>
    </row>
    <row r="388" spans="3:4" x14ac:dyDescent="0.25">
      <c r="C388" s="37"/>
      <c r="D388" s="35"/>
    </row>
    <row r="389" spans="3:4" x14ac:dyDescent="0.25">
      <c r="C389" s="37"/>
      <c r="D389" s="35"/>
    </row>
    <row r="390" spans="3:4" x14ac:dyDescent="0.25">
      <c r="C390" s="37"/>
      <c r="D390" s="35"/>
    </row>
    <row r="391" spans="3:4" x14ac:dyDescent="0.25">
      <c r="C391" s="37"/>
      <c r="D391" s="35"/>
    </row>
    <row r="392" spans="3:4" x14ac:dyDescent="0.25">
      <c r="C392" s="37"/>
      <c r="D392" s="35"/>
    </row>
    <row r="393" spans="3:4" x14ac:dyDescent="0.25">
      <c r="C393" s="37"/>
      <c r="D393" s="35"/>
    </row>
    <row r="394" spans="3:4" x14ac:dyDescent="0.25">
      <c r="C394" s="37"/>
      <c r="D394" s="35"/>
    </row>
    <row r="395" spans="3:4" x14ac:dyDescent="0.25">
      <c r="C395" s="37"/>
      <c r="D395" s="35"/>
    </row>
    <row r="396" spans="3:4" x14ac:dyDescent="0.25">
      <c r="C396" s="37"/>
      <c r="D396" s="35"/>
    </row>
    <row r="397" spans="3:4" x14ac:dyDescent="0.25">
      <c r="C397" s="37"/>
      <c r="D397" s="35"/>
    </row>
    <row r="398" spans="3:4" x14ac:dyDescent="0.25">
      <c r="C398" s="37"/>
      <c r="D398" s="35"/>
    </row>
    <row r="399" spans="3:4" x14ac:dyDescent="0.25">
      <c r="C399" s="37"/>
      <c r="D399" s="35"/>
    </row>
    <row r="400" spans="3:4" x14ac:dyDescent="0.25">
      <c r="C400" s="37"/>
      <c r="D400" s="35"/>
    </row>
    <row r="401" spans="3:4" x14ac:dyDescent="0.25">
      <c r="C401" s="37"/>
      <c r="D401" s="35"/>
    </row>
    <row r="402" spans="3:4" x14ac:dyDescent="0.25">
      <c r="C402" s="37"/>
      <c r="D402" s="35"/>
    </row>
    <row r="403" spans="3:4" x14ac:dyDescent="0.25">
      <c r="C403" s="37"/>
      <c r="D403" s="35"/>
    </row>
    <row r="404" spans="3:4" x14ac:dyDescent="0.25">
      <c r="C404" s="37"/>
      <c r="D404" s="35"/>
    </row>
    <row r="405" spans="3:4" x14ac:dyDescent="0.25">
      <c r="C405" s="37"/>
      <c r="D405" s="35"/>
    </row>
    <row r="406" spans="3:4" x14ac:dyDescent="0.25">
      <c r="C406" s="37"/>
      <c r="D406" s="35"/>
    </row>
    <row r="407" spans="3:4" x14ac:dyDescent="0.25">
      <c r="C407" s="37"/>
      <c r="D407" s="35"/>
    </row>
    <row r="408" spans="3:4" x14ac:dyDescent="0.25">
      <c r="C408" s="37"/>
      <c r="D408" s="35"/>
    </row>
    <row r="409" spans="3:4" x14ac:dyDescent="0.25">
      <c r="C409" s="37"/>
      <c r="D409" s="35"/>
    </row>
    <row r="410" spans="3:4" x14ac:dyDescent="0.25">
      <c r="C410" s="37"/>
      <c r="D410" s="35"/>
    </row>
    <row r="411" spans="3:4" x14ac:dyDescent="0.25">
      <c r="C411" s="37"/>
      <c r="D411" s="35"/>
    </row>
    <row r="412" spans="3:4" x14ac:dyDescent="0.25">
      <c r="C412" s="37"/>
      <c r="D412" s="35"/>
    </row>
    <row r="413" spans="3:4" x14ac:dyDescent="0.25">
      <c r="C413" s="37"/>
      <c r="D413" s="35"/>
    </row>
    <row r="414" spans="3:4" x14ac:dyDescent="0.25">
      <c r="C414" s="37"/>
      <c r="D414" s="35"/>
    </row>
    <row r="415" spans="3:4" x14ac:dyDescent="0.25">
      <c r="C415" s="37"/>
      <c r="D415" s="35"/>
    </row>
    <row r="416" spans="3:4" x14ac:dyDescent="0.25">
      <c r="C416" s="37"/>
      <c r="D416" s="35"/>
    </row>
    <row r="417" spans="3:4" x14ac:dyDescent="0.25">
      <c r="C417" s="37"/>
      <c r="D417" s="35"/>
    </row>
    <row r="418" spans="3:4" x14ac:dyDescent="0.25">
      <c r="C418" s="37"/>
      <c r="D418" s="35"/>
    </row>
    <row r="419" spans="3:4" x14ac:dyDescent="0.25">
      <c r="C419" s="37"/>
      <c r="D419" s="35"/>
    </row>
    <row r="420" spans="3:4" x14ac:dyDescent="0.25">
      <c r="C420" s="37"/>
      <c r="D420" s="35"/>
    </row>
    <row r="421" spans="3:4" x14ac:dyDescent="0.25">
      <c r="C421" s="37"/>
      <c r="D421" s="35"/>
    </row>
    <row r="422" spans="3:4" x14ac:dyDescent="0.25">
      <c r="C422" s="37"/>
      <c r="D422" s="35"/>
    </row>
    <row r="423" spans="3:4" x14ac:dyDescent="0.25">
      <c r="C423" s="37"/>
      <c r="D423" s="35"/>
    </row>
    <row r="424" spans="3:4" x14ac:dyDescent="0.25">
      <c r="C424" s="37"/>
      <c r="D424" s="35"/>
    </row>
    <row r="425" spans="3:4" x14ac:dyDescent="0.25">
      <c r="C425" s="37"/>
      <c r="D425" s="35"/>
    </row>
    <row r="426" spans="3:4" x14ac:dyDescent="0.25">
      <c r="C426" s="37"/>
      <c r="D426" s="35"/>
    </row>
    <row r="427" spans="3:4" x14ac:dyDescent="0.25">
      <c r="C427" s="37"/>
      <c r="D427" s="35"/>
    </row>
    <row r="428" spans="3:4" x14ac:dyDescent="0.25">
      <c r="C428" s="37"/>
      <c r="D428" s="35"/>
    </row>
    <row r="429" spans="3:4" x14ac:dyDescent="0.25">
      <c r="C429" s="37"/>
      <c r="D429" s="35"/>
    </row>
    <row r="430" spans="3:4" x14ac:dyDescent="0.25">
      <c r="C430" s="37"/>
      <c r="D430" s="35"/>
    </row>
    <row r="431" spans="3:4" x14ac:dyDescent="0.25">
      <c r="C431" s="37"/>
      <c r="D431" s="35"/>
    </row>
    <row r="432" spans="3:4" x14ac:dyDescent="0.25">
      <c r="C432" s="37"/>
      <c r="D432" s="35"/>
    </row>
    <row r="433" spans="3:4" x14ac:dyDescent="0.25">
      <c r="C433" s="37"/>
      <c r="D433" s="35"/>
    </row>
    <row r="434" spans="3:4" x14ac:dyDescent="0.25">
      <c r="C434" s="37"/>
      <c r="D434" s="35"/>
    </row>
    <row r="435" spans="3:4" x14ac:dyDescent="0.25">
      <c r="C435" s="37"/>
      <c r="D435" s="35"/>
    </row>
    <row r="436" spans="3:4" x14ac:dyDescent="0.25">
      <c r="C436" s="37"/>
      <c r="D436" s="35"/>
    </row>
    <row r="437" spans="3:4" x14ac:dyDescent="0.25">
      <c r="C437" s="37"/>
      <c r="D437" s="35"/>
    </row>
    <row r="438" spans="3:4" x14ac:dyDescent="0.25">
      <c r="C438" s="37"/>
      <c r="D438" s="35"/>
    </row>
    <row r="439" spans="3:4" x14ac:dyDescent="0.25">
      <c r="C439" s="37"/>
      <c r="D439" s="35"/>
    </row>
    <row r="440" spans="3:4" x14ac:dyDescent="0.25">
      <c r="C440" s="37"/>
      <c r="D440" s="35"/>
    </row>
    <row r="441" spans="3:4" x14ac:dyDescent="0.25">
      <c r="C441" s="37"/>
      <c r="D441" s="35"/>
    </row>
    <row r="442" spans="3:4" x14ac:dyDescent="0.25">
      <c r="C442" s="37"/>
      <c r="D442" s="35"/>
    </row>
    <row r="443" spans="3:4" x14ac:dyDescent="0.25">
      <c r="C443" s="37"/>
      <c r="D443" s="35"/>
    </row>
    <row r="444" spans="3:4" x14ac:dyDescent="0.25">
      <c r="C444" s="37"/>
      <c r="D444" s="35"/>
    </row>
    <row r="445" spans="3:4" x14ac:dyDescent="0.25">
      <c r="C445" s="37"/>
      <c r="D445" s="35"/>
    </row>
    <row r="446" spans="3:4" x14ac:dyDescent="0.25">
      <c r="C446" s="37"/>
      <c r="D446" s="35"/>
    </row>
    <row r="447" spans="3:4" x14ac:dyDescent="0.25">
      <c r="C447" s="37"/>
      <c r="D447" s="35"/>
    </row>
    <row r="448" spans="3:4" x14ac:dyDescent="0.25">
      <c r="C448" s="37"/>
      <c r="D448" s="35"/>
    </row>
    <row r="449" spans="3:4" x14ac:dyDescent="0.25">
      <c r="C449" s="37"/>
      <c r="D449" s="35"/>
    </row>
    <row r="450" spans="3:4" x14ac:dyDescent="0.25">
      <c r="C450" s="37"/>
      <c r="D450" s="35"/>
    </row>
    <row r="451" spans="3:4" x14ac:dyDescent="0.25">
      <c r="C451" s="37"/>
      <c r="D451" s="35"/>
    </row>
    <row r="452" spans="3:4" x14ac:dyDescent="0.25">
      <c r="C452" s="37"/>
      <c r="D452" s="35"/>
    </row>
    <row r="453" spans="3:4" x14ac:dyDescent="0.25">
      <c r="C453" s="37"/>
      <c r="D453" s="35"/>
    </row>
    <row r="454" spans="3:4" x14ac:dyDescent="0.25">
      <c r="C454" s="37"/>
      <c r="D454" s="35"/>
    </row>
    <row r="455" spans="3:4" x14ac:dyDescent="0.25">
      <c r="C455" s="37"/>
      <c r="D455" s="35"/>
    </row>
    <row r="456" spans="3:4" x14ac:dyDescent="0.25">
      <c r="C456" s="37"/>
      <c r="D456" s="35"/>
    </row>
    <row r="457" spans="3:4" x14ac:dyDescent="0.25">
      <c r="C457" s="37"/>
      <c r="D457" s="35"/>
    </row>
    <row r="458" spans="3:4" x14ac:dyDescent="0.25">
      <c r="C458" s="37"/>
      <c r="D458" s="35"/>
    </row>
    <row r="459" spans="3:4" x14ac:dyDescent="0.25">
      <c r="C459" s="37"/>
      <c r="D459" s="35"/>
    </row>
    <row r="460" spans="3:4" x14ac:dyDescent="0.25">
      <c r="C460" s="37"/>
      <c r="D460" s="35"/>
    </row>
    <row r="461" spans="3:4" x14ac:dyDescent="0.25">
      <c r="C461" s="37"/>
      <c r="D461" s="35"/>
    </row>
    <row r="462" spans="3:4" x14ac:dyDescent="0.25">
      <c r="C462" s="37"/>
      <c r="D462" s="35"/>
    </row>
    <row r="463" spans="3:4" x14ac:dyDescent="0.25">
      <c r="C463" s="37"/>
      <c r="D463" s="35"/>
    </row>
    <row r="464" spans="3:4" x14ac:dyDescent="0.25">
      <c r="C464" s="37"/>
      <c r="D464" s="35"/>
    </row>
    <row r="465" spans="3:4" x14ac:dyDescent="0.25">
      <c r="C465" s="37"/>
      <c r="D465" s="35"/>
    </row>
    <row r="466" spans="3:4" x14ac:dyDescent="0.25">
      <c r="C466" s="37"/>
      <c r="D466" s="35"/>
    </row>
    <row r="467" spans="3:4" x14ac:dyDescent="0.25">
      <c r="C467" s="37"/>
      <c r="D467" s="35"/>
    </row>
    <row r="468" spans="3:4" x14ac:dyDescent="0.25">
      <c r="C468" s="37"/>
      <c r="D468" s="35"/>
    </row>
    <row r="469" spans="3:4" x14ac:dyDescent="0.25">
      <c r="C469" s="37"/>
      <c r="D469" s="35"/>
    </row>
    <row r="470" spans="3:4" x14ac:dyDescent="0.25">
      <c r="C470" s="37"/>
      <c r="D470" s="35"/>
    </row>
    <row r="471" spans="3:4" x14ac:dyDescent="0.25">
      <c r="C471" s="37"/>
      <c r="D471" s="35"/>
    </row>
    <row r="472" spans="3:4" x14ac:dyDescent="0.25">
      <c r="C472" s="37"/>
      <c r="D472" s="35"/>
    </row>
    <row r="473" spans="3:4" x14ac:dyDescent="0.25">
      <c r="C473" s="37"/>
      <c r="D473" s="35"/>
    </row>
    <row r="474" spans="3:4" x14ac:dyDescent="0.25">
      <c r="C474" s="37"/>
      <c r="D474" s="35"/>
    </row>
    <row r="475" spans="3:4" x14ac:dyDescent="0.25">
      <c r="C475" s="37"/>
      <c r="D475" s="35"/>
    </row>
    <row r="476" spans="3:4" x14ac:dyDescent="0.25">
      <c r="C476" s="37"/>
      <c r="D476" s="35"/>
    </row>
    <row r="477" spans="3:4" x14ac:dyDescent="0.25">
      <c r="C477" s="37"/>
      <c r="D477" s="35"/>
    </row>
    <row r="478" spans="3:4" x14ac:dyDescent="0.25">
      <c r="C478" s="37"/>
      <c r="D478" s="35"/>
    </row>
    <row r="479" spans="3:4" x14ac:dyDescent="0.25">
      <c r="C479" s="37"/>
      <c r="D479" s="35"/>
    </row>
    <row r="480" spans="3:4" x14ac:dyDescent="0.25">
      <c r="C480" s="37"/>
      <c r="D480" s="35"/>
    </row>
    <row r="481" spans="3:4" x14ac:dyDescent="0.25">
      <c r="C481" s="37"/>
      <c r="D481" s="35"/>
    </row>
    <row r="482" spans="3:4" x14ac:dyDescent="0.25">
      <c r="C482" s="37"/>
      <c r="D482" s="35"/>
    </row>
    <row r="483" spans="3:4" x14ac:dyDescent="0.25">
      <c r="C483" s="37"/>
      <c r="D483" s="35"/>
    </row>
    <row r="484" spans="3:4" x14ac:dyDescent="0.25">
      <c r="C484" s="37"/>
      <c r="D484" s="35"/>
    </row>
    <row r="485" spans="3:4" x14ac:dyDescent="0.25">
      <c r="C485" s="37"/>
      <c r="D485" s="35"/>
    </row>
    <row r="486" spans="3:4" x14ac:dyDescent="0.25">
      <c r="C486" s="37"/>
      <c r="D486" s="35"/>
    </row>
    <row r="487" spans="3:4" x14ac:dyDescent="0.25">
      <c r="C487" s="37"/>
      <c r="D487" s="35"/>
    </row>
    <row r="488" spans="3:4" x14ac:dyDescent="0.25">
      <c r="C488" s="37"/>
      <c r="D488" s="35"/>
    </row>
    <row r="489" spans="3:4" x14ac:dyDescent="0.25">
      <c r="C489" s="37"/>
      <c r="D489" s="35"/>
    </row>
    <row r="490" spans="3:4" x14ac:dyDescent="0.25">
      <c r="C490" s="37"/>
      <c r="D490" s="35"/>
    </row>
    <row r="491" spans="3:4" x14ac:dyDescent="0.25">
      <c r="C491" s="37"/>
      <c r="D491" s="35"/>
    </row>
    <row r="492" spans="3:4" x14ac:dyDescent="0.25">
      <c r="C492" s="37"/>
      <c r="D492" s="35"/>
    </row>
    <row r="493" spans="3:4" x14ac:dyDescent="0.25">
      <c r="C493" s="37"/>
      <c r="D493" s="35"/>
    </row>
    <row r="494" spans="3:4" x14ac:dyDescent="0.25">
      <c r="C494" s="37"/>
      <c r="D494" s="35"/>
    </row>
    <row r="495" spans="3:4" x14ac:dyDescent="0.25">
      <c r="C495" s="37"/>
      <c r="D495" s="35"/>
    </row>
    <row r="496" spans="3:4" x14ac:dyDescent="0.25">
      <c r="C496" s="37"/>
      <c r="D496" s="35"/>
    </row>
    <row r="497" spans="3:4" x14ac:dyDescent="0.25">
      <c r="C497" s="37"/>
      <c r="D497" s="35"/>
    </row>
    <row r="498" spans="3:4" x14ac:dyDescent="0.25">
      <c r="C498" s="37"/>
      <c r="D498" s="35"/>
    </row>
    <row r="499" spans="3:4" x14ac:dyDescent="0.25">
      <c r="C499" s="37"/>
      <c r="D499" s="35"/>
    </row>
    <row r="500" spans="3:4" x14ac:dyDescent="0.25">
      <c r="C500" s="37"/>
      <c r="D500" s="35"/>
    </row>
    <row r="501" spans="3:4" x14ac:dyDescent="0.25">
      <c r="C501" s="37"/>
      <c r="D501" s="35"/>
    </row>
    <row r="502" spans="3:4" x14ac:dyDescent="0.25">
      <c r="C502" s="37"/>
      <c r="D502" s="35"/>
    </row>
    <row r="503" spans="3:4" x14ac:dyDescent="0.25">
      <c r="C503" s="37"/>
      <c r="D503" s="35"/>
    </row>
    <row r="504" spans="3:4" x14ac:dyDescent="0.25">
      <c r="C504" s="37"/>
      <c r="D504" s="35"/>
    </row>
    <row r="505" spans="3:4" x14ac:dyDescent="0.25">
      <c r="C505" s="37"/>
      <c r="D505" s="35"/>
    </row>
    <row r="506" spans="3:4" x14ac:dyDescent="0.25">
      <c r="C506" s="37"/>
      <c r="D506" s="35"/>
    </row>
    <row r="507" spans="3:4" x14ac:dyDescent="0.25">
      <c r="C507" s="37"/>
      <c r="D507" s="35"/>
    </row>
    <row r="508" spans="3:4" x14ac:dyDescent="0.25">
      <c r="C508" s="37"/>
      <c r="D508" s="35"/>
    </row>
    <row r="509" spans="3:4" x14ac:dyDescent="0.25">
      <c r="C509" s="37"/>
      <c r="D509" s="35"/>
    </row>
    <row r="510" spans="3:4" x14ac:dyDescent="0.25">
      <c r="C510" s="37"/>
      <c r="D510" s="35"/>
    </row>
    <row r="511" spans="3:4" x14ac:dyDescent="0.25">
      <c r="C511" s="37"/>
      <c r="D511" s="35"/>
    </row>
    <row r="512" spans="3:4" x14ac:dyDescent="0.25">
      <c r="C512" s="37"/>
      <c r="D512" s="35"/>
    </row>
    <row r="513" spans="3:4" x14ac:dyDescent="0.25">
      <c r="C513" s="37"/>
      <c r="D513" s="35"/>
    </row>
    <row r="514" spans="3:4" x14ac:dyDescent="0.25">
      <c r="C514" s="37"/>
      <c r="D514" s="35"/>
    </row>
    <row r="515" spans="3:4" x14ac:dyDescent="0.25">
      <c r="C515" s="37"/>
      <c r="D515" s="35"/>
    </row>
    <row r="516" spans="3:4" x14ac:dyDescent="0.25">
      <c r="C516" s="37"/>
      <c r="D516" s="35"/>
    </row>
    <row r="517" spans="3:4" x14ac:dyDescent="0.25">
      <c r="C517" s="37"/>
      <c r="D517" s="35"/>
    </row>
    <row r="518" spans="3:4" x14ac:dyDescent="0.25">
      <c r="C518" s="37"/>
      <c r="D518" s="35"/>
    </row>
    <row r="519" spans="3:4" x14ac:dyDescent="0.25">
      <c r="C519" s="37"/>
      <c r="D519" s="35"/>
    </row>
    <row r="520" spans="3:4" x14ac:dyDescent="0.25">
      <c r="C520" s="37"/>
      <c r="D520" s="35"/>
    </row>
    <row r="521" spans="3:4" x14ac:dyDescent="0.25">
      <c r="C521" s="37"/>
      <c r="D521" s="35"/>
    </row>
    <row r="522" spans="3:4" x14ac:dyDescent="0.25">
      <c r="C522" s="37"/>
      <c r="D522" s="35"/>
    </row>
    <row r="523" spans="3:4" x14ac:dyDescent="0.25">
      <c r="C523" s="37"/>
      <c r="D523" s="35"/>
    </row>
    <row r="524" spans="3:4" x14ac:dyDescent="0.25">
      <c r="C524" s="37"/>
      <c r="D524" s="35"/>
    </row>
    <row r="525" spans="3:4" x14ac:dyDescent="0.25">
      <c r="C525" s="37"/>
      <c r="D525" s="35"/>
    </row>
    <row r="526" spans="3:4" x14ac:dyDescent="0.25">
      <c r="C526" s="37"/>
      <c r="D526" s="35"/>
    </row>
    <row r="527" spans="3:4" x14ac:dyDescent="0.25">
      <c r="C527" s="37"/>
      <c r="D527" s="35"/>
    </row>
    <row r="528" spans="3:4" x14ac:dyDescent="0.25">
      <c r="C528" s="37"/>
      <c r="D528" s="35"/>
    </row>
    <row r="529" spans="3:4" x14ac:dyDescent="0.25">
      <c r="C529" s="37"/>
      <c r="D529" s="35"/>
    </row>
    <row r="530" spans="3:4" x14ac:dyDescent="0.25">
      <c r="C530" s="37"/>
      <c r="D530" s="35"/>
    </row>
    <row r="531" spans="3:4" x14ac:dyDescent="0.25">
      <c r="C531" s="37"/>
      <c r="D531" s="35"/>
    </row>
    <row r="532" spans="3:4" x14ac:dyDescent="0.25">
      <c r="C532" s="37"/>
      <c r="D532" s="35"/>
    </row>
    <row r="533" spans="3:4" x14ac:dyDescent="0.25">
      <c r="C533" s="37"/>
      <c r="D533" s="35"/>
    </row>
    <row r="534" spans="3:4" x14ac:dyDescent="0.25">
      <c r="C534" s="37"/>
      <c r="D534" s="35"/>
    </row>
    <row r="535" spans="3:4" x14ac:dyDescent="0.25">
      <c r="C535" s="37"/>
      <c r="D535" s="35"/>
    </row>
    <row r="536" spans="3:4" x14ac:dyDescent="0.25">
      <c r="C536" s="37"/>
      <c r="D536" s="35"/>
    </row>
    <row r="537" spans="3:4" x14ac:dyDescent="0.25">
      <c r="C537" s="37"/>
      <c r="D537" s="35"/>
    </row>
    <row r="538" spans="3:4" x14ac:dyDescent="0.25">
      <c r="C538" s="37"/>
      <c r="D538" s="35"/>
    </row>
    <row r="539" spans="3:4" x14ac:dyDescent="0.25">
      <c r="C539" s="37"/>
      <c r="D539" s="35"/>
    </row>
    <row r="540" spans="3:4" x14ac:dyDescent="0.25">
      <c r="C540" s="37"/>
      <c r="D540" s="35"/>
    </row>
    <row r="541" spans="3:4" x14ac:dyDescent="0.25">
      <c r="C541" s="37"/>
      <c r="D541" s="35"/>
    </row>
    <row r="542" spans="3:4" x14ac:dyDescent="0.25">
      <c r="C542" s="37"/>
      <c r="D542" s="35"/>
    </row>
    <row r="543" spans="3:4" x14ac:dyDescent="0.25">
      <c r="C543" s="37"/>
      <c r="D543" s="35"/>
    </row>
    <row r="544" spans="3:4" x14ac:dyDescent="0.25">
      <c r="C544" s="37"/>
      <c r="D544" s="35"/>
    </row>
    <row r="545" spans="3:4" x14ac:dyDescent="0.25">
      <c r="C545" s="37"/>
      <c r="D545" s="35"/>
    </row>
    <row r="546" spans="3:4" x14ac:dyDescent="0.25">
      <c r="C546" s="37"/>
      <c r="D546" s="35"/>
    </row>
    <row r="547" spans="3:4" x14ac:dyDescent="0.25">
      <c r="C547" s="37"/>
      <c r="D547" s="35"/>
    </row>
    <row r="548" spans="3:4" x14ac:dyDescent="0.25">
      <c r="C548" s="37"/>
      <c r="D548" s="35"/>
    </row>
    <row r="549" spans="3:4" x14ac:dyDescent="0.25">
      <c r="C549" s="37"/>
      <c r="D549" s="35"/>
    </row>
    <row r="550" spans="3:4" x14ac:dyDescent="0.25">
      <c r="C550" s="37"/>
      <c r="D550" s="35"/>
    </row>
    <row r="551" spans="3:4" x14ac:dyDescent="0.25">
      <c r="C551" s="37"/>
      <c r="D551" s="35"/>
    </row>
    <row r="552" spans="3:4" x14ac:dyDescent="0.25">
      <c r="C552" s="37"/>
      <c r="D552" s="35"/>
    </row>
    <row r="553" spans="3:4" x14ac:dyDescent="0.25">
      <c r="C553" s="37"/>
      <c r="D553" s="35"/>
    </row>
    <row r="554" spans="3:4" x14ac:dyDescent="0.25">
      <c r="C554" s="37"/>
      <c r="D554" s="35"/>
    </row>
    <row r="555" spans="3:4" x14ac:dyDescent="0.25">
      <c r="C555" s="37"/>
      <c r="D555" s="35"/>
    </row>
    <row r="556" spans="3:4" x14ac:dyDescent="0.25">
      <c r="C556" s="37"/>
      <c r="D556" s="35"/>
    </row>
    <row r="557" spans="3:4" x14ac:dyDescent="0.25">
      <c r="C557" s="37"/>
      <c r="D557" s="35"/>
    </row>
    <row r="558" spans="3:4" x14ac:dyDescent="0.25">
      <c r="C558" s="37"/>
      <c r="D558" s="35"/>
    </row>
    <row r="559" spans="3:4" x14ac:dyDescent="0.25">
      <c r="C559" s="37"/>
      <c r="D559" s="35"/>
    </row>
    <row r="560" spans="3:4" x14ac:dyDescent="0.25">
      <c r="C560" s="37"/>
      <c r="D560" s="35"/>
    </row>
    <row r="561" spans="3:4" x14ac:dyDescent="0.25">
      <c r="C561" s="37"/>
      <c r="D561" s="35"/>
    </row>
    <row r="562" spans="3:4" x14ac:dyDescent="0.25">
      <c r="C562" s="37"/>
      <c r="D562" s="35"/>
    </row>
    <row r="563" spans="3:4" x14ac:dyDescent="0.25">
      <c r="C563" s="37"/>
      <c r="D563" s="35"/>
    </row>
    <row r="564" spans="3:4" x14ac:dyDescent="0.25">
      <c r="C564" s="37"/>
      <c r="D564" s="35"/>
    </row>
    <row r="565" spans="3:4" x14ac:dyDescent="0.25">
      <c r="C565" s="37"/>
      <c r="D565" s="35"/>
    </row>
    <row r="566" spans="3:4" x14ac:dyDescent="0.25">
      <c r="C566" s="37"/>
      <c r="D566" s="35"/>
    </row>
    <row r="567" spans="3:4" x14ac:dyDescent="0.25">
      <c r="C567" s="37"/>
      <c r="D567" s="35"/>
    </row>
    <row r="568" spans="3:4" x14ac:dyDescent="0.25">
      <c r="C568" s="37"/>
      <c r="D568" s="35"/>
    </row>
    <row r="569" spans="3:4" x14ac:dyDescent="0.25">
      <c r="C569" s="37"/>
      <c r="D569" s="35"/>
    </row>
    <row r="570" spans="3:4" x14ac:dyDescent="0.25">
      <c r="C570" s="37"/>
      <c r="D570" s="35"/>
    </row>
    <row r="571" spans="3:4" x14ac:dyDescent="0.25">
      <c r="C571" s="37"/>
      <c r="D571" s="35"/>
    </row>
    <row r="572" spans="3:4" x14ac:dyDescent="0.25">
      <c r="C572" s="37"/>
      <c r="D572" s="35"/>
    </row>
    <row r="573" spans="3:4" x14ac:dyDescent="0.25">
      <c r="C573" s="37"/>
      <c r="D573" s="35"/>
    </row>
    <row r="574" spans="3:4" x14ac:dyDescent="0.25">
      <c r="C574" s="37"/>
      <c r="D574" s="35"/>
    </row>
    <row r="575" spans="3:4" x14ac:dyDescent="0.25">
      <c r="C575" s="37"/>
      <c r="D575" s="35"/>
    </row>
    <row r="576" spans="3:4" x14ac:dyDescent="0.25">
      <c r="C576" s="37"/>
      <c r="D576" s="35"/>
    </row>
    <row r="577" spans="3:4" x14ac:dyDescent="0.25">
      <c r="C577" s="37"/>
      <c r="D577" s="35"/>
    </row>
    <row r="578" spans="3:4" x14ac:dyDescent="0.25">
      <c r="C578" s="37"/>
      <c r="D578" s="35"/>
    </row>
    <row r="579" spans="3:4" x14ac:dyDescent="0.25">
      <c r="C579" s="37"/>
      <c r="D579" s="35"/>
    </row>
    <row r="580" spans="3:4" x14ac:dyDescent="0.25">
      <c r="C580" s="37"/>
      <c r="D580" s="35"/>
    </row>
    <row r="581" spans="3:4" x14ac:dyDescent="0.25">
      <c r="C581" s="37"/>
      <c r="D581" s="35"/>
    </row>
    <row r="582" spans="3:4" x14ac:dyDescent="0.25">
      <c r="C582" s="37"/>
      <c r="D582" s="35"/>
    </row>
    <row r="583" spans="3:4" x14ac:dyDescent="0.25">
      <c r="C583" s="37"/>
      <c r="D583" s="35"/>
    </row>
    <row r="584" spans="3:4" x14ac:dyDescent="0.25">
      <c r="C584" s="37"/>
      <c r="D584" s="35"/>
    </row>
    <row r="585" spans="3:4" x14ac:dyDescent="0.25">
      <c r="C585" s="37"/>
      <c r="D585" s="35"/>
    </row>
    <row r="586" spans="3:4" x14ac:dyDescent="0.25">
      <c r="C586" s="37"/>
      <c r="D586" s="35"/>
    </row>
    <row r="587" spans="3:4" x14ac:dyDescent="0.25">
      <c r="C587" s="37"/>
      <c r="D587" s="35"/>
    </row>
    <row r="588" spans="3:4" x14ac:dyDescent="0.25">
      <c r="C588" s="37"/>
      <c r="D588" s="35"/>
    </row>
    <row r="589" spans="3:4" x14ac:dyDescent="0.25">
      <c r="C589" s="37"/>
      <c r="D589" s="35"/>
    </row>
    <row r="590" spans="3:4" x14ac:dyDescent="0.25">
      <c r="C590" s="37"/>
      <c r="D590" s="35"/>
    </row>
    <row r="591" spans="3:4" x14ac:dyDescent="0.25">
      <c r="C591" s="37"/>
      <c r="D591" s="35"/>
    </row>
    <row r="592" spans="3:4" x14ac:dyDescent="0.25">
      <c r="C592" s="37"/>
      <c r="D592" s="35"/>
    </row>
    <row r="593" spans="3:4" x14ac:dyDescent="0.25">
      <c r="C593" s="37"/>
      <c r="D593" s="35"/>
    </row>
    <row r="594" spans="3:4" x14ac:dyDescent="0.25">
      <c r="C594" s="37"/>
      <c r="D594" s="35"/>
    </row>
    <row r="595" spans="3:4" x14ac:dyDescent="0.25">
      <c r="C595" s="37"/>
      <c r="D595" s="35"/>
    </row>
    <row r="596" spans="3:4" x14ac:dyDescent="0.25">
      <c r="C596" s="37"/>
      <c r="D596" s="35"/>
    </row>
    <row r="597" spans="3:4" x14ac:dyDescent="0.25">
      <c r="C597" s="37"/>
      <c r="D597" s="35"/>
    </row>
    <row r="598" spans="3:4" x14ac:dyDescent="0.25">
      <c r="C598" s="37"/>
      <c r="D598" s="35"/>
    </row>
    <row r="599" spans="3:4" x14ac:dyDescent="0.25">
      <c r="C599" s="37"/>
      <c r="D599" s="35"/>
    </row>
    <row r="600" spans="3:4" x14ac:dyDescent="0.25">
      <c r="C600" s="37"/>
      <c r="D600" s="35"/>
    </row>
    <row r="601" spans="3:4" x14ac:dyDescent="0.25">
      <c r="C601" s="37"/>
      <c r="D601" s="35"/>
    </row>
    <row r="602" spans="3:4" x14ac:dyDescent="0.25">
      <c r="C602" s="37"/>
      <c r="D602" s="35"/>
    </row>
    <row r="603" spans="3:4" x14ac:dyDescent="0.25">
      <c r="C603" s="37"/>
      <c r="D603" s="35"/>
    </row>
    <row r="604" spans="3:4" x14ac:dyDescent="0.25">
      <c r="C604" s="37"/>
      <c r="D604" s="35"/>
    </row>
    <row r="605" spans="3:4" x14ac:dyDescent="0.25">
      <c r="C605" s="37"/>
      <c r="D605" s="35"/>
    </row>
    <row r="606" spans="3:4" x14ac:dyDescent="0.25">
      <c r="C606" s="37"/>
      <c r="D606" s="35"/>
    </row>
    <row r="607" spans="3:4" x14ac:dyDescent="0.25">
      <c r="C607" s="37"/>
      <c r="D607" s="35"/>
    </row>
    <row r="608" spans="3:4" x14ac:dyDescent="0.25">
      <c r="C608" s="37"/>
      <c r="D608" s="35"/>
    </row>
    <row r="609" spans="3:4" x14ac:dyDescent="0.25">
      <c r="C609" s="37"/>
      <c r="D609" s="35"/>
    </row>
    <row r="610" spans="3:4" x14ac:dyDescent="0.25">
      <c r="C610" s="37"/>
      <c r="D610" s="35"/>
    </row>
    <row r="611" spans="3:4" x14ac:dyDescent="0.25">
      <c r="C611" s="37"/>
      <c r="D611" s="35"/>
    </row>
    <row r="612" spans="3:4" x14ac:dyDescent="0.25">
      <c r="C612" s="37"/>
      <c r="D612" s="35"/>
    </row>
    <row r="613" spans="3:4" x14ac:dyDescent="0.25">
      <c r="C613" s="37"/>
      <c r="D613" s="35"/>
    </row>
    <row r="614" spans="3:4" x14ac:dyDescent="0.25">
      <c r="C614" s="37"/>
      <c r="D614" s="35"/>
    </row>
    <row r="615" spans="3:4" x14ac:dyDescent="0.25">
      <c r="C615" s="37"/>
      <c r="D615" s="35"/>
    </row>
    <row r="616" spans="3:4" x14ac:dyDescent="0.25">
      <c r="C616" s="37"/>
      <c r="D616" s="35"/>
    </row>
    <row r="617" spans="3:4" x14ac:dyDescent="0.25">
      <c r="C617" s="37"/>
      <c r="D617" s="35"/>
    </row>
    <row r="618" spans="3:4" x14ac:dyDescent="0.25">
      <c r="C618" s="37"/>
      <c r="D618" s="35"/>
    </row>
    <row r="619" spans="3:4" x14ac:dyDescent="0.25">
      <c r="C619" s="37"/>
      <c r="D619" s="35"/>
    </row>
    <row r="620" spans="3:4" x14ac:dyDescent="0.25">
      <c r="C620" s="37"/>
      <c r="D620" s="35"/>
    </row>
    <row r="621" spans="3:4" x14ac:dyDescent="0.25">
      <c r="C621" s="37"/>
      <c r="D621" s="35"/>
    </row>
    <row r="622" spans="3:4" x14ac:dyDescent="0.25">
      <c r="C622" s="37"/>
      <c r="D622" s="35"/>
    </row>
    <row r="623" spans="3:4" x14ac:dyDescent="0.25">
      <c r="C623" s="37"/>
      <c r="D623" s="35"/>
    </row>
    <row r="624" spans="3:4" x14ac:dyDescent="0.25">
      <c r="C624" s="37"/>
      <c r="D624" s="35"/>
    </row>
    <row r="625" spans="3:4" x14ac:dyDescent="0.25">
      <c r="C625" s="37"/>
      <c r="D625" s="35"/>
    </row>
    <row r="626" spans="3:4" x14ac:dyDescent="0.25">
      <c r="C626" s="37"/>
      <c r="D626" s="35"/>
    </row>
    <row r="627" spans="3:4" x14ac:dyDescent="0.25">
      <c r="C627" s="37"/>
      <c r="D627" s="35"/>
    </row>
    <row r="628" spans="3:4" x14ac:dyDescent="0.25">
      <c r="C628" s="37"/>
      <c r="D628" s="35"/>
    </row>
    <row r="629" spans="3:4" x14ac:dyDescent="0.25">
      <c r="C629" s="37"/>
      <c r="D629" s="35"/>
    </row>
    <row r="630" spans="3:4" x14ac:dyDescent="0.25">
      <c r="C630" s="37"/>
      <c r="D630" s="35"/>
    </row>
    <row r="631" spans="3:4" x14ac:dyDescent="0.25">
      <c r="C631" s="37"/>
      <c r="D631" s="35"/>
    </row>
    <row r="632" spans="3:4" x14ac:dyDescent="0.25">
      <c r="C632" s="37"/>
      <c r="D632" s="35"/>
    </row>
    <row r="633" spans="3:4" x14ac:dyDescent="0.25">
      <c r="C633" s="37"/>
      <c r="D633" s="35"/>
    </row>
    <row r="634" spans="3:4" x14ac:dyDescent="0.25">
      <c r="C634" s="37"/>
      <c r="D634" s="35"/>
    </row>
    <row r="635" spans="3:4" x14ac:dyDescent="0.25">
      <c r="C635" s="37"/>
      <c r="D635" s="35"/>
    </row>
    <row r="636" spans="3:4" x14ac:dyDescent="0.25">
      <c r="C636" s="37"/>
      <c r="D636" s="35"/>
    </row>
    <row r="637" spans="3:4" x14ac:dyDescent="0.25">
      <c r="C637" s="37"/>
      <c r="D637" s="35"/>
    </row>
    <row r="638" spans="3:4" x14ac:dyDescent="0.25">
      <c r="C638" s="37"/>
      <c r="D638" s="35"/>
    </row>
    <row r="639" spans="3:4" x14ac:dyDescent="0.25">
      <c r="C639" s="37"/>
      <c r="D639" s="35"/>
    </row>
    <row r="640" spans="3:4" x14ac:dyDescent="0.25">
      <c r="C640" s="37"/>
      <c r="D640" s="35"/>
    </row>
    <row r="641" spans="3:4" x14ac:dyDescent="0.25">
      <c r="C641" s="37"/>
      <c r="D641" s="35"/>
    </row>
    <row r="642" spans="3:4" x14ac:dyDescent="0.25">
      <c r="C642" s="37"/>
      <c r="D642" s="35"/>
    </row>
    <row r="643" spans="3:4" x14ac:dyDescent="0.25">
      <c r="C643" s="37"/>
      <c r="D643" s="35"/>
    </row>
    <row r="644" spans="3:4" x14ac:dyDescent="0.25">
      <c r="C644" s="37"/>
      <c r="D644" s="35"/>
    </row>
    <row r="645" spans="3:4" x14ac:dyDescent="0.25">
      <c r="C645" s="37"/>
      <c r="D645" s="35"/>
    </row>
    <row r="646" spans="3:4" x14ac:dyDescent="0.25">
      <c r="C646" s="37"/>
      <c r="D646" s="35"/>
    </row>
    <row r="647" spans="3:4" x14ac:dyDescent="0.25">
      <c r="C647" s="37"/>
      <c r="D647" s="35"/>
    </row>
    <row r="648" spans="3:4" x14ac:dyDescent="0.25">
      <c r="C648" s="37"/>
      <c r="D648" s="35"/>
    </row>
    <row r="649" spans="3:4" x14ac:dyDescent="0.25">
      <c r="C649" s="37"/>
      <c r="D649" s="35"/>
    </row>
    <row r="650" spans="3:4" x14ac:dyDescent="0.25">
      <c r="C650" s="37"/>
      <c r="D650" s="35"/>
    </row>
    <row r="651" spans="3:4" x14ac:dyDescent="0.25">
      <c r="C651" s="37"/>
      <c r="D651" s="35"/>
    </row>
    <row r="652" spans="3:4" x14ac:dyDescent="0.25">
      <c r="C652" s="37"/>
      <c r="D652" s="35"/>
    </row>
    <row r="653" spans="3:4" x14ac:dyDescent="0.25">
      <c r="C653" s="37"/>
      <c r="D653" s="35"/>
    </row>
    <row r="654" spans="3:4" x14ac:dyDescent="0.25">
      <c r="C654" s="37"/>
      <c r="D654" s="35"/>
    </row>
    <row r="655" spans="3:4" x14ac:dyDescent="0.25">
      <c r="C655" s="37"/>
      <c r="D655" s="35"/>
    </row>
    <row r="656" spans="3:4" x14ac:dyDescent="0.25">
      <c r="C656" s="37"/>
      <c r="D656" s="35"/>
    </row>
    <row r="657" spans="3:4" x14ac:dyDescent="0.25">
      <c r="C657" s="37"/>
      <c r="D657" s="35"/>
    </row>
    <row r="658" spans="3:4" x14ac:dyDescent="0.25">
      <c r="C658" s="37"/>
      <c r="D658" s="35"/>
    </row>
    <row r="659" spans="3:4" x14ac:dyDescent="0.25">
      <c r="C659" s="37"/>
      <c r="D659" s="35"/>
    </row>
    <row r="660" spans="3:4" x14ac:dyDescent="0.25">
      <c r="C660" s="37"/>
      <c r="D660" s="35"/>
    </row>
    <row r="661" spans="3:4" x14ac:dyDescent="0.25">
      <c r="C661" s="37"/>
      <c r="D661" s="35"/>
    </row>
    <row r="662" spans="3:4" x14ac:dyDescent="0.25">
      <c r="C662" s="37"/>
      <c r="D662" s="35"/>
    </row>
    <row r="663" spans="3:4" x14ac:dyDescent="0.25">
      <c r="C663" s="37"/>
      <c r="D663" s="35"/>
    </row>
    <row r="664" spans="3:4" x14ac:dyDescent="0.25">
      <c r="C664" s="37"/>
      <c r="D664" s="35"/>
    </row>
    <row r="665" spans="3:4" x14ac:dyDescent="0.25">
      <c r="C665" s="37"/>
      <c r="D665" s="35"/>
    </row>
    <row r="666" spans="3:4" x14ac:dyDescent="0.25">
      <c r="C666" s="37"/>
      <c r="D666" s="35"/>
    </row>
    <row r="667" spans="3:4" x14ac:dyDescent="0.25">
      <c r="C667" s="37"/>
      <c r="D667" s="35"/>
    </row>
    <row r="668" spans="3:4" x14ac:dyDescent="0.25">
      <c r="C668" s="37"/>
      <c r="D668" s="35"/>
    </row>
    <row r="669" spans="3:4" x14ac:dyDescent="0.25">
      <c r="C669" s="37"/>
      <c r="D669" s="35"/>
    </row>
    <row r="670" spans="3:4" x14ac:dyDescent="0.25">
      <c r="C670" s="37"/>
      <c r="D670" s="35"/>
    </row>
    <row r="671" spans="3:4" x14ac:dyDescent="0.25">
      <c r="C671" s="37"/>
      <c r="D671" s="35"/>
    </row>
    <row r="672" spans="3:4" x14ac:dyDescent="0.25">
      <c r="C672" s="37"/>
      <c r="D672" s="35"/>
    </row>
    <row r="673" spans="3:4" x14ac:dyDescent="0.25">
      <c r="C673" s="37"/>
      <c r="D673" s="35"/>
    </row>
    <row r="674" spans="3:4" x14ac:dyDescent="0.25">
      <c r="C674" s="37"/>
      <c r="D674" s="35"/>
    </row>
    <row r="675" spans="3:4" x14ac:dyDescent="0.25">
      <c r="C675" s="37"/>
      <c r="D675" s="35"/>
    </row>
    <row r="676" spans="3:4" x14ac:dyDescent="0.25">
      <c r="C676" s="37"/>
      <c r="D676" s="35"/>
    </row>
    <row r="677" spans="3:4" x14ac:dyDescent="0.25">
      <c r="C677" s="37"/>
      <c r="D677" s="35"/>
    </row>
    <row r="678" spans="3:4" x14ac:dyDescent="0.25">
      <c r="C678" s="37"/>
      <c r="D678" s="35"/>
    </row>
    <row r="679" spans="3:4" x14ac:dyDescent="0.25">
      <c r="C679" s="37"/>
      <c r="D679" s="35"/>
    </row>
    <row r="680" spans="3:4" x14ac:dyDescent="0.25">
      <c r="C680" s="37"/>
      <c r="D680" s="35"/>
    </row>
    <row r="681" spans="3:4" x14ac:dyDescent="0.25">
      <c r="C681" s="37"/>
      <c r="D681" s="35"/>
    </row>
    <row r="682" spans="3:4" x14ac:dyDescent="0.25">
      <c r="C682" s="37"/>
      <c r="D682" s="35"/>
    </row>
    <row r="683" spans="3:4" x14ac:dyDescent="0.25">
      <c r="C683" s="37"/>
      <c r="D683" s="35"/>
    </row>
    <row r="684" spans="3:4" x14ac:dyDescent="0.25">
      <c r="C684" s="37"/>
      <c r="D684" s="35"/>
    </row>
    <row r="685" spans="3:4" x14ac:dyDescent="0.25">
      <c r="C685" s="37"/>
      <c r="D685" s="35"/>
    </row>
    <row r="686" spans="3:4" x14ac:dyDescent="0.25">
      <c r="C686" s="37"/>
      <c r="D686" s="35"/>
    </row>
    <row r="687" spans="3:4" x14ac:dyDescent="0.25">
      <c r="C687" s="37"/>
      <c r="D687" s="35"/>
    </row>
    <row r="688" spans="3:4" x14ac:dyDescent="0.25">
      <c r="C688" s="37"/>
      <c r="D688" s="35"/>
    </row>
    <row r="689" spans="3:4" x14ac:dyDescent="0.25">
      <c r="C689" s="37"/>
      <c r="D689" s="35"/>
    </row>
    <row r="690" spans="3:4" x14ac:dyDescent="0.25">
      <c r="C690" s="37"/>
      <c r="D690" s="35"/>
    </row>
    <row r="691" spans="3:4" x14ac:dyDescent="0.25">
      <c r="C691" s="37"/>
      <c r="D691" s="35"/>
    </row>
    <row r="692" spans="3:4" x14ac:dyDescent="0.25">
      <c r="C692" s="37"/>
      <c r="D692" s="35"/>
    </row>
    <row r="693" spans="3:4" x14ac:dyDescent="0.25">
      <c r="C693" s="37"/>
      <c r="D693" s="35"/>
    </row>
    <row r="694" spans="3:4" x14ac:dyDescent="0.25">
      <c r="C694" s="37"/>
      <c r="D694" s="35"/>
    </row>
    <row r="695" spans="3:4" x14ac:dyDescent="0.25">
      <c r="C695" s="37"/>
      <c r="D695" s="35"/>
    </row>
    <row r="696" spans="3:4" x14ac:dyDescent="0.25">
      <c r="C696" s="37"/>
      <c r="D696" s="35"/>
    </row>
    <row r="697" spans="3:4" x14ac:dyDescent="0.25">
      <c r="C697" s="37"/>
      <c r="D697" s="35"/>
    </row>
    <row r="698" spans="3:4" x14ac:dyDescent="0.25">
      <c r="C698" s="37"/>
      <c r="D698" s="35"/>
    </row>
    <row r="699" spans="3:4" x14ac:dyDescent="0.25">
      <c r="C699" s="37"/>
      <c r="D699" s="35"/>
    </row>
    <row r="700" spans="3:4" x14ac:dyDescent="0.25">
      <c r="C700" s="37"/>
      <c r="D700" s="35"/>
    </row>
    <row r="701" spans="3:4" x14ac:dyDescent="0.25">
      <c r="C701" s="37"/>
      <c r="D701" s="35"/>
    </row>
    <row r="702" spans="3:4" x14ac:dyDescent="0.25">
      <c r="C702" s="37"/>
      <c r="D702" s="35"/>
    </row>
    <row r="703" spans="3:4" x14ac:dyDescent="0.25">
      <c r="C703" s="37"/>
      <c r="D703" s="35"/>
    </row>
    <row r="704" spans="3:4" x14ac:dyDescent="0.25">
      <c r="C704" s="37"/>
      <c r="D704" s="35"/>
    </row>
    <row r="705" spans="3:4" x14ac:dyDescent="0.25">
      <c r="C705" s="37"/>
      <c r="D705" s="35"/>
    </row>
    <row r="706" spans="3:4" x14ac:dyDescent="0.25">
      <c r="C706" s="37"/>
      <c r="D706" s="35"/>
    </row>
    <row r="707" spans="3:4" x14ac:dyDescent="0.25">
      <c r="C707" s="37"/>
      <c r="D707" s="35"/>
    </row>
    <row r="708" spans="3:4" x14ac:dyDescent="0.25">
      <c r="C708" s="37"/>
      <c r="D708" s="35"/>
    </row>
    <row r="709" spans="3:4" x14ac:dyDescent="0.25">
      <c r="C709" s="37"/>
      <c r="D709" s="35"/>
    </row>
    <row r="710" spans="3:4" x14ac:dyDescent="0.25">
      <c r="C710" s="37"/>
      <c r="D710" s="35"/>
    </row>
    <row r="711" spans="3:4" x14ac:dyDescent="0.25">
      <c r="C711" s="37"/>
      <c r="D711" s="35"/>
    </row>
    <row r="712" spans="3:4" x14ac:dyDescent="0.25">
      <c r="C712" s="37"/>
      <c r="D712" s="35"/>
    </row>
    <row r="713" spans="3:4" x14ac:dyDescent="0.25">
      <c r="C713" s="37"/>
      <c r="D713" s="35"/>
    </row>
    <row r="714" spans="3:4" x14ac:dyDescent="0.25">
      <c r="C714" s="37"/>
      <c r="D714" s="35"/>
    </row>
    <row r="715" spans="3:4" x14ac:dyDescent="0.25">
      <c r="C715" s="37"/>
      <c r="D715" s="35"/>
    </row>
    <row r="716" spans="3:4" x14ac:dyDescent="0.25">
      <c r="C716" s="37"/>
      <c r="D716" s="35"/>
    </row>
    <row r="717" spans="3:4" x14ac:dyDescent="0.25">
      <c r="C717" s="37"/>
      <c r="D717" s="35"/>
    </row>
    <row r="718" spans="3:4" x14ac:dyDescent="0.25">
      <c r="C718" s="37"/>
      <c r="D718" s="35"/>
    </row>
    <row r="719" spans="3:4" x14ac:dyDescent="0.25">
      <c r="C719" s="37"/>
      <c r="D719" s="35"/>
    </row>
    <row r="720" spans="3:4" x14ac:dyDescent="0.25">
      <c r="C720" s="37"/>
      <c r="D720" s="35"/>
    </row>
    <row r="721" spans="3:4" x14ac:dyDescent="0.25">
      <c r="C721" s="37"/>
      <c r="D721" s="35"/>
    </row>
    <row r="722" spans="3:4" x14ac:dyDescent="0.25">
      <c r="C722" s="37"/>
      <c r="D722" s="35"/>
    </row>
    <row r="723" spans="3:4" x14ac:dyDescent="0.25">
      <c r="C723" s="37"/>
      <c r="D723" s="35"/>
    </row>
    <row r="724" spans="3:4" x14ac:dyDescent="0.25">
      <c r="C724" s="37"/>
      <c r="D724" s="35"/>
    </row>
    <row r="725" spans="3:4" x14ac:dyDescent="0.25">
      <c r="C725" s="37"/>
      <c r="D725" s="35"/>
    </row>
    <row r="726" spans="3:4" x14ac:dyDescent="0.25">
      <c r="C726" s="37"/>
      <c r="D726" s="35"/>
    </row>
    <row r="727" spans="3:4" x14ac:dyDescent="0.25">
      <c r="C727" s="37"/>
      <c r="D727" s="35"/>
    </row>
    <row r="728" spans="3:4" x14ac:dyDescent="0.25">
      <c r="C728" s="37"/>
      <c r="D728" s="35"/>
    </row>
    <row r="729" spans="3:4" x14ac:dyDescent="0.25">
      <c r="C729" s="37"/>
      <c r="D729" s="35"/>
    </row>
    <row r="730" spans="3:4" x14ac:dyDescent="0.25">
      <c r="C730" s="37"/>
      <c r="D730" s="35"/>
    </row>
    <row r="731" spans="3:4" x14ac:dyDescent="0.25">
      <c r="C731" s="37"/>
      <c r="D731" s="35"/>
    </row>
    <row r="732" spans="3:4" x14ac:dyDescent="0.25">
      <c r="C732" s="37"/>
      <c r="D732" s="35"/>
    </row>
    <row r="733" spans="3:4" x14ac:dyDescent="0.25">
      <c r="C733" s="37"/>
      <c r="D733" s="35"/>
    </row>
    <row r="734" spans="3:4" x14ac:dyDescent="0.25">
      <c r="C734" s="37"/>
      <c r="D734" s="35"/>
    </row>
    <row r="735" spans="3:4" x14ac:dyDescent="0.25">
      <c r="C735" s="37"/>
      <c r="D735" s="35"/>
    </row>
    <row r="736" spans="3:4" x14ac:dyDescent="0.25">
      <c r="C736" s="37"/>
      <c r="D736" s="35"/>
    </row>
    <row r="737" spans="3:4" x14ac:dyDescent="0.25">
      <c r="C737" s="37"/>
      <c r="D737" s="35"/>
    </row>
    <row r="738" spans="3:4" x14ac:dyDescent="0.25">
      <c r="C738" s="37"/>
      <c r="D738" s="35"/>
    </row>
    <row r="739" spans="3:4" x14ac:dyDescent="0.25">
      <c r="C739" s="37"/>
      <c r="D739" s="35"/>
    </row>
    <row r="740" spans="3:4" x14ac:dyDescent="0.25">
      <c r="C740" s="37"/>
      <c r="D740" s="35"/>
    </row>
    <row r="741" spans="3:4" x14ac:dyDescent="0.25">
      <c r="C741" s="37"/>
      <c r="D741" s="35"/>
    </row>
    <row r="742" spans="3:4" x14ac:dyDescent="0.25">
      <c r="C742" s="37"/>
      <c r="D742" s="35"/>
    </row>
    <row r="743" spans="3:4" x14ac:dyDescent="0.25">
      <c r="C743" s="37"/>
      <c r="D743" s="35"/>
    </row>
    <row r="744" spans="3:4" x14ac:dyDescent="0.25">
      <c r="C744" s="37"/>
      <c r="D744" s="35"/>
    </row>
    <row r="745" spans="3:4" x14ac:dyDescent="0.25">
      <c r="C745" s="37"/>
      <c r="D745" s="35"/>
    </row>
    <row r="746" spans="3:4" x14ac:dyDescent="0.25">
      <c r="C746" s="37"/>
      <c r="D746" s="35"/>
    </row>
    <row r="747" spans="3:4" x14ac:dyDescent="0.25">
      <c r="C747" s="37"/>
      <c r="D747" s="35"/>
    </row>
    <row r="748" spans="3:4" x14ac:dyDescent="0.25">
      <c r="C748" s="37"/>
      <c r="D748" s="35"/>
    </row>
    <row r="749" spans="3:4" x14ac:dyDescent="0.25">
      <c r="C749" s="37"/>
      <c r="D749" s="35"/>
    </row>
    <row r="750" spans="3:4" x14ac:dyDescent="0.25">
      <c r="C750" s="37"/>
      <c r="D750" s="35"/>
    </row>
    <row r="751" spans="3:4" x14ac:dyDescent="0.25">
      <c r="C751" s="37"/>
      <c r="D751" s="35"/>
    </row>
    <row r="752" spans="3:4" x14ac:dyDescent="0.25">
      <c r="C752" s="37"/>
      <c r="D752" s="35"/>
    </row>
    <row r="753" spans="3:4" x14ac:dyDescent="0.25">
      <c r="C753" s="37"/>
      <c r="D753" s="35"/>
    </row>
    <row r="754" spans="3:4" x14ac:dyDescent="0.25">
      <c r="C754" s="37"/>
      <c r="D754" s="35"/>
    </row>
    <row r="755" spans="3:4" x14ac:dyDescent="0.25">
      <c r="C755" s="37"/>
      <c r="D755" s="35"/>
    </row>
    <row r="756" spans="3:4" x14ac:dyDescent="0.25">
      <c r="C756" s="37"/>
      <c r="D756" s="35"/>
    </row>
    <row r="757" spans="3:4" x14ac:dyDescent="0.25">
      <c r="C757" s="37"/>
      <c r="D757" s="35"/>
    </row>
    <row r="758" spans="3:4" x14ac:dyDescent="0.25">
      <c r="C758" s="37"/>
      <c r="D758" s="35"/>
    </row>
    <row r="759" spans="3:4" x14ac:dyDescent="0.25">
      <c r="C759" s="37"/>
      <c r="D759" s="35"/>
    </row>
    <row r="760" spans="3:4" x14ac:dyDescent="0.25">
      <c r="C760" s="37"/>
      <c r="D760" s="35"/>
    </row>
    <row r="761" spans="3:4" x14ac:dyDescent="0.25">
      <c r="C761" s="37"/>
      <c r="D761" s="35"/>
    </row>
    <row r="762" spans="3:4" x14ac:dyDescent="0.25">
      <c r="C762" s="37"/>
      <c r="D762" s="35"/>
    </row>
    <row r="763" spans="3:4" x14ac:dyDescent="0.25">
      <c r="C763" s="37"/>
      <c r="D763" s="35"/>
    </row>
    <row r="764" spans="3:4" x14ac:dyDescent="0.25">
      <c r="C764" s="37"/>
      <c r="D764" s="35"/>
    </row>
    <row r="765" spans="3:4" x14ac:dyDescent="0.25">
      <c r="C765" s="37"/>
      <c r="D765" s="35"/>
    </row>
    <row r="766" spans="3:4" x14ac:dyDescent="0.25">
      <c r="C766" s="37"/>
      <c r="D766" s="35"/>
    </row>
    <row r="767" spans="3:4" x14ac:dyDescent="0.25">
      <c r="C767" s="37"/>
      <c r="D767" s="35"/>
    </row>
    <row r="768" spans="3:4" x14ac:dyDescent="0.25">
      <c r="C768" s="37"/>
      <c r="D768" s="35"/>
    </row>
    <row r="769" spans="3:4" x14ac:dyDescent="0.25">
      <c r="C769" s="37"/>
      <c r="D769" s="35"/>
    </row>
    <row r="770" spans="3:4" x14ac:dyDescent="0.25">
      <c r="C770" s="37"/>
      <c r="D770" s="35"/>
    </row>
    <row r="771" spans="3:4" x14ac:dyDescent="0.25">
      <c r="C771" s="37"/>
      <c r="D771" s="35"/>
    </row>
    <row r="772" spans="3:4" x14ac:dyDescent="0.25">
      <c r="C772" s="37"/>
      <c r="D772" s="35"/>
    </row>
    <row r="773" spans="3:4" x14ac:dyDescent="0.25">
      <c r="C773" s="37"/>
      <c r="D773" s="35"/>
    </row>
    <row r="774" spans="3:4" x14ac:dyDescent="0.25">
      <c r="C774" s="37"/>
      <c r="D774" s="35"/>
    </row>
    <row r="775" spans="3:4" x14ac:dyDescent="0.25">
      <c r="C775" s="37"/>
      <c r="D775" s="35"/>
    </row>
    <row r="776" spans="3:4" x14ac:dyDescent="0.25">
      <c r="C776" s="37"/>
      <c r="D776" s="35"/>
    </row>
    <row r="777" spans="3:4" x14ac:dyDescent="0.25">
      <c r="C777" s="37"/>
      <c r="D777" s="35"/>
    </row>
    <row r="778" spans="3:4" x14ac:dyDescent="0.25">
      <c r="C778" s="37"/>
      <c r="D778" s="35"/>
    </row>
    <row r="779" spans="3:4" x14ac:dyDescent="0.25">
      <c r="C779" s="37"/>
      <c r="D779" s="35"/>
    </row>
    <row r="780" spans="3:4" x14ac:dyDescent="0.25">
      <c r="C780" s="37"/>
      <c r="D780" s="35"/>
    </row>
    <row r="781" spans="3:4" x14ac:dyDescent="0.25">
      <c r="C781" s="37"/>
      <c r="D781" s="35"/>
    </row>
    <row r="782" spans="3:4" x14ac:dyDescent="0.25">
      <c r="C782" s="37"/>
      <c r="D782" s="35"/>
    </row>
    <row r="783" spans="3:4" x14ac:dyDescent="0.25">
      <c r="C783" s="37"/>
      <c r="D783" s="35"/>
    </row>
    <row r="784" spans="3:4" x14ac:dyDescent="0.25">
      <c r="C784" s="37"/>
      <c r="D784" s="35"/>
    </row>
    <row r="785" spans="3:4" x14ac:dyDescent="0.25">
      <c r="C785" s="37"/>
      <c r="D785" s="35"/>
    </row>
    <row r="786" spans="3:4" x14ac:dyDescent="0.25">
      <c r="C786" s="37"/>
      <c r="D786" s="35"/>
    </row>
    <row r="787" spans="3:4" x14ac:dyDescent="0.25">
      <c r="C787" s="37"/>
      <c r="D787" s="35"/>
    </row>
    <row r="788" spans="3:4" x14ac:dyDescent="0.25">
      <c r="C788" s="37"/>
      <c r="D788" s="35"/>
    </row>
    <row r="789" spans="3:4" x14ac:dyDescent="0.25">
      <c r="C789" s="37"/>
      <c r="D789" s="35"/>
    </row>
    <row r="790" spans="3:4" x14ac:dyDescent="0.25">
      <c r="C790" s="37"/>
      <c r="D790" s="35"/>
    </row>
    <row r="791" spans="3:4" x14ac:dyDescent="0.25">
      <c r="C791" s="37"/>
      <c r="D791" s="35"/>
    </row>
    <row r="792" spans="3:4" x14ac:dyDescent="0.25">
      <c r="C792" s="37"/>
      <c r="D792" s="35"/>
    </row>
    <row r="793" spans="3:4" x14ac:dyDescent="0.25">
      <c r="C793" s="37"/>
      <c r="D793" s="35"/>
    </row>
    <row r="794" spans="3:4" x14ac:dyDescent="0.25">
      <c r="C794" s="37"/>
      <c r="D794" s="35"/>
    </row>
    <row r="795" spans="3:4" x14ac:dyDescent="0.25">
      <c r="C795" s="37"/>
      <c r="D795" s="35"/>
    </row>
    <row r="796" spans="3:4" x14ac:dyDescent="0.25">
      <c r="C796" s="37"/>
      <c r="D796" s="35"/>
    </row>
    <row r="797" spans="3:4" x14ac:dyDescent="0.25">
      <c r="C797" s="37"/>
      <c r="D797" s="35"/>
    </row>
    <row r="798" spans="3:4" x14ac:dyDescent="0.25">
      <c r="C798" s="37"/>
      <c r="D798" s="35"/>
    </row>
    <row r="799" spans="3:4" x14ac:dyDescent="0.25">
      <c r="C799" s="37"/>
      <c r="D799" s="35"/>
    </row>
    <row r="800" spans="3:4" x14ac:dyDescent="0.25">
      <c r="C800" s="37"/>
      <c r="D800" s="35"/>
    </row>
    <row r="801" spans="3:4" x14ac:dyDescent="0.25">
      <c r="C801" s="37"/>
      <c r="D801" s="35"/>
    </row>
    <row r="802" spans="3:4" x14ac:dyDescent="0.25">
      <c r="C802" s="37"/>
      <c r="D802" s="35"/>
    </row>
    <row r="803" spans="3:4" x14ac:dyDescent="0.25">
      <c r="C803" s="37"/>
      <c r="D803" s="35"/>
    </row>
    <row r="804" spans="3:4" x14ac:dyDescent="0.25">
      <c r="C804" s="37"/>
      <c r="D804" s="35"/>
    </row>
    <row r="805" spans="3:4" x14ac:dyDescent="0.25">
      <c r="C805" s="37"/>
      <c r="D805" s="35"/>
    </row>
    <row r="806" spans="3:4" x14ac:dyDescent="0.25">
      <c r="C806" s="37"/>
      <c r="D806" s="35"/>
    </row>
    <row r="807" spans="3:4" x14ac:dyDescent="0.25">
      <c r="C807" s="37"/>
      <c r="D807" s="35"/>
    </row>
    <row r="808" spans="3:4" x14ac:dyDescent="0.25">
      <c r="C808" s="37"/>
      <c r="D808" s="35"/>
    </row>
    <row r="809" spans="3:4" x14ac:dyDescent="0.25">
      <c r="C809" s="37"/>
      <c r="D809" s="35"/>
    </row>
    <row r="810" spans="3:4" x14ac:dyDescent="0.25">
      <c r="C810" s="37"/>
      <c r="D810" s="35"/>
    </row>
    <row r="811" spans="3:4" x14ac:dyDescent="0.25">
      <c r="C811" s="37"/>
      <c r="D811" s="35"/>
    </row>
    <row r="812" spans="3:4" x14ac:dyDescent="0.25">
      <c r="C812" s="37"/>
      <c r="D812" s="35"/>
    </row>
    <row r="813" spans="3:4" x14ac:dyDescent="0.25">
      <c r="C813" s="37"/>
      <c r="D813" s="35"/>
    </row>
    <row r="814" spans="3:4" x14ac:dyDescent="0.25">
      <c r="C814" s="37"/>
      <c r="D814" s="35"/>
    </row>
    <row r="815" spans="3:4" x14ac:dyDescent="0.25">
      <c r="C815" s="37"/>
      <c r="D815" s="35"/>
    </row>
    <row r="816" spans="3:4" x14ac:dyDescent="0.25">
      <c r="C816" s="37"/>
      <c r="D816" s="35"/>
    </row>
    <row r="817" spans="3:4" x14ac:dyDescent="0.25">
      <c r="C817" s="37"/>
      <c r="D817" s="35"/>
    </row>
    <row r="818" spans="3:4" x14ac:dyDescent="0.25">
      <c r="C818" s="37"/>
      <c r="D818" s="35"/>
    </row>
    <row r="819" spans="3:4" x14ac:dyDescent="0.25">
      <c r="C819" s="37"/>
      <c r="D819" s="35"/>
    </row>
    <row r="820" spans="3:4" x14ac:dyDescent="0.25">
      <c r="C820" s="37"/>
      <c r="D820" s="35"/>
    </row>
    <row r="821" spans="3:4" x14ac:dyDescent="0.25">
      <c r="C821" s="37"/>
      <c r="D821" s="35"/>
    </row>
    <row r="822" spans="3:4" x14ac:dyDescent="0.25">
      <c r="C822" s="37"/>
      <c r="D822" s="35"/>
    </row>
    <row r="823" spans="3:4" x14ac:dyDescent="0.25">
      <c r="C823" s="37"/>
      <c r="D823" s="35"/>
    </row>
    <row r="824" spans="3:4" x14ac:dyDescent="0.25">
      <c r="C824" s="37"/>
      <c r="D824" s="35"/>
    </row>
    <row r="825" spans="3:4" x14ac:dyDescent="0.25">
      <c r="C825" s="37"/>
      <c r="D825" s="35"/>
    </row>
    <row r="826" spans="3:4" x14ac:dyDescent="0.25">
      <c r="C826" s="37"/>
      <c r="D826" s="35"/>
    </row>
    <row r="827" spans="3:4" x14ac:dyDescent="0.25">
      <c r="C827" s="37"/>
      <c r="D827" s="35"/>
    </row>
    <row r="828" spans="3:4" x14ac:dyDescent="0.25">
      <c r="C828" s="37"/>
      <c r="D828" s="35"/>
    </row>
    <row r="829" spans="3:4" x14ac:dyDescent="0.25">
      <c r="C829" s="37"/>
      <c r="D829" s="35"/>
    </row>
    <row r="830" spans="3:4" x14ac:dyDescent="0.25">
      <c r="C830" s="37"/>
      <c r="D830" s="35"/>
    </row>
    <row r="831" spans="3:4" x14ac:dyDescent="0.25">
      <c r="C831" s="37"/>
      <c r="D831" s="35"/>
    </row>
    <row r="832" spans="3:4" x14ac:dyDescent="0.25">
      <c r="C832" s="37"/>
      <c r="D832" s="35"/>
    </row>
    <row r="833" spans="3:4" x14ac:dyDescent="0.25">
      <c r="C833" s="37"/>
      <c r="D833" s="35"/>
    </row>
    <row r="834" spans="3:4" x14ac:dyDescent="0.25">
      <c r="C834" s="37"/>
      <c r="D834" s="35"/>
    </row>
    <row r="835" spans="3:4" x14ac:dyDescent="0.25">
      <c r="C835" s="37"/>
      <c r="D835" s="35"/>
    </row>
    <row r="836" spans="3:4" x14ac:dyDescent="0.25">
      <c r="C836" s="37"/>
      <c r="D836" s="35"/>
    </row>
    <row r="837" spans="3:4" x14ac:dyDescent="0.25">
      <c r="C837" s="37"/>
      <c r="D837" s="35"/>
    </row>
    <row r="838" spans="3:4" x14ac:dyDescent="0.25">
      <c r="C838" s="37"/>
      <c r="D838" s="35"/>
    </row>
    <row r="839" spans="3:4" x14ac:dyDescent="0.25">
      <c r="C839" s="37"/>
      <c r="D839" s="35"/>
    </row>
    <row r="840" spans="3:4" x14ac:dyDescent="0.25">
      <c r="C840" s="37"/>
      <c r="D840" s="35"/>
    </row>
    <row r="841" spans="3:4" x14ac:dyDescent="0.25">
      <c r="C841" s="37"/>
      <c r="D841" s="35"/>
    </row>
    <row r="842" spans="3:4" x14ac:dyDescent="0.25">
      <c r="C842" s="37"/>
      <c r="D842" s="35"/>
    </row>
    <row r="843" spans="3:4" x14ac:dyDescent="0.25">
      <c r="C843" s="37"/>
      <c r="D843" s="35"/>
    </row>
    <row r="844" spans="3:4" x14ac:dyDescent="0.25">
      <c r="C844" s="37"/>
      <c r="D844" s="35"/>
    </row>
    <row r="845" spans="3:4" x14ac:dyDescent="0.25">
      <c r="C845" s="37"/>
      <c r="D845" s="35"/>
    </row>
    <row r="846" spans="3:4" x14ac:dyDescent="0.25">
      <c r="C846" s="37"/>
      <c r="D846" s="35"/>
    </row>
    <row r="847" spans="3:4" x14ac:dyDescent="0.25">
      <c r="C847" s="37"/>
      <c r="D847" s="35"/>
    </row>
    <row r="848" spans="3:4" x14ac:dyDescent="0.25">
      <c r="C848" s="37"/>
      <c r="D848" s="35"/>
    </row>
    <row r="849" spans="3:4" x14ac:dyDescent="0.25">
      <c r="C849" s="37"/>
      <c r="D849" s="35"/>
    </row>
    <row r="850" spans="3:4" x14ac:dyDescent="0.25">
      <c r="C850" s="37"/>
      <c r="D850" s="35"/>
    </row>
    <row r="851" spans="3:4" x14ac:dyDescent="0.25">
      <c r="C851" s="37"/>
      <c r="D851" s="35"/>
    </row>
    <row r="852" spans="3:4" x14ac:dyDescent="0.25">
      <c r="C852" s="37"/>
      <c r="D852" s="35"/>
    </row>
    <row r="853" spans="3:4" x14ac:dyDescent="0.25">
      <c r="C853" s="37"/>
      <c r="D853" s="35"/>
    </row>
    <row r="854" spans="3:4" x14ac:dyDescent="0.25">
      <c r="C854" s="37"/>
      <c r="D854" s="35"/>
    </row>
    <row r="855" spans="3:4" x14ac:dyDescent="0.25">
      <c r="C855" s="37"/>
      <c r="D855" s="35"/>
    </row>
    <row r="856" spans="3:4" x14ac:dyDescent="0.25">
      <c r="C856" s="37"/>
      <c r="D856" s="35"/>
    </row>
    <row r="857" spans="3:4" x14ac:dyDescent="0.25">
      <c r="C857" s="37"/>
      <c r="D857" s="35"/>
    </row>
    <row r="858" spans="3:4" x14ac:dyDescent="0.25">
      <c r="C858" s="37"/>
      <c r="D858" s="35"/>
    </row>
    <row r="859" spans="3:4" x14ac:dyDescent="0.25">
      <c r="C859" s="37"/>
      <c r="D859" s="35"/>
    </row>
    <row r="860" spans="3:4" x14ac:dyDescent="0.25">
      <c r="C860" s="37"/>
      <c r="D860" s="35"/>
    </row>
    <row r="861" spans="3:4" x14ac:dyDescent="0.25">
      <c r="C861" s="37"/>
      <c r="D861" s="35"/>
    </row>
    <row r="862" spans="3:4" x14ac:dyDescent="0.25">
      <c r="C862" s="37"/>
      <c r="D862" s="35"/>
    </row>
    <row r="863" spans="3:4" x14ac:dyDescent="0.25">
      <c r="C863" s="37"/>
      <c r="D863" s="35"/>
    </row>
    <row r="864" spans="3:4" x14ac:dyDescent="0.25">
      <c r="C864" s="37"/>
      <c r="D864" s="35"/>
    </row>
    <row r="865" spans="3:4" x14ac:dyDescent="0.25">
      <c r="C865" s="37"/>
      <c r="D865" s="35"/>
    </row>
    <row r="866" spans="3:4" x14ac:dyDescent="0.25">
      <c r="C866" s="37"/>
      <c r="D866" s="35"/>
    </row>
    <row r="867" spans="3:4" x14ac:dyDescent="0.25">
      <c r="C867" s="37"/>
      <c r="D867" s="35"/>
    </row>
    <row r="868" spans="3:4" x14ac:dyDescent="0.25">
      <c r="C868" s="37"/>
      <c r="D868" s="35"/>
    </row>
    <row r="869" spans="3:4" x14ac:dyDescent="0.25">
      <c r="C869" s="37"/>
      <c r="D869" s="35"/>
    </row>
    <row r="870" spans="3:4" x14ac:dyDescent="0.25">
      <c r="C870" s="37"/>
      <c r="D870" s="35"/>
    </row>
    <row r="871" spans="3:4" x14ac:dyDescent="0.25">
      <c r="C871" s="37"/>
      <c r="D871" s="35"/>
    </row>
    <row r="872" spans="3:4" x14ac:dyDescent="0.25">
      <c r="C872" s="37"/>
      <c r="D872" s="35"/>
    </row>
    <row r="873" spans="3:4" x14ac:dyDescent="0.25">
      <c r="C873" s="37"/>
      <c r="D873" s="35"/>
    </row>
    <row r="874" spans="3:4" x14ac:dyDescent="0.25">
      <c r="C874" s="37"/>
      <c r="D874" s="35"/>
    </row>
    <row r="875" spans="3:4" x14ac:dyDescent="0.25">
      <c r="C875" s="37"/>
      <c r="D875" s="35"/>
    </row>
    <row r="876" spans="3:4" x14ac:dyDescent="0.25">
      <c r="C876" s="37"/>
      <c r="D876" s="35"/>
    </row>
    <row r="877" spans="3:4" x14ac:dyDescent="0.25">
      <c r="C877" s="37"/>
      <c r="D877" s="35"/>
    </row>
    <row r="878" spans="3:4" x14ac:dyDescent="0.25">
      <c r="C878" s="37"/>
      <c r="D878" s="35"/>
    </row>
    <row r="879" spans="3:4" x14ac:dyDescent="0.25">
      <c r="C879" s="37"/>
      <c r="D879" s="35"/>
    </row>
    <row r="880" spans="3:4" x14ac:dyDescent="0.25">
      <c r="C880" s="37"/>
      <c r="D880" s="35"/>
    </row>
    <row r="881" spans="3:4" x14ac:dyDescent="0.25">
      <c r="C881" s="37"/>
      <c r="D881" s="35"/>
    </row>
    <row r="882" spans="3:4" x14ac:dyDescent="0.25">
      <c r="C882" s="37"/>
      <c r="D882" s="35"/>
    </row>
    <row r="883" spans="3:4" x14ac:dyDescent="0.25">
      <c r="C883" s="37"/>
      <c r="D883" s="35"/>
    </row>
    <row r="884" spans="3:4" x14ac:dyDescent="0.25">
      <c r="C884" s="37"/>
      <c r="D884" s="35"/>
    </row>
    <row r="885" spans="3:4" x14ac:dyDescent="0.25">
      <c r="C885" s="37"/>
      <c r="D885" s="35"/>
    </row>
    <row r="886" spans="3:4" x14ac:dyDescent="0.25">
      <c r="C886" s="37"/>
      <c r="D886" s="35"/>
    </row>
    <row r="887" spans="3:4" x14ac:dyDescent="0.25">
      <c r="C887" s="37"/>
      <c r="D887" s="35"/>
    </row>
    <row r="888" spans="3:4" x14ac:dyDescent="0.25">
      <c r="C888" s="37"/>
      <c r="D888" s="35"/>
    </row>
    <row r="889" spans="3:4" x14ac:dyDescent="0.25">
      <c r="C889" s="37"/>
      <c r="D889" s="35"/>
    </row>
    <row r="890" spans="3:4" x14ac:dyDescent="0.25">
      <c r="C890" s="37"/>
      <c r="D890" s="35"/>
    </row>
    <row r="891" spans="3:4" x14ac:dyDescent="0.25">
      <c r="C891" s="37"/>
      <c r="D891" s="35"/>
    </row>
    <row r="892" spans="3:4" x14ac:dyDescent="0.25">
      <c r="C892" s="37"/>
      <c r="D892" s="35"/>
    </row>
    <row r="893" spans="3:4" x14ac:dyDescent="0.25">
      <c r="C893" s="37"/>
      <c r="D893" s="35"/>
    </row>
    <row r="894" spans="3:4" x14ac:dyDescent="0.25">
      <c r="C894" s="37"/>
      <c r="D894" s="35"/>
    </row>
    <row r="895" spans="3:4" x14ac:dyDescent="0.25">
      <c r="C895" s="37"/>
      <c r="D895" s="35"/>
    </row>
    <row r="896" spans="3:4" x14ac:dyDescent="0.25">
      <c r="C896" s="37"/>
      <c r="D896" s="35"/>
    </row>
    <row r="897" spans="3:4" x14ac:dyDescent="0.25">
      <c r="C897" s="37"/>
      <c r="D897" s="35"/>
    </row>
    <row r="898" spans="3:4" x14ac:dyDescent="0.25">
      <c r="C898" s="37"/>
      <c r="D898" s="35"/>
    </row>
    <row r="899" spans="3:4" x14ac:dyDescent="0.25">
      <c r="C899" s="37"/>
      <c r="D899" s="35"/>
    </row>
    <row r="900" spans="3:4" x14ac:dyDescent="0.25">
      <c r="C900" s="37"/>
      <c r="D900" s="35"/>
    </row>
    <row r="901" spans="3:4" x14ac:dyDescent="0.25">
      <c r="C901" s="37"/>
      <c r="D901" s="35"/>
    </row>
    <row r="902" spans="3:4" x14ac:dyDescent="0.25">
      <c r="C902" s="37"/>
      <c r="D902" s="35"/>
    </row>
    <row r="903" spans="3:4" x14ac:dyDescent="0.25">
      <c r="C903" s="37"/>
      <c r="D903" s="35"/>
    </row>
    <row r="904" spans="3:4" x14ac:dyDescent="0.25">
      <c r="C904" s="37"/>
      <c r="D904" s="35"/>
    </row>
    <row r="905" spans="3:4" x14ac:dyDescent="0.25">
      <c r="C905" s="37"/>
      <c r="D905" s="35"/>
    </row>
    <row r="906" spans="3:4" x14ac:dyDescent="0.25">
      <c r="C906" s="37"/>
      <c r="D906" s="35"/>
    </row>
    <row r="907" spans="3:4" x14ac:dyDescent="0.25">
      <c r="C907" s="37"/>
      <c r="D907" s="35"/>
    </row>
    <row r="908" spans="3:4" x14ac:dyDescent="0.25">
      <c r="C908" s="37"/>
      <c r="D908" s="35"/>
    </row>
    <row r="909" spans="3:4" x14ac:dyDescent="0.25">
      <c r="C909" s="37"/>
      <c r="D909" s="35"/>
    </row>
    <row r="910" spans="3:4" x14ac:dyDescent="0.25">
      <c r="C910" s="37"/>
      <c r="D910" s="35"/>
    </row>
    <row r="911" spans="3:4" x14ac:dyDescent="0.25">
      <c r="C911" s="37"/>
      <c r="D911" s="35"/>
    </row>
    <row r="912" spans="3:4" x14ac:dyDescent="0.25">
      <c r="C912" s="37"/>
      <c r="D912" s="35"/>
    </row>
    <row r="913" spans="3:4" x14ac:dyDescent="0.25">
      <c r="C913" s="37"/>
      <c r="D913" s="35"/>
    </row>
    <row r="914" spans="3:4" x14ac:dyDescent="0.25">
      <c r="C914" s="37"/>
      <c r="D914" s="35"/>
    </row>
    <row r="915" spans="3:4" x14ac:dyDescent="0.25">
      <c r="C915" s="37"/>
      <c r="D915" s="35"/>
    </row>
    <row r="916" spans="3:4" x14ac:dyDescent="0.25">
      <c r="C916" s="37"/>
      <c r="D916" s="35"/>
    </row>
    <row r="917" spans="3:4" x14ac:dyDescent="0.25">
      <c r="C917" s="37"/>
      <c r="D917" s="35"/>
    </row>
    <row r="918" spans="3:4" x14ac:dyDescent="0.25">
      <c r="C918" s="37"/>
      <c r="D918" s="35"/>
    </row>
    <row r="919" spans="3:4" x14ac:dyDescent="0.25">
      <c r="C919" s="37"/>
      <c r="D919" s="35"/>
    </row>
    <row r="920" spans="3:4" x14ac:dyDescent="0.25">
      <c r="C920" s="37"/>
      <c r="D920" s="35"/>
    </row>
    <row r="921" spans="3:4" x14ac:dyDescent="0.25">
      <c r="C921" s="37"/>
      <c r="D921" s="35"/>
    </row>
    <row r="922" spans="3:4" x14ac:dyDescent="0.25">
      <c r="C922" s="37"/>
      <c r="D922" s="35"/>
    </row>
    <row r="923" spans="3:4" x14ac:dyDescent="0.25">
      <c r="C923" s="37"/>
      <c r="D923" s="35"/>
    </row>
    <row r="924" spans="3:4" x14ac:dyDescent="0.25">
      <c r="C924" s="37"/>
      <c r="D924" s="35"/>
    </row>
    <row r="925" spans="3:4" x14ac:dyDescent="0.25">
      <c r="C925" s="37"/>
      <c r="D925" s="35"/>
    </row>
    <row r="926" spans="3:4" x14ac:dyDescent="0.25">
      <c r="C926" s="37"/>
      <c r="D926" s="35"/>
    </row>
    <row r="927" spans="3:4" x14ac:dyDescent="0.25">
      <c r="C927" s="37"/>
      <c r="D927" s="35"/>
    </row>
    <row r="928" spans="3:4" x14ac:dyDescent="0.25">
      <c r="C928" s="37"/>
      <c r="D928" s="35"/>
    </row>
    <row r="929" spans="3:4" x14ac:dyDescent="0.25">
      <c r="C929" s="37"/>
      <c r="D929" s="35"/>
    </row>
    <row r="930" spans="3:4" x14ac:dyDescent="0.25">
      <c r="C930" s="37"/>
      <c r="D930" s="35"/>
    </row>
    <row r="931" spans="3:4" x14ac:dyDescent="0.25">
      <c r="C931" s="37"/>
      <c r="D931" s="35"/>
    </row>
    <row r="932" spans="3:4" x14ac:dyDescent="0.25">
      <c r="C932" s="37"/>
      <c r="D932" s="35"/>
    </row>
    <row r="933" spans="3:4" x14ac:dyDescent="0.25">
      <c r="C933" s="37"/>
      <c r="D933" s="35"/>
    </row>
    <row r="934" spans="3:4" x14ac:dyDescent="0.25">
      <c r="C934" s="37"/>
      <c r="D934" s="35"/>
    </row>
    <row r="935" spans="3:4" x14ac:dyDescent="0.25">
      <c r="C935" s="37"/>
      <c r="D935" s="35"/>
    </row>
    <row r="936" spans="3:4" x14ac:dyDescent="0.25">
      <c r="C936" s="37"/>
      <c r="D936" s="35"/>
    </row>
    <row r="937" spans="3:4" x14ac:dyDescent="0.25">
      <c r="C937" s="37"/>
      <c r="D937" s="35"/>
    </row>
    <row r="938" spans="3:4" x14ac:dyDescent="0.25">
      <c r="C938" s="37"/>
      <c r="D938" s="35"/>
    </row>
    <row r="939" spans="3:4" x14ac:dyDescent="0.25">
      <c r="C939" s="37"/>
      <c r="D939" s="35"/>
    </row>
    <row r="940" spans="3:4" x14ac:dyDescent="0.25">
      <c r="C940" s="37"/>
      <c r="D940" s="35"/>
    </row>
    <row r="941" spans="3:4" x14ac:dyDescent="0.25">
      <c r="C941" s="37"/>
      <c r="D941" s="35"/>
    </row>
    <row r="942" spans="3:4" x14ac:dyDescent="0.25">
      <c r="C942" s="37"/>
      <c r="D942" s="35"/>
    </row>
    <row r="943" spans="3:4" x14ac:dyDescent="0.25">
      <c r="C943" s="37"/>
      <c r="D943" s="35"/>
    </row>
    <row r="944" spans="3:4" x14ac:dyDescent="0.25">
      <c r="C944" s="37"/>
      <c r="D944" s="35"/>
    </row>
    <row r="945" spans="3:4" x14ac:dyDescent="0.25">
      <c r="C945" s="37"/>
      <c r="D945" s="35"/>
    </row>
    <row r="946" spans="3:4" x14ac:dyDescent="0.25">
      <c r="C946" s="37"/>
      <c r="D946" s="35"/>
    </row>
    <row r="947" spans="3:4" x14ac:dyDescent="0.25">
      <c r="C947" s="37"/>
      <c r="D947" s="35"/>
    </row>
    <row r="948" spans="3:4" x14ac:dyDescent="0.25">
      <c r="C948" s="37"/>
      <c r="D948" s="35"/>
    </row>
    <row r="949" spans="3:4" x14ac:dyDescent="0.25">
      <c r="C949" s="37"/>
      <c r="D949" s="35"/>
    </row>
    <row r="950" spans="3:4" x14ac:dyDescent="0.25">
      <c r="C950" s="37"/>
      <c r="D950" s="35"/>
    </row>
    <row r="951" spans="3:4" x14ac:dyDescent="0.25">
      <c r="C951" s="37"/>
      <c r="D951" s="35"/>
    </row>
    <row r="952" spans="3:4" x14ac:dyDescent="0.25">
      <c r="C952" s="37"/>
      <c r="D952" s="35"/>
    </row>
    <row r="953" spans="3:4" x14ac:dyDescent="0.25">
      <c r="C953" s="37"/>
      <c r="D953" s="35"/>
    </row>
    <row r="954" spans="3:4" x14ac:dyDescent="0.25">
      <c r="C954" s="37"/>
      <c r="D954" s="35"/>
    </row>
    <row r="955" spans="3:4" x14ac:dyDescent="0.25">
      <c r="C955" s="37"/>
      <c r="D955" s="35"/>
    </row>
    <row r="956" spans="3:4" x14ac:dyDescent="0.25">
      <c r="C956" s="37"/>
      <c r="D956" s="35"/>
    </row>
    <row r="957" spans="3:4" x14ac:dyDescent="0.25">
      <c r="C957" s="37"/>
      <c r="D957" s="35"/>
    </row>
    <row r="958" spans="3:4" x14ac:dyDescent="0.25">
      <c r="C958" s="37"/>
      <c r="D958" s="35"/>
    </row>
    <row r="959" spans="3:4" x14ac:dyDescent="0.25">
      <c r="C959" s="37"/>
      <c r="D959" s="35"/>
    </row>
    <row r="960" spans="3:4" x14ac:dyDescent="0.25">
      <c r="C960" s="37"/>
      <c r="D960" s="35"/>
    </row>
    <row r="961" spans="3:4" x14ac:dyDescent="0.25">
      <c r="C961" s="37"/>
      <c r="D961" s="35"/>
    </row>
    <row r="962" spans="3:4" x14ac:dyDescent="0.25">
      <c r="C962" s="37"/>
      <c r="D962" s="35"/>
    </row>
    <row r="963" spans="3:4" x14ac:dyDescent="0.25">
      <c r="C963" s="37"/>
      <c r="D963" s="35"/>
    </row>
    <row r="964" spans="3:4" x14ac:dyDescent="0.25">
      <c r="C964" s="37"/>
      <c r="D964" s="35"/>
    </row>
    <row r="965" spans="3:4" x14ac:dyDescent="0.25">
      <c r="C965" s="37"/>
      <c r="D965" s="35"/>
    </row>
    <row r="966" spans="3:4" x14ac:dyDescent="0.25">
      <c r="C966" s="37"/>
      <c r="D966" s="35"/>
    </row>
    <row r="967" spans="3:4" x14ac:dyDescent="0.25">
      <c r="C967" s="37"/>
      <c r="D967" s="35"/>
    </row>
    <row r="968" spans="3:4" x14ac:dyDescent="0.25">
      <c r="C968" s="37"/>
      <c r="D968" s="35"/>
    </row>
    <row r="969" spans="3:4" x14ac:dyDescent="0.25">
      <c r="C969" s="37"/>
      <c r="D969" s="35"/>
    </row>
    <row r="970" spans="3:4" x14ac:dyDescent="0.25">
      <c r="C970" s="37"/>
      <c r="D970" s="35"/>
    </row>
    <row r="971" spans="3:4" x14ac:dyDescent="0.25">
      <c r="C971" s="37"/>
      <c r="D971" s="35"/>
    </row>
    <row r="972" spans="3:4" x14ac:dyDescent="0.25">
      <c r="C972" s="37"/>
      <c r="D972" s="35"/>
    </row>
    <row r="973" spans="3:4" x14ac:dyDescent="0.25">
      <c r="C973" s="37"/>
      <c r="D973" s="35"/>
    </row>
    <row r="974" spans="3:4" x14ac:dyDescent="0.25">
      <c r="C974" s="37"/>
      <c r="D974" s="35"/>
    </row>
    <row r="975" spans="3:4" x14ac:dyDescent="0.25">
      <c r="C975" s="37"/>
      <c r="D975" s="35"/>
    </row>
    <row r="976" spans="3:4" x14ac:dyDescent="0.25">
      <c r="C976" s="37"/>
      <c r="D976" s="35"/>
    </row>
    <row r="977" spans="3:4" x14ac:dyDescent="0.25">
      <c r="C977" s="37"/>
      <c r="D977" s="35"/>
    </row>
    <row r="978" spans="3:4" x14ac:dyDescent="0.25">
      <c r="C978" s="37"/>
      <c r="D978" s="35"/>
    </row>
    <row r="979" spans="3:4" x14ac:dyDescent="0.25">
      <c r="C979" s="37"/>
      <c r="D979" s="35"/>
    </row>
    <row r="980" spans="3:4" x14ac:dyDescent="0.25">
      <c r="C980" s="37"/>
      <c r="D980" s="35"/>
    </row>
    <row r="981" spans="3:4" x14ac:dyDescent="0.25">
      <c r="C981" s="37"/>
      <c r="D981" s="35"/>
    </row>
    <row r="982" spans="3:4" x14ac:dyDescent="0.25">
      <c r="C982" s="37"/>
      <c r="D982" s="35"/>
    </row>
    <row r="983" spans="3:4" x14ac:dyDescent="0.25">
      <c r="C983" s="37"/>
      <c r="D983" s="35"/>
    </row>
    <row r="984" spans="3:4" x14ac:dyDescent="0.25">
      <c r="C984" s="37"/>
      <c r="D984" s="35"/>
    </row>
    <row r="985" spans="3:4" x14ac:dyDescent="0.25">
      <c r="C985" s="37"/>
      <c r="D985" s="35"/>
    </row>
    <row r="986" spans="3:4" x14ac:dyDescent="0.25">
      <c r="C986" s="37"/>
      <c r="D986" s="35"/>
    </row>
    <row r="987" spans="3:4" x14ac:dyDescent="0.25">
      <c r="C987" s="37"/>
      <c r="D987" s="35"/>
    </row>
    <row r="988" spans="3:4" x14ac:dyDescent="0.25">
      <c r="C988" s="37"/>
      <c r="D988" s="35"/>
    </row>
    <row r="989" spans="3:4" x14ac:dyDescent="0.25">
      <c r="C989" s="37"/>
      <c r="D989" s="35"/>
    </row>
    <row r="990" spans="3:4" x14ac:dyDescent="0.25">
      <c r="C990" s="37"/>
      <c r="D990" s="35"/>
    </row>
    <row r="991" spans="3:4" x14ac:dyDescent="0.25">
      <c r="C991" s="37"/>
      <c r="D991" s="35"/>
    </row>
    <row r="992" spans="3:4" x14ac:dyDescent="0.25">
      <c r="C992" s="37"/>
      <c r="D992" s="35"/>
    </row>
    <row r="993" spans="3:4" x14ac:dyDescent="0.25">
      <c r="C993" s="37"/>
      <c r="D993" s="35"/>
    </row>
    <row r="994" spans="3:4" x14ac:dyDescent="0.25">
      <c r="C994" s="37"/>
      <c r="D994" s="35"/>
    </row>
    <row r="995" spans="3:4" x14ac:dyDescent="0.25">
      <c r="C995" s="37"/>
      <c r="D995" s="35"/>
    </row>
    <row r="996" spans="3:4" x14ac:dyDescent="0.25">
      <c r="C996" s="37"/>
      <c r="D996" s="35"/>
    </row>
    <row r="997" spans="3:4" x14ac:dyDescent="0.25">
      <c r="C997" s="37"/>
      <c r="D997" s="35"/>
    </row>
    <row r="998" spans="3:4" x14ac:dyDescent="0.25">
      <c r="C998" s="37"/>
      <c r="D998" s="35"/>
    </row>
    <row r="999" spans="3:4" x14ac:dyDescent="0.25">
      <c r="C999" s="37"/>
      <c r="D999" s="35"/>
    </row>
    <row r="1000" spans="3:4" x14ac:dyDescent="0.25">
      <c r="C1000" s="37"/>
      <c r="D1000" s="35"/>
    </row>
    <row r="1001" spans="3:4" x14ac:dyDescent="0.25">
      <c r="C1001" s="37"/>
      <c r="D1001" s="35"/>
    </row>
    <row r="1002" spans="3:4" x14ac:dyDescent="0.25">
      <c r="C1002" s="37"/>
      <c r="D1002" s="35"/>
    </row>
    <row r="1003" spans="3:4" x14ac:dyDescent="0.25">
      <c r="C1003" s="37"/>
      <c r="D1003" s="35"/>
    </row>
    <row r="1004" spans="3:4" x14ac:dyDescent="0.25">
      <c r="C1004" s="37"/>
      <c r="D1004" s="35"/>
    </row>
    <row r="1005" spans="3:4" x14ac:dyDescent="0.25">
      <c r="C1005" s="37"/>
      <c r="D1005" s="35"/>
    </row>
    <row r="1006" spans="3:4" x14ac:dyDescent="0.25">
      <c r="C1006" s="37"/>
      <c r="D1006" s="35"/>
    </row>
    <row r="1007" spans="3:4" x14ac:dyDescent="0.25">
      <c r="C1007" s="37"/>
      <c r="D1007" s="35"/>
    </row>
    <row r="1008" spans="3:4" x14ac:dyDescent="0.25">
      <c r="C1008" s="37"/>
      <c r="D1008" s="35"/>
    </row>
    <row r="1009" spans="3:4" x14ac:dyDescent="0.25">
      <c r="C1009" s="37"/>
      <c r="D1009" s="35"/>
    </row>
    <row r="1010" spans="3:4" x14ac:dyDescent="0.25">
      <c r="C1010" s="37"/>
      <c r="D1010" s="35"/>
    </row>
    <row r="1011" spans="3:4" x14ac:dyDescent="0.25">
      <c r="C1011" s="37"/>
      <c r="D1011" s="35"/>
    </row>
    <row r="1012" spans="3:4" x14ac:dyDescent="0.25">
      <c r="C1012" s="37"/>
      <c r="D1012" s="35"/>
    </row>
    <row r="1013" spans="3:4" x14ac:dyDescent="0.25">
      <c r="C1013" s="37"/>
      <c r="D1013" s="35"/>
    </row>
    <row r="1014" spans="3:4" x14ac:dyDescent="0.25">
      <c r="C1014" s="37"/>
      <c r="D1014" s="35"/>
    </row>
    <row r="1015" spans="3:4" x14ac:dyDescent="0.25">
      <c r="C1015" s="37"/>
      <c r="D1015" s="35"/>
    </row>
    <row r="1016" spans="3:4" x14ac:dyDescent="0.25">
      <c r="C1016" s="37"/>
      <c r="D1016" s="35"/>
    </row>
    <row r="1017" spans="3:4" x14ac:dyDescent="0.25">
      <c r="C1017" s="37"/>
      <c r="D1017" s="35"/>
    </row>
    <row r="1018" spans="3:4" x14ac:dyDescent="0.25">
      <c r="C1018" s="37"/>
      <c r="D1018" s="35"/>
    </row>
    <row r="1019" spans="3:4" x14ac:dyDescent="0.25">
      <c r="C1019" s="37"/>
      <c r="D1019" s="35"/>
    </row>
    <row r="1020" spans="3:4" x14ac:dyDescent="0.25">
      <c r="C1020" s="37"/>
      <c r="D1020" s="35"/>
    </row>
    <row r="1021" spans="3:4" x14ac:dyDescent="0.25">
      <c r="C1021" s="37"/>
      <c r="D1021" s="35"/>
    </row>
    <row r="1022" spans="3:4" x14ac:dyDescent="0.25">
      <c r="C1022" s="37"/>
      <c r="D1022" s="35"/>
    </row>
    <row r="1023" spans="3:4" x14ac:dyDescent="0.25">
      <c r="C1023" s="37"/>
      <c r="D1023" s="35"/>
    </row>
    <row r="1024" spans="3:4" x14ac:dyDescent="0.25">
      <c r="C1024" s="37"/>
      <c r="D1024" s="35"/>
    </row>
    <row r="1025" spans="3:4" x14ac:dyDescent="0.25">
      <c r="C1025" s="37"/>
      <c r="D1025" s="35"/>
    </row>
    <row r="1026" spans="3:4" x14ac:dyDescent="0.25">
      <c r="C1026" s="37"/>
      <c r="D1026" s="35"/>
    </row>
    <row r="1027" spans="3:4" x14ac:dyDescent="0.25">
      <c r="C1027" s="37"/>
      <c r="D1027" s="35"/>
    </row>
    <row r="1028" spans="3:4" x14ac:dyDescent="0.25">
      <c r="C1028" s="37"/>
      <c r="D1028" s="35"/>
    </row>
    <row r="1029" spans="3:4" x14ac:dyDescent="0.25">
      <c r="C1029" s="37"/>
      <c r="D1029" s="35"/>
    </row>
    <row r="1030" spans="3:4" x14ac:dyDescent="0.25">
      <c r="C1030" s="37"/>
      <c r="D1030" s="35"/>
    </row>
    <row r="1031" spans="3:4" x14ac:dyDescent="0.25">
      <c r="C1031" s="37"/>
      <c r="D1031" s="35"/>
    </row>
    <row r="1032" spans="3:4" x14ac:dyDescent="0.25">
      <c r="C1032" s="37"/>
      <c r="D1032" s="35"/>
    </row>
    <row r="1033" spans="3:4" x14ac:dyDescent="0.25">
      <c r="C1033" s="37"/>
      <c r="D1033" s="35"/>
    </row>
    <row r="1034" spans="3:4" x14ac:dyDescent="0.25">
      <c r="C1034" s="37"/>
      <c r="D1034" s="35"/>
    </row>
    <row r="1035" spans="3:4" x14ac:dyDescent="0.25">
      <c r="C1035" s="37"/>
      <c r="D1035" s="35"/>
    </row>
    <row r="1036" spans="3:4" x14ac:dyDescent="0.25">
      <c r="C1036" s="37"/>
      <c r="D1036" s="35"/>
    </row>
    <row r="1037" spans="3:4" x14ac:dyDescent="0.25">
      <c r="C1037" s="37"/>
      <c r="D1037" s="35"/>
    </row>
    <row r="1038" spans="3:4" x14ac:dyDescent="0.25">
      <c r="C1038" s="37"/>
      <c r="D1038" s="35"/>
    </row>
    <row r="1039" spans="3:4" x14ac:dyDescent="0.25">
      <c r="C1039" s="37"/>
      <c r="D1039" s="35"/>
    </row>
    <row r="1040" spans="3:4" x14ac:dyDescent="0.25">
      <c r="C1040" s="37"/>
      <c r="D1040" s="35"/>
    </row>
    <row r="1041" spans="3:4" x14ac:dyDescent="0.25">
      <c r="C1041" s="37"/>
      <c r="D1041" s="35"/>
    </row>
    <row r="1042" spans="3:4" x14ac:dyDescent="0.25">
      <c r="C1042" s="37"/>
      <c r="D1042" s="35"/>
    </row>
    <row r="1043" spans="3:4" x14ac:dyDescent="0.25">
      <c r="C1043" s="37"/>
      <c r="D1043" s="35"/>
    </row>
    <row r="1044" spans="3:4" x14ac:dyDescent="0.25">
      <c r="C1044" s="37"/>
      <c r="D1044" s="35"/>
    </row>
    <row r="1045" spans="3:4" x14ac:dyDescent="0.25">
      <c r="C1045" s="37"/>
      <c r="D1045" s="35"/>
    </row>
    <row r="1046" spans="3:4" x14ac:dyDescent="0.25">
      <c r="C1046" s="37"/>
      <c r="D1046" s="35"/>
    </row>
    <row r="1047" spans="3:4" x14ac:dyDescent="0.25">
      <c r="C1047" s="37"/>
      <c r="D1047" s="35"/>
    </row>
    <row r="1048" spans="3:4" x14ac:dyDescent="0.25">
      <c r="C1048" s="37"/>
      <c r="D1048" s="35"/>
    </row>
    <row r="1049" spans="3:4" x14ac:dyDescent="0.25">
      <c r="C1049" s="37"/>
      <c r="D1049" s="35"/>
    </row>
    <row r="1050" spans="3:4" x14ac:dyDescent="0.25">
      <c r="C1050" s="37"/>
      <c r="D1050" s="35"/>
    </row>
    <row r="1051" spans="3:4" x14ac:dyDescent="0.25">
      <c r="C1051" s="37"/>
      <c r="D1051" s="35"/>
    </row>
    <row r="1052" spans="3:4" x14ac:dyDescent="0.25">
      <c r="C1052" s="37"/>
      <c r="D1052" s="35"/>
    </row>
    <row r="1053" spans="3:4" x14ac:dyDescent="0.25">
      <c r="C1053" s="37"/>
      <c r="D1053" s="35"/>
    </row>
    <row r="1054" spans="3:4" x14ac:dyDescent="0.25">
      <c r="C1054" s="37"/>
      <c r="D1054" s="35"/>
    </row>
    <row r="1055" spans="3:4" x14ac:dyDescent="0.25">
      <c r="C1055" s="37"/>
      <c r="D1055" s="35"/>
    </row>
    <row r="1056" spans="3:4" x14ac:dyDescent="0.25">
      <c r="C1056" s="37"/>
      <c r="D1056" s="35"/>
    </row>
    <row r="1057" spans="3:4" x14ac:dyDescent="0.25">
      <c r="C1057" s="37"/>
      <c r="D1057" s="35"/>
    </row>
    <row r="1058" spans="3:4" x14ac:dyDescent="0.25">
      <c r="C1058" s="37"/>
      <c r="D1058" s="35"/>
    </row>
    <row r="1059" spans="3:4" x14ac:dyDescent="0.25">
      <c r="C1059" s="37"/>
      <c r="D1059" s="35"/>
    </row>
    <row r="1060" spans="3:4" x14ac:dyDescent="0.25">
      <c r="C1060" s="37"/>
      <c r="D1060" s="35"/>
    </row>
    <row r="1061" spans="3:4" x14ac:dyDescent="0.25">
      <c r="C1061" s="37"/>
      <c r="D1061" s="35"/>
    </row>
    <row r="1062" spans="3:4" x14ac:dyDescent="0.25">
      <c r="C1062" s="37"/>
      <c r="D1062" s="35"/>
    </row>
    <row r="1063" spans="3:4" x14ac:dyDescent="0.25">
      <c r="C1063" s="37"/>
      <c r="D1063" s="35"/>
    </row>
    <row r="1064" spans="3:4" x14ac:dyDescent="0.25">
      <c r="C1064" s="37"/>
      <c r="D1064" s="35"/>
    </row>
    <row r="1065" spans="3:4" x14ac:dyDescent="0.25">
      <c r="C1065" s="37"/>
      <c r="D1065" s="35"/>
    </row>
    <row r="1066" spans="3:4" x14ac:dyDescent="0.25">
      <c r="C1066" s="37"/>
      <c r="D1066" s="35"/>
    </row>
    <row r="1067" spans="3:4" x14ac:dyDescent="0.25">
      <c r="C1067" s="37"/>
      <c r="D1067" s="35"/>
    </row>
    <row r="1068" spans="3:4" x14ac:dyDescent="0.25">
      <c r="C1068" s="37"/>
      <c r="D1068" s="35"/>
    </row>
    <row r="1069" spans="3:4" x14ac:dyDescent="0.25">
      <c r="C1069" s="37"/>
      <c r="D1069" s="35"/>
    </row>
    <row r="1070" spans="3:4" x14ac:dyDescent="0.25">
      <c r="C1070" s="37"/>
      <c r="D1070" s="35"/>
    </row>
    <row r="1071" spans="3:4" x14ac:dyDescent="0.25">
      <c r="C1071" s="37"/>
      <c r="D1071" s="35"/>
    </row>
    <row r="1072" spans="3:4" x14ac:dyDescent="0.25">
      <c r="C1072" s="37"/>
      <c r="D1072" s="35"/>
    </row>
    <row r="1073" spans="3:4" x14ac:dyDescent="0.25">
      <c r="C1073" s="37"/>
      <c r="D1073" s="35"/>
    </row>
    <row r="1074" spans="3:4" x14ac:dyDescent="0.25">
      <c r="C1074" s="37"/>
      <c r="D1074" s="35"/>
    </row>
    <row r="1075" spans="3:4" x14ac:dyDescent="0.25">
      <c r="C1075" s="37"/>
      <c r="D1075" s="35"/>
    </row>
    <row r="1076" spans="3:4" x14ac:dyDescent="0.25">
      <c r="C1076" s="37"/>
      <c r="D1076" s="35"/>
    </row>
    <row r="1077" spans="3:4" x14ac:dyDescent="0.25">
      <c r="C1077" s="37"/>
      <c r="D1077" s="35"/>
    </row>
    <row r="1078" spans="3:4" x14ac:dyDescent="0.25">
      <c r="C1078" s="37"/>
      <c r="D1078" s="35"/>
    </row>
    <row r="1079" spans="3:4" x14ac:dyDescent="0.25">
      <c r="C1079" s="37"/>
      <c r="D1079" s="35"/>
    </row>
    <row r="1080" spans="3:4" x14ac:dyDescent="0.25">
      <c r="C1080" s="37"/>
      <c r="D1080" s="35"/>
    </row>
    <row r="1081" spans="3:4" x14ac:dyDescent="0.25">
      <c r="C1081" s="37"/>
      <c r="D1081" s="35"/>
    </row>
    <row r="1082" spans="3:4" x14ac:dyDescent="0.25">
      <c r="C1082" s="37"/>
      <c r="D1082" s="35"/>
    </row>
    <row r="1083" spans="3:4" x14ac:dyDescent="0.25">
      <c r="C1083" s="37"/>
      <c r="D1083" s="35"/>
    </row>
    <row r="1084" spans="3:4" x14ac:dyDescent="0.25">
      <c r="C1084" s="37"/>
      <c r="D1084" s="35"/>
    </row>
    <row r="1085" spans="3:4" x14ac:dyDescent="0.25">
      <c r="C1085" s="37"/>
      <c r="D1085" s="35"/>
    </row>
    <row r="1086" spans="3:4" x14ac:dyDescent="0.25">
      <c r="C1086" s="37"/>
      <c r="D1086" s="35"/>
    </row>
    <row r="1087" spans="3:4" x14ac:dyDescent="0.25">
      <c r="C1087" s="37"/>
      <c r="D1087" s="35"/>
    </row>
    <row r="1088" spans="3:4" x14ac:dyDescent="0.25">
      <c r="C1088" s="37"/>
      <c r="D1088" s="35"/>
    </row>
    <row r="1089" spans="3:4" x14ac:dyDescent="0.25">
      <c r="C1089" s="37"/>
      <c r="D1089" s="35"/>
    </row>
    <row r="1090" spans="3:4" x14ac:dyDescent="0.25">
      <c r="C1090" s="37"/>
      <c r="D1090" s="35"/>
    </row>
    <row r="1091" spans="3:4" x14ac:dyDescent="0.25">
      <c r="C1091" s="37"/>
      <c r="D1091" s="35"/>
    </row>
    <row r="1092" spans="3:4" x14ac:dyDescent="0.25">
      <c r="C1092" s="37"/>
      <c r="D1092" s="35"/>
    </row>
    <row r="1093" spans="3:4" x14ac:dyDescent="0.25">
      <c r="C1093" s="37"/>
      <c r="D1093" s="35"/>
    </row>
    <row r="1094" spans="3:4" x14ac:dyDescent="0.25">
      <c r="C1094" s="37"/>
      <c r="D1094" s="35"/>
    </row>
    <row r="1095" spans="3:4" x14ac:dyDescent="0.25">
      <c r="C1095" s="37"/>
      <c r="D1095" s="35"/>
    </row>
    <row r="1096" spans="3:4" x14ac:dyDescent="0.25">
      <c r="C1096" s="37"/>
      <c r="D1096" s="35"/>
    </row>
    <row r="1097" spans="3:4" x14ac:dyDescent="0.25">
      <c r="C1097" s="37"/>
      <c r="D1097" s="35"/>
    </row>
    <row r="1098" spans="3:4" x14ac:dyDescent="0.25">
      <c r="C1098" s="37"/>
      <c r="D1098" s="35"/>
    </row>
    <row r="1099" spans="3:4" x14ac:dyDescent="0.25">
      <c r="C1099" s="37"/>
      <c r="D1099" s="35"/>
    </row>
    <row r="1100" spans="3:4" x14ac:dyDescent="0.25">
      <c r="C1100" s="37"/>
      <c r="D1100" s="35"/>
    </row>
    <row r="1101" spans="3:4" x14ac:dyDescent="0.25">
      <c r="C1101" s="37"/>
      <c r="D1101" s="35"/>
    </row>
    <row r="1102" spans="3:4" x14ac:dyDescent="0.25">
      <c r="C1102" s="37"/>
      <c r="D1102" s="35"/>
    </row>
    <row r="1103" spans="3:4" x14ac:dyDescent="0.25">
      <c r="C1103" s="37"/>
      <c r="D1103" s="35"/>
    </row>
    <row r="1104" spans="3:4" x14ac:dyDescent="0.25">
      <c r="C1104" s="37"/>
      <c r="D1104" s="35"/>
    </row>
    <row r="1105" spans="3:4" x14ac:dyDescent="0.25">
      <c r="C1105" s="37"/>
      <c r="D1105" s="35"/>
    </row>
    <row r="1106" spans="3:4" x14ac:dyDescent="0.25">
      <c r="C1106" s="37"/>
      <c r="D1106" s="35"/>
    </row>
    <row r="1107" spans="3:4" x14ac:dyDescent="0.25">
      <c r="C1107" s="37"/>
      <c r="D1107" s="35"/>
    </row>
    <row r="1108" spans="3:4" x14ac:dyDescent="0.25">
      <c r="C1108" s="37"/>
      <c r="D1108" s="35"/>
    </row>
    <row r="1109" spans="3:4" x14ac:dyDescent="0.25">
      <c r="C1109" s="37"/>
      <c r="D1109" s="35"/>
    </row>
    <row r="1110" spans="3:4" x14ac:dyDescent="0.25">
      <c r="C1110" s="37"/>
      <c r="D1110" s="35"/>
    </row>
    <row r="1111" spans="3:4" x14ac:dyDescent="0.25">
      <c r="C1111" s="37"/>
      <c r="D1111" s="35"/>
    </row>
    <row r="1112" spans="3:4" x14ac:dyDescent="0.25">
      <c r="C1112" s="37"/>
      <c r="D1112" s="35"/>
    </row>
    <row r="1113" spans="3:4" x14ac:dyDescent="0.25">
      <c r="C1113" s="37"/>
      <c r="D1113" s="35"/>
    </row>
    <row r="1114" spans="3:4" x14ac:dyDescent="0.25">
      <c r="C1114" s="37"/>
      <c r="D1114" s="35"/>
    </row>
    <row r="1115" spans="3:4" x14ac:dyDescent="0.25">
      <c r="C1115" s="37"/>
      <c r="D1115" s="35"/>
    </row>
    <row r="1116" spans="3:4" x14ac:dyDescent="0.25">
      <c r="C1116" s="37"/>
      <c r="D1116" s="35"/>
    </row>
    <row r="1117" spans="3:4" x14ac:dyDescent="0.25">
      <c r="C1117" s="37"/>
      <c r="D1117" s="35"/>
    </row>
    <row r="1118" spans="3:4" x14ac:dyDescent="0.25">
      <c r="C1118" s="37"/>
      <c r="D1118" s="35"/>
    </row>
    <row r="1119" spans="3:4" x14ac:dyDescent="0.25">
      <c r="C1119" s="37"/>
      <c r="D1119" s="35"/>
    </row>
    <row r="1120" spans="3:4" x14ac:dyDescent="0.25">
      <c r="C1120" s="37"/>
      <c r="D1120" s="35"/>
    </row>
    <row r="1121" spans="3:4" x14ac:dyDescent="0.25">
      <c r="C1121" s="37"/>
      <c r="D1121" s="35"/>
    </row>
    <row r="1122" spans="3:4" x14ac:dyDescent="0.25">
      <c r="C1122" s="37"/>
      <c r="D1122" s="35"/>
    </row>
    <row r="1123" spans="3:4" x14ac:dyDescent="0.25">
      <c r="C1123" s="37"/>
      <c r="D1123" s="35"/>
    </row>
    <row r="1124" spans="3:4" x14ac:dyDescent="0.25">
      <c r="C1124" s="37"/>
      <c r="D1124" s="35"/>
    </row>
    <row r="1125" spans="3:4" x14ac:dyDescent="0.25">
      <c r="C1125" s="37"/>
      <c r="D1125" s="35"/>
    </row>
    <row r="1126" spans="3:4" x14ac:dyDescent="0.25">
      <c r="C1126" s="37"/>
      <c r="D1126" s="35"/>
    </row>
    <row r="1127" spans="3:4" x14ac:dyDescent="0.25">
      <c r="C1127" s="37"/>
      <c r="D1127" s="35"/>
    </row>
    <row r="1128" spans="3:4" x14ac:dyDescent="0.25">
      <c r="C1128" s="37"/>
      <c r="D1128" s="35"/>
    </row>
    <row r="1129" spans="3:4" x14ac:dyDescent="0.25">
      <c r="C1129" s="37"/>
      <c r="D1129" s="35"/>
    </row>
    <row r="1130" spans="3:4" x14ac:dyDescent="0.25">
      <c r="C1130" s="37"/>
      <c r="D1130" s="35"/>
    </row>
    <row r="1131" spans="3:4" x14ac:dyDescent="0.25">
      <c r="C1131" s="37"/>
      <c r="D1131" s="35"/>
    </row>
    <row r="1132" spans="3:4" x14ac:dyDescent="0.25">
      <c r="C1132" s="37"/>
      <c r="D1132" s="35"/>
    </row>
    <row r="1133" spans="3:4" x14ac:dyDescent="0.25">
      <c r="C1133" s="37"/>
      <c r="D1133" s="35"/>
    </row>
    <row r="1134" spans="3:4" x14ac:dyDescent="0.25">
      <c r="C1134" s="37"/>
      <c r="D1134" s="35"/>
    </row>
    <row r="1135" spans="3:4" x14ac:dyDescent="0.25">
      <c r="C1135" s="37"/>
      <c r="D1135" s="35"/>
    </row>
    <row r="1136" spans="3:4" x14ac:dyDescent="0.25">
      <c r="C1136" s="37"/>
      <c r="D1136" s="35"/>
    </row>
    <row r="1137" spans="3:4" x14ac:dyDescent="0.25">
      <c r="C1137" s="37"/>
      <c r="D1137" s="35"/>
    </row>
    <row r="1138" spans="3:4" x14ac:dyDescent="0.25">
      <c r="C1138" s="37"/>
      <c r="D1138" s="35"/>
    </row>
    <row r="1139" spans="3:4" x14ac:dyDescent="0.25">
      <c r="C1139" s="37"/>
      <c r="D1139" s="35"/>
    </row>
    <row r="1140" spans="3:4" x14ac:dyDescent="0.25">
      <c r="C1140" s="37"/>
      <c r="D1140" s="35"/>
    </row>
    <row r="1141" spans="3:4" x14ac:dyDescent="0.25">
      <c r="C1141" s="37"/>
      <c r="D1141" s="35"/>
    </row>
    <row r="1142" spans="3:4" x14ac:dyDescent="0.25">
      <c r="C1142" s="37"/>
      <c r="D1142" s="35"/>
    </row>
    <row r="1143" spans="3:4" x14ac:dyDescent="0.25">
      <c r="C1143" s="37"/>
      <c r="D1143" s="35"/>
    </row>
    <row r="1144" spans="3:4" x14ac:dyDescent="0.25">
      <c r="C1144" s="37"/>
      <c r="D1144" s="35"/>
    </row>
    <row r="1145" spans="3:4" x14ac:dyDescent="0.25">
      <c r="C1145" s="37"/>
      <c r="D1145" s="35"/>
    </row>
    <row r="1146" spans="3:4" x14ac:dyDescent="0.25">
      <c r="C1146" s="37"/>
      <c r="D1146" s="35"/>
    </row>
    <row r="1147" spans="3:4" x14ac:dyDescent="0.25">
      <c r="C1147" s="37"/>
      <c r="D1147" s="35"/>
    </row>
    <row r="1148" spans="3:4" x14ac:dyDescent="0.25">
      <c r="C1148" s="37"/>
      <c r="D1148" s="35"/>
    </row>
    <row r="1149" spans="3:4" x14ac:dyDescent="0.25">
      <c r="C1149" s="37"/>
      <c r="D1149" s="35"/>
    </row>
    <row r="1150" spans="3:4" x14ac:dyDescent="0.25">
      <c r="C1150" s="37"/>
      <c r="D1150" s="35"/>
    </row>
    <row r="1151" spans="3:4" x14ac:dyDescent="0.25">
      <c r="C1151" s="37"/>
      <c r="D1151" s="35"/>
    </row>
    <row r="1152" spans="3:4" x14ac:dyDescent="0.25">
      <c r="C1152" s="37"/>
      <c r="D1152" s="35"/>
    </row>
    <row r="1153" spans="3:4" x14ac:dyDescent="0.25">
      <c r="C1153" s="37"/>
      <c r="D1153" s="35"/>
    </row>
    <row r="1154" spans="3:4" x14ac:dyDescent="0.25">
      <c r="C1154" s="37"/>
      <c r="D1154" s="35"/>
    </row>
    <row r="1155" spans="3:4" x14ac:dyDescent="0.25">
      <c r="C1155" s="37"/>
      <c r="D1155" s="35"/>
    </row>
    <row r="1156" spans="3:4" x14ac:dyDescent="0.25">
      <c r="C1156" s="37"/>
      <c r="D1156" s="35"/>
    </row>
    <row r="1157" spans="3:4" x14ac:dyDescent="0.25">
      <c r="C1157" s="37"/>
      <c r="D1157" s="35"/>
    </row>
    <row r="1158" spans="3:4" x14ac:dyDescent="0.25">
      <c r="C1158" s="37"/>
      <c r="D1158" s="35"/>
    </row>
    <row r="1159" spans="3:4" x14ac:dyDescent="0.25">
      <c r="C1159" s="37"/>
      <c r="D1159" s="35"/>
    </row>
    <row r="1160" spans="3:4" x14ac:dyDescent="0.25">
      <c r="C1160" s="37"/>
      <c r="D1160" s="35"/>
    </row>
    <row r="1161" spans="3:4" x14ac:dyDescent="0.25">
      <c r="C1161" s="37"/>
      <c r="D1161" s="35"/>
    </row>
    <row r="1162" spans="3:4" x14ac:dyDescent="0.25">
      <c r="C1162" s="37"/>
      <c r="D1162" s="35"/>
    </row>
    <row r="1163" spans="3:4" x14ac:dyDescent="0.25">
      <c r="C1163" s="37"/>
      <c r="D1163" s="35"/>
    </row>
    <row r="1164" spans="3:4" x14ac:dyDescent="0.25">
      <c r="C1164" s="37"/>
      <c r="D1164" s="35"/>
    </row>
    <row r="1165" spans="3:4" x14ac:dyDescent="0.25">
      <c r="C1165" s="37"/>
      <c r="D1165" s="35"/>
    </row>
    <row r="1166" spans="3:4" x14ac:dyDescent="0.25">
      <c r="C1166" s="37"/>
      <c r="D1166" s="35"/>
    </row>
    <row r="1167" spans="3:4" x14ac:dyDescent="0.25">
      <c r="C1167" s="37"/>
      <c r="D1167" s="35"/>
    </row>
    <row r="1168" spans="3:4" x14ac:dyDescent="0.25">
      <c r="C1168" s="37"/>
      <c r="D1168" s="35"/>
    </row>
    <row r="1169" spans="3:4" x14ac:dyDescent="0.25">
      <c r="C1169" s="37"/>
      <c r="D1169" s="35"/>
    </row>
    <row r="1170" spans="3:4" x14ac:dyDescent="0.25">
      <c r="C1170" s="37"/>
      <c r="D1170" s="35"/>
    </row>
    <row r="1171" spans="3:4" x14ac:dyDescent="0.25">
      <c r="C1171" s="37"/>
      <c r="D1171" s="35"/>
    </row>
    <row r="1172" spans="3:4" x14ac:dyDescent="0.25">
      <c r="C1172" s="37"/>
      <c r="D1172" s="35"/>
    </row>
    <row r="1173" spans="3:4" x14ac:dyDescent="0.25">
      <c r="C1173" s="37"/>
      <c r="D1173" s="35"/>
    </row>
    <row r="1174" spans="3:4" x14ac:dyDescent="0.25">
      <c r="C1174" s="37"/>
      <c r="D1174" s="35"/>
    </row>
    <row r="1175" spans="3:4" x14ac:dyDescent="0.25">
      <c r="C1175" s="37"/>
      <c r="D1175" s="35"/>
    </row>
    <row r="1176" spans="3:4" x14ac:dyDescent="0.25">
      <c r="C1176" s="37"/>
      <c r="D1176" s="35"/>
    </row>
    <row r="1177" spans="3:4" x14ac:dyDescent="0.25">
      <c r="C1177" s="37"/>
      <c r="D1177" s="35"/>
    </row>
    <row r="1178" spans="3:4" x14ac:dyDescent="0.25">
      <c r="C1178" s="37"/>
      <c r="D1178" s="35"/>
    </row>
    <row r="1179" spans="3:4" x14ac:dyDescent="0.25">
      <c r="C1179" s="37"/>
      <c r="D1179" s="35"/>
    </row>
    <row r="1180" spans="3:4" x14ac:dyDescent="0.25">
      <c r="C1180" s="37"/>
      <c r="D1180" s="35"/>
    </row>
    <row r="1181" spans="3:4" x14ac:dyDescent="0.25">
      <c r="C1181" s="37"/>
      <c r="D1181" s="35"/>
    </row>
    <row r="1182" spans="3:4" x14ac:dyDescent="0.25">
      <c r="C1182" s="37"/>
      <c r="D1182" s="35"/>
    </row>
    <row r="1183" spans="3:4" x14ac:dyDescent="0.25">
      <c r="C1183" s="37"/>
      <c r="D1183" s="35"/>
    </row>
    <row r="1184" spans="3:4" x14ac:dyDescent="0.25">
      <c r="C1184" s="37"/>
      <c r="D1184" s="35"/>
    </row>
    <row r="1185" spans="3:4" x14ac:dyDescent="0.25">
      <c r="C1185" s="37"/>
      <c r="D1185" s="35"/>
    </row>
    <row r="1186" spans="3:4" x14ac:dyDescent="0.25">
      <c r="C1186" s="37"/>
      <c r="D1186" s="35"/>
    </row>
    <row r="1187" spans="3:4" x14ac:dyDescent="0.25">
      <c r="C1187" s="37"/>
      <c r="D1187" s="35"/>
    </row>
    <row r="1188" spans="3:4" x14ac:dyDescent="0.25">
      <c r="C1188" s="37"/>
      <c r="D1188" s="35"/>
    </row>
    <row r="1189" spans="3:4" x14ac:dyDescent="0.25">
      <c r="C1189" s="37"/>
      <c r="D1189" s="35"/>
    </row>
    <row r="1190" spans="3:4" x14ac:dyDescent="0.25">
      <c r="C1190" s="37"/>
      <c r="D1190" s="35"/>
    </row>
    <row r="1191" spans="3:4" x14ac:dyDescent="0.25">
      <c r="C1191" s="37"/>
      <c r="D1191" s="35"/>
    </row>
    <row r="1192" spans="3:4" x14ac:dyDescent="0.25">
      <c r="C1192" s="37"/>
      <c r="D1192" s="35"/>
    </row>
    <row r="1193" spans="3:4" x14ac:dyDescent="0.25">
      <c r="C1193" s="37"/>
      <c r="D1193" s="35"/>
    </row>
    <row r="1194" spans="3:4" x14ac:dyDescent="0.25">
      <c r="C1194" s="37"/>
      <c r="D1194" s="35"/>
    </row>
    <row r="1195" spans="3:4" x14ac:dyDescent="0.25">
      <c r="C1195" s="37"/>
      <c r="D1195" s="35"/>
    </row>
    <row r="1196" spans="3:4" x14ac:dyDescent="0.25">
      <c r="C1196" s="37"/>
      <c r="D1196" s="35"/>
    </row>
    <row r="1197" spans="3:4" x14ac:dyDescent="0.25">
      <c r="C1197" s="37"/>
      <c r="D1197" s="35"/>
    </row>
    <row r="1198" spans="3:4" x14ac:dyDescent="0.25">
      <c r="C1198" s="37"/>
      <c r="D1198" s="35"/>
    </row>
    <row r="1199" spans="3:4" x14ac:dyDescent="0.25">
      <c r="C1199" s="37"/>
      <c r="D1199" s="35"/>
    </row>
    <row r="1200" spans="3:4" x14ac:dyDescent="0.25">
      <c r="C1200" s="37"/>
      <c r="D1200" s="35"/>
    </row>
    <row r="1201" spans="3:4" x14ac:dyDescent="0.25">
      <c r="C1201" s="37"/>
      <c r="D1201" s="35"/>
    </row>
    <row r="1202" spans="3:4" x14ac:dyDescent="0.25">
      <c r="C1202" s="37"/>
      <c r="D1202" s="35"/>
    </row>
    <row r="1203" spans="3:4" x14ac:dyDescent="0.25">
      <c r="C1203" s="37"/>
      <c r="D1203" s="35"/>
    </row>
    <row r="1204" spans="3:4" x14ac:dyDescent="0.25">
      <c r="C1204" s="37"/>
      <c r="D1204" s="35"/>
    </row>
    <row r="1205" spans="3:4" x14ac:dyDescent="0.25">
      <c r="C1205" s="37"/>
      <c r="D1205" s="35"/>
    </row>
    <row r="1206" spans="3:4" x14ac:dyDescent="0.25">
      <c r="C1206" s="37"/>
      <c r="D1206" s="35"/>
    </row>
    <row r="1207" spans="3:4" x14ac:dyDescent="0.25">
      <c r="C1207" s="37"/>
      <c r="D1207" s="35"/>
    </row>
    <row r="1208" spans="3:4" x14ac:dyDescent="0.25">
      <c r="C1208" s="37"/>
      <c r="D1208" s="35"/>
    </row>
    <row r="1209" spans="3:4" x14ac:dyDescent="0.25">
      <c r="C1209" s="37"/>
      <c r="D1209" s="35"/>
    </row>
    <row r="1210" spans="3:4" x14ac:dyDescent="0.25">
      <c r="C1210" s="37"/>
      <c r="D1210" s="35"/>
    </row>
    <row r="1211" spans="3:4" x14ac:dyDescent="0.25">
      <c r="C1211" s="37"/>
      <c r="D1211" s="35"/>
    </row>
    <row r="1212" spans="3:4" x14ac:dyDescent="0.25">
      <c r="C1212" s="37"/>
      <c r="D1212" s="35"/>
    </row>
    <row r="1213" spans="3:4" x14ac:dyDescent="0.25">
      <c r="C1213" s="37"/>
      <c r="D1213" s="35"/>
    </row>
    <row r="1214" spans="3:4" x14ac:dyDescent="0.25">
      <c r="C1214" s="37"/>
      <c r="D1214" s="35"/>
    </row>
    <row r="1215" spans="3:4" x14ac:dyDescent="0.25">
      <c r="C1215" s="37"/>
      <c r="D1215" s="35"/>
    </row>
    <row r="1216" spans="3:4" x14ac:dyDescent="0.25">
      <c r="C1216" s="37"/>
      <c r="D1216" s="35"/>
    </row>
    <row r="1217" spans="3:4" x14ac:dyDescent="0.25">
      <c r="C1217" s="37"/>
      <c r="D1217" s="35"/>
    </row>
    <row r="1218" spans="3:4" x14ac:dyDescent="0.25">
      <c r="C1218" s="37"/>
      <c r="D1218" s="35"/>
    </row>
    <row r="1219" spans="3:4" x14ac:dyDescent="0.25">
      <c r="C1219" s="37"/>
      <c r="D1219" s="35"/>
    </row>
    <row r="1220" spans="3:4" x14ac:dyDescent="0.25">
      <c r="C1220" s="37"/>
      <c r="D1220" s="35"/>
    </row>
    <row r="1221" spans="3:4" x14ac:dyDescent="0.25">
      <c r="C1221" s="37"/>
      <c r="D1221" s="35"/>
    </row>
    <row r="1222" spans="3:4" x14ac:dyDescent="0.25">
      <c r="C1222" s="37"/>
      <c r="D1222" s="35"/>
    </row>
    <row r="1223" spans="3:4" x14ac:dyDescent="0.25">
      <c r="C1223" s="37"/>
      <c r="D1223" s="35"/>
    </row>
    <row r="1224" spans="3:4" x14ac:dyDescent="0.25">
      <c r="C1224" s="37"/>
      <c r="D1224" s="35"/>
    </row>
    <row r="1225" spans="3:4" x14ac:dyDescent="0.25">
      <c r="C1225" s="37"/>
      <c r="D1225" s="35"/>
    </row>
    <row r="1226" spans="3:4" x14ac:dyDescent="0.25">
      <c r="C1226" s="37"/>
      <c r="D1226" s="35"/>
    </row>
    <row r="1227" spans="3:4" x14ac:dyDescent="0.25">
      <c r="C1227" s="37"/>
      <c r="D1227" s="35"/>
    </row>
    <row r="1228" spans="3:4" x14ac:dyDescent="0.25">
      <c r="C1228" s="37"/>
      <c r="D1228" s="35"/>
    </row>
    <row r="1229" spans="3:4" x14ac:dyDescent="0.25">
      <c r="C1229" s="37"/>
      <c r="D1229" s="35"/>
    </row>
    <row r="1230" spans="3:4" x14ac:dyDescent="0.25">
      <c r="C1230" s="37"/>
      <c r="D1230" s="35"/>
    </row>
    <row r="1231" spans="3:4" x14ac:dyDescent="0.25">
      <c r="C1231" s="37"/>
      <c r="D1231" s="35"/>
    </row>
    <row r="1232" spans="3:4" x14ac:dyDescent="0.25">
      <c r="C1232" s="37"/>
      <c r="D1232" s="35"/>
    </row>
    <row r="1233" spans="3:4" x14ac:dyDescent="0.25">
      <c r="C1233" s="37"/>
      <c r="D1233" s="35"/>
    </row>
    <row r="1234" spans="3:4" x14ac:dyDescent="0.25">
      <c r="C1234" s="37"/>
      <c r="D1234" s="35"/>
    </row>
    <row r="1235" spans="3:4" x14ac:dyDescent="0.25">
      <c r="C1235" s="37"/>
      <c r="D1235" s="35"/>
    </row>
    <row r="1236" spans="3:4" x14ac:dyDescent="0.25">
      <c r="C1236" s="37"/>
      <c r="D1236" s="35"/>
    </row>
    <row r="1237" spans="3:4" x14ac:dyDescent="0.25">
      <c r="C1237" s="37"/>
      <c r="D1237" s="35"/>
    </row>
    <row r="1238" spans="3:4" x14ac:dyDescent="0.25">
      <c r="C1238" s="37"/>
      <c r="D1238" s="35"/>
    </row>
    <row r="1239" spans="3:4" x14ac:dyDescent="0.25">
      <c r="C1239" s="37"/>
      <c r="D1239" s="35"/>
    </row>
    <row r="1240" spans="3:4" x14ac:dyDescent="0.25">
      <c r="C1240" s="37"/>
      <c r="D1240" s="35"/>
    </row>
    <row r="1241" spans="3:4" x14ac:dyDescent="0.25">
      <c r="C1241" s="37"/>
      <c r="D1241" s="35"/>
    </row>
    <row r="1242" spans="3:4" x14ac:dyDescent="0.25">
      <c r="C1242" s="37"/>
      <c r="D1242" s="35"/>
    </row>
    <row r="1243" spans="3:4" x14ac:dyDescent="0.25">
      <c r="C1243" s="37"/>
      <c r="D1243" s="35"/>
    </row>
    <row r="1244" spans="3:4" x14ac:dyDescent="0.25">
      <c r="C1244" s="37"/>
      <c r="D1244" s="35"/>
    </row>
    <row r="1245" spans="3:4" x14ac:dyDescent="0.25">
      <c r="C1245" s="37"/>
      <c r="D1245" s="35"/>
    </row>
    <row r="1246" spans="3:4" x14ac:dyDescent="0.25">
      <c r="C1246" s="37"/>
      <c r="D1246" s="35"/>
    </row>
    <row r="1247" spans="3:4" x14ac:dyDescent="0.25">
      <c r="C1247" s="37"/>
      <c r="D1247" s="35"/>
    </row>
    <row r="1248" spans="3:4" x14ac:dyDescent="0.25">
      <c r="C1248" s="37"/>
      <c r="D1248" s="35"/>
    </row>
    <row r="1249" spans="3:4" x14ac:dyDescent="0.25">
      <c r="C1249" s="37"/>
      <c r="D1249" s="35"/>
    </row>
    <row r="1250" spans="3:4" x14ac:dyDescent="0.25">
      <c r="C1250" s="37"/>
      <c r="D1250" s="35"/>
    </row>
    <row r="1251" spans="3:4" x14ac:dyDescent="0.25">
      <c r="C1251" s="37"/>
      <c r="D1251" s="35"/>
    </row>
    <row r="1252" spans="3:4" x14ac:dyDescent="0.25">
      <c r="C1252" s="37"/>
      <c r="D1252" s="35"/>
    </row>
    <row r="1253" spans="3:4" x14ac:dyDescent="0.25">
      <c r="C1253" s="37"/>
      <c r="D1253" s="35"/>
    </row>
    <row r="1254" spans="3:4" x14ac:dyDescent="0.25">
      <c r="C1254" s="37"/>
      <c r="D1254" s="35"/>
    </row>
    <row r="1255" spans="3:4" x14ac:dyDescent="0.25">
      <c r="C1255" s="37"/>
      <c r="D1255" s="35"/>
    </row>
    <row r="1256" spans="3:4" x14ac:dyDescent="0.25">
      <c r="C1256" s="37"/>
      <c r="D1256" s="35"/>
    </row>
    <row r="1257" spans="3:4" x14ac:dyDescent="0.25">
      <c r="C1257" s="37"/>
      <c r="D1257" s="35"/>
    </row>
    <row r="1258" spans="3:4" x14ac:dyDescent="0.25">
      <c r="C1258" s="37"/>
      <c r="D1258" s="35"/>
    </row>
    <row r="1259" spans="3:4" x14ac:dyDescent="0.25">
      <c r="C1259" s="37"/>
      <c r="D1259" s="35"/>
    </row>
    <row r="1260" spans="3:4" x14ac:dyDescent="0.25">
      <c r="C1260" s="37"/>
      <c r="D1260" s="35"/>
    </row>
    <row r="1261" spans="3:4" x14ac:dyDescent="0.25">
      <c r="C1261" s="37"/>
      <c r="D1261" s="35"/>
    </row>
    <row r="1262" spans="3:4" x14ac:dyDescent="0.25">
      <c r="C1262" s="37"/>
      <c r="D1262" s="35"/>
    </row>
    <row r="1263" spans="3:4" x14ac:dyDescent="0.25">
      <c r="C1263" s="37"/>
      <c r="D1263" s="35"/>
    </row>
    <row r="1264" spans="3:4" x14ac:dyDescent="0.25">
      <c r="C1264" s="37"/>
      <c r="D1264" s="35"/>
    </row>
    <row r="1265" spans="3:4" x14ac:dyDescent="0.25">
      <c r="C1265" s="37"/>
      <c r="D1265" s="35"/>
    </row>
    <row r="1266" spans="3:4" x14ac:dyDescent="0.25">
      <c r="C1266" s="37"/>
      <c r="D1266" s="35"/>
    </row>
    <row r="1267" spans="3:4" x14ac:dyDescent="0.25">
      <c r="C1267" s="37"/>
      <c r="D1267" s="35"/>
    </row>
    <row r="1268" spans="3:4" x14ac:dyDescent="0.25">
      <c r="C1268" s="37"/>
      <c r="D1268" s="35"/>
    </row>
    <row r="1269" spans="3:4" x14ac:dyDescent="0.25">
      <c r="C1269" s="37"/>
      <c r="D1269" s="35"/>
    </row>
    <row r="1270" spans="3:4" x14ac:dyDescent="0.25">
      <c r="C1270" s="37"/>
      <c r="D1270" s="35"/>
    </row>
    <row r="1271" spans="3:4" x14ac:dyDescent="0.25">
      <c r="C1271" s="37"/>
      <c r="D1271" s="35"/>
    </row>
    <row r="1272" spans="3:4" x14ac:dyDescent="0.25">
      <c r="C1272" s="37"/>
      <c r="D1272" s="35"/>
    </row>
    <row r="1273" spans="3:4" x14ac:dyDescent="0.25">
      <c r="C1273" s="37"/>
      <c r="D1273" s="35"/>
    </row>
    <row r="1274" spans="3:4" x14ac:dyDescent="0.25">
      <c r="C1274" s="37"/>
      <c r="D1274" s="35"/>
    </row>
    <row r="1275" spans="3:4" x14ac:dyDescent="0.25">
      <c r="C1275" s="37"/>
      <c r="D1275" s="35"/>
    </row>
    <row r="1276" spans="3:4" x14ac:dyDescent="0.25">
      <c r="C1276" s="37"/>
      <c r="D1276" s="35"/>
    </row>
    <row r="1277" spans="3:4" x14ac:dyDescent="0.25">
      <c r="C1277" s="37"/>
      <c r="D1277" s="35"/>
    </row>
    <row r="1278" spans="3:4" x14ac:dyDescent="0.25">
      <c r="C1278" s="37"/>
      <c r="D1278" s="35"/>
    </row>
    <row r="1279" spans="3:4" x14ac:dyDescent="0.25">
      <c r="C1279" s="37"/>
      <c r="D1279" s="35"/>
    </row>
    <row r="1280" spans="3:4" x14ac:dyDescent="0.25">
      <c r="C1280" s="37"/>
      <c r="D1280" s="35"/>
    </row>
    <row r="1281" spans="3:4" x14ac:dyDescent="0.25">
      <c r="C1281" s="37"/>
      <c r="D1281" s="35"/>
    </row>
    <row r="1282" spans="3:4" x14ac:dyDescent="0.25">
      <c r="C1282" s="37"/>
      <c r="D1282" s="35"/>
    </row>
    <row r="1283" spans="3:4" x14ac:dyDescent="0.25">
      <c r="C1283" s="37"/>
      <c r="D1283" s="35"/>
    </row>
    <row r="1284" spans="3:4" x14ac:dyDescent="0.25">
      <c r="C1284" s="37"/>
      <c r="D1284" s="35"/>
    </row>
    <row r="1285" spans="3:4" x14ac:dyDescent="0.25">
      <c r="C1285" s="37"/>
      <c r="D1285" s="35"/>
    </row>
    <row r="1286" spans="3:4" x14ac:dyDescent="0.25">
      <c r="C1286" s="37"/>
      <c r="D1286" s="35"/>
    </row>
    <row r="1287" spans="3:4" x14ac:dyDescent="0.25">
      <c r="C1287" s="37"/>
      <c r="D1287" s="35"/>
    </row>
    <row r="1288" spans="3:4" x14ac:dyDescent="0.25">
      <c r="C1288" s="37"/>
      <c r="D1288" s="35"/>
    </row>
    <row r="1289" spans="3:4" x14ac:dyDescent="0.25">
      <c r="C1289" s="37"/>
      <c r="D1289" s="35"/>
    </row>
    <row r="1290" spans="3:4" x14ac:dyDescent="0.25">
      <c r="C1290" s="37"/>
      <c r="D1290" s="35"/>
    </row>
    <row r="1291" spans="3:4" x14ac:dyDescent="0.25">
      <c r="C1291" s="37"/>
      <c r="D1291" s="35"/>
    </row>
    <row r="1292" spans="3:4" x14ac:dyDescent="0.25">
      <c r="C1292" s="37"/>
      <c r="D1292" s="35"/>
    </row>
    <row r="1293" spans="3:4" x14ac:dyDescent="0.25">
      <c r="C1293" s="37"/>
      <c r="D1293" s="35"/>
    </row>
    <row r="1294" spans="3:4" x14ac:dyDescent="0.25">
      <c r="C1294" s="37"/>
      <c r="D1294" s="35"/>
    </row>
    <row r="1295" spans="3:4" x14ac:dyDescent="0.25">
      <c r="C1295" s="37"/>
      <c r="D1295" s="35"/>
    </row>
    <row r="1296" spans="3:4" x14ac:dyDescent="0.25">
      <c r="C1296" s="37"/>
      <c r="D1296" s="35"/>
    </row>
    <row r="1297" spans="3:4" x14ac:dyDescent="0.25">
      <c r="C1297" s="37"/>
      <c r="D1297" s="35"/>
    </row>
    <row r="1298" spans="3:4" x14ac:dyDescent="0.25">
      <c r="C1298" s="37"/>
      <c r="D1298" s="35"/>
    </row>
    <row r="1299" spans="3:4" x14ac:dyDescent="0.25">
      <c r="C1299" s="37"/>
      <c r="D1299" s="35"/>
    </row>
    <row r="1300" spans="3:4" x14ac:dyDescent="0.25">
      <c r="C1300" s="37"/>
      <c r="D1300" s="35"/>
    </row>
    <row r="1301" spans="3:4" x14ac:dyDescent="0.25">
      <c r="C1301" s="37"/>
      <c r="D1301" s="35"/>
    </row>
    <row r="1302" spans="3:4" x14ac:dyDescent="0.25">
      <c r="C1302" s="37"/>
      <c r="D1302" s="35"/>
    </row>
    <row r="1303" spans="3:4" x14ac:dyDescent="0.25">
      <c r="C1303" s="37"/>
      <c r="D1303" s="35"/>
    </row>
    <row r="1304" spans="3:4" x14ac:dyDescent="0.25">
      <c r="C1304" s="37"/>
      <c r="D1304" s="35"/>
    </row>
    <row r="1305" spans="3:4" x14ac:dyDescent="0.25">
      <c r="C1305" s="37"/>
      <c r="D1305" s="35"/>
    </row>
    <row r="1306" spans="3:4" x14ac:dyDescent="0.25">
      <c r="C1306" s="37"/>
      <c r="D1306" s="35"/>
    </row>
    <row r="1307" spans="3:4" x14ac:dyDescent="0.25">
      <c r="C1307" s="37"/>
      <c r="D1307" s="35"/>
    </row>
    <row r="1308" spans="3:4" x14ac:dyDescent="0.25">
      <c r="C1308" s="37"/>
      <c r="D1308" s="35"/>
    </row>
    <row r="1309" spans="3:4" x14ac:dyDescent="0.25">
      <c r="C1309" s="37"/>
      <c r="D1309" s="35"/>
    </row>
    <row r="1310" spans="3:4" x14ac:dyDescent="0.25">
      <c r="C1310" s="37"/>
      <c r="D1310" s="35"/>
    </row>
    <row r="1311" spans="3:4" x14ac:dyDescent="0.25">
      <c r="C1311" s="37"/>
      <c r="D1311" s="35"/>
    </row>
    <row r="1312" spans="3:4" x14ac:dyDescent="0.25">
      <c r="C1312" s="37"/>
      <c r="D1312" s="35"/>
    </row>
    <row r="1313" spans="3:4" x14ac:dyDescent="0.25">
      <c r="C1313" s="37"/>
      <c r="D1313" s="35"/>
    </row>
    <row r="1314" spans="3:4" x14ac:dyDescent="0.25">
      <c r="C1314" s="37"/>
      <c r="D1314" s="35"/>
    </row>
    <row r="1315" spans="3:4" x14ac:dyDescent="0.25">
      <c r="C1315" s="37"/>
      <c r="D1315" s="35"/>
    </row>
    <row r="1316" spans="3:4" x14ac:dyDescent="0.25">
      <c r="C1316" s="37"/>
      <c r="D1316" s="35"/>
    </row>
    <row r="1317" spans="3:4" x14ac:dyDescent="0.25">
      <c r="C1317" s="37"/>
      <c r="D1317" s="35"/>
    </row>
    <row r="1318" spans="3:4" x14ac:dyDescent="0.25">
      <c r="C1318" s="37"/>
      <c r="D1318" s="35"/>
    </row>
    <row r="1319" spans="3:4" x14ac:dyDescent="0.25">
      <c r="C1319" s="37"/>
      <c r="D1319" s="35"/>
    </row>
    <row r="1320" spans="3:4" x14ac:dyDescent="0.25">
      <c r="C1320" s="37"/>
      <c r="D1320" s="35"/>
    </row>
    <row r="1321" spans="3:4" x14ac:dyDescent="0.25">
      <c r="C1321" s="37"/>
      <c r="D1321" s="35"/>
    </row>
    <row r="1322" spans="3:4" x14ac:dyDescent="0.25">
      <c r="C1322" s="37"/>
      <c r="D1322" s="35"/>
    </row>
    <row r="1323" spans="3:4" x14ac:dyDescent="0.25">
      <c r="C1323" s="37"/>
      <c r="D1323" s="35"/>
    </row>
    <row r="1324" spans="3:4" x14ac:dyDescent="0.25">
      <c r="C1324" s="37"/>
      <c r="D1324" s="35"/>
    </row>
    <row r="1325" spans="3:4" x14ac:dyDescent="0.25">
      <c r="C1325" s="37"/>
      <c r="D1325" s="35"/>
    </row>
    <row r="1326" spans="3:4" x14ac:dyDescent="0.25">
      <c r="C1326" s="37"/>
      <c r="D1326" s="35"/>
    </row>
    <row r="1327" spans="3:4" x14ac:dyDescent="0.25">
      <c r="C1327" s="37"/>
      <c r="D1327" s="35"/>
    </row>
    <row r="1328" spans="3:4" x14ac:dyDescent="0.25">
      <c r="C1328" s="37"/>
      <c r="D1328" s="35"/>
    </row>
    <row r="1329" spans="3:4" x14ac:dyDescent="0.25">
      <c r="C1329" s="37"/>
      <c r="D1329" s="35"/>
    </row>
    <row r="1330" spans="3:4" x14ac:dyDescent="0.25">
      <c r="C1330" s="37"/>
      <c r="D1330" s="35"/>
    </row>
    <row r="1331" spans="3:4" x14ac:dyDescent="0.25">
      <c r="C1331" s="37"/>
      <c r="D1331" s="35"/>
    </row>
    <row r="1332" spans="3:4" x14ac:dyDescent="0.25">
      <c r="C1332" s="37"/>
      <c r="D1332" s="35"/>
    </row>
    <row r="1333" spans="3:4" x14ac:dyDescent="0.25">
      <c r="C1333" s="37"/>
      <c r="D1333" s="35"/>
    </row>
  </sheetData>
  <mergeCells count="18">
    <mergeCell ref="N29:O29"/>
    <mergeCell ref="D17:E17"/>
    <mergeCell ref="F17:G17"/>
    <mergeCell ref="H17:I17"/>
    <mergeCell ref="J17:K17"/>
    <mergeCell ref="L17:M17"/>
    <mergeCell ref="N17:O17"/>
    <mergeCell ref="D29:E29"/>
    <mergeCell ref="F29:G29"/>
    <mergeCell ref="H29:I29"/>
    <mergeCell ref="J29:K29"/>
    <mergeCell ref="L29:M29"/>
    <mergeCell ref="N2:O2"/>
    <mergeCell ref="D2:E2"/>
    <mergeCell ref="F2:G2"/>
    <mergeCell ref="H2:I2"/>
    <mergeCell ref="J2:K2"/>
    <mergeCell ref="L2:M2"/>
  </mergeCells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344D9-C524-46F8-BE5F-497FBBB9F116}">
  <dimension ref="A1:AC1333"/>
  <sheetViews>
    <sheetView workbookViewId="0"/>
  </sheetViews>
  <sheetFormatPr defaultRowHeight="15" outlineLevelCol="1" x14ac:dyDescent="0.25"/>
  <cols>
    <col min="1" max="1" width="9.42578125" customWidth="1"/>
    <col min="2" max="2" width="25.140625" bestFit="1" customWidth="1"/>
    <col min="3" max="3" width="24.28515625" style="11" bestFit="1" customWidth="1"/>
    <col min="4" max="4" width="15.85546875" style="6" bestFit="1" customWidth="1"/>
    <col min="5" max="5" width="19.5703125" style="11" bestFit="1" customWidth="1"/>
    <col min="6" max="6" width="9.28515625" style="6" customWidth="1"/>
    <col min="7" max="7" width="19.5703125" style="11" bestFit="1" customWidth="1"/>
    <col min="8" max="8" width="9.140625" style="6"/>
    <col min="9" max="9" width="19.5703125" style="11" bestFit="1" customWidth="1"/>
    <col min="10" max="10" width="7.140625" style="6" bestFit="1" customWidth="1"/>
    <col min="11" max="11" width="18" style="11" bestFit="1" customWidth="1"/>
    <col min="12" max="12" width="7.140625" style="5" bestFit="1" customWidth="1"/>
    <col min="13" max="13" width="19.5703125" style="10" bestFit="1" customWidth="1"/>
    <col min="14" max="14" width="8.140625" style="10" bestFit="1" customWidth="1"/>
    <col min="15" max="15" width="19.5703125" style="10" customWidth="1"/>
    <col min="16" max="16" width="7.140625" bestFit="1" customWidth="1"/>
    <col min="17" max="18" width="7.140625" hidden="1" customWidth="1" outlineLevel="1"/>
    <col min="19" max="19" width="18" bestFit="1" customWidth="1" collapsed="1"/>
    <col min="20" max="20" width="16.85546875" bestFit="1" customWidth="1"/>
    <col min="21" max="21" width="18" bestFit="1" customWidth="1"/>
    <col min="22" max="22" width="16.85546875" bestFit="1" customWidth="1"/>
    <col min="23" max="23" width="15.28515625" bestFit="1" customWidth="1"/>
    <col min="25" max="25" width="7.85546875" bestFit="1" customWidth="1"/>
    <col min="26" max="26" width="11.140625" bestFit="1" customWidth="1"/>
    <col min="27" max="27" width="13.28515625" bestFit="1" customWidth="1"/>
    <col min="28" max="28" width="7.85546875" bestFit="1" customWidth="1"/>
    <col min="29" max="29" width="8.140625" bestFit="1" customWidth="1"/>
  </cols>
  <sheetData>
    <row r="1" spans="1:29" ht="9" customHeight="1" x14ac:dyDescent="0.25"/>
    <row r="2" spans="1:29" x14ac:dyDescent="0.25">
      <c r="B2" s="4" t="s">
        <v>1</v>
      </c>
      <c r="C2" s="9" t="s">
        <v>4</v>
      </c>
      <c r="D2" s="112" t="s">
        <v>7</v>
      </c>
      <c r="E2" s="112"/>
      <c r="F2" s="112" t="s">
        <v>8</v>
      </c>
      <c r="G2" s="112"/>
      <c r="H2" s="112" t="s">
        <v>10</v>
      </c>
      <c r="I2" s="112"/>
      <c r="J2" s="112" t="s">
        <v>9</v>
      </c>
      <c r="K2" s="112"/>
      <c r="L2" s="112" t="s">
        <v>21</v>
      </c>
      <c r="M2" s="112"/>
      <c r="N2" s="112" t="s">
        <v>55</v>
      </c>
      <c r="O2" s="112"/>
      <c r="Q2" s="1" t="s">
        <v>46</v>
      </c>
      <c r="S2" s="27" t="s">
        <v>49</v>
      </c>
      <c r="T2" s="27" t="s">
        <v>50</v>
      </c>
      <c r="U2" s="27" t="s">
        <v>51</v>
      </c>
      <c r="V2" s="27" t="s">
        <v>52</v>
      </c>
      <c r="W2" s="27" t="s">
        <v>53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</row>
    <row r="3" spans="1:29" x14ac:dyDescent="0.25">
      <c r="B3" s="21" t="s">
        <v>5</v>
      </c>
      <c r="C3" s="23">
        <v>372319307.56</v>
      </c>
      <c r="D3" s="26">
        <f>0.262+0.012</f>
        <v>0.27400000000000002</v>
      </c>
      <c r="E3" s="23">
        <f>D3*C3</f>
        <v>102015490.27144001</v>
      </c>
      <c r="F3" s="26">
        <f>0.128+0.113+0.024+0.016</f>
        <v>0.28100000000000003</v>
      </c>
      <c r="G3" s="22">
        <f>F3*C3</f>
        <v>104621725.42436001</v>
      </c>
      <c r="H3" s="26">
        <f>0.349+0.003</f>
        <v>0.35199999999999998</v>
      </c>
      <c r="I3" s="23">
        <f>H3*C3</f>
        <v>131056396.26111999</v>
      </c>
      <c r="J3" s="26">
        <v>3.2000000000000001E-2</v>
      </c>
      <c r="K3" s="23">
        <f>J3*C3</f>
        <v>11914217.84192</v>
      </c>
      <c r="L3" s="24"/>
      <c r="M3" s="25">
        <f>L3*C3</f>
        <v>0</v>
      </c>
      <c r="N3" s="14">
        <v>6.0999999999999999E-2</v>
      </c>
      <c r="O3" s="12">
        <f>N3*C3</f>
        <v>22711477.761160001</v>
      </c>
      <c r="S3" s="12">
        <f>C3-'Jul23'!C3</f>
        <v>-33686731.519999981</v>
      </c>
      <c r="T3" s="12">
        <f>E3-'Jul23'!E3</f>
        <v>-28718454.312319979</v>
      </c>
      <c r="U3" s="12">
        <f>I3-'Jul23'!I3</f>
        <v>-1707578.5180400014</v>
      </c>
      <c r="V3" s="12">
        <f>K3-'Jul23'!K3</f>
        <v>-1077975.408640001</v>
      </c>
      <c r="W3" s="12">
        <f>+M3-'Jul23'!M3</f>
        <v>0</v>
      </c>
      <c r="Y3" s="28">
        <f>D3-'Jul23'!D3</f>
        <v>-4.7999999999999987E-2</v>
      </c>
      <c r="Z3" s="28">
        <f>F3-'Jul23'!F3</f>
        <v>2.9000000000000026E-2</v>
      </c>
      <c r="AA3" s="28">
        <f>H3-'Jul23'!H3</f>
        <v>2.4999999999999967E-2</v>
      </c>
      <c r="AB3" s="28">
        <f>J3-'Jul23'!J3</f>
        <v>0</v>
      </c>
      <c r="AC3" s="28">
        <f>L3-'Jul23'!L3</f>
        <v>0</v>
      </c>
    </row>
    <row r="4" spans="1:29" x14ac:dyDescent="0.25">
      <c r="B4" s="3" t="s">
        <v>0</v>
      </c>
      <c r="C4" s="12">
        <v>1384346896</v>
      </c>
      <c r="D4" s="14">
        <v>0.31</v>
      </c>
      <c r="E4" s="12">
        <f t="shared" ref="E4:E11" si="0">D4*C4</f>
        <v>429147537.75999999</v>
      </c>
      <c r="F4" s="14">
        <v>0.15</v>
      </c>
      <c r="G4" s="12">
        <f t="shared" ref="G4:G13" si="1">F4*C4</f>
        <v>207652034.40000001</v>
      </c>
      <c r="H4" s="14">
        <f>0.4+0.03+0.02</f>
        <v>0.45000000000000007</v>
      </c>
      <c r="I4" s="12">
        <f t="shared" ref="I4:I13" si="2">H4*C4</f>
        <v>622956103.20000005</v>
      </c>
      <c r="J4" s="14">
        <v>0.09</v>
      </c>
      <c r="K4" s="12">
        <f>J4*C4</f>
        <v>124591220.64</v>
      </c>
      <c r="L4" s="14"/>
      <c r="M4" s="12">
        <f>L4*C4</f>
        <v>0</v>
      </c>
      <c r="N4" s="14"/>
      <c r="O4" s="12">
        <f t="shared" ref="O4:O13" si="3">N4*C4</f>
        <v>0</v>
      </c>
      <c r="S4" s="12">
        <f>C4-'Jul23'!C4</f>
        <v>114808278</v>
      </c>
      <c r="T4" s="12">
        <f>E4-'Jul23'!E4</f>
        <v>-27886364.719999969</v>
      </c>
      <c r="U4" s="12">
        <f>I4-'Jul23'!I4</f>
        <v>38968338.920000076</v>
      </c>
      <c r="V4" s="12">
        <f>K4-'Jul23'!K4</f>
        <v>23028131.200000003</v>
      </c>
      <c r="W4" s="12">
        <f>+M4-'Jul23'!M4</f>
        <v>0</v>
      </c>
      <c r="Y4" s="28">
        <f>D4-'Jul23'!D4</f>
        <v>-4.9999999999999989E-2</v>
      </c>
      <c r="Z4" s="28">
        <f>F4-'Jul23'!F4</f>
        <v>4.9999999999999989E-2</v>
      </c>
      <c r="AA4" s="28">
        <f>H4-'Jul23'!H4</f>
        <v>-9.9999999999999534E-3</v>
      </c>
      <c r="AB4" s="28">
        <f>J4-'Jul23'!J4</f>
        <v>9.999999999999995E-3</v>
      </c>
      <c r="AC4" s="28">
        <f>L4-'Jul23'!L4</f>
        <v>0</v>
      </c>
    </row>
    <row r="5" spans="1:29" x14ac:dyDescent="0.25">
      <c r="B5" s="3" t="s">
        <v>3</v>
      </c>
      <c r="C5" s="12">
        <v>1300169951.48</v>
      </c>
      <c r="D5" s="14">
        <v>0.43</v>
      </c>
      <c r="E5" s="12">
        <f t="shared" si="0"/>
        <v>559073079.13639998</v>
      </c>
      <c r="F5" s="14"/>
      <c r="G5" s="12">
        <f t="shared" si="1"/>
        <v>0</v>
      </c>
      <c r="H5" s="14">
        <f>0.37+0.06+0.05+0.02</f>
        <v>0.5</v>
      </c>
      <c r="I5" s="12">
        <f t="shared" si="2"/>
        <v>650084975.74000001</v>
      </c>
      <c r="J5" s="14"/>
      <c r="K5" s="12">
        <f t="shared" ref="K5:K7" si="4">J5*C5</f>
        <v>0</v>
      </c>
      <c r="L5" s="14">
        <v>7.0000000000000007E-2</v>
      </c>
      <c r="M5" s="12">
        <f>L5*C5</f>
        <v>91011896.60360001</v>
      </c>
      <c r="N5" s="14"/>
      <c r="O5" s="12">
        <f t="shared" si="3"/>
        <v>0</v>
      </c>
      <c r="S5" s="12">
        <f>C5-'Jul23'!C5</f>
        <v>-70659358.180000067</v>
      </c>
      <c r="T5" s="12">
        <f>E5-'Jul23'!E5</f>
        <v>-2966937.8242000341</v>
      </c>
      <c r="U5" s="12">
        <f>I5-'Jul23'!I5</f>
        <v>33211786.393000007</v>
      </c>
      <c r="V5" s="12">
        <f>K5-'Jul23'!K5</f>
        <v>-82249758.579600006</v>
      </c>
      <c r="W5" s="12">
        <f>+M5-'Jul23'!M5</f>
        <v>-18654448.169200003</v>
      </c>
      <c r="Y5" s="28">
        <f>D5-'Jul23'!D5</f>
        <v>2.0000000000000018E-2</v>
      </c>
      <c r="Z5" s="28">
        <f>F5-'Jul23'!F5</f>
        <v>0</v>
      </c>
      <c r="AA5" s="28">
        <f>H5-'Jul23'!H5</f>
        <v>5.0000000000000044E-2</v>
      </c>
      <c r="AB5" s="28">
        <f>J5-'Jul23'!J5</f>
        <v>-0.06</v>
      </c>
      <c r="AC5" s="28">
        <f>L5-'Jul23'!L5</f>
        <v>-9.999999999999995E-3</v>
      </c>
    </row>
    <row r="6" spans="1:29" x14ac:dyDescent="0.25">
      <c r="B6" s="3" t="s">
        <v>37</v>
      </c>
      <c r="C6" s="12"/>
      <c r="D6" s="14"/>
      <c r="E6" s="12">
        <f t="shared" si="0"/>
        <v>0</v>
      </c>
      <c r="F6" s="14"/>
      <c r="G6" s="12">
        <f t="shared" si="1"/>
        <v>0</v>
      </c>
      <c r="H6" s="14"/>
      <c r="I6" s="12">
        <f t="shared" si="2"/>
        <v>0</v>
      </c>
      <c r="J6" s="14"/>
      <c r="K6" s="12">
        <f t="shared" si="4"/>
        <v>0</v>
      </c>
      <c r="L6" s="14"/>
      <c r="M6" s="12">
        <f>L6*C6</f>
        <v>0</v>
      </c>
      <c r="N6" s="14"/>
      <c r="O6" s="12">
        <f t="shared" si="3"/>
        <v>0</v>
      </c>
      <c r="S6" s="12">
        <f>C6-'Jul23'!C6</f>
        <v>-2873456747</v>
      </c>
      <c r="T6" s="12">
        <f>E6-'Jul23'!E6</f>
        <v>-821808629.64199996</v>
      </c>
      <c r="U6" s="12">
        <f>I6-'Jul23'!I6</f>
        <v>-1418912941.6686001</v>
      </c>
      <c r="V6" s="12">
        <f>K6-'Jul23'!K6</f>
        <v>0</v>
      </c>
      <c r="W6" s="12">
        <f>+M6-'Jul23'!M6</f>
        <v>0</v>
      </c>
      <c r="Y6" s="28">
        <f>D6-'Jul23'!D6</f>
        <v>-0.28599999999999998</v>
      </c>
      <c r="Z6" s="28">
        <f>F6-'Jul23'!F6</f>
        <v>-0.19769999999999999</v>
      </c>
      <c r="AA6" s="28">
        <f>H6-'Jul23'!H6</f>
        <v>-0.49380000000000002</v>
      </c>
      <c r="AB6" s="28">
        <f>J6-'Jul23'!J6</f>
        <v>0</v>
      </c>
      <c r="AC6" s="28">
        <f>L6-'Jul23'!L6</f>
        <v>0</v>
      </c>
    </row>
    <row r="7" spans="1:29" x14ac:dyDescent="0.25">
      <c r="B7" s="3" t="s">
        <v>22</v>
      </c>
      <c r="C7" s="12">
        <v>1010000000</v>
      </c>
      <c r="D7" s="14">
        <v>0.26800000000000002</v>
      </c>
      <c r="E7" s="12">
        <f t="shared" si="0"/>
        <v>270680000</v>
      </c>
      <c r="F7" s="14">
        <v>8.3000000000000004E-2</v>
      </c>
      <c r="G7" s="12">
        <f t="shared" si="1"/>
        <v>83830000</v>
      </c>
      <c r="H7" s="14">
        <f>0.516+0.092</f>
        <v>0.60799999999999998</v>
      </c>
      <c r="I7" s="12">
        <f t="shared" si="2"/>
        <v>614080000</v>
      </c>
      <c r="J7" s="14">
        <v>4.1000000000000002E-2</v>
      </c>
      <c r="K7" s="12">
        <f t="shared" si="4"/>
        <v>41410000</v>
      </c>
      <c r="L7" s="16"/>
      <c r="M7" s="12">
        <f t="shared" ref="M7:M13" si="5">L7*C7</f>
        <v>0</v>
      </c>
      <c r="N7" s="14"/>
      <c r="O7" s="12">
        <f t="shared" si="3"/>
        <v>0</v>
      </c>
      <c r="S7" s="12">
        <f>C7-'Jul23'!C7</f>
        <v>-41250000</v>
      </c>
      <c r="T7" s="12">
        <f>E7-'Jul23'!E7</f>
        <v>-51002500</v>
      </c>
      <c r="U7" s="12">
        <f>I7-'Jul23'!I7</f>
        <v>10662500</v>
      </c>
      <c r="V7" s="12">
        <f>K7-'Jul23'!K7</f>
        <v>-11152500</v>
      </c>
      <c r="W7" s="12">
        <f>+M7-'Jul23'!M7</f>
        <v>0</v>
      </c>
      <c r="Y7" s="28">
        <f>D7-'Jul23'!D7</f>
        <v>-3.7999999999999978E-2</v>
      </c>
      <c r="Z7" s="28">
        <f>F7-'Jul23'!F7</f>
        <v>1.2999999999999998E-2</v>
      </c>
      <c r="AA7" s="28">
        <f>H7-'Jul23'!H7</f>
        <v>3.400000000000003E-2</v>
      </c>
      <c r="AB7" s="28">
        <f>J7-'Jul23'!J7</f>
        <v>-9.0000000000000011E-3</v>
      </c>
      <c r="AC7" s="28">
        <f>L7-'Jul23'!L7</f>
        <v>0</v>
      </c>
    </row>
    <row r="8" spans="1:29" x14ac:dyDescent="0.25">
      <c r="B8" s="3" t="s">
        <v>23</v>
      </c>
      <c r="C8" s="12">
        <v>1234939811.0899999</v>
      </c>
      <c r="D8" s="14">
        <v>0.18</v>
      </c>
      <c r="E8" s="12">
        <f t="shared" si="0"/>
        <v>222289165.99619997</v>
      </c>
      <c r="F8" s="14">
        <f>0.06+0.23</f>
        <v>0.29000000000000004</v>
      </c>
      <c r="G8" s="12">
        <f t="shared" si="1"/>
        <v>358132545.21610004</v>
      </c>
      <c r="H8" s="14">
        <v>0.42</v>
      </c>
      <c r="I8" s="12">
        <f t="shared" si="2"/>
        <v>518674720.65779996</v>
      </c>
      <c r="J8" s="14">
        <v>0.08</v>
      </c>
      <c r="K8" s="12">
        <f>J8*C8</f>
        <v>98795184.887199998</v>
      </c>
      <c r="L8" s="16"/>
      <c r="M8" s="12">
        <f t="shared" si="5"/>
        <v>0</v>
      </c>
      <c r="N8" s="14">
        <v>0.03</v>
      </c>
      <c r="O8" s="12">
        <f t="shared" si="3"/>
        <v>37048194.332699999</v>
      </c>
      <c r="S8" s="12">
        <f>C8-'Jul23'!C8</f>
        <v>5010893.5899999142</v>
      </c>
      <c r="T8" s="12">
        <f>E8-'Jul23'!E8</f>
        <v>37799828.371199965</v>
      </c>
      <c r="U8" s="12">
        <f>I8-'Jul23'!I8</f>
        <v>-34793292.217200041</v>
      </c>
      <c r="V8" s="12">
        <f>K8-'Jul23'!K8</f>
        <v>400871.48719999194</v>
      </c>
      <c r="W8" s="12">
        <f>+M8-'Jul23'!M8</f>
        <v>0</v>
      </c>
      <c r="Y8" s="28">
        <f>D8-'Jul23'!D8</f>
        <v>0.03</v>
      </c>
      <c r="Z8" s="28">
        <f>F8-'Jul23'!F8</f>
        <v>1.0000000000000009E-2</v>
      </c>
      <c r="AA8" s="28">
        <f>H8-'Jul23'!H8</f>
        <v>-3.0000000000000027E-2</v>
      </c>
      <c r="AB8" s="28">
        <f>J8-'Jul23'!J8</f>
        <v>0</v>
      </c>
      <c r="AC8" s="28">
        <f>L8-'Jul23'!L8</f>
        <v>0</v>
      </c>
    </row>
    <row r="9" spans="1:29" x14ac:dyDescent="0.25">
      <c r="B9" s="3" t="s">
        <v>24</v>
      </c>
      <c r="C9" s="12">
        <v>2253457407</v>
      </c>
      <c r="D9" s="14">
        <v>0.29160000000000003</v>
      </c>
      <c r="E9" s="12">
        <f t="shared" si="0"/>
        <v>657108179.88120008</v>
      </c>
      <c r="F9" s="14">
        <v>0.18790000000000001</v>
      </c>
      <c r="G9" s="12">
        <f t="shared" si="1"/>
        <v>423424646.77530003</v>
      </c>
      <c r="H9" s="14">
        <v>0.46100000000000002</v>
      </c>
      <c r="I9" s="12">
        <f t="shared" si="2"/>
        <v>1038843864.6270001</v>
      </c>
      <c r="J9" s="14">
        <v>4.6800000000000001E-2</v>
      </c>
      <c r="K9" s="12">
        <f>J9*C9</f>
        <v>105461806.64760001</v>
      </c>
      <c r="L9" s="14"/>
      <c r="M9" s="12">
        <f t="shared" si="5"/>
        <v>0</v>
      </c>
      <c r="N9" s="14">
        <v>1.2699999999999999E-2</v>
      </c>
      <c r="O9" s="12">
        <f t="shared" si="3"/>
        <v>28618909.0689</v>
      </c>
      <c r="S9" s="12">
        <f>C9-'Jul23'!C9</f>
        <v>13649008</v>
      </c>
      <c r="T9" s="12">
        <f>E9-'Jul23'!E9</f>
        <v>-7666952.9419999123</v>
      </c>
      <c r="U9" s="12">
        <f>I9-'Jul23'!I9</f>
        <v>-4234906.7872998714</v>
      </c>
      <c r="V9" s="12">
        <f>K9-'Jul23'!K9</f>
        <v>10269949.690099999</v>
      </c>
      <c r="W9" s="12">
        <f>+M9-'Jul23'!M9</f>
        <v>0</v>
      </c>
      <c r="Y9" s="28">
        <f>D9-'Jul23'!D9</f>
        <v>-5.1999999999999824E-3</v>
      </c>
      <c r="Z9" s="28">
        <f>F9-'Jul23'!F9</f>
        <v>5.6000000000000216E-3</v>
      </c>
      <c r="AA9" s="28">
        <f>H9-'Jul23'!H9</f>
        <v>-4.699999999999982E-3</v>
      </c>
      <c r="AB9" s="28">
        <f>J9-'Jul23'!J9</f>
        <v>4.2999999999999983E-3</v>
      </c>
      <c r="AC9" s="28">
        <f>L9-'Jul23'!L9</f>
        <v>0</v>
      </c>
    </row>
    <row r="10" spans="1:29" x14ac:dyDescent="0.25">
      <c r="B10" s="3" t="s">
        <v>25</v>
      </c>
      <c r="C10" s="12">
        <v>456815413</v>
      </c>
      <c r="D10" s="14">
        <v>0.37</v>
      </c>
      <c r="E10" s="12">
        <f t="shared" si="0"/>
        <v>169021702.81</v>
      </c>
      <c r="F10" s="14">
        <v>0.15</v>
      </c>
      <c r="G10" s="12">
        <f t="shared" si="1"/>
        <v>68522311.950000003</v>
      </c>
      <c r="H10" s="14">
        <v>0.4</v>
      </c>
      <c r="I10" s="12">
        <f t="shared" si="2"/>
        <v>182726165.20000002</v>
      </c>
      <c r="J10" s="14">
        <v>0.08</v>
      </c>
      <c r="K10" s="12">
        <f>J10*C10</f>
        <v>36545233.039999999</v>
      </c>
      <c r="L10" s="16"/>
      <c r="M10" s="12">
        <f t="shared" si="5"/>
        <v>0</v>
      </c>
      <c r="N10" s="14"/>
      <c r="O10" s="12">
        <f t="shared" si="3"/>
        <v>0</v>
      </c>
      <c r="S10" s="12">
        <f>C10-'Jul23'!C10</f>
        <v>0</v>
      </c>
      <c r="T10" s="12">
        <f>E10-'Jul23'!E10</f>
        <v>0</v>
      </c>
      <c r="U10" s="12">
        <f>I10-'Jul23'!I10</f>
        <v>0</v>
      </c>
      <c r="V10" s="12">
        <f>K10-'Jul23'!K10</f>
        <v>0</v>
      </c>
      <c r="W10" s="12">
        <f>+M10-'Jul23'!M10</f>
        <v>0</v>
      </c>
      <c r="Y10" s="28">
        <f>D10-'Jul23'!D10</f>
        <v>0</v>
      </c>
      <c r="Z10" s="28">
        <f>F10-'Jul23'!F10</f>
        <v>0</v>
      </c>
      <c r="AA10" s="28">
        <f>H10-'Jul23'!H10</f>
        <v>0</v>
      </c>
      <c r="AB10" s="28">
        <f>J10-'Jul23'!J10</f>
        <v>0</v>
      </c>
      <c r="AC10" s="28">
        <f>L10-'Jul23'!L10</f>
        <v>0</v>
      </c>
    </row>
    <row r="11" spans="1:29" x14ac:dyDescent="0.25">
      <c r="B11" s="3" t="s">
        <v>29</v>
      </c>
      <c r="C11" s="12">
        <v>3472884513</v>
      </c>
      <c r="D11" s="14">
        <v>0.27</v>
      </c>
      <c r="E11" s="12">
        <f t="shared" si="0"/>
        <v>937678818.51000011</v>
      </c>
      <c r="F11" s="14">
        <f>0.245+0.02</f>
        <v>0.26500000000000001</v>
      </c>
      <c r="G11" s="12">
        <f t="shared" si="1"/>
        <v>920314395.94500005</v>
      </c>
      <c r="H11" s="14">
        <f>0.409+0.015</f>
        <v>0.42399999999999999</v>
      </c>
      <c r="I11" s="12">
        <f t="shared" si="2"/>
        <v>1472503033.5119998</v>
      </c>
      <c r="J11" s="14">
        <v>4.1000000000000002E-2</v>
      </c>
      <c r="K11" s="12">
        <f>J11*C11</f>
        <v>142388265.03299999</v>
      </c>
      <c r="L11" s="16"/>
      <c r="M11" s="12">
        <f t="shared" si="5"/>
        <v>0</v>
      </c>
      <c r="N11" s="14"/>
      <c r="O11" s="12">
        <f t="shared" si="3"/>
        <v>0</v>
      </c>
      <c r="S11" s="12">
        <f>C11-'Jul23'!C11</f>
        <v>308388772</v>
      </c>
      <c r="T11" s="12">
        <f>E11-'Jul23'!E11</f>
        <v>114909925.85000002</v>
      </c>
      <c r="U11" s="12">
        <f>I11-'Jul23'!I11</f>
        <v>83289403.212999821</v>
      </c>
      <c r="V11" s="12">
        <f>K11-'Jul23'!K11</f>
        <v>-6343034.7939999998</v>
      </c>
      <c r="W11" s="12">
        <f>+M11-'Jul23'!M11</f>
        <v>0</v>
      </c>
      <c r="Y11" s="28">
        <f>D11-'Jul23'!D11</f>
        <v>1.0000000000000009E-2</v>
      </c>
      <c r="Z11" s="28">
        <f>F11-'Jul23'!F11</f>
        <v>1.100000000000001E-2</v>
      </c>
      <c r="AA11" s="28">
        <f>H11-'Jul23'!H11</f>
        <v>-1.5000000000000013E-2</v>
      </c>
      <c r="AB11" s="28">
        <f>J11-'Jul23'!J11</f>
        <v>-5.9999999999999984E-3</v>
      </c>
      <c r="AC11" s="28">
        <f>L11-'Jul23'!L11</f>
        <v>0</v>
      </c>
    </row>
    <row r="12" spans="1:29" x14ac:dyDescent="0.25">
      <c r="B12" s="3" t="s">
        <v>47</v>
      </c>
      <c r="C12" s="12">
        <v>1425372000</v>
      </c>
      <c r="D12" s="14">
        <v>0.63200000000000001</v>
      </c>
      <c r="E12" s="12">
        <f>D12*C12</f>
        <v>900835104</v>
      </c>
      <c r="F12" s="14">
        <v>9.0999999999999998E-2</v>
      </c>
      <c r="G12" s="12">
        <f t="shared" si="1"/>
        <v>129708852</v>
      </c>
      <c r="H12" s="14">
        <v>0.27700000000000002</v>
      </c>
      <c r="I12" s="12">
        <f t="shared" si="2"/>
        <v>394828044.00000006</v>
      </c>
      <c r="J12" s="14"/>
      <c r="K12" s="12"/>
      <c r="L12" s="16"/>
      <c r="M12" s="12">
        <f>L12*C12</f>
        <v>0</v>
      </c>
      <c r="N12" s="14"/>
      <c r="O12" s="12">
        <f>N12*C12</f>
        <v>0</v>
      </c>
      <c r="Q12" t="s">
        <v>48</v>
      </c>
      <c r="S12" s="12">
        <f>C12-'Jul23'!C12</f>
        <v>211809880.99000001</v>
      </c>
      <c r="T12" s="12">
        <f>E12-'Jul23'!E12</f>
        <v>87748484.263299942</v>
      </c>
      <c r="U12" s="12">
        <f>I12-'Jul23'!I12</f>
        <v>63525585.510270059</v>
      </c>
      <c r="V12" s="12">
        <f>K12-'Jul23'!K12</f>
        <v>0</v>
      </c>
      <c r="W12" s="12">
        <f>+M12-'Jul23'!M12</f>
        <v>0</v>
      </c>
      <c r="Y12" s="28">
        <f>D12-'Jul23'!D12</f>
        <v>-3.8000000000000034E-2</v>
      </c>
      <c r="Z12" s="28">
        <f>F12-'Jul23'!F12</f>
        <v>3.3999999999999996E-2</v>
      </c>
      <c r="AA12" s="28">
        <f>H12-'Jul23'!H12</f>
        <v>4.0000000000000036E-3</v>
      </c>
      <c r="AB12" s="28">
        <f>J12-'Jul23'!J12</f>
        <v>0</v>
      </c>
      <c r="AC12" s="28">
        <f>L12-'Jul23'!L12</f>
        <v>0</v>
      </c>
    </row>
    <row r="13" spans="1:29" x14ac:dyDescent="0.25">
      <c r="B13" s="3" t="s">
        <v>30</v>
      </c>
      <c r="C13" s="12">
        <v>958110000</v>
      </c>
      <c r="D13" s="14">
        <v>0.26</v>
      </c>
      <c r="E13" s="12">
        <f t="shared" ref="E13" si="6">D13*C13</f>
        <v>249108600</v>
      </c>
      <c r="F13" s="14">
        <v>0.21</v>
      </c>
      <c r="G13" s="12">
        <f t="shared" si="1"/>
        <v>201203100</v>
      </c>
      <c r="H13" s="14">
        <v>0.52</v>
      </c>
      <c r="I13" s="12">
        <f t="shared" si="2"/>
        <v>498217200</v>
      </c>
      <c r="J13" s="14">
        <v>0.01</v>
      </c>
      <c r="K13" s="12">
        <f t="shared" ref="K13" si="7">J13*C13</f>
        <v>9581100</v>
      </c>
      <c r="L13" s="16"/>
      <c r="M13" s="12">
        <f t="shared" si="5"/>
        <v>0</v>
      </c>
      <c r="N13" s="14"/>
      <c r="O13" s="12">
        <f t="shared" si="3"/>
        <v>0</v>
      </c>
      <c r="S13" s="12">
        <f>C13-'Jul23'!C13</f>
        <v>-28310000</v>
      </c>
      <c r="T13" s="12">
        <f>E13-'Jul23'!E13</f>
        <v>-17224800.00000003</v>
      </c>
      <c r="U13" s="12">
        <f>I13-'Jul23'!I13</f>
        <v>-14721200</v>
      </c>
      <c r="V13" s="12">
        <f>K13-'Jul23'!K13</f>
        <v>-283100</v>
      </c>
      <c r="W13" s="12">
        <f>+M13-'Jul23'!M13</f>
        <v>0</v>
      </c>
      <c r="Y13" s="28">
        <f>D13-'Jul23'!D13</f>
        <v>-1.0000000000000009E-2</v>
      </c>
      <c r="Z13" s="28">
        <f>F13-'Jul23'!F13</f>
        <v>9.9999999999999811E-3</v>
      </c>
      <c r="AA13" s="28">
        <f>H13-'Jul23'!H13</f>
        <v>0</v>
      </c>
      <c r="AB13" s="28">
        <f>J13-'Jul23'!J13</f>
        <v>0</v>
      </c>
      <c r="AC13" s="28">
        <f>L13-'Jul23'!L13</f>
        <v>0</v>
      </c>
    </row>
    <row r="14" spans="1:29" x14ac:dyDescent="0.25">
      <c r="B14" s="3" t="s">
        <v>31</v>
      </c>
      <c r="C14" s="12">
        <v>37622535.619999997</v>
      </c>
      <c r="D14" s="14">
        <v>0.33800000000000002</v>
      </c>
      <c r="E14" s="18">
        <f>D14*C14</f>
        <v>12716417.039559999</v>
      </c>
      <c r="F14" s="14">
        <v>0.14499999999999999</v>
      </c>
      <c r="G14" s="12">
        <f>F14*C14</f>
        <v>5455267.6648999993</v>
      </c>
      <c r="H14" s="19">
        <v>0.45100000000000001</v>
      </c>
      <c r="I14" s="18">
        <f>H14*C14</f>
        <v>16967763.564619999</v>
      </c>
      <c r="J14" s="14">
        <v>6.6000000000000003E-2</v>
      </c>
      <c r="K14" s="12">
        <f>J14*C14</f>
        <v>2483087.3509200001</v>
      </c>
      <c r="L14" s="16"/>
      <c r="M14" s="12">
        <f>L14*C14</f>
        <v>0</v>
      </c>
      <c r="N14" s="14"/>
      <c r="O14" s="12">
        <f>N14*C14</f>
        <v>0</v>
      </c>
      <c r="S14" s="12">
        <f>C14-'Jul23'!C14</f>
        <v>-9873392.3400000036</v>
      </c>
      <c r="T14" s="12">
        <f>E14-'Jul23'!E14</f>
        <v>-4762084.4497200008</v>
      </c>
      <c r="U14" s="12">
        <f>I14-'Jul23'!I14</f>
        <v>-4262916.2335000001</v>
      </c>
      <c r="V14" s="12">
        <f>K14-'Jul23'!K14</f>
        <v>440762.44864000031</v>
      </c>
      <c r="W14" s="12">
        <f>+M14-'Jul23'!M14</f>
        <v>0</v>
      </c>
      <c r="Y14" s="28">
        <f>D14-'Jul23'!D14</f>
        <v>-2.9999999999999971E-2</v>
      </c>
      <c r="Z14" s="28">
        <f>F14-'Jul23'!F14</f>
        <v>3.0000000000000027E-3</v>
      </c>
      <c r="AA14" s="28">
        <f>H14-'Jul23'!H14</f>
        <v>4.0000000000000036E-3</v>
      </c>
      <c r="AB14" s="28">
        <f>J14-'Jul23'!J14</f>
        <v>2.3000000000000007E-2</v>
      </c>
      <c r="AC14" s="28">
        <f>L14-'Jul23'!L14</f>
        <v>0</v>
      </c>
    </row>
    <row r="15" spans="1:29" s="8" customFormat="1" x14ac:dyDescent="0.25">
      <c r="A15"/>
      <c r="B15" s="21" t="s">
        <v>45</v>
      </c>
      <c r="C15" s="20">
        <f>SUM(C3:C14)</f>
        <v>13906037834.750002</v>
      </c>
      <c r="D15" s="15">
        <f>+E15/$C15</f>
        <v>0.32429611863528157</v>
      </c>
      <c r="E15" s="17">
        <f>SUM(E3:E14)</f>
        <v>4509674095.4048004</v>
      </c>
      <c r="F15" s="15">
        <f>+G15/$C15</f>
        <v>0.17998404068204202</v>
      </c>
      <c r="G15" s="20">
        <f>SUM(G3:G14)</f>
        <v>2502864879.3756599</v>
      </c>
      <c r="H15" s="15">
        <f>+I15/$C15</f>
        <v>0.44160229820580948</v>
      </c>
      <c r="I15" s="17">
        <f>SUM(I3:I14)</f>
        <v>6140938266.7625399</v>
      </c>
      <c r="J15" s="15">
        <f>+K15/$C15</f>
        <v>4.1217356248545271E-2</v>
      </c>
      <c r="K15" s="17">
        <f>SUM(K3:K14)</f>
        <v>573170115.44063997</v>
      </c>
      <c r="L15" s="15">
        <f>+M15/$C15</f>
        <v>6.5447755633289773E-3</v>
      </c>
      <c r="M15" s="17">
        <f>SUM(M3:M14)</f>
        <v>91011896.60360001</v>
      </c>
      <c r="N15" s="15">
        <f>+O15/$C15</f>
        <v>6.3554106649925451E-3</v>
      </c>
      <c r="O15" s="17">
        <f>SUM(O3:O14)</f>
        <v>88378581.162760004</v>
      </c>
      <c r="S15" s="12">
        <f>C15-'Jul23'!C15</f>
        <v>-2403569396.4599972</v>
      </c>
      <c r="T15" s="12">
        <f>E15-'Jul23'!E15</f>
        <v>-721578485.40573978</v>
      </c>
      <c r="U15" s="12">
        <f>I15-'Jul23'!I15</f>
        <v>-1248975221.3883686</v>
      </c>
      <c r="V15" s="12">
        <f>K15-'Jul23'!K15</f>
        <v>-66966653.95630002</v>
      </c>
      <c r="W15" s="12">
        <f>+M15-'Jul23'!M15</f>
        <v>-18654448.169200003</v>
      </c>
      <c r="Y15" s="28">
        <f>D15-'Jul23'!D15</f>
        <v>3.5494258026034231E-3</v>
      </c>
      <c r="Z15" s="28">
        <f>F15-'Jul23'!F15</f>
        <v>1.0198214203852252E-2</v>
      </c>
      <c r="AA15" s="28">
        <f>H15-'Jul23'!H15</f>
        <v>-1.1499568895539214E-2</v>
      </c>
      <c r="AB15" s="28">
        <f>J15-'Jul23'!J15</f>
        <v>1.9682952305719592E-3</v>
      </c>
      <c r="AC15" s="28">
        <f>L15-'Jul23'!L15</f>
        <v>-1.7925789855249147E-4</v>
      </c>
    </row>
    <row r="16" spans="1:29" x14ac:dyDescent="0.25">
      <c r="C16" s="10"/>
      <c r="D16" s="10"/>
      <c r="E16" s="10"/>
      <c r="F16" s="5"/>
      <c r="G16" s="10"/>
      <c r="H16" s="10"/>
      <c r="I16" s="10"/>
      <c r="J16" s="5"/>
      <c r="K16" s="10"/>
    </row>
    <row r="17" spans="1:29" x14ac:dyDescent="0.25">
      <c r="B17" s="4" t="s">
        <v>2</v>
      </c>
      <c r="C17" s="9" t="s">
        <v>4</v>
      </c>
      <c r="D17" s="112" t="s">
        <v>7</v>
      </c>
      <c r="E17" s="112"/>
      <c r="F17" s="112" t="s">
        <v>8</v>
      </c>
      <c r="G17" s="112"/>
      <c r="H17" s="112" t="s">
        <v>10</v>
      </c>
      <c r="I17" s="112"/>
      <c r="J17" s="112" t="s">
        <v>9</v>
      </c>
      <c r="K17" s="112"/>
      <c r="L17" s="112" t="s">
        <v>21</v>
      </c>
      <c r="M17" s="112"/>
      <c r="N17" s="112" t="s">
        <v>55</v>
      </c>
      <c r="O17" s="112"/>
      <c r="S17" s="27" t="s">
        <v>49</v>
      </c>
      <c r="T17" s="27" t="s">
        <v>50</v>
      </c>
      <c r="U17" s="27" t="s">
        <v>51</v>
      </c>
      <c r="V17" s="27" t="s">
        <v>52</v>
      </c>
      <c r="W17" s="27" t="s">
        <v>53</v>
      </c>
      <c r="Y17" s="27" t="s">
        <v>49</v>
      </c>
      <c r="Z17" s="27" t="s">
        <v>50</v>
      </c>
      <c r="AA17" s="27" t="s">
        <v>51</v>
      </c>
      <c r="AB17" s="27" t="s">
        <v>52</v>
      </c>
      <c r="AC17" s="27" t="s">
        <v>53</v>
      </c>
    </row>
    <row r="18" spans="1:29" x14ac:dyDescent="0.25">
      <c r="B18" s="21" t="s">
        <v>6</v>
      </c>
      <c r="C18" s="22">
        <v>308419108.06</v>
      </c>
      <c r="D18" s="26">
        <f>0.1745+0.0053</f>
        <v>0.17979999999999999</v>
      </c>
      <c r="E18" s="23">
        <f t="shared" ref="E18:E26" si="8">D18*C18</f>
        <v>55453755.629187994</v>
      </c>
      <c r="F18" s="26">
        <f>0.106+0.0666+0.0463+0.0074</f>
        <v>0.2263</v>
      </c>
      <c r="G18" s="22">
        <f>C18*F18</f>
        <v>69795244.153978005</v>
      </c>
      <c r="H18" s="26">
        <f>0.4949+0.0088</f>
        <v>0.50370000000000004</v>
      </c>
      <c r="I18" s="23">
        <f t="shared" ref="I18:I26" si="9">H18*C18</f>
        <v>155350704.72982201</v>
      </c>
      <c r="J18" s="26">
        <v>6.0600000000000001E-2</v>
      </c>
      <c r="K18" s="23">
        <f>J18*C18</f>
        <v>18690197.948435999</v>
      </c>
      <c r="L18" s="24"/>
      <c r="M18" s="23">
        <f>L18*E18</f>
        <v>0</v>
      </c>
      <c r="N18" s="26">
        <f>0.0708-0.0412</f>
        <v>2.9600000000000001E-2</v>
      </c>
      <c r="O18" s="23">
        <f>N18*G18</f>
        <v>2065939.2269577491</v>
      </c>
      <c r="S18" s="12">
        <f>C18-'Jul23'!C18</f>
        <v>-13423767.99000001</v>
      </c>
      <c r="T18" s="12">
        <f>E18-'Jul23'!E18</f>
        <v>-3604412.1259870082</v>
      </c>
      <c r="U18" s="12">
        <f>I18-'Jul23'!I18</f>
        <v>1348888.5398969948</v>
      </c>
      <c r="V18" s="12">
        <f>K18-'Jul23'!K18</f>
        <v>-362900.31372400373</v>
      </c>
      <c r="W18" s="12">
        <f>+M18-'Jul23'!M18</f>
        <v>0</v>
      </c>
      <c r="Y18" s="28">
        <f>D18-'Jul23'!D18</f>
        <v>-3.7000000000000088E-3</v>
      </c>
      <c r="Z18" s="28">
        <f>F18-'Jul23'!F18</f>
        <v>1.3499999999999984E-2</v>
      </c>
      <c r="AA18" s="28">
        <f>H18-'Jul23'!H18</f>
        <v>2.52E-2</v>
      </c>
      <c r="AB18" s="28">
        <f>J18-'Jul23'!J18</f>
        <v>1.3999999999999985E-3</v>
      </c>
      <c r="AC18" s="28">
        <f>L18-'Jul23'!L18</f>
        <v>0</v>
      </c>
    </row>
    <row r="19" spans="1:29" x14ac:dyDescent="0.25">
      <c r="B19" s="3" t="s">
        <v>26</v>
      </c>
      <c r="C19" s="12">
        <v>406142043.94999999</v>
      </c>
      <c r="D19" s="14">
        <v>0.18</v>
      </c>
      <c r="E19" s="12">
        <f t="shared" si="8"/>
        <v>73105567.910999998</v>
      </c>
      <c r="F19" s="14">
        <f>0.01+0.15</f>
        <v>0.16</v>
      </c>
      <c r="G19" s="12">
        <f t="shared" ref="G19:G26" si="10">C19*F19</f>
        <v>64982727.031999998</v>
      </c>
      <c r="H19" s="14">
        <v>0.48</v>
      </c>
      <c r="I19" s="12">
        <f t="shared" si="9"/>
        <v>194948181.09599999</v>
      </c>
      <c r="J19" s="14">
        <v>0.15</v>
      </c>
      <c r="K19" s="12">
        <f t="shared" ref="K19:O26" si="11">J19*C19</f>
        <v>60921306.592499994</v>
      </c>
      <c r="L19" s="16"/>
      <c r="M19" s="12">
        <f t="shared" si="11"/>
        <v>0</v>
      </c>
      <c r="N19" s="26">
        <v>0.03</v>
      </c>
      <c r="O19" s="12">
        <f t="shared" si="11"/>
        <v>1949481.8109599999</v>
      </c>
      <c r="S19" s="12">
        <f>C19-'Jul23'!C19</f>
        <v>-3562211.9300000072</v>
      </c>
      <c r="T19" s="12">
        <f>E19-'Jul23'!E19</f>
        <v>3455844.4113999903</v>
      </c>
      <c r="U19" s="12">
        <f>I19-'Jul23'!I19</f>
        <v>-14000989.402800024</v>
      </c>
      <c r="V19" s="12">
        <f>K19-'Jul23'!K19</f>
        <v>-534331.78950000554</v>
      </c>
      <c r="W19" s="12">
        <f>+M19-'Jul23'!M19</f>
        <v>0</v>
      </c>
      <c r="Y19" s="28">
        <f>D19-'Jul23'!D19</f>
        <v>9.9999999999999811E-3</v>
      </c>
      <c r="Z19" s="28">
        <f>F19-'Jul23'!F19</f>
        <v>9.9999999999999811E-3</v>
      </c>
      <c r="AA19" s="28">
        <f>H19-'Jul23'!H19</f>
        <v>-3.0000000000000027E-2</v>
      </c>
      <c r="AB19" s="28">
        <f>J19-'Jul23'!J19</f>
        <v>0</v>
      </c>
      <c r="AC19" s="28">
        <f>L19-'Jul23'!L19</f>
        <v>0</v>
      </c>
    </row>
    <row r="20" spans="1:29" x14ac:dyDescent="0.25">
      <c r="B20" s="3" t="s">
        <v>27</v>
      </c>
      <c r="C20" s="12"/>
      <c r="D20" s="14"/>
      <c r="E20" s="12">
        <f t="shared" si="8"/>
        <v>0</v>
      </c>
      <c r="F20" s="14"/>
      <c r="G20" s="12">
        <f t="shared" si="10"/>
        <v>0</v>
      </c>
      <c r="H20" s="14"/>
      <c r="I20" s="12">
        <f t="shared" si="9"/>
        <v>0</v>
      </c>
      <c r="J20" s="14"/>
      <c r="K20" s="12">
        <f t="shared" si="11"/>
        <v>0</v>
      </c>
      <c r="L20" s="16"/>
      <c r="M20" s="12">
        <f t="shared" si="11"/>
        <v>0</v>
      </c>
      <c r="N20" s="26"/>
      <c r="O20" s="12">
        <f t="shared" si="11"/>
        <v>0</v>
      </c>
      <c r="S20" s="12">
        <f>C20-'Jul23'!C20</f>
        <v>-614769827</v>
      </c>
      <c r="T20" s="12">
        <f>E20-'Jul23'!E20</f>
        <v>-114101279.89119999</v>
      </c>
      <c r="U20" s="12">
        <f>I20-'Jul23'!I20</f>
        <v>-331668321.66649997</v>
      </c>
      <c r="V20" s="12">
        <f>K20-'Jul23'!K20</f>
        <v>-36640281.689199999</v>
      </c>
      <c r="W20" s="12">
        <f>+M20-'Jul23'!M20</f>
        <v>0</v>
      </c>
      <c r="Y20" s="28">
        <f>D20-'Jul23'!D20</f>
        <v>-0.18559999999999999</v>
      </c>
      <c r="Z20" s="28">
        <f>F20-'Jul23'!F20</f>
        <v>-0.2087</v>
      </c>
      <c r="AA20" s="28">
        <f>H20-'Jul23'!H20</f>
        <v>-0.53949999999999998</v>
      </c>
      <c r="AB20" s="28">
        <f>J20-'Jul23'!J20</f>
        <v>-5.96E-2</v>
      </c>
      <c r="AC20" s="28">
        <f>L20-'Jul23'!L20</f>
        <v>0</v>
      </c>
    </row>
    <row r="21" spans="1:29" x14ac:dyDescent="0.25">
      <c r="B21" s="3" t="s">
        <v>28</v>
      </c>
      <c r="C21" s="12">
        <v>1115468514</v>
      </c>
      <c r="D21" s="14">
        <v>0.12</v>
      </c>
      <c r="E21" s="12">
        <f t="shared" si="8"/>
        <v>133856221.67999999</v>
      </c>
      <c r="F21" s="14">
        <v>0.13</v>
      </c>
      <c r="G21" s="12">
        <f t="shared" si="10"/>
        <v>145010906.81999999</v>
      </c>
      <c r="H21" s="14">
        <v>0.61</v>
      </c>
      <c r="I21" s="12">
        <f t="shared" si="9"/>
        <v>680435793.53999996</v>
      </c>
      <c r="J21" s="14">
        <v>0.14000000000000001</v>
      </c>
      <c r="K21" s="12">
        <f t="shared" si="11"/>
        <v>156165591.96000001</v>
      </c>
      <c r="L21" s="16"/>
      <c r="M21" s="12">
        <f t="shared" si="11"/>
        <v>0</v>
      </c>
      <c r="N21" s="26"/>
      <c r="O21" s="12">
        <f t="shared" si="11"/>
        <v>0</v>
      </c>
      <c r="S21" s="12">
        <f>C21-'Jul23'!C21</f>
        <v>-6438770</v>
      </c>
      <c r="T21" s="12">
        <f>E21-'Jul23'!E21</f>
        <v>-11991725.240000024</v>
      </c>
      <c r="U21" s="12">
        <f>I21-'Jul23'!I21</f>
        <v>-15146722.540000081</v>
      </c>
      <c r="V21" s="12">
        <f>K21-'Jul23'!K21</f>
        <v>-901427.80000001192</v>
      </c>
      <c r="W21" s="12">
        <f>+M21-'Jul23'!M21</f>
        <v>0</v>
      </c>
      <c r="Y21" s="28">
        <f>D21-'Jul23'!D21</f>
        <v>-1.0000000000000009E-2</v>
      </c>
      <c r="Z21" s="28">
        <f>F21-'Jul23'!F21</f>
        <v>1.999999999999999E-2</v>
      </c>
      <c r="AA21" s="28">
        <f>H21-'Jul23'!H21</f>
        <v>-1.0000000000000009E-2</v>
      </c>
      <c r="AB21" s="28">
        <f>J21-'Jul23'!J21</f>
        <v>0</v>
      </c>
      <c r="AC21" s="28">
        <f>L21-'Jul23'!L21</f>
        <v>0</v>
      </c>
    </row>
    <row r="22" spans="1:29" x14ac:dyDescent="0.25">
      <c r="B22" s="3" t="s">
        <v>32</v>
      </c>
      <c r="C22" s="12">
        <v>361100000</v>
      </c>
      <c r="D22" s="14">
        <v>0.05</v>
      </c>
      <c r="E22" s="12">
        <f t="shared" si="8"/>
        <v>18055000</v>
      </c>
      <c r="F22" s="14">
        <v>0.1</v>
      </c>
      <c r="G22" s="12">
        <f t="shared" si="10"/>
        <v>36110000</v>
      </c>
      <c r="H22" s="14">
        <v>0.73</v>
      </c>
      <c r="I22" s="12">
        <f t="shared" si="9"/>
        <v>263603000</v>
      </c>
      <c r="J22" s="14">
        <v>0.12</v>
      </c>
      <c r="K22" s="12">
        <f t="shared" si="11"/>
        <v>43332000</v>
      </c>
      <c r="L22" s="16"/>
      <c r="M22" s="12">
        <f t="shared" si="11"/>
        <v>0</v>
      </c>
      <c r="N22" s="26"/>
      <c r="O22" s="12">
        <f t="shared" si="11"/>
        <v>0</v>
      </c>
      <c r="S22" s="12">
        <f>C22-'Jul23'!C22</f>
        <v>-6600000</v>
      </c>
      <c r="T22" s="12">
        <f>E22-'Jul23'!E22</f>
        <v>3347000</v>
      </c>
      <c r="U22" s="12">
        <f>I22-'Jul23'!I22</f>
        <v>-1141000</v>
      </c>
      <c r="V22" s="12">
        <f>K22-'Jul23'!K22</f>
        <v>-4469000</v>
      </c>
      <c r="W22" s="12">
        <f>+M22-'Jul23'!M22</f>
        <v>0</v>
      </c>
      <c r="Y22" s="28">
        <f>D22-'Jul23'!D22</f>
        <v>1.0000000000000002E-2</v>
      </c>
      <c r="Z22" s="28">
        <f>F22-'Jul23'!F22</f>
        <v>-9.999999999999995E-3</v>
      </c>
      <c r="AA22" s="28">
        <f>H22-'Jul23'!H22</f>
        <v>1.0000000000000009E-2</v>
      </c>
      <c r="AB22" s="28">
        <f>J22-'Jul23'!J22</f>
        <v>-1.0000000000000009E-2</v>
      </c>
      <c r="AC22" s="28">
        <f>L22-'Jul23'!L22</f>
        <v>0</v>
      </c>
    </row>
    <row r="23" spans="1:29" x14ac:dyDescent="0.25">
      <c r="B23" s="3" t="s">
        <v>33</v>
      </c>
      <c r="C23" s="12">
        <v>620300000</v>
      </c>
      <c r="D23" s="14">
        <v>0.15</v>
      </c>
      <c r="E23" s="12">
        <f t="shared" si="8"/>
        <v>93045000</v>
      </c>
      <c r="F23" s="14">
        <v>0.18</v>
      </c>
      <c r="G23" s="12">
        <f t="shared" si="10"/>
        <v>111654000</v>
      </c>
      <c r="H23" s="14">
        <v>0.63</v>
      </c>
      <c r="I23" s="12">
        <f t="shared" si="9"/>
        <v>390789000</v>
      </c>
      <c r="J23" s="14">
        <v>0.04</v>
      </c>
      <c r="K23" s="12">
        <f t="shared" si="11"/>
        <v>24812000</v>
      </c>
      <c r="L23" s="16"/>
      <c r="M23" s="12">
        <f t="shared" si="11"/>
        <v>0</v>
      </c>
      <c r="N23" s="26"/>
      <c r="O23" s="12">
        <f t="shared" si="11"/>
        <v>0</v>
      </c>
      <c r="S23" s="12">
        <f>C23-'Jul23'!C23</f>
        <v>-6300000</v>
      </c>
      <c r="T23" s="12">
        <f>E23-'Jul23'!E23</f>
        <v>-26009000</v>
      </c>
      <c r="U23" s="12">
        <f>I23-'Jul23'!I23</f>
        <v>-3969000</v>
      </c>
      <c r="V23" s="12">
        <f>K23-'Jul23'!K23</f>
        <v>-6518000</v>
      </c>
      <c r="W23" s="12">
        <f>+M23-'Jul23'!M23</f>
        <v>0</v>
      </c>
      <c r="Y23" s="28">
        <f>D23-'Jul23'!D23</f>
        <v>-4.0000000000000008E-2</v>
      </c>
      <c r="Z23" s="28">
        <f>F23-'Jul23'!F23</f>
        <v>4.9999999999999989E-2</v>
      </c>
      <c r="AA23" s="28">
        <f>H23-'Jul23'!H23</f>
        <v>0</v>
      </c>
      <c r="AB23" s="28">
        <f>J23-'Jul23'!J23</f>
        <v>-1.0000000000000002E-2</v>
      </c>
      <c r="AC23" s="28">
        <f>L23-'Jul23'!L23</f>
        <v>0</v>
      </c>
    </row>
    <row r="24" spans="1:29" x14ac:dyDescent="0.25">
      <c r="B24" s="3" t="s">
        <v>34</v>
      </c>
      <c r="C24" s="12">
        <v>275507810</v>
      </c>
      <c r="D24" s="14">
        <v>0.16919999999999999</v>
      </c>
      <c r="E24" s="12">
        <f t="shared" si="8"/>
        <v>46615921.452</v>
      </c>
      <c r="F24" s="14">
        <v>0.1588</v>
      </c>
      <c r="G24" s="12">
        <f t="shared" si="10"/>
        <v>43750640.228</v>
      </c>
      <c r="H24" s="14">
        <v>0.56100000000000005</v>
      </c>
      <c r="I24" s="12">
        <f t="shared" si="9"/>
        <v>154559881.41000003</v>
      </c>
      <c r="J24" s="14">
        <v>0.1032</v>
      </c>
      <c r="K24" s="12">
        <f t="shared" si="11"/>
        <v>28432405.991999999</v>
      </c>
      <c r="L24" s="14"/>
      <c r="M24" s="12">
        <f t="shared" si="11"/>
        <v>0</v>
      </c>
      <c r="N24" s="26">
        <v>7.7999999999999996E-3</v>
      </c>
      <c r="O24" s="12">
        <f t="shared" si="11"/>
        <v>341254.99377840001</v>
      </c>
      <c r="S24" s="12">
        <f>C24-'Jul23'!C24</f>
        <v>-3580032</v>
      </c>
      <c r="T24" s="12">
        <f>E24-'Jul23'!E24</f>
        <v>1347873.4795999974</v>
      </c>
      <c r="U24" s="12">
        <f>I24-'Jul23'!I24</f>
        <v>-6110989.2293999791</v>
      </c>
      <c r="V24" s="12">
        <f>K24-'Jul23'!K24</f>
        <v>2867959.6647999994</v>
      </c>
      <c r="W24" s="12">
        <f>+M24-'Jul23'!M24</f>
        <v>0</v>
      </c>
      <c r="Y24" s="28">
        <f>D24-'Jul23'!D24</f>
        <v>6.9999999999999785E-3</v>
      </c>
      <c r="Z24" s="28">
        <f>F24-'Jul23'!F24</f>
        <v>-3.7000000000000088E-3</v>
      </c>
      <c r="AA24" s="28">
        <f>H24-'Jul23'!H24</f>
        <v>-1.4699999999999935E-2</v>
      </c>
      <c r="AB24" s="28">
        <f>J24-'Jul23'!J24</f>
        <v>1.1599999999999999E-2</v>
      </c>
      <c r="AC24" s="28">
        <f>L24-'Jul23'!L24</f>
        <v>0</v>
      </c>
    </row>
    <row r="25" spans="1:29" x14ac:dyDescent="0.25">
      <c r="B25" s="3" t="s">
        <v>35</v>
      </c>
      <c r="C25" s="12">
        <v>220936058</v>
      </c>
      <c r="D25" s="14">
        <v>8.5999999999999993E-2</v>
      </c>
      <c r="E25" s="12">
        <f t="shared" si="8"/>
        <v>19000500.987999998</v>
      </c>
      <c r="F25" s="14">
        <f>0.303+0.042</f>
        <v>0.34499999999999997</v>
      </c>
      <c r="G25" s="12">
        <f t="shared" si="10"/>
        <v>76222940.00999999</v>
      </c>
      <c r="H25" s="14">
        <f>0.5+0.015</f>
        <v>0.51500000000000001</v>
      </c>
      <c r="I25" s="12">
        <f t="shared" si="9"/>
        <v>113782069.87</v>
      </c>
      <c r="J25" s="14">
        <v>5.3999999999999999E-2</v>
      </c>
      <c r="K25" s="12">
        <f t="shared" si="11"/>
        <v>11930547.131999999</v>
      </c>
      <c r="L25" s="16"/>
      <c r="M25" s="12">
        <f t="shared" si="11"/>
        <v>0</v>
      </c>
      <c r="N25" s="26"/>
      <c r="O25" s="12">
        <f t="shared" si="11"/>
        <v>0</v>
      </c>
      <c r="S25" s="12">
        <f>C25-'Jul23'!C25</f>
        <v>8184038</v>
      </c>
      <c r="T25" s="12">
        <f>E25-'Jul23'!E25</f>
        <v>-6316989.3920000009</v>
      </c>
      <c r="U25" s="12">
        <f>I25-'Jul23'!I25</f>
        <v>6342299.7700000107</v>
      </c>
      <c r="V25" s="12">
        <f>K25-'Jul23'!K25</f>
        <v>229186.03199999966</v>
      </c>
      <c r="W25" s="12">
        <f>+M25-'Jul23'!M25</f>
        <v>0</v>
      </c>
      <c r="Y25" s="28">
        <f>D25-'Jul23'!D25</f>
        <v>-3.3000000000000002E-2</v>
      </c>
      <c r="Z25" s="28">
        <f>F25-'Jul23'!F25</f>
        <v>2.4000000000000021E-2</v>
      </c>
      <c r="AA25" s="28">
        <f>H25-'Jul23'!H25</f>
        <v>1.0000000000000009E-2</v>
      </c>
      <c r="AB25" s="28">
        <f>J25-'Jul23'!J25</f>
        <v>-1.0000000000000009E-3</v>
      </c>
      <c r="AC25" s="28">
        <f>L25-'Jul23'!L25</f>
        <v>0</v>
      </c>
    </row>
    <row r="26" spans="1:29" x14ac:dyDescent="0.25">
      <c r="B26" s="3" t="s">
        <v>36</v>
      </c>
      <c r="C26" s="12">
        <v>345170000</v>
      </c>
      <c r="D26" s="19">
        <v>7.0000000000000007E-2</v>
      </c>
      <c r="E26" s="18">
        <f t="shared" si="8"/>
        <v>24161900.000000004</v>
      </c>
      <c r="F26" s="14">
        <v>0.16</v>
      </c>
      <c r="G26" s="12">
        <f t="shared" si="10"/>
        <v>55227200</v>
      </c>
      <c r="H26" s="19">
        <v>0.67</v>
      </c>
      <c r="I26" s="18">
        <f t="shared" si="9"/>
        <v>231263900</v>
      </c>
      <c r="J26" s="14">
        <v>0.1</v>
      </c>
      <c r="K26" s="12">
        <f t="shared" si="11"/>
        <v>34517000</v>
      </c>
      <c r="L26" s="16"/>
      <c r="M26" s="12">
        <f t="shared" si="11"/>
        <v>0</v>
      </c>
      <c r="N26" s="26"/>
      <c r="O26" s="12">
        <f t="shared" si="11"/>
        <v>0</v>
      </c>
      <c r="S26" s="12">
        <f>C26-'Jul23'!C26</f>
        <v>25530000</v>
      </c>
      <c r="T26" s="12">
        <f>E26-'Jul23'!E26</f>
        <v>-17391299.999999996</v>
      </c>
      <c r="U26" s="12">
        <f>I26-'Jul23'!I26</f>
        <v>17105100</v>
      </c>
      <c r="V26" s="12">
        <f>K26-'Jul23'!K26</f>
        <v>8945800</v>
      </c>
      <c r="W26" s="12">
        <f>+M26-'Jul23'!M26</f>
        <v>0</v>
      </c>
      <c r="Y26" s="28">
        <f>D26-'Jul23'!D26</f>
        <v>-0.06</v>
      </c>
      <c r="Z26" s="28">
        <f>F26-'Jul23'!F26</f>
        <v>4.0000000000000008E-2</v>
      </c>
      <c r="AA26" s="28">
        <f>H26-'Jul23'!H26</f>
        <v>0</v>
      </c>
      <c r="AB26" s="28">
        <f>J26-'Jul23'!J26</f>
        <v>2.0000000000000004E-2</v>
      </c>
      <c r="AC26" s="28">
        <f>L26-'Jul23'!L26</f>
        <v>0</v>
      </c>
    </row>
    <row r="27" spans="1:29" s="8" customFormat="1" x14ac:dyDescent="0.25">
      <c r="A27"/>
      <c r="B27" s="21" t="s">
        <v>45</v>
      </c>
      <c r="C27" s="20">
        <f>SUM(C18:C26)</f>
        <v>3653043534.0100002</v>
      </c>
      <c r="D27" s="15">
        <f>+E27/$C27</f>
        <v>0.12682407514361685</v>
      </c>
      <c r="E27" s="17">
        <f>SUM(E18:E26)</f>
        <v>463293867.66018796</v>
      </c>
      <c r="F27" s="15">
        <f>+G27/$C27</f>
        <v>0.16500040380912909</v>
      </c>
      <c r="G27" s="20">
        <f>SUM(G18:G26)</f>
        <v>602753658.24397802</v>
      </c>
      <c r="H27" s="15">
        <f>+I27/$C27</f>
        <v>0.5980581699357983</v>
      </c>
      <c r="I27" s="17">
        <f>SUM(I18:I26)</f>
        <v>2184732530.645822</v>
      </c>
      <c r="J27" s="15">
        <f>+K27/$C27</f>
        <v>0.10369464423248206</v>
      </c>
      <c r="K27" s="17">
        <f>SUM(K18:K26)</f>
        <v>378801049.62493598</v>
      </c>
      <c r="L27" s="15">
        <f>+M27/$C27</f>
        <v>0</v>
      </c>
      <c r="M27" s="17">
        <f>SUM(M18:M26)</f>
        <v>0</v>
      </c>
      <c r="N27" s="15">
        <f>+O27/$C27</f>
        <v>1.1926154153749603E-3</v>
      </c>
      <c r="O27" s="17">
        <f>SUM(O18:O26)</f>
        <v>4356676.0316961491</v>
      </c>
      <c r="S27" s="12">
        <f>C27-'Jul23'!C27</f>
        <v>-620960570.92000008</v>
      </c>
      <c r="T27" s="12">
        <f>E27-'Jul23'!E27</f>
        <v>-171263988.75818706</v>
      </c>
      <c r="U27" s="12">
        <f>I27-'Jul23'!I27</f>
        <v>-347240734.52880287</v>
      </c>
      <c r="V27" s="12">
        <f>K27-'Jul23'!K27</f>
        <v>-37382995.895624042</v>
      </c>
      <c r="W27" s="12">
        <f>+M27-'Jul23'!M27</f>
        <v>0</v>
      </c>
      <c r="Y27" s="28">
        <f>D27-'Jul23'!D27</f>
        <v>-2.1645098221570597E-2</v>
      </c>
      <c r="Z27" s="28">
        <f>F27-'Jul23'!F27</f>
        <v>1.1616592471849901E-2</v>
      </c>
      <c r="AA27" s="28">
        <f>H27-'Jul23'!H27</f>
        <v>5.6457147736632685E-3</v>
      </c>
      <c r="AB27" s="28">
        <f>J27-'Jul23'!J27</f>
        <v>6.3189666938250622E-3</v>
      </c>
      <c r="AC27" s="28">
        <f>L27-'Jul23'!L27</f>
        <v>0</v>
      </c>
    </row>
    <row r="28" spans="1:29" x14ac:dyDescent="0.25">
      <c r="C28" s="10"/>
      <c r="D28" s="10"/>
      <c r="E28" s="10"/>
      <c r="F28" s="5"/>
      <c r="G28" s="10"/>
      <c r="H28" s="10"/>
      <c r="I28" s="10"/>
      <c r="J28" s="5"/>
      <c r="K28" s="10"/>
    </row>
    <row r="29" spans="1:29" x14ac:dyDescent="0.25">
      <c r="B29" s="4" t="s">
        <v>38</v>
      </c>
      <c r="C29" s="9" t="s">
        <v>4</v>
      </c>
      <c r="D29" s="113" t="s">
        <v>7</v>
      </c>
      <c r="E29" s="113"/>
      <c r="F29" s="112" t="s">
        <v>8</v>
      </c>
      <c r="G29" s="112"/>
      <c r="H29" s="112" t="s">
        <v>10</v>
      </c>
      <c r="I29" s="112"/>
      <c r="J29" s="112" t="s">
        <v>9</v>
      </c>
      <c r="K29" s="112"/>
      <c r="L29" s="112" t="s">
        <v>40</v>
      </c>
      <c r="M29" s="112"/>
      <c r="N29" s="112" t="s">
        <v>55</v>
      </c>
      <c r="O29" s="112"/>
      <c r="S29" s="27" t="s">
        <v>49</v>
      </c>
      <c r="T29" s="27" t="s">
        <v>50</v>
      </c>
      <c r="U29" s="27" t="s">
        <v>51</v>
      </c>
      <c r="V29" s="27" t="s">
        <v>52</v>
      </c>
      <c r="W29" s="27" t="s">
        <v>54</v>
      </c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</row>
    <row r="30" spans="1:29" x14ac:dyDescent="0.25">
      <c r="B30" s="21" t="s">
        <v>39</v>
      </c>
      <c r="C30" s="22">
        <v>201766895.00999999</v>
      </c>
      <c r="D30" s="26">
        <v>7.6999999999999999E-2</v>
      </c>
      <c r="E30" s="23">
        <f>D30*C30</f>
        <v>15536050.91577</v>
      </c>
      <c r="F30" s="26">
        <f>0.084+0.044+0.036</f>
        <v>0.16400000000000001</v>
      </c>
      <c r="G30" s="22">
        <f>F30*C30</f>
        <v>33089770.781640001</v>
      </c>
      <c r="H30" s="26">
        <f>0.61+0.051+0.01</f>
        <v>0.67100000000000004</v>
      </c>
      <c r="I30" s="23">
        <f>H30*C30</f>
        <v>135385586.55171001</v>
      </c>
      <c r="J30" s="26">
        <v>0.115</v>
      </c>
      <c r="K30" s="23">
        <f>J30*C30</f>
        <v>23203192.926150002</v>
      </c>
      <c r="L30" s="39">
        <v>7.0999999999999994E-2</v>
      </c>
      <c r="M30" s="23">
        <f>L30*C30</f>
        <v>14325449.545709997</v>
      </c>
      <c r="N30" s="26">
        <v>3.4000000000000002E-2</v>
      </c>
      <c r="O30" s="23">
        <f>N30*E30</f>
        <v>528225.73113617999</v>
      </c>
      <c r="S30" s="12">
        <f>C30-'Jul23'!C30</f>
        <v>3029845.6699999869</v>
      </c>
      <c r="T30" s="12">
        <f>E30-'Jul23'!E30</f>
        <v>2021931.5606499985</v>
      </c>
      <c r="U30" s="12">
        <f>I30-'Jul23'!I30</f>
        <v>-6313929.6277100146</v>
      </c>
      <c r="V30" s="12">
        <f>K30-'Jul23'!K30</f>
        <v>-49041.846629999578</v>
      </c>
      <c r="W30" s="12">
        <f>+M30-'Jul23'!M30</f>
        <v>1010067.2399299964</v>
      </c>
      <c r="Y30" s="28">
        <f>D30-'Jul23'!D30</f>
        <v>8.9999999999999941E-3</v>
      </c>
      <c r="Z30" s="28">
        <f>F30-'Jul23'!F30</f>
        <v>1.0000000000000009E-3</v>
      </c>
      <c r="AA30" s="28">
        <f>H30-'Jul23'!H30</f>
        <v>-4.2000000000000037E-2</v>
      </c>
      <c r="AB30" s="28">
        <f>J30-'Jul23'!J30</f>
        <v>-2.0000000000000018E-3</v>
      </c>
      <c r="AC30" s="28">
        <f>L30-'Jul23'!L30</f>
        <v>3.9999999999999897E-3</v>
      </c>
    </row>
    <row r="31" spans="1:29" x14ac:dyDescent="0.25">
      <c r="B31" s="3" t="s">
        <v>56</v>
      </c>
      <c r="C31" s="12"/>
      <c r="D31" s="14"/>
      <c r="E31" s="12"/>
      <c r="F31" s="14"/>
      <c r="G31" s="12"/>
      <c r="H31" s="14"/>
      <c r="I31" s="12"/>
      <c r="J31" s="14"/>
      <c r="K31" s="12"/>
      <c r="L31" s="14"/>
      <c r="M31" s="12"/>
      <c r="N31" s="14"/>
      <c r="O31" s="12"/>
      <c r="S31" s="12">
        <f>C31-'Jul23'!C31</f>
        <v>0</v>
      </c>
      <c r="T31" s="12">
        <f>E31-'Jul23'!E31</f>
        <v>0</v>
      </c>
      <c r="U31" s="12">
        <f>I31-'Jul23'!I31</f>
        <v>0</v>
      </c>
      <c r="V31" s="12">
        <f>K31-'Jul23'!K31</f>
        <v>0</v>
      </c>
      <c r="W31" s="12">
        <f>+M31-'Jul23'!M31</f>
        <v>0</v>
      </c>
      <c r="Y31" s="28">
        <f>D31-'Jul23'!D31</f>
        <v>0</v>
      </c>
      <c r="Z31" s="28">
        <f>F31-'Jul23'!F31</f>
        <v>0</v>
      </c>
      <c r="AA31" s="28">
        <f>H31-'Jul23'!H31</f>
        <v>0</v>
      </c>
      <c r="AB31" s="28">
        <f>J31-'Jul23'!J31</f>
        <v>0</v>
      </c>
      <c r="AC31" s="28">
        <f>L31-'Jul23'!L31</f>
        <v>0</v>
      </c>
    </row>
    <row r="32" spans="1:29" x14ac:dyDescent="0.25">
      <c r="B32" s="3" t="s">
        <v>42</v>
      </c>
      <c r="C32" s="12">
        <v>226841072</v>
      </c>
      <c r="D32" s="14">
        <v>0.1</v>
      </c>
      <c r="E32" s="12">
        <f>D32*C32</f>
        <v>22684107.200000003</v>
      </c>
      <c r="F32" s="14">
        <v>0.12</v>
      </c>
      <c r="G32" s="12">
        <f>F32*C32</f>
        <v>27220928.640000001</v>
      </c>
      <c r="H32" s="14">
        <v>0.64</v>
      </c>
      <c r="I32" s="12">
        <f>H32*C32</f>
        <v>145178286.08000001</v>
      </c>
      <c r="J32" s="14">
        <v>0.05</v>
      </c>
      <c r="K32" s="12">
        <f>J32*C32</f>
        <v>11342053.600000001</v>
      </c>
      <c r="L32" s="14">
        <v>0.09</v>
      </c>
      <c r="M32" s="12">
        <f>L32*C32</f>
        <v>20415696.48</v>
      </c>
      <c r="N32" s="14"/>
      <c r="O32" s="12">
        <f>N32*E32</f>
        <v>0</v>
      </c>
      <c r="S32" s="12">
        <f>C32-'Jul23'!C32</f>
        <v>8663492</v>
      </c>
      <c r="T32" s="12">
        <f>E32-'Jul23'!E32</f>
        <v>5229900.8000000045</v>
      </c>
      <c r="U32" s="12">
        <f>I32-'Jul23'!I32</f>
        <v>9908186.4800000191</v>
      </c>
      <c r="V32" s="12">
        <f>K32-'Jul23'!K32</f>
        <v>-3930377</v>
      </c>
      <c r="W32" s="12">
        <f>+M32-'Jul23'!M32</f>
        <v>2961490.0800000019</v>
      </c>
      <c r="Y32" s="28">
        <f>D32-'Jul23'!D32</f>
        <v>2.0000000000000004E-2</v>
      </c>
      <c r="Z32" s="28">
        <f>F32-'Jul23'!F32</f>
        <v>0</v>
      </c>
      <c r="AA32" s="28">
        <f>H32-'Jul23'!H32</f>
        <v>2.0000000000000018E-2</v>
      </c>
      <c r="AB32" s="28">
        <f>J32-'Jul23'!J32</f>
        <v>-2.0000000000000004E-2</v>
      </c>
      <c r="AC32" s="28">
        <f>L32-'Jul23'!L32</f>
        <v>9.999999999999995E-3</v>
      </c>
    </row>
    <row r="33" spans="1:29" x14ac:dyDescent="0.25">
      <c r="B33" s="3" t="s">
        <v>43</v>
      </c>
      <c r="C33" s="12">
        <v>804626923</v>
      </c>
      <c r="D33" s="14">
        <v>0.09</v>
      </c>
      <c r="E33" s="12">
        <f>D33*C33</f>
        <v>72416423.069999993</v>
      </c>
      <c r="F33" s="14">
        <v>0.11</v>
      </c>
      <c r="G33" s="12">
        <f>F33*C33</f>
        <v>88508961.530000001</v>
      </c>
      <c r="H33" s="14">
        <v>0.66</v>
      </c>
      <c r="I33" s="12">
        <f>H33*C33</f>
        <v>531053769.18000001</v>
      </c>
      <c r="J33" s="14">
        <v>0.14000000000000001</v>
      </c>
      <c r="K33" s="12">
        <f>J33*C33</f>
        <v>112647769.22000001</v>
      </c>
      <c r="L33" s="14"/>
      <c r="M33" s="12">
        <f>L33*C33</f>
        <v>0</v>
      </c>
      <c r="N33" s="14"/>
      <c r="O33" s="12">
        <f>N33*E33</f>
        <v>0</v>
      </c>
      <c r="S33" s="12">
        <f>C33-'Jul23'!C33</f>
        <v>16719140</v>
      </c>
      <c r="T33" s="12">
        <f>E33-'Jul23'!E33</f>
        <v>25141956.089999996</v>
      </c>
      <c r="U33" s="12">
        <f>I33-'Jul23'!I33</f>
        <v>3155554.5699999928</v>
      </c>
      <c r="V33" s="12">
        <f>K33-'Jul23'!K33</f>
        <v>-5538398.2299999893</v>
      </c>
      <c r="W33" s="12">
        <f>+M33-'Jul23'!M33</f>
        <v>0</v>
      </c>
      <c r="Y33" s="28">
        <f>D33-'Jul23'!D33</f>
        <v>0.03</v>
      </c>
      <c r="Z33" s="28">
        <f>F33-'Jul23'!F33</f>
        <v>-9.999999999999995E-3</v>
      </c>
      <c r="AA33" s="28">
        <f>H33-'Jul23'!H33</f>
        <v>-1.0000000000000009E-2</v>
      </c>
      <c r="AB33" s="28">
        <f>J33-'Jul23'!J33</f>
        <v>-9.9999999999999811E-3</v>
      </c>
      <c r="AC33" s="28">
        <f>L33-'Jul23'!L33</f>
        <v>0</v>
      </c>
    </row>
    <row r="34" spans="1:29" x14ac:dyDescent="0.25">
      <c r="B34" s="3" t="s">
        <v>44</v>
      </c>
      <c r="C34" s="12">
        <v>20000000</v>
      </c>
      <c r="D34" s="14">
        <v>0.25</v>
      </c>
      <c r="E34" s="12">
        <f>D34*C34</f>
        <v>5000000</v>
      </c>
      <c r="F34" s="14"/>
      <c r="G34" s="12">
        <f>F34*C34</f>
        <v>0</v>
      </c>
      <c r="H34" s="14">
        <v>0.52</v>
      </c>
      <c r="I34" s="12">
        <f>H34*C34</f>
        <v>10400000</v>
      </c>
      <c r="J34" s="14"/>
      <c r="K34" s="12">
        <f>J34*C34</f>
        <v>0</v>
      </c>
      <c r="L34" s="14">
        <v>0.22</v>
      </c>
      <c r="M34" s="12">
        <f>L34*C34</f>
        <v>4400000</v>
      </c>
      <c r="N34" s="14"/>
      <c r="O34" s="12">
        <f>N34*E34</f>
        <v>0</v>
      </c>
      <c r="S34" s="12">
        <f>C34-'Jul23'!C34</f>
        <v>-200000</v>
      </c>
      <c r="T34" s="12">
        <f>E34-'Jul23'!E34</f>
        <v>556000</v>
      </c>
      <c r="U34" s="12">
        <f>I34-'Jul23'!I34</f>
        <v>-508000</v>
      </c>
      <c r="V34" s="12">
        <f>K34-'Jul23'!K34</f>
        <v>0</v>
      </c>
      <c r="W34" s="12">
        <f>+M34-'Jul23'!M34</f>
        <v>-448000</v>
      </c>
      <c r="Y34" s="28">
        <f>D34-'Jul23'!D34</f>
        <v>0.03</v>
      </c>
      <c r="Z34" s="28">
        <f>F34-'Jul23'!F34</f>
        <v>0</v>
      </c>
      <c r="AA34" s="28">
        <f>H34-'Jul23'!H34</f>
        <v>-2.0000000000000018E-2</v>
      </c>
      <c r="AB34" s="28">
        <f>J34-'Jul23'!J34</f>
        <v>0</v>
      </c>
      <c r="AC34" s="28">
        <f>L34-'Jul23'!L34</f>
        <v>-1.999999999999999E-2</v>
      </c>
    </row>
    <row r="35" spans="1:29" s="8" customFormat="1" x14ac:dyDescent="0.25">
      <c r="A35"/>
      <c r="B35" s="3" t="s">
        <v>45</v>
      </c>
      <c r="C35" s="17">
        <f>SUM(C30:C34)</f>
        <v>1253234890.01</v>
      </c>
      <c r="D35" s="15">
        <f>+E35/$C35</f>
        <v>9.2270477073014862E-2</v>
      </c>
      <c r="E35" s="17">
        <f>SUM(E30:E34)</f>
        <v>115636581.18577</v>
      </c>
      <c r="F35" s="15">
        <f>+G35/$C35</f>
        <v>0.11874841830365297</v>
      </c>
      <c r="G35" s="17">
        <f>SUM(G30:G34)</f>
        <v>148819660.95164001</v>
      </c>
      <c r="H35" s="15">
        <f>+I35/$C35</f>
        <v>0.6559166588516786</v>
      </c>
      <c r="I35" s="17">
        <f>SUM(I30:I34)</f>
        <v>822017641.81171012</v>
      </c>
      <c r="J35" s="15">
        <f>+K35/$C35</f>
        <v>0.11745046113819534</v>
      </c>
      <c r="K35" s="17">
        <f>SUM(K30:K34)</f>
        <v>147193015.74615002</v>
      </c>
      <c r="L35" s="15">
        <f>+M35/$C35</f>
        <v>3.1232090917447792E-2</v>
      </c>
      <c r="M35" s="17">
        <f>SUM(M30:M34)</f>
        <v>39141146.025710002</v>
      </c>
      <c r="N35" s="15">
        <f>+O35/$C35</f>
        <v>4.214898063777694E-4</v>
      </c>
      <c r="O35" s="17">
        <f>SUM(O30:O34)</f>
        <v>528225.73113617999</v>
      </c>
      <c r="S35" s="12">
        <f>C35-'Jul23'!C35</f>
        <v>28212477.669999838</v>
      </c>
      <c r="T35" s="12">
        <f>E35-'Jul23'!E35</f>
        <v>32949788.450650007</v>
      </c>
      <c r="U35" s="12">
        <f>I35-'Jul23'!I35</f>
        <v>6241811.4222900867</v>
      </c>
      <c r="V35" s="12">
        <f>K35-'Jul23'!K35</f>
        <v>-9517817.0766299963</v>
      </c>
      <c r="W35" s="12">
        <f>+M35-'Jul23'!M35</f>
        <v>3523557.3199300021</v>
      </c>
      <c r="Y35" s="28">
        <f>D35-'Jul23'!D35</f>
        <v>2.4772289364616756E-2</v>
      </c>
      <c r="Z35" s="28">
        <f>F35-'Jul23'!F35</f>
        <v>-6.248790775915225E-3</v>
      </c>
      <c r="AA35" s="28">
        <f>H35-'Jul23'!H35</f>
        <v>-1.0010610863452674E-2</v>
      </c>
      <c r="AB35" s="28">
        <f>J35-'Jul23'!J35</f>
        <v>-1.0474408843110392E-2</v>
      </c>
      <c r="AC35" s="28">
        <f>L35-'Jul23'!L35</f>
        <v>2.1570402514404854E-3</v>
      </c>
    </row>
    <row r="37" spans="1:29" x14ac:dyDescent="0.25">
      <c r="E37"/>
    </row>
    <row r="38" spans="1:29" x14ac:dyDescent="0.25">
      <c r="D38" s="38"/>
    </row>
    <row r="39" spans="1:29" x14ac:dyDescent="0.25">
      <c r="C39" s="30"/>
      <c r="D39" s="35"/>
    </row>
    <row r="40" spans="1:29" x14ac:dyDescent="0.25">
      <c r="C40" s="37"/>
      <c r="D40" s="35"/>
    </row>
    <row r="41" spans="1:29" x14ac:dyDescent="0.25">
      <c r="C41" s="37"/>
      <c r="D41" s="35"/>
    </row>
    <row r="42" spans="1:29" x14ac:dyDescent="0.25">
      <c r="C42" s="37"/>
      <c r="D42" s="35"/>
    </row>
    <row r="43" spans="1:29" x14ac:dyDescent="0.25">
      <c r="C43" s="37"/>
      <c r="D43" s="35"/>
    </row>
    <row r="44" spans="1:29" x14ac:dyDescent="0.25">
      <c r="C44" s="37"/>
      <c r="D44" s="35"/>
      <c r="E44" s="37"/>
    </row>
    <row r="45" spans="1:29" x14ac:dyDescent="0.25">
      <c r="C45" s="37"/>
      <c r="D45" s="35"/>
    </row>
    <row r="46" spans="1:29" x14ac:dyDescent="0.25">
      <c r="C46" s="37"/>
      <c r="D46" s="35"/>
    </row>
    <row r="47" spans="1:29" x14ac:dyDescent="0.25">
      <c r="C47" s="37"/>
      <c r="D47" s="35"/>
    </row>
    <row r="48" spans="1:29" x14ac:dyDescent="0.25">
      <c r="C48" s="37"/>
      <c r="D48" s="35"/>
    </row>
    <row r="49" spans="3:4" x14ac:dyDescent="0.25">
      <c r="C49" s="37"/>
      <c r="D49" s="35"/>
    </row>
    <row r="50" spans="3:4" x14ac:dyDescent="0.25">
      <c r="C50" s="37"/>
      <c r="D50" s="35"/>
    </row>
    <row r="51" spans="3:4" x14ac:dyDescent="0.25">
      <c r="C51" s="37"/>
      <c r="D51" s="35"/>
    </row>
    <row r="52" spans="3:4" x14ac:dyDescent="0.25">
      <c r="C52" s="37"/>
      <c r="D52" s="35"/>
    </row>
    <row r="53" spans="3:4" x14ac:dyDescent="0.25">
      <c r="C53" s="37"/>
      <c r="D53" s="35"/>
    </row>
    <row r="54" spans="3:4" x14ac:dyDescent="0.25">
      <c r="C54" s="37"/>
      <c r="D54" s="35"/>
    </row>
    <row r="55" spans="3:4" x14ac:dyDescent="0.25">
      <c r="C55" s="37"/>
      <c r="D55" s="35"/>
    </row>
    <row r="56" spans="3:4" x14ac:dyDescent="0.25">
      <c r="C56" s="37"/>
      <c r="D56" s="35"/>
    </row>
    <row r="57" spans="3:4" x14ac:dyDescent="0.25">
      <c r="C57" s="37"/>
      <c r="D57" s="35"/>
    </row>
    <row r="58" spans="3:4" x14ac:dyDescent="0.25">
      <c r="C58" s="37"/>
      <c r="D58" s="35"/>
    </row>
    <row r="59" spans="3:4" x14ac:dyDescent="0.25">
      <c r="C59" s="37"/>
      <c r="D59" s="35"/>
    </row>
    <row r="60" spans="3:4" x14ac:dyDescent="0.25">
      <c r="C60" s="37"/>
      <c r="D60" s="35"/>
    </row>
    <row r="61" spans="3:4" x14ac:dyDescent="0.25">
      <c r="C61" s="37"/>
      <c r="D61" s="35"/>
    </row>
    <row r="62" spans="3:4" x14ac:dyDescent="0.25">
      <c r="C62" s="37"/>
      <c r="D62" s="35"/>
    </row>
    <row r="63" spans="3:4" x14ac:dyDescent="0.25">
      <c r="C63" s="37"/>
      <c r="D63" s="35"/>
    </row>
    <row r="64" spans="3:4" x14ac:dyDescent="0.25">
      <c r="C64" s="37"/>
      <c r="D64" s="35"/>
    </row>
    <row r="65" spans="3:4" x14ac:dyDescent="0.25">
      <c r="C65" s="37"/>
      <c r="D65" s="35"/>
    </row>
    <row r="66" spans="3:4" x14ac:dyDescent="0.25">
      <c r="C66" s="37"/>
      <c r="D66" s="35"/>
    </row>
    <row r="67" spans="3:4" x14ac:dyDescent="0.25">
      <c r="C67" s="37"/>
      <c r="D67" s="35"/>
    </row>
    <row r="68" spans="3:4" x14ac:dyDescent="0.25">
      <c r="C68" s="37"/>
      <c r="D68" s="35"/>
    </row>
    <row r="69" spans="3:4" x14ac:dyDescent="0.25">
      <c r="C69" s="37"/>
      <c r="D69" s="35"/>
    </row>
    <row r="70" spans="3:4" x14ac:dyDescent="0.25">
      <c r="C70" s="37"/>
      <c r="D70" s="35"/>
    </row>
    <row r="71" spans="3:4" x14ac:dyDescent="0.25">
      <c r="C71" s="37"/>
      <c r="D71" s="35"/>
    </row>
    <row r="72" spans="3:4" x14ac:dyDescent="0.25">
      <c r="C72" s="37"/>
      <c r="D72" s="35"/>
    </row>
    <row r="73" spans="3:4" x14ac:dyDescent="0.25">
      <c r="C73" s="37"/>
      <c r="D73" s="35"/>
    </row>
    <row r="74" spans="3:4" x14ac:dyDescent="0.25">
      <c r="C74" s="37"/>
      <c r="D74" s="35"/>
    </row>
    <row r="75" spans="3:4" x14ac:dyDescent="0.25">
      <c r="C75" s="37"/>
      <c r="D75" s="35"/>
    </row>
    <row r="76" spans="3:4" x14ac:dyDescent="0.25">
      <c r="C76" s="37"/>
      <c r="D76" s="35"/>
    </row>
    <row r="77" spans="3:4" x14ac:dyDescent="0.25">
      <c r="C77" s="37"/>
      <c r="D77" s="35"/>
    </row>
    <row r="78" spans="3:4" x14ac:dyDescent="0.25">
      <c r="C78" s="37"/>
      <c r="D78" s="35"/>
    </row>
    <row r="79" spans="3:4" x14ac:dyDescent="0.25">
      <c r="C79" s="37"/>
      <c r="D79" s="35"/>
    </row>
    <row r="80" spans="3:4" x14ac:dyDescent="0.25">
      <c r="C80" s="37"/>
      <c r="D80" s="35"/>
    </row>
    <row r="81" spans="3:4" x14ac:dyDescent="0.25">
      <c r="C81" s="37"/>
      <c r="D81" s="35"/>
    </row>
    <row r="82" spans="3:4" x14ac:dyDescent="0.25">
      <c r="C82" s="37"/>
      <c r="D82" s="35"/>
    </row>
    <row r="83" spans="3:4" x14ac:dyDescent="0.25">
      <c r="C83" s="37"/>
      <c r="D83" s="35"/>
    </row>
    <row r="84" spans="3:4" x14ac:dyDescent="0.25">
      <c r="C84" s="37"/>
      <c r="D84" s="35"/>
    </row>
    <row r="85" spans="3:4" x14ac:dyDescent="0.25">
      <c r="C85" s="37"/>
      <c r="D85" s="35"/>
    </row>
    <row r="86" spans="3:4" x14ac:dyDescent="0.25">
      <c r="C86" s="37"/>
      <c r="D86" s="35"/>
    </row>
    <row r="87" spans="3:4" x14ac:dyDescent="0.25">
      <c r="C87" s="37"/>
      <c r="D87" s="35"/>
    </row>
    <row r="88" spans="3:4" x14ac:dyDescent="0.25">
      <c r="C88" s="37"/>
      <c r="D88" s="35"/>
    </row>
    <row r="89" spans="3:4" x14ac:dyDescent="0.25">
      <c r="C89" s="37"/>
      <c r="D89" s="35"/>
    </row>
    <row r="90" spans="3:4" x14ac:dyDescent="0.25">
      <c r="C90" s="37"/>
      <c r="D90" s="35"/>
    </row>
    <row r="91" spans="3:4" x14ac:dyDescent="0.25">
      <c r="C91" s="37"/>
      <c r="D91" s="35"/>
    </row>
    <row r="92" spans="3:4" x14ac:dyDescent="0.25">
      <c r="C92" s="37"/>
      <c r="D92" s="35"/>
    </row>
    <row r="93" spans="3:4" x14ac:dyDescent="0.25">
      <c r="C93" s="37"/>
      <c r="D93" s="35"/>
    </row>
    <row r="94" spans="3:4" x14ac:dyDescent="0.25">
      <c r="C94" s="37"/>
      <c r="D94" s="35"/>
    </row>
    <row r="95" spans="3:4" x14ac:dyDescent="0.25">
      <c r="C95" s="37"/>
      <c r="D95" s="35"/>
    </row>
    <row r="96" spans="3:4" x14ac:dyDescent="0.25">
      <c r="C96" s="37"/>
      <c r="D96" s="35"/>
    </row>
    <row r="97" spans="3:4" x14ac:dyDescent="0.25">
      <c r="C97" s="37"/>
      <c r="D97" s="35"/>
    </row>
    <row r="98" spans="3:4" x14ac:dyDescent="0.25">
      <c r="C98" s="37"/>
      <c r="D98" s="35"/>
    </row>
    <row r="99" spans="3:4" x14ac:dyDescent="0.25">
      <c r="C99" s="37"/>
      <c r="D99" s="35"/>
    </row>
    <row r="100" spans="3:4" x14ac:dyDescent="0.25">
      <c r="C100" s="37"/>
      <c r="D100" s="35"/>
    </row>
    <row r="101" spans="3:4" x14ac:dyDescent="0.25">
      <c r="C101" s="37"/>
      <c r="D101" s="35"/>
    </row>
    <row r="102" spans="3:4" x14ac:dyDescent="0.25">
      <c r="C102" s="37"/>
      <c r="D102" s="35"/>
    </row>
    <row r="103" spans="3:4" x14ac:dyDescent="0.25">
      <c r="C103" s="37"/>
      <c r="D103" s="35"/>
    </row>
    <row r="104" spans="3:4" x14ac:dyDescent="0.25">
      <c r="C104" s="37"/>
      <c r="D104" s="35"/>
    </row>
    <row r="105" spans="3:4" x14ac:dyDescent="0.25">
      <c r="C105" s="37"/>
      <c r="D105" s="35"/>
    </row>
    <row r="106" spans="3:4" x14ac:dyDescent="0.25">
      <c r="C106" s="37"/>
      <c r="D106" s="35"/>
    </row>
    <row r="107" spans="3:4" x14ac:dyDescent="0.25">
      <c r="C107" s="37"/>
      <c r="D107" s="35"/>
    </row>
    <row r="108" spans="3:4" x14ac:dyDescent="0.25">
      <c r="C108" s="37"/>
      <c r="D108" s="35"/>
    </row>
    <row r="109" spans="3:4" x14ac:dyDescent="0.25">
      <c r="C109" s="37"/>
      <c r="D109" s="35"/>
    </row>
    <row r="110" spans="3:4" x14ac:dyDescent="0.25">
      <c r="C110" s="37"/>
      <c r="D110" s="35"/>
    </row>
    <row r="111" spans="3:4" x14ac:dyDescent="0.25">
      <c r="C111" s="37"/>
      <c r="D111" s="35"/>
    </row>
    <row r="112" spans="3:4" x14ac:dyDescent="0.25">
      <c r="C112" s="37"/>
      <c r="D112" s="35"/>
    </row>
    <row r="113" spans="3:4" x14ac:dyDescent="0.25">
      <c r="C113" s="37"/>
      <c r="D113" s="35"/>
    </row>
    <row r="114" spans="3:4" x14ac:dyDescent="0.25">
      <c r="C114" s="37"/>
      <c r="D114" s="35"/>
    </row>
    <row r="115" spans="3:4" x14ac:dyDescent="0.25">
      <c r="C115" s="37"/>
      <c r="D115" s="35"/>
    </row>
    <row r="116" spans="3:4" x14ac:dyDescent="0.25">
      <c r="C116" s="37"/>
      <c r="D116" s="35"/>
    </row>
    <row r="117" spans="3:4" x14ac:dyDescent="0.25">
      <c r="C117" s="37"/>
      <c r="D117" s="35"/>
    </row>
    <row r="118" spans="3:4" x14ac:dyDescent="0.25">
      <c r="C118" s="37"/>
      <c r="D118" s="35"/>
    </row>
    <row r="119" spans="3:4" x14ac:dyDescent="0.25">
      <c r="C119" s="37"/>
      <c r="D119" s="35"/>
    </row>
    <row r="120" spans="3:4" x14ac:dyDescent="0.25">
      <c r="C120" s="37"/>
      <c r="D120" s="35"/>
    </row>
    <row r="121" spans="3:4" x14ac:dyDescent="0.25">
      <c r="C121" s="37"/>
      <c r="D121" s="35"/>
    </row>
    <row r="122" spans="3:4" x14ac:dyDescent="0.25">
      <c r="C122" s="37"/>
      <c r="D122" s="35"/>
    </row>
    <row r="123" spans="3:4" x14ac:dyDescent="0.25">
      <c r="C123" s="37"/>
      <c r="D123" s="35"/>
    </row>
    <row r="124" spans="3:4" x14ac:dyDescent="0.25">
      <c r="C124" s="37"/>
      <c r="D124" s="35"/>
    </row>
    <row r="125" spans="3:4" x14ac:dyDescent="0.25">
      <c r="C125" s="37"/>
      <c r="D125" s="35"/>
    </row>
    <row r="126" spans="3:4" x14ac:dyDescent="0.25">
      <c r="C126" s="37"/>
      <c r="D126" s="35"/>
    </row>
    <row r="127" spans="3:4" x14ac:dyDescent="0.25">
      <c r="C127" s="37"/>
      <c r="D127" s="35"/>
    </row>
    <row r="128" spans="3:4" x14ac:dyDescent="0.25">
      <c r="C128" s="37"/>
      <c r="D128" s="35"/>
    </row>
    <row r="129" spans="3:4" x14ac:dyDescent="0.25">
      <c r="C129" s="37"/>
      <c r="D129" s="35"/>
    </row>
    <row r="130" spans="3:4" x14ac:dyDescent="0.25">
      <c r="C130" s="37"/>
      <c r="D130" s="35"/>
    </row>
    <row r="131" spans="3:4" x14ac:dyDescent="0.25">
      <c r="C131" s="37"/>
      <c r="D131" s="35"/>
    </row>
    <row r="132" spans="3:4" x14ac:dyDescent="0.25">
      <c r="C132" s="37"/>
      <c r="D132" s="35"/>
    </row>
    <row r="133" spans="3:4" x14ac:dyDescent="0.25">
      <c r="C133" s="37"/>
      <c r="D133" s="35"/>
    </row>
    <row r="134" spans="3:4" x14ac:dyDescent="0.25">
      <c r="C134" s="37"/>
      <c r="D134" s="35"/>
    </row>
    <row r="135" spans="3:4" x14ac:dyDescent="0.25">
      <c r="C135" s="37"/>
      <c r="D135" s="35"/>
    </row>
    <row r="136" spans="3:4" x14ac:dyDescent="0.25">
      <c r="C136" s="37"/>
      <c r="D136" s="35"/>
    </row>
    <row r="137" spans="3:4" x14ac:dyDescent="0.25">
      <c r="C137" s="37"/>
      <c r="D137" s="35"/>
    </row>
    <row r="138" spans="3:4" x14ac:dyDescent="0.25">
      <c r="C138" s="37"/>
      <c r="D138" s="35"/>
    </row>
    <row r="139" spans="3:4" x14ac:dyDescent="0.25">
      <c r="C139" s="37"/>
      <c r="D139" s="35"/>
    </row>
    <row r="140" spans="3:4" x14ac:dyDescent="0.25">
      <c r="C140" s="37"/>
      <c r="D140" s="35"/>
    </row>
    <row r="141" spans="3:4" x14ac:dyDescent="0.25">
      <c r="C141" s="37"/>
      <c r="D141" s="35"/>
    </row>
    <row r="142" spans="3:4" x14ac:dyDescent="0.25">
      <c r="C142" s="37"/>
      <c r="D142" s="35"/>
    </row>
    <row r="143" spans="3:4" x14ac:dyDescent="0.25">
      <c r="C143" s="37"/>
      <c r="D143" s="35"/>
    </row>
    <row r="144" spans="3:4" x14ac:dyDescent="0.25">
      <c r="C144" s="37"/>
      <c r="D144" s="35"/>
    </row>
    <row r="145" spans="3:4" x14ac:dyDescent="0.25">
      <c r="C145" s="37"/>
      <c r="D145" s="35"/>
    </row>
    <row r="146" spans="3:4" x14ac:dyDescent="0.25">
      <c r="C146" s="37"/>
      <c r="D146" s="35"/>
    </row>
    <row r="147" spans="3:4" x14ac:dyDescent="0.25">
      <c r="C147" s="37"/>
      <c r="D147" s="35"/>
    </row>
    <row r="148" spans="3:4" x14ac:dyDescent="0.25">
      <c r="C148" s="37"/>
      <c r="D148" s="35"/>
    </row>
    <row r="149" spans="3:4" x14ac:dyDescent="0.25">
      <c r="C149" s="37"/>
      <c r="D149" s="35"/>
    </row>
    <row r="150" spans="3:4" x14ac:dyDescent="0.25">
      <c r="C150" s="37"/>
      <c r="D150" s="35"/>
    </row>
    <row r="151" spans="3:4" x14ac:dyDescent="0.25">
      <c r="C151" s="37"/>
      <c r="D151" s="35"/>
    </row>
    <row r="152" spans="3:4" x14ac:dyDescent="0.25">
      <c r="C152" s="37"/>
      <c r="D152" s="35"/>
    </row>
    <row r="153" spans="3:4" x14ac:dyDescent="0.25">
      <c r="C153" s="37"/>
      <c r="D153" s="35"/>
    </row>
    <row r="154" spans="3:4" x14ac:dyDescent="0.25">
      <c r="C154" s="37"/>
      <c r="D154" s="35"/>
    </row>
    <row r="155" spans="3:4" x14ac:dyDescent="0.25">
      <c r="C155" s="37"/>
      <c r="D155" s="35"/>
    </row>
    <row r="156" spans="3:4" x14ac:dyDescent="0.25">
      <c r="C156" s="37"/>
      <c r="D156" s="35"/>
    </row>
    <row r="157" spans="3:4" x14ac:dyDescent="0.25">
      <c r="C157" s="37"/>
      <c r="D157" s="35"/>
    </row>
    <row r="158" spans="3:4" x14ac:dyDescent="0.25">
      <c r="C158" s="37"/>
      <c r="D158" s="35"/>
    </row>
    <row r="159" spans="3:4" x14ac:dyDescent="0.25">
      <c r="C159" s="37"/>
      <c r="D159" s="35"/>
    </row>
    <row r="160" spans="3:4" x14ac:dyDescent="0.25">
      <c r="C160" s="37"/>
      <c r="D160" s="35"/>
    </row>
    <row r="161" spans="3:4" x14ac:dyDescent="0.25">
      <c r="C161" s="37"/>
      <c r="D161" s="35"/>
    </row>
    <row r="162" spans="3:4" x14ac:dyDescent="0.25">
      <c r="C162" s="37"/>
      <c r="D162" s="35"/>
    </row>
    <row r="163" spans="3:4" x14ac:dyDescent="0.25">
      <c r="C163" s="37"/>
      <c r="D163" s="35"/>
    </row>
    <row r="164" spans="3:4" x14ac:dyDescent="0.25">
      <c r="C164" s="37"/>
      <c r="D164" s="35"/>
    </row>
    <row r="165" spans="3:4" x14ac:dyDescent="0.25">
      <c r="C165" s="37"/>
      <c r="D165" s="35"/>
    </row>
    <row r="166" spans="3:4" x14ac:dyDescent="0.25">
      <c r="C166" s="37"/>
      <c r="D166" s="35"/>
    </row>
    <row r="167" spans="3:4" x14ac:dyDescent="0.25">
      <c r="C167" s="37"/>
      <c r="D167" s="35"/>
    </row>
    <row r="168" spans="3:4" x14ac:dyDescent="0.25">
      <c r="C168" s="37"/>
      <c r="D168" s="35"/>
    </row>
    <row r="169" spans="3:4" x14ac:dyDescent="0.25">
      <c r="C169" s="37"/>
      <c r="D169" s="35"/>
    </row>
    <row r="170" spans="3:4" x14ac:dyDescent="0.25">
      <c r="C170" s="37"/>
      <c r="D170" s="35"/>
    </row>
    <row r="171" spans="3:4" x14ac:dyDescent="0.25">
      <c r="C171" s="37"/>
      <c r="D171" s="35"/>
    </row>
    <row r="172" spans="3:4" x14ac:dyDescent="0.25">
      <c r="C172" s="37"/>
      <c r="D172" s="35"/>
    </row>
    <row r="173" spans="3:4" x14ac:dyDescent="0.25">
      <c r="C173" s="37"/>
      <c r="D173" s="35"/>
    </row>
    <row r="174" spans="3:4" x14ac:dyDescent="0.25">
      <c r="C174" s="37"/>
      <c r="D174" s="35"/>
    </row>
    <row r="175" spans="3:4" x14ac:dyDescent="0.25">
      <c r="C175" s="37"/>
      <c r="D175" s="35"/>
    </row>
    <row r="176" spans="3:4" x14ac:dyDescent="0.25">
      <c r="C176" s="37"/>
      <c r="D176" s="35"/>
    </row>
    <row r="177" spans="3:4" x14ac:dyDescent="0.25">
      <c r="C177" s="37"/>
      <c r="D177" s="35"/>
    </row>
    <row r="178" spans="3:4" x14ac:dyDescent="0.25">
      <c r="C178" s="37"/>
      <c r="D178" s="35"/>
    </row>
    <row r="179" spans="3:4" x14ac:dyDescent="0.25">
      <c r="C179" s="37"/>
      <c r="D179" s="35"/>
    </row>
    <row r="180" spans="3:4" x14ac:dyDescent="0.25">
      <c r="C180" s="37"/>
      <c r="D180" s="35"/>
    </row>
    <row r="181" spans="3:4" x14ac:dyDescent="0.25">
      <c r="C181" s="37"/>
      <c r="D181" s="35"/>
    </row>
    <row r="182" spans="3:4" x14ac:dyDescent="0.25">
      <c r="C182" s="37"/>
      <c r="D182" s="35"/>
    </row>
    <row r="183" spans="3:4" x14ac:dyDescent="0.25">
      <c r="C183" s="37"/>
      <c r="D183" s="35"/>
    </row>
    <row r="184" spans="3:4" x14ac:dyDescent="0.25">
      <c r="C184" s="37"/>
      <c r="D184" s="35"/>
    </row>
    <row r="185" spans="3:4" x14ac:dyDescent="0.25">
      <c r="C185" s="37"/>
      <c r="D185" s="35"/>
    </row>
    <row r="186" spans="3:4" x14ac:dyDescent="0.25">
      <c r="C186" s="37"/>
      <c r="D186" s="35"/>
    </row>
    <row r="187" spans="3:4" x14ac:dyDescent="0.25">
      <c r="C187" s="37"/>
      <c r="D187" s="35"/>
    </row>
    <row r="188" spans="3:4" x14ac:dyDescent="0.25">
      <c r="C188" s="37"/>
      <c r="D188" s="35"/>
    </row>
    <row r="189" spans="3:4" x14ac:dyDescent="0.25">
      <c r="C189" s="37"/>
      <c r="D189" s="35"/>
    </row>
    <row r="190" spans="3:4" x14ac:dyDescent="0.25">
      <c r="C190" s="37"/>
      <c r="D190" s="35"/>
    </row>
    <row r="191" spans="3:4" x14ac:dyDescent="0.25">
      <c r="C191" s="37"/>
      <c r="D191" s="35"/>
    </row>
    <row r="192" spans="3:4" x14ac:dyDescent="0.25">
      <c r="C192" s="37"/>
      <c r="D192" s="35"/>
    </row>
    <row r="193" spans="3:4" x14ac:dyDescent="0.25">
      <c r="C193" s="37"/>
      <c r="D193" s="35"/>
    </row>
    <row r="194" spans="3:4" x14ac:dyDescent="0.25">
      <c r="C194" s="37"/>
      <c r="D194" s="35"/>
    </row>
    <row r="195" spans="3:4" x14ac:dyDescent="0.25">
      <c r="C195" s="37"/>
      <c r="D195" s="35"/>
    </row>
    <row r="196" spans="3:4" x14ac:dyDescent="0.25">
      <c r="C196" s="37"/>
      <c r="D196" s="35"/>
    </row>
    <row r="197" spans="3:4" x14ac:dyDescent="0.25">
      <c r="C197" s="37"/>
      <c r="D197" s="35"/>
    </row>
    <row r="198" spans="3:4" x14ac:dyDescent="0.25">
      <c r="C198" s="37"/>
      <c r="D198" s="35"/>
    </row>
    <row r="199" spans="3:4" x14ac:dyDescent="0.25">
      <c r="C199" s="37"/>
      <c r="D199" s="35"/>
    </row>
    <row r="200" spans="3:4" x14ac:dyDescent="0.25">
      <c r="C200" s="37"/>
      <c r="D200" s="35"/>
    </row>
    <row r="201" spans="3:4" x14ac:dyDescent="0.25">
      <c r="C201" s="37"/>
      <c r="D201" s="35"/>
    </row>
    <row r="202" spans="3:4" x14ac:dyDescent="0.25">
      <c r="C202" s="37"/>
      <c r="D202" s="35"/>
    </row>
    <row r="203" spans="3:4" x14ac:dyDescent="0.25">
      <c r="C203" s="37"/>
      <c r="D203" s="35"/>
    </row>
    <row r="204" spans="3:4" x14ac:dyDescent="0.25">
      <c r="C204" s="37"/>
      <c r="D204" s="35"/>
    </row>
    <row r="205" spans="3:4" x14ac:dyDescent="0.25">
      <c r="C205" s="37"/>
      <c r="D205" s="35"/>
    </row>
    <row r="206" spans="3:4" x14ac:dyDescent="0.25">
      <c r="C206" s="37"/>
      <c r="D206" s="35"/>
    </row>
    <row r="207" spans="3:4" x14ac:dyDescent="0.25">
      <c r="C207" s="37"/>
      <c r="D207" s="35"/>
    </row>
    <row r="208" spans="3:4" x14ac:dyDescent="0.25">
      <c r="C208" s="37"/>
      <c r="D208" s="35"/>
    </row>
    <row r="209" spans="3:4" x14ac:dyDescent="0.25">
      <c r="C209" s="37"/>
      <c r="D209" s="35"/>
    </row>
    <row r="210" spans="3:4" x14ac:dyDescent="0.25">
      <c r="C210" s="37"/>
      <c r="D210" s="35"/>
    </row>
    <row r="211" spans="3:4" x14ac:dyDescent="0.25">
      <c r="C211" s="37"/>
      <c r="D211" s="35"/>
    </row>
    <row r="212" spans="3:4" x14ac:dyDescent="0.25">
      <c r="C212" s="37"/>
      <c r="D212" s="35"/>
    </row>
    <row r="213" spans="3:4" x14ac:dyDescent="0.25">
      <c r="C213" s="37"/>
      <c r="D213" s="35"/>
    </row>
    <row r="214" spans="3:4" x14ac:dyDescent="0.25">
      <c r="C214" s="37"/>
      <c r="D214" s="35"/>
    </row>
    <row r="215" spans="3:4" x14ac:dyDescent="0.25">
      <c r="C215" s="37"/>
      <c r="D215" s="35"/>
    </row>
    <row r="216" spans="3:4" x14ac:dyDescent="0.25">
      <c r="C216" s="37"/>
      <c r="D216" s="35"/>
    </row>
    <row r="217" spans="3:4" x14ac:dyDescent="0.25">
      <c r="C217" s="37"/>
      <c r="D217" s="35"/>
    </row>
    <row r="218" spans="3:4" x14ac:dyDescent="0.25">
      <c r="C218" s="37"/>
      <c r="D218" s="35"/>
    </row>
    <row r="219" spans="3:4" x14ac:dyDescent="0.25">
      <c r="C219" s="37"/>
      <c r="D219" s="35"/>
    </row>
    <row r="220" spans="3:4" x14ac:dyDescent="0.25">
      <c r="C220" s="37"/>
      <c r="D220" s="35"/>
    </row>
    <row r="221" spans="3:4" x14ac:dyDescent="0.25">
      <c r="C221" s="37"/>
      <c r="D221" s="35"/>
    </row>
    <row r="222" spans="3:4" x14ac:dyDescent="0.25">
      <c r="C222" s="37"/>
      <c r="D222" s="35"/>
    </row>
    <row r="223" spans="3:4" x14ac:dyDescent="0.25">
      <c r="C223" s="37"/>
      <c r="D223" s="35"/>
    </row>
    <row r="224" spans="3:4" x14ac:dyDescent="0.25">
      <c r="C224" s="37"/>
      <c r="D224" s="35"/>
    </row>
    <row r="225" spans="3:4" x14ac:dyDescent="0.25">
      <c r="C225" s="37"/>
      <c r="D225" s="35"/>
    </row>
    <row r="226" spans="3:4" x14ac:dyDescent="0.25">
      <c r="C226" s="37"/>
      <c r="D226" s="35"/>
    </row>
    <row r="227" spans="3:4" x14ac:dyDescent="0.25">
      <c r="C227" s="37"/>
      <c r="D227" s="35"/>
    </row>
    <row r="228" spans="3:4" x14ac:dyDescent="0.25">
      <c r="C228" s="37"/>
      <c r="D228" s="35"/>
    </row>
    <row r="229" spans="3:4" x14ac:dyDescent="0.25">
      <c r="C229" s="37"/>
      <c r="D229" s="35"/>
    </row>
    <row r="230" spans="3:4" x14ac:dyDescent="0.25">
      <c r="C230" s="37"/>
      <c r="D230" s="35"/>
    </row>
    <row r="231" spans="3:4" x14ac:dyDescent="0.25">
      <c r="C231" s="37"/>
      <c r="D231" s="35"/>
    </row>
    <row r="232" spans="3:4" x14ac:dyDescent="0.25">
      <c r="C232" s="37"/>
      <c r="D232" s="35"/>
    </row>
    <row r="233" spans="3:4" x14ac:dyDescent="0.25">
      <c r="C233" s="37"/>
      <c r="D233" s="35"/>
    </row>
    <row r="234" spans="3:4" x14ac:dyDescent="0.25">
      <c r="C234" s="37"/>
      <c r="D234" s="35"/>
    </row>
    <row r="235" spans="3:4" x14ac:dyDescent="0.25">
      <c r="C235" s="37"/>
      <c r="D235" s="35"/>
    </row>
    <row r="236" spans="3:4" x14ac:dyDescent="0.25">
      <c r="C236" s="37"/>
      <c r="D236" s="35"/>
    </row>
    <row r="237" spans="3:4" x14ac:dyDescent="0.25">
      <c r="C237" s="37"/>
      <c r="D237" s="35"/>
    </row>
    <row r="238" spans="3:4" x14ac:dyDescent="0.25">
      <c r="C238" s="37"/>
      <c r="D238" s="35"/>
    </row>
    <row r="239" spans="3:4" x14ac:dyDescent="0.25">
      <c r="C239" s="37"/>
      <c r="D239" s="35"/>
    </row>
    <row r="240" spans="3:4" x14ac:dyDescent="0.25">
      <c r="C240" s="37"/>
      <c r="D240" s="35"/>
    </row>
    <row r="241" spans="3:4" x14ac:dyDescent="0.25">
      <c r="C241" s="37"/>
      <c r="D241" s="35"/>
    </row>
    <row r="242" spans="3:4" x14ac:dyDescent="0.25">
      <c r="C242" s="37"/>
      <c r="D242" s="35"/>
    </row>
    <row r="243" spans="3:4" x14ac:dyDescent="0.25">
      <c r="C243" s="37"/>
      <c r="D243" s="35"/>
    </row>
    <row r="244" spans="3:4" x14ac:dyDescent="0.25">
      <c r="C244" s="37"/>
      <c r="D244" s="35"/>
    </row>
    <row r="245" spans="3:4" x14ac:dyDescent="0.25">
      <c r="C245" s="37"/>
      <c r="D245" s="35"/>
    </row>
    <row r="246" spans="3:4" x14ac:dyDescent="0.25">
      <c r="C246" s="37"/>
      <c r="D246" s="35"/>
    </row>
    <row r="247" spans="3:4" x14ac:dyDescent="0.25">
      <c r="C247" s="37"/>
      <c r="D247" s="35"/>
    </row>
    <row r="248" spans="3:4" x14ac:dyDescent="0.25">
      <c r="C248" s="37"/>
      <c r="D248" s="35"/>
    </row>
    <row r="249" spans="3:4" x14ac:dyDescent="0.25">
      <c r="C249" s="37"/>
      <c r="D249" s="35"/>
    </row>
    <row r="250" spans="3:4" x14ac:dyDescent="0.25">
      <c r="C250" s="37"/>
      <c r="D250" s="35"/>
    </row>
    <row r="251" spans="3:4" x14ac:dyDescent="0.25">
      <c r="C251" s="37"/>
      <c r="D251" s="35"/>
    </row>
    <row r="252" spans="3:4" x14ac:dyDescent="0.25">
      <c r="C252" s="37"/>
      <c r="D252" s="35"/>
    </row>
    <row r="253" spans="3:4" x14ac:dyDescent="0.25">
      <c r="C253" s="37"/>
      <c r="D253" s="35"/>
    </row>
    <row r="254" spans="3:4" x14ac:dyDescent="0.25">
      <c r="C254" s="37"/>
      <c r="D254" s="35"/>
    </row>
    <row r="255" spans="3:4" x14ac:dyDescent="0.25">
      <c r="C255" s="37"/>
      <c r="D255" s="35"/>
    </row>
    <row r="256" spans="3:4" x14ac:dyDescent="0.25">
      <c r="C256" s="37"/>
      <c r="D256" s="35"/>
    </row>
    <row r="257" spans="3:4" x14ac:dyDescent="0.25">
      <c r="C257" s="37"/>
      <c r="D257" s="35"/>
    </row>
    <row r="258" spans="3:4" x14ac:dyDescent="0.25">
      <c r="C258" s="37"/>
      <c r="D258" s="35"/>
    </row>
    <row r="259" spans="3:4" x14ac:dyDescent="0.25">
      <c r="C259" s="37"/>
      <c r="D259" s="35"/>
    </row>
    <row r="260" spans="3:4" x14ac:dyDescent="0.25">
      <c r="C260" s="37"/>
      <c r="D260" s="35"/>
    </row>
    <row r="261" spans="3:4" x14ac:dyDescent="0.25">
      <c r="C261" s="37"/>
      <c r="D261" s="35"/>
    </row>
    <row r="262" spans="3:4" x14ac:dyDescent="0.25">
      <c r="C262" s="37"/>
      <c r="D262" s="35"/>
    </row>
    <row r="263" spans="3:4" x14ac:dyDescent="0.25">
      <c r="C263" s="37"/>
      <c r="D263" s="35"/>
    </row>
    <row r="264" spans="3:4" x14ac:dyDescent="0.25">
      <c r="C264" s="37"/>
      <c r="D264" s="35"/>
    </row>
    <row r="265" spans="3:4" x14ac:dyDescent="0.25">
      <c r="C265" s="37"/>
      <c r="D265" s="35"/>
    </row>
    <row r="266" spans="3:4" x14ac:dyDescent="0.25">
      <c r="C266" s="37"/>
      <c r="D266" s="35"/>
    </row>
    <row r="267" spans="3:4" x14ac:dyDescent="0.25">
      <c r="C267" s="37"/>
      <c r="D267" s="35"/>
    </row>
    <row r="268" spans="3:4" x14ac:dyDescent="0.25">
      <c r="C268" s="37"/>
      <c r="D268" s="35"/>
    </row>
    <row r="269" spans="3:4" x14ac:dyDescent="0.25">
      <c r="C269" s="37"/>
      <c r="D269" s="35"/>
    </row>
    <row r="270" spans="3:4" x14ac:dyDescent="0.25">
      <c r="C270" s="37"/>
      <c r="D270" s="35"/>
    </row>
    <row r="271" spans="3:4" x14ac:dyDescent="0.25">
      <c r="C271" s="37"/>
      <c r="D271" s="35"/>
    </row>
    <row r="272" spans="3:4" x14ac:dyDescent="0.25">
      <c r="C272" s="37"/>
      <c r="D272" s="35"/>
    </row>
    <row r="273" spans="3:4" x14ac:dyDescent="0.25">
      <c r="C273" s="37"/>
      <c r="D273" s="35"/>
    </row>
    <row r="274" spans="3:4" x14ac:dyDescent="0.25">
      <c r="C274" s="37"/>
      <c r="D274" s="35"/>
    </row>
    <row r="275" spans="3:4" x14ac:dyDescent="0.25">
      <c r="C275" s="37"/>
      <c r="D275" s="35"/>
    </row>
    <row r="276" spans="3:4" x14ac:dyDescent="0.25">
      <c r="C276" s="37"/>
      <c r="D276" s="35"/>
    </row>
    <row r="277" spans="3:4" x14ac:dyDescent="0.25">
      <c r="C277" s="37"/>
      <c r="D277" s="35"/>
    </row>
    <row r="278" spans="3:4" x14ac:dyDescent="0.25">
      <c r="C278" s="37"/>
      <c r="D278" s="35"/>
    </row>
    <row r="279" spans="3:4" x14ac:dyDescent="0.25">
      <c r="C279" s="37"/>
      <c r="D279" s="35"/>
    </row>
    <row r="280" spans="3:4" x14ac:dyDescent="0.25">
      <c r="C280" s="37"/>
      <c r="D280" s="35"/>
    </row>
    <row r="281" spans="3:4" x14ac:dyDescent="0.25">
      <c r="C281" s="37"/>
      <c r="D281" s="35"/>
    </row>
    <row r="282" spans="3:4" x14ac:dyDescent="0.25">
      <c r="C282" s="37"/>
      <c r="D282" s="35"/>
    </row>
    <row r="283" spans="3:4" x14ac:dyDescent="0.25">
      <c r="C283" s="37"/>
      <c r="D283" s="35"/>
    </row>
    <row r="284" spans="3:4" x14ac:dyDescent="0.25">
      <c r="C284" s="37"/>
      <c r="D284" s="35"/>
    </row>
    <row r="285" spans="3:4" x14ac:dyDescent="0.25">
      <c r="C285" s="37"/>
      <c r="D285" s="35"/>
    </row>
    <row r="286" spans="3:4" x14ac:dyDescent="0.25">
      <c r="C286" s="37"/>
      <c r="D286" s="35"/>
    </row>
    <row r="287" spans="3:4" x14ac:dyDescent="0.25">
      <c r="C287" s="37"/>
      <c r="D287" s="35"/>
    </row>
    <row r="288" spans="3:4" x14ac:dyDescent="0.25">
      <c r="C288" s="37"/>
      <c r="D288" s="35"/>
    </row>
    <row r="289" spans="3:4" x14ac:dyDescent="0.25">
      <c r="C289" s="37"/>
      <c r="D289" s="35"/>
    </row>
    <row r="290" spans="3:4" x14ac:dyDescent="0.25">
      <c r="C290" s="37"/>
      <c r="D290" s="35"/>
    </row>
    <row r="291" spans="3:4" x14ac:dyDescent="0.25">
      <c r="C291" s="37"/>
      <c r="D291" s="35"/>
    </row>
    <row r="292" spans="3:4" x14ac:dyDescent="0.25">
      <c r="C292" s="37"/>
      <c r="D292" s="35"/>
    </row>
    <row r="293" spans="3:4" x14ac:dyDescent="0.25">
      <c r="C293" s="37"/>
      <c r="D293" s="35"/>
    </row>
    <row r="294" spans="3:4" x14ac:dyDescent="0.25">
      <c r="C294" s="37"/>
      <c r="D294" s="35"/>
    </row>
    <row r="295" spans="3:4" x14ac:dyDescent="0.25">
      <c r="C295" s="37"/>
      <c r="D295" s="35"/>
    </row>
    <row r="296" spans="3:4" x14ac:dyDescent="0.25">
      <c r="C296" s="37"/>
      <c r="D296" s="35"/>
    </row>
    <row r="297" spans="3:4" x14ac:dyDescent="0.25">
      <c r="C297" s="37"/>
      <c r="D297" s="35"/>
    </row>
    <row r="298" spans="3:4" x14ac:dyDescent="0.25">
      <c r="C298" s="37"/>
      <c r="D298" s="35"/>
    </row>
    <row r="299" spans="3:4" x14ac:dyDescent="0.25">
      <c r="C299" s="37"/>
      <c r="D299" s="35"/>
    </row>
    <row r="300" spans="3:4" x14ac:dyDescent="0.25">
      <c r="C300" s="37"/>
      <c r="D300" s="35"/>
    </row>
    <row r="301" spans="3:4" x14ac:dyDescent="0.25">
      <c r="C301" s="37"/>
      <c r="D301" s="35"/>
    </row>
    <row r="302" spans="3:4" x14ac:dyDescent="0.25">
      <c r="C302" s="37"/>
      <c r="D302" s="35"/>
    </row>
    <row r="303" spans="3:4" x14ac:dyDescent="0.25">
      <c r="C303" s="37"/>
      <c r="D303" s="35"/>
    </row>
    <row r="304" spans="3:4" x14ac:dyDescent="0.25">
      <c r="C304" s="37"/>
      <c r="D304" s="35"/>
    </row>
    <row r="305" spans="3:6" x14ac:dyDescent="0.25">
      <c r="C305" s="37"/>
      <c r="D305" s="35"/>
    </row>
    <row r="306" spans="3:6" x14ac:dyDescent="0.25">
      <c r="C306" s="37"/>
      <c r="D306" s="35"/>
    </row>
    <row r="307" spans="3:6" x14ac:dyDescent="0.25">
      <c r="C307" s="37"/>
      <c r="D307" s="35"/>
    </row>
    <row r="308" spans="3:6" x14ac:dyDescent="0.25">
      <c r="C308" s="37"/>
      <c r="D308" s="35"/>
    </row>
    <row r="309" spans="3:6" x14ac:dyDescent="0.25">
      <c r="C309" s="37"/>
      <c r="D309" s="35"/>
    </row>
    <row r="310" spans="3:6" x14ac:dyDescent="0.25">
      <c r="C310" s="37"/>
      <c r="D310" s="35"/>
    </row>
    <row r="311" spans="3:6" x14ac:dyDescent="0.25">
      <c r="C311" s="37"/>
      <c r="D311" s="35"/>
      <c r="F311" s="36"/>
    </row>
    <row r="312" spans="3:6" x14ac:dyDescent="0.25">
      <c r="C312" s="37"/>
      <c r="D312" s="35"/>
    </row>
    <row r="313" spans="3:6" x14ac:dyDescent="0.25">
      <c r="C313" s="37"/>
      <c r="D313" s="35"/>
    </row>
    <row r="314" spans="3:6" x14ac:dyDescent="0.25">
      <c r="C314" s="37"/>
      <c r="D314" s="35"/>
    </row>
    <row r="315" spans="3:6" x14ac:dyDescent="0.25">
      <c r="C315" s="37"/>
      <c r="D315" s="35"/>
    </row>
    <row r="316" spans="3:6" x14ac:dyDescent="0.25">
      <c r="C316" s="37"/>
      <c r="D316" s="35"/>
    </row>
    <row r="317" spans="3:6" x14ac:dyDescent="0.25">
      <c r="C317" s="37"/>
      <c r="D317" s="35"/>
    </row>
    <row r="318" spans="3:6" x14ac:dyDescent="0.25">
      <c r="C318" s="37"/>
      <c r="D318" s="35"/>
    </row>
    <row r="319" spans="3:6" x14ac:dyDescent="0.25">
      <c r="C319" s="37"/>
      <c r="D319" s="35"/>
    </row>
    <row r="320" spans="3:6" x14ac:dyDescent="0.25">
      <c r="C320" s="37"/>
      <c r="D320" s="35"/>
    </row>
    <row r="321" spans="3:4" x14ac:dyDescent="0.25">
      <c r="C321" s="37"/>
      <c r="D321" s="35"/>
    </row>
    <row r="322" spans="3:4" x14ac:dyDescent="0.25">
      <c r="C322" s="37"/>
      <c r="D322" s="35"/>
    </row>
    <row r="323" spans="3:4" x14ac:dyDescent="0.25">
      <c r="C323" s="37"/>
      <c r="D323" s="35"/>
    </row>
    <row r="324" spans="3:4" x14ac:dyDescent="0.25">
      <c r="C324" s="37"/>
      <c r="D324" s="35"/>
    </row>
    <row r="325" spans="3:4" x14ac:dyDescent="0.25">
      <c r="C325" s="37"/>
      <c r="D325" s="35"/>
    </row>
    <row r="326" spans="3:4" x14ac:dyDescent="0.25">
      <c r="C326" s="37"/>
      <c r="D326" s="35"/>
    </row>
    <row r="327" spans="3:4" x14ac:dyDescent="0.25">
      <c r="C327" s="37"/>
      <c r="D327" s="35"/>
    </row>
    <row r="328" spans="3:4" x14ac:dyDescent="0.25">
      <c r="C328" s="37"/>
      <c r="D328" s="35"/>
    </row>
    <row r="329" spans="3:4" x14ac:dyDescent="0.25">
      <c r="C329" s="37"/>
      <c r="D329" s="35"/>
    </row>
    <row r="330" spans="3:4" x14ac:dyDescent="0.25">
      <c r="C330" s="37"/>
      <c r="D330" s="35"/>
    </row>
    <row r="331" spans="3:4" x14ac:dyDescent="0.25">
      <c r="C331" s="37"/>
      <c r="D331" s="35"/>
    </row>
    <row r="332" spans="3:4" x14ac:dyDescent="0.25">
      <c r="C332" s="37"/>
      <c r="D332" s="35"/>
    </row>
    <row r="333" spans="3:4" x14ac:dyDescent="0.25">
      <c r="C333" s="37"/>
      <c r="D333" s="35"/>
    </row>
    <row r="334" spans="3:4" x14ac:dyDescent="0.25">
      <c r="C334" s="37"/>
      <c r="D334" s="35"/>
    </row>
    <row r="335" spans="3:4" x14ac:dyDescent="0.25">
      <c r="C335" s="37"/>
      <c r="D335" s="35"/>
    </row>
    <row r="336" spans="3:4" x14ac:dyDescent="0.25">
      <c r="C336" s="37"/>
      <c r="D336" s="35"/>
    </row>
    <row r="337" spans="3:4" x14ac:dyDescent="0.25">
      <c r="C337" s="37"/>
      <c r="D337" s="35"/>
    </row>
    <row r="338" spans="3:4" x14ac:dyDescent="0.25">
      <c r="C338" s="37"/>
      <c r="D338" s="35"/>
    </row>
    <row r="339" spans="3:4" x14ac:dyDescent="0.25">
      <c r="C339" s="37"/>
      <c r="D339" s="35"/>
    </row>
    <row r="340" spans="3:4" x14ac:dyDescent="0.25">
      <c r="C340" s="37"/>
      <c r="D340" s="35"/>
    </row>
    <row r="341" spans="3:4" x14ac:dyDescent="0.25">
      <c r="C341" s="37"/>
      <c r="D341" s="35"/>
    </row>
    <row r="342" spans="3:4" x14ac:dyDescent="0.25">
      <c r="C342" s="37"/>
      <c r="D342" s="35"/>
    </row>
    <row r="343" spans="3:4" x14ac:dyDescent="0.25">
      <c r="C343" s="37"/>
      <c r="D343" s="35"/>
    </row>
    <row r="344" spans="3:4" x14ac:dyDescent="0.25">
      <c r="C344" s="37"/>
      <c r="D344" s="35"/>
    </row>
    <row r="345" spans="3:4" x14ac:dyDescent="0.25">
      <c r="C345" s="37"/>
      <c r="D345" s="35"/>
    </row>
    <row r="346" spans="3:4" x14ac:dyDescent="0.25">
      <c r="C346" s="37"/>
      <c r="D346" s="35"/>
    </row>
    <row r="347" spans="3:4" x14ac:dyDescent="0.25">
      <c r="C347" s="37"/>
      <c r="D347" s="35"/>
    </row>
    <row r="348" spans="3:4" x14ac:dyDescent="0.25">
      <c r="C348" s="37"/>
      <c r="D348" s="35"/>
    </row>
    <row r="349" spans="3:4" x14ac:dyDescent="0.25">
      <c r="C349" s="37"/>
      <c r="D349" s="35"/>
    </row>
    <row r="350" spans="3:4" x14ac:dyDescent="0.25">
      <c r="C350" s="37"/>
      <c r="D350" s="35"/>
    </row>
    <row r="351" spans="3:4" x14ac:dyDescent="0.25">
      <c r="C351" s="37"/>
      <c r="D351" s="35"/>
    </row>
    <row r="352" spans="3:4" x14ac:dyDescent="0.25">
      <c r="C352" s="37"/>
      <c r="D352" s="35"/>
    </row>
    <row r="353" spans="3:4" x14ac:dyDescent="0.25">
      <c r="C353" s="37"/>
      <c r="D353" s="35"/>
    </row>
    <row r="354" spans="3:4" x14ac:dyDescent="0.25">
      <c r="C354" s="37"/>
      <c r="D354" s="35"/>
    </row>
    <row r="355" spans="3:4" x14ac:dyDescent="0.25">
      <c r="C355" s="37"/>
      <c r="D355" s="35"/>
    </row>
    <row r="356" spans="3:4" x14ac:dyDescent="0.25">
      <c r="C356" s="37"/>
      <c r="D356" s="35"/>
    </row>
    <row r="357" spans="3:4" x14ac:dyDescent="0.25">
      <c r="C357" s="37"/>
      <c r="D357" s="35"/>
    </row>
    <row r="358" spans="3:4" x14ac:dyDescent="0.25">
      <c r="C358" s="37"/>
      <c r="D358" s="35"/>
    </row>
    <row r="359" spans="3:4" x14ac:dyDescent="0.25">
      <c r="C359" s="37"/>
      <c r="D359" s="35"/>
    </row>
    <row r="360" spans="3:4" x14ac:dyDescent="0.25">
      <c r="C360" s="37"/>
      <c r="D360" s="35"/>
    </row>
    <row r="361" spans="3:4" x14ac:dyDescent="0.25">
      <c r="C361" s="37"/>
      <c r="D361" s="35"/>
    </row>
    <row r="362" spans="3:4" x14ac:dyDescent="0.25">
      <c r="C362" s="37"/>
      <c r="D362" s="35"/>
    </row>
    <row r="363" spans="3:4" x14ac:dyDescent="0.25">
      <c r="C363" s="37"/>
      <c r="D363" s="35"/>
    </row>
    <row r="364" spans="3:4" x14ac:dyDescent="0.25">
      <c r="C364" s="37"/>
      <c r="D364" s="35"/>
    </row>
    <row r="365" spans="3:4" x14ac:dyDescent="0.25">
      <c r="C365" s="37"/>
      <c r="D365" s="35"/>
    </row>
    <row r="366" spans="3:4" x14ac:dyDescent="0.25">
      <c r="C366" s="37"/>
      <c r="D366" s="35"/>
    </row>
    <row r="367" spans="3:4" x14ac:dyDescent="0.25">
      <c r="C367" s="37"/>
      <c r="D367" s="35"/>
    </row>
    <row r="368" spans="3:4" x14ac:dyDescent="0.25">
      <c r="C368" s="37"/>
      <c r="D368" s="35"/>
    </row>
    <row r="369" spans="3:4" x14ac:dyDescent="0.25">
      <c r="C369" s="37"/>
      <c r="D369" s="35"/>
    </row>
    <row r="370" spans="3:4" x14ac:dyDescent="0.25">
      <c r="C370" s="37"/>
      <c r="D370" s="35"/>
    </row>
    <row r="371" spans="3:4" x14ac:dyDescent="0.25">
      <c r="C371" s="37"/>
      <c r="D371" s="35"/>
    </row>
    <row r="372" spans="3:4" x14ac:dyDescent="0.25">
      <c r="C372" s="37"/>
      <c r="D372" s="35"/>
    </row>
    <row r="373" spans="3:4" x14ac:dyDescent="0.25">
      <c r="C373" s="37"/>
      <c r="D373" s="35"/>
    </row>
    <row r="374" spans="3:4" x14ac:dyDescent="0.25">
      <c r="C374" s="37"/>
      <c r="D374" s="35"/>
    </row>
    <row r="375" spans="3:4" x14ac:dyDescent="0.25">
      <c r="C375" s="37"/>
      <c r="D375" s="35"/>
    </row>
    <row r="376" spans="3:4" x14ac:dyDescent="0.25">
      <c r="C376" s="37"/>
      <c r="D376" s="35"/>
    </row>
    <row r="377" spans="3:4" x14ac:dyDescent="0.25">
      <c r="C377" s="37"/>
      <c r="D377" s="35"/>
    </row>
    <row r="378" spans="3:4" x14ac:dyDescent="0.25">
      <c r="C378" s="37"/>
      <c r="D378" s="35"/>
    </row>
    <row r="379" spans="3:4" x14ac:dyDescent="0.25">
      <c r="C379" s="37"/>
      <c r="D379" s="35"/>
    </row>
    <row r="380" spans="3:4" x14ac:dyDescent="0.25">
      <c r="C380" s="37"/>
      <c r="D380" s="35"/>
    </row>
    <row r="381" spans="3:4" x14ac:dyDescent="0.25">
      <c r="C381" s="37"/>
      <c r="D381" s="35"/>
    </row>
    <row r="382" spans="3:4" x14ac:dyDescent="0.25">
      <c r="C382" s="37"/>
      <c r="D382" s="35"/>
    </row>
    <row r="383" spans="3:4" x14ac:dyDescent="0.25">
      <c r="C383" s="37"/>
      <c r="D383" s="35"/>
    </row>
    <row r="384" spans="3:4" x14ac:dyDescent="0.25">
      <c r="C384" s="37"/>
      <c r="D384" s="35"/>
    </row>
    <row r="385" spans="3:4" x14ac:dyDescent="0.25">
      <c r="C385" s="37"/>
      <c r="D385" s="35"/>
    </row>
    <row r="386" spans="3:4" x14ac:dyDescent="0.25">
      <c r="C386" s="37"/>
      <c r="D386" s="35"/>
    </row>
    <row r="387" spans="3:4" x14ac:dyDescent="0.25">
      <c r="C387" s="37"/>
      <c r="D387" s="35"/>
    </row>
    <row r="388" spans="3:4" x14ac:dyDescent="0.25">
      <c r="C388" s="37"/>
      <c r="D388" s="35"/>
    </row>
    <row r="389" spans="3:4" x14ac:dyDescent="0.25">
      <c r="C389" s="37"/>
      <c r="D389" s="35"/>
    </row>
    <row r="390" spans="3:4" x14ac:dyDescent="0.25">
      <c r="C390" s="37"/>
      <c r="D390" s="35"/>
    </row>
    <row r="391" spans="3:4" x14ac:dyDescent="0.25">
      <c r="C391" s="37"/>
      <c r="D391" s="35"/>
    </row>
    <row r="392" spans="3:4" x14ac:dyDescent="0.25">
      <c r="C392" s="37"/>
      <c r="D392" s="35"/>
    </row>
    <row r="393" spans="3:4" x14ac:dyDescent="0.25">
      <c r="C393" s="37"/>
      <c r="D393" s="35"/>
    </row>
    <row r="394" spans="3:4" x14ac:dyDescent="0.25">
      <c r="C394" s="37"/>
      <c r="D394" s="35"/>
    </row>
    <row r="395" spans="3:4" x14ac:dyDescent="0.25">
      <c r="C395" s="37"/>
      <c r="D395" s="35"/>
    </row>
    <row r="396" spans="3:4" x14ac:dyDescent="0.25">
      <c r="C396" s="37"/>
      <c r="D396" s="35"/>
    </row>
    <row r="397" spans="3:4" x14ac:dyDescent="0.25">
      <c r="C397" s="37"/>
      <c r="D397" s="35"/>
    </row>
    <row r="398" spans="3:4" x14ac:dyDescent="0.25">
      <c r="C398" s="37"/>
      <c r="D398" s="35"/>
    </row>
    <row r="399" spans="3:4" x14ac:dyDescent="0.25">
      <c r="C399" s="37"/>
      <c r="D399" s="35"/>
    </row>
    <row r="400" spans="3:4" x14ac:dyDescent="0.25">
      <c r="C400" s="37"/>
      <c r="D400" s="35"/>
    </row>
    <row r="401" spans="3:4" x14ac:dyDescent="0.25">
      <c r="C401" s="37"/>
      <c r="D401" s="35"/>
    </row>
    <row r="402" spans="3:4" x14ac:dyDescent="0.25">
      <c r="C402" s="37"/>
      <c r="D402" s="35"/>
    </row>
    <row r="403" spans="3:4" x14ac:dyDescent="0.25">
      <c r="C403" s="37"/>
      <c r="D403" s="35"/>
    </row>
    <row r="404" spans="3:4" x14ac:dyDescent="0.25">
      <c r="C404" s="37"/>
      <c r="D404" s="35"/>
    </row>
    <row r="405" spans="3:4" x14ac:dyDescent="0.25">
      <c r="C405" s="37"/>
      <c r="D405" s="35"/>
    </row>
    <row r="406" spans="3:4" x14ac:dyDescent="0.25">
      <c r="C406" s="37"/>
      <c r="D406" s="35"/>
    </row>
    <row r="407" spans="3:4" x14ac:dyDescent="0.25">
      <c r="C407" s="37"/>
      <c r="D407" s="35"/>
    </row>
    <row r="408" spans="3:4" x14ac:dyDescent="0.25">
      <c r="C408" s="37"/>
      <c r="D408" s="35"/>
    </row>
    <row r="409" spans="3:4" x14ac:dyDescent="0.25">
      <c r="C409" s="37"/>
      <c r="D409" s="35"/>
    </row>
    <row r="410" spans="3:4" x14ac:dyDescent="0.25">
      <c r="C410" s="37"/>
      <c r="D410" s="35"/>
    </row>
    <row r="411" spans="3:4" x14ac:dyDescent="0.25">
      <c r="C411" s="37"/>
      <c r="D411" s="35"/>
    </row>
    <row r="412" spans="3:4" x14ac:dyDescent="0.25">
      <c r="C412" s="37"/>
      <c r="D412" s="35"/>
    </row>
    <row r="413" spans="3:4" x14ac:dyDescent="0.25">
      <c r="C413" s="37"/>
      <c r="D413" s="35"/>
    </row>
    <row r="414" spans="3:4" x14ac:dyDescent="0.25">
      <c r="C414" s="37"/>
      <c r="D414" s="35"/>
    </row>
    <row r="415" spans="3:4" x14ac:dyDescent="0.25">
      <c r="C415" s="37"/>
      <c r="D415" s="35"/>
    </row>
    <row r="416" spans="3:4" x14ac:dyDescent="0.25">
      <c r="C416" s="37"/>
      <c r="D416" s="35"/>
    </row>
    <row r="417" spans="3:4" x14ac:dyDescent="0.25">
      <c r="C417" s="37"/>
      <c r="D417" s="35"/>
    </row>
    <row r="418" spans="3:4" x14ac:dyDescent="0.25">
      <c r="C418" s="37"/>
      <c r="D418" s="35"/>
    </row>
    <row r="419" spans="3:4" x14ac:dyDescent="0.25">
      <c r="C419" s="37"/>
      <c r="D419" s="35"/>
    </row>
    <row r="420" spans="3:4" x14ac:dyDescent="0.25">
      <c r="C420" s="37"/>
      <c r="D420" s="35"/>
    </row>
    <row r="421" spans="3:4" x14ac:dyDescent="0.25">
      <c r="C421" s="37"/>
      <c r="D421" s="35"/>
    </row>
    <row r="422" spans="3:4" x14ac:dyDescent="0.25">
      <c r="C422" s="37"/>
      <c r="D422" s="35"/>
    </row>
    <row r="423" spans="3:4" x14ac:dyDescent="0.25">
      <c r="C423" s="37"/>
      <c r="D423" s="35"/>
    </row>
    <row r="424" spans="3:4" x14ac:dyDescent="0.25">
      <c r="C424" s="37"/>
      <c r="D424" s="35"/>
    </row>
    <row r="425" spans="3:4" x14ac:dyDescent="0.25">
      <c r="C425" s="37"/>
      <c r="D425" s="35"/>
    </row>
    <row r="426" spans="3:4" x14ac:dyDescent="0.25">
      <c r="C426" s="37"/>
      <c r="D426" s="35"/>
    </row>
    <row r="427" spans="3:4" x14ac:dyDescent="0.25">
      <c r="C427" s="37"/>
      <c r="D427" s="35"/>
    </row>
    <row r="428" spans="3:4" x14ac:dyDescent="0.25">
      <c r="C428" s="37"/>
      <c r="D428" s="35"/>
    </row>
    <row r="429" spans="3:4" x14ac:dyDescent="0.25">
      <c r="C429" s="37"/>
      <c r="D429" s="35"/>
    </row>
    <row r="430" spans="3:4" x14ac:dyDescent="0.25">
      <c r="C430" s="37"/>
      <c r="D430" s="35"/>
    </row>
    <row r="431" spans="3:4" x14ac:dyDescent="0.25">
      <c r="C431" s="37"/>
      <c r="D431" s="35"/>
    </row>
    <row r="432" spans="3:4" x14ac:dyDescent="0.25">
      <c r="C432" s="37"/>
      <c r="D432" s="35"/>
    </row>
    <row r="433" spans="3:4" x14ac:dyDescent="0.25">
      <c r="C433" s="37"/>
      <c r="D433" s="35"/>
    </row>
    <row r="434" spans="3:4" x14ac:dyDescent="0.25">
      <c r="C434" s="37"/>
      <c r="D434" s="35"/>
    </row>
    <row r="435" spans="3:4" x14ac:dyDescent="0.25">
      <c r="C435" s="37"/>
      <c r="D435" s="35"/>
    </row>
    <row r="436" spans="3:4" x14ac:dyDescent="0.25">
      <c r="C436" s="37"/>
      <c r="D436" s="35"/>
    </row>
    <row r="437" spans="3:4" x14ac:dyDescent="0.25">
      <c r="C437" s="37"/>
      <c r="D437" s="35"/>
    </row>
    <row r="438" spans="3:4" x14ac:dyDescent="0.25">
      <c r="C438" s="37"/>
      <c r="D438" s="35"/>
    </row>
    <row r="439" spans="3:4" x14ac:dyDescent="0.25">
      <c r="C439" s="37"/>
      <c r="D439" s="35"/>
    </row>
    <row r="440" spans="3:4" x14ac:dyDescent="0.25">
      <c r="C440" s="37"/>
      <c r="D440" s="35"/>
    </row>
    <row r="441" spans="3:4" x14ac:dyDescent="0.25">
      <c r="C441" s="37"/>
      <c r="D441" s="35"/>
    </row>
    <row r="442" spans="3:4" x14ac:dyDescent="0.25">
      <c r="C442" s="37"/>
      <c r="D442" s="35"/>
    </row>
    <row r="443" spans="3:4" x14ac:dyDescent="0.25">
      <c r="C443" s="37"/>
      <c r="D443" s="35"/>
    </row>
    <row r="444" spans="3:4" x14ac:dyDescent="0.25">
      <c r="C444" s="37"/>
      <c r="D444" s="35"/>
    </row>
    <row r="445" spans="3:4" x14ac:dyDescent="0.25">
      <c r="C445" s="37"/>
      <c r="D445" s="35"/>
    </row>
    <row r="446" spans="3:4" x14ac:dyDescent="0.25">
      <c r="C446" s="37"/>
      <c r="D446" s="35"/>
    </row>
    <row r="447" spans="3:4" x14ac:dyDescent="0.25">
      <c r="C447" s="37"/>
      <c r="D447" s="35"/>
    </row>
    <row r="448" spans="3:4" x14ac:dyDescent="0.25">
      <c r="C448" s="37"/>
      <c r="D448" s="35"/>
    </row>
    <row r="449" spans="3:4" x14ac:dyDescent="0.25">
      <c r="C449" s="37"/>
      <c r="D449" s="35"/>
    </row>
    <row r="450" spans="3:4" x14ac:dyDescent="0.25">
      <c r="C450" s="37"/>
      <c r="D450" s="35"/>
    </row>
    <row r="451" spans="3:4" x14ac:dyDescent="0.25">
      <c r="C451" s="37"/>
      <c r="D451" s="35"/>
    </row>
    <row r="452" spans="3:4" x14ac:dyDescent="0.25">
      <c r="C452" s="37"/>
      <c r="D452" s="35"/>
    </row>
    <row r="453" spans="3:4" x14ac:dyDescent="0.25">
      <c r="C453" s="37"/>
      <c r="D453" s="35"/>
    </row>
    <row r="454" spans="3:4" x14ac:dyDescent="0.25">
      <c r="C454" s="37"/>
      <c r="D454" s="35"/>
    </row>
    <row r="455" spans="3:4" x14ac:dyDescent="0.25">
      <c r="C455" s="37"/>
      <c r="D455" s="35"/>
    </row>
    <row r="456" spans="3:4" x14ac:dyDescent="0.25">
      <c r="C456" s="37"/>
      <c r="D456" s="35"/>
    </row>
    <row r="457" spans="3:4" x14ac:dyDescent="0.25">
      <c r="C457" s="37"/>
      <c r="D457" s="35"/>
    </row>
    <row r="458" spans="3:4" x14ac:dyDescent="0.25">
      <c r="C458" s="37"/>
      <c r="D458" s="35"/>
    </row>
    <row r="459" spans="3:4" x14ac:dyDescent="0.25">
      <c r="C459" s="37"/>
      <c r="D459" s="35"/>
    </row>
    <row r="460" spans="3:4" x14ac:dyDescent="0.25">
      <c r="C460" s="37"/>
      <c r="D460" s="35"/>
    </row>
    <row r="461" spans="3:4" x14ac:dyDescent="0.25">
      <c r="C461" s="37"/>
      <c r="D461" s="35"/>
    </row>
    <row r="462" spans="3:4" x14ac:dyDescent="0.25">
      <c r="C462" s="37"/>
      <c r="D462" s="35"/>
    </row>
    <row r="463" spans="3:4" x14ac:dyDescent="0.25">
      <c r="C463" s="37"/>
      <c r="D463" s="35"/>
    </row>
    <row r="464" spans="3:4" x14ac:dyDescent="0.25">
      <c r="C464" s="37"/>
      <c r="D464" s="35"/>
    </row>
    <row r="465" spans="3:4" x14ac:dyDescent="0.25">
      <c r="C465" s="37"/>
      <c r="D465" s="35"/>
    </row>
    <row r="466" spans="3:4" x14ac:dyDescent="0.25">
      <c r="C466" s="37"/>
      <c r="D466" s="35"/>
    </row>
    <row r="467" spans="3:4" x14ac:dyDescent="0.25">
      <c r="C467" s="37"/>
      <c r="D467" s="35"/>
    </row>
    <row r="468" spans="3:4" x14ac:dyDescent="0.25">
      <c r="C468" s="37"/>
      <c r="D468" s="35"/>
    </row>
    <row r="469" spans="3:4" x14ac:dyDescent="0.25">
      <c r="C469" s="37"/>
      <c r="D469" s="35"/>
    </row>
    <row r="470" spans="3:4" x14ac:dyDescent="0.25">
      <c r="C470" s="37"/>
      <c r="D470" s="35"/>
    </row>
    <row r="471" spans="3:4" x14ac:dyDescent="0.25">
      <c r="C471" s="37"/>
      <c r="D471" s="35"/>
    </row>
    <row r="472" spans="3:4" x14ac:dyDescent="0.25">
      <c r="C472" s="37"/>
      <c r="D472" s="35"/>
    </row>
    <row r="473" spans="3:4" x14ac:dyDescent="0.25">
      <c r="C473" s="37"/>
      <c r="D473" s="35"/>
    </row>
    <row r="474" spans="3:4" x14ac:dyDescent="0.25">
      <c r="C474" s="37"/>
      <c r="D474" s="35"/>
    </row>
    <row r="475" spans="3:4" x14ac:dyDescent="0.25">
      <c r="C475" s="37"/>
      <c r="D475" s="35"/>
    </row>
    <row r="476" spans="3:4" x14ac:dyDescent="0.25">
      <c r="C476" s="37"/>
      <c r="D476" s="35"/>
    </row>
    <row r="477" spans="3:4" x14ac:dyDescent="0.25">
      <c r="C477" s="37"/>
      <c r="D477" s="35"/>
    </row>
    <row r="478" spans="3:4" x14ac:dyDescent="0.25">
      <c r="C478" s="37"/>
      <c r="D478" s="35"/>
    </row>
    <row r="479" spans="3:4" x14ac:dyDescent="0.25">
      <c r="C479" s="37"/>
      <c r="D479" s="35"/>
    </row>
    <row r="480" spans="3:4" x14ac:dyDescent="0.25">
      <c r="C480" s="37"/>
      <c r="D480" s="35"/>
    </row>
    <row r="481" spans="3:4" x14ac:dyDescent="0.25">
      <c r="C481" s="37"/>
      <c r="D481" s="35"/>
    </row>
    <row r="482" spans="3:4" x14ac:dyDescent="0.25">
      <c r="C482" s="37"/>
      <c r="D482" s="35"/>
    </row>
    <row r="483" spans="3:4" x14ac:dyDescent="0.25">
      <c r="C483" s="37"/>
      <c r="D483" s="35"/>
    </row>
    <row r="484" spans="3:4" x14ac:dyDescent="0.25">
      <c r="C484" s="37"/>
      <c r="D484" s="35"/>
    </row>
    <row r="485" spans="3:4" x14ac:dyDescent="0.25">
      <c r="C485" s="37"/>
      <c r="D485" s="35"/>
    </row>
    <row r="486" spans="3:4" x14ac:dyDescent="0.25">
      <c r="C486" s="37"/>
      <c r="D486" s="35"/>
    </row>
    <row r="487" spans="3:4" x14ac:dyDescent="0.25">
      <c r="C487" s="37"/>
      <c r="D487" s="35"/>
    </row>
    <row r="488" spans="3:4" x14ac:dyDescent="0.25">
      <c r="C488" s="37"/>
      <c r="D488" s="35"/>
    </row>
    <row r="489" spans="3:4" x14ac:dyDescent="0.25">
      <c r="C489" s="37"/>
      <c r="D489" s="35"/>
    </row>
    <row r="490" spans="3:4" x14ac:dyDescent="0.25">
      <c r="C490" s="37"/>
      <c r="D490" s="35"/>
    </row>
    <row r="491" spans="3:4" x14ac:dyDescent="0.25">
      <c r="C491" s="37"/>
      <c r="D491" s="35"/>
    </row>
    <row r="492" spans="3:4" x14ac:dyDescent="0.25">
      <c r="C492" s="37"/>
      <c r="D492" s="35"/>
    </row>
    <row r="493" spans="3:4" x14ac:dyDescent="0.25">
      <c r="C493" s="37"/>
      <c r="D493" s="35"/>
    </row>
    <row r="494" spans="3:4" x14ac:dyDescent="0.25">
      <c r="C494" s="37"/>
      <c r="D494" s="35"/>
    </row>
    <row r="495" spans="3:4" x14ac:dyDescent="0.25">
      <c r="C495" s="37"/>
      <c r="D495" s="35"/>
    </row>
    <row r="496" spans="3:4" x14ac:dyDescent="0.25">
      <c r="C496" s="37"/>
      <c r="D496" s="35"/>
    </row>
    <row r="497" spans="3:4" x14ac:dyDescent="0.25">
      <c r="C497" s="37"/>
      <c r="D497" s="35"/>
    </row>
    <row r="498" spans="3:4" x14ac:dyDescent="0.25">
      <c r="C498" s="37"/>
      <c r="D498" s="35"/>
    </row>
    <row r="499" spans="3:4" x14ac:dyDescent="0.25">
      <c r="C499" s="37"/>
      <c r="D499" s="35"/>
    </row>
    <row r="500" spans="3:4" x14ac:dyDescent="0.25">
      <c r="C500" s="37"/>
      <c r="D500" s="35"/>
    </row>
    <row r="501" spans="3:4" x14ac:dyDescent="0.25">
      <c r="C501" s="37"/>
      <c r="D501" s="35"/>
    </row>
    <row r="502" spans="3:4" x14ac:dyDescent="0.25">
      <c r="C502" s="37"/>
      <c r="D502" s="35"/>
    </row>
    <row r="503" spans="3:4" x14ac:dyDescent="0.25">
      <c r="C503" s="37"/>
      <c r="D503" s="35"/>
    </row>
    <row r="504" spans="3:4" x14ac:dyDescent="0.25">
      <c r="C504" s="37"/>
      <c r="D504" s="35"/>
    </row>
    <row r="505" spans="3:4" x14ac:dyDescent="0.25">
      <c r="C505" s="37"/>
      <c r="D505" s="35"/>
    </row>
    <row r="506" spans="3:4" x14ac:dyDescent="0.25">
      <c r="C506" s="37"/>
      <c r="D506" s="35"/>
    </row>
    <row r="507" spans="3:4" x14ac:dyDescent="0.25">
      <c r="C507" s="37"/>
      <c r="D507" s="35"/>
    </row>
    <row r="508" spans="3:4" x14ac:dyDescent="0.25">
      <c r="C508" s="37"/>
      <c r="D508" s="35"/>
    </row>
    <row r="509" spans="3:4" x14ac:dyDescent="0.25">
      <c r="C509" s="37"/>
      <c r="D509" s="35"/>
    </row>
    <row r="510" spans="3:4" x14ac:dyDescent="0.25">
      <c r="C510" s="37"/>
      <c r="D510" s="35"/>
    </row>
    <row r="511" spans="3:4" x14ac:dyDescent="0.25">
      <c r="C511" s="37"/>
      <c r="D511" s="35"/>
    </row>
    <row r="512" spans="3:4" x14ac:dyDescent="0.25">
      <c r="C512" s="37"/>
      <c r="D512" s="35"/>
    </row>
    <row r="513" spans="3:4" x14ac:dyDescent="0.25">
      <c r="C513" s="37"/>
      <c r="D513" s="35"/>
    </row>
    <row r="514" spans="3:4" x14ac:dyDescent="0.25">
      <c r="C514" s="37"/>
      <c r="D514" s="35"/>
    </row>
    <row r="515" spans="3:4" x14ac:dyDescent="0.25">
      <c r="C515" s="37"/>
      <c r="D515" s="35"/>
    </row>
    <row r="516" spans="3:4" x14ac:dyDescent="0.25">
      <c r="C516" s="37"/>
      <c r="D516" s="35"/>
    </row>
    <row r="517" spans="3:4" x14ac:dyDescent="0.25">
      <c r="C517" s="37"/>
      <c r="D517" s="35"/>
    </row>
    <row r="518" spans="3:4" x14ac:dyDescent="0.25">
      <c r="C518" s="37"/>
      <c r="D518" s="35"/>
    </row>
    <row r="519" spans="3:4" x14ac:dyDescent="0.25">
      <c r="C519" s="37"/>
      <c r="D519" s="35"/>
    </row>
    <row r="520" spans="3:4" x14ac:dyDescent="0.25">
      <c r="C520" s="37"/>
      <c r="D520" s="35"/>
    </row>
    <row r="521" spans="3:4" x14ac:dyDescent="0.25">
      <c r="C521" s="37"/>
      <c r="D521" s="35"/>
    </row>
    <row r="522" spans="3:4" x14ac:dyDescent="0.25">
      <c r="C522" s="37"/>
      <c r="D522" s="35"/>
    </row>
    <row r="523" spans="3:4" x14ac:dyDescent="0.25">
      <c r="C523" s="37"/>
      <c r="D523" s="35"/>
    </row>
    <row r="524" spans="3:4" x14ac:dyDescent="0.25">
      <c r="C524" s="37"/>
      <c r="D524" s="35"/>
    </row>
    <row r="525" spans="3:4" x14ac:dyDescent="0.25">
      <c r="C525" s="37"/>
      <c r="D525" s="35"/>
    </row>
    <row r="526" spans="3:4" x14ac:dyDescent="0.25">
      <c r="C526" s="37"/>
      <c r="D526" s="35"/>
    </row>
    <row r="527" spans="3:4" x14ac:dyDescent="0.25">
      <c r="C527" s="37"/>
      <c r="D527" s="35"/>
    </row>
    <row r="528" spans="3:4" x14ac:dyDescent="0.25">
      <c r="C528" s="37"/>
      <c r="D528" s="35"/>
    </row>
    <row r="529" spans="3:4" x14ac:dyDescent="0.25">
      <c r="C529" s="37"/>
      <c r="D529" s="35"/>
    </row>
    <row r="530" spans="3:4" x14ac:dyDescent="0.25">
      <c r="C530" s="37"/>
      <c r="D530" s="35"/>
    </row>
    <row r="531" spans="3:4" x14ac:dyDescent="0.25">
      <c r="C531" s="37"/>
      <c r="D531" s="35"/>
    </row>
    <row r="532" spans="3:4" x14ac:dyDescent="0.25">
      <c r="C532" s="37"/>
      <c r="D532" s="35"/>
    </row>
    <row r="533" spans="3:4" x14ac:dyDescent="0.25">
      <c r="C533" s="37"/>
      <c r="D533" s="35"/>
    </row>
    <row r="534" spans="3:4" x14ac:dyDescent="0.25">
      <c r="C534" s="37"/>
      <c r="D534" s="35"/>
    </row>
    <row r="535" spans="3:4" x14ac:dyDescent="0.25">
      <c r="C535" s="37"/>
      <c r="D535" s="35"/>
    </row>
    <row r="536" spans="3:4" x14ac:dyDescent="0.25">
      <c r="C536" s="37"/>
      <c r="D536" s="35"/>
    </row>
    <row r="537" spans="3:4" x14ac:dyDescent="0.25">
      <c r="C537" s="37"/>
      <c r="D537" s="35"/>
    </row>
    <row r="538" spans="3:4" x14ac:dyDescent="0.25">
      <c r="C538" s="37"/>
      <c r="D538" s="35"/>
    </row>
    <row r="539" spans="3:4" x14ac:dyDescent="0.25">
      <c r="C539" s="37"/>
      <c r="D539" s="35"/>
    </row>
    <row r="540" spans="3:4" x14ac:dyDescent="0.25">
      <c r="C540" s="37"/>
      <c r="D540" s="35"/>
    </row>
    <row r="541" spans="3:4" x14ac:dyDescent="0.25">
      <c r="C541" s="37"/>
      <c r="D541" s="35"/>
    </row>
    <row r="542" spans="3:4" x14ac:dyDescent="0.25">
      <c r="C542" s="37"/>
      <c r="D542" s="35"/>
    </row>
    <row r="543" spans="3:4" x14ac:dyDescent="0.25">
      <c r="C543" s="37"/>
      <c r="D543" s="35"/>
    </row>
    <row r="544" spans="3:4" x14ac:dyDescent="0.25">
      <c r="C544" s="37"/>
      <c r="D544" s="35"/>
    </row>
    <row r="545" spans="3:4" x14ac:dyDescent="0.25">
      <c r="C545" s="37"/>
      <c r="D545" s="35"/>
    </row>
    <row r="546" spans="3:4" x14ac:dyDescent="0.25">
      <c r="C546" s="37"/>
      <c r="D546" s="35"/>
    </row>
    <row r="547" spans="3:4" x14ac:dyDescent="0.25">
      <c r="C547" s="37"/>
      <c r="D547" s="35"/>
    </row>
    <row r="548" spans="3:4" x14ac:dyDescent="0.25">
      <c r="C548" s="37"/>
      <c r="D548" s="35"/>
    </row>
    <row r="549" spans="3:4" x14ac:dyDescent="0.25">
      <c r="C549" s="37"/>
      <c r="D549" s="35"/>
    </row>
    <row r="550" spans="3:4" x14ac:dyDescent="0.25">
      <c r="C550" s="37"/>
      <c r="D550" s="35"/>
    </row>
    <row r="551" spans="3:4" x14ac:dyDescent="0.25">
      <c r="C551" s="37"/>
      <c r="D551" s="35"/>
    </row>
    <row r="552" spans="3:4" x14ac:dyDescent="0.25">
      <c r="C552" s="37"/>
      <c r="D552" s="35"/>
    </row>
    <row r="553" spans="3:4" x14ac:dyDescent="0.25">
      <c r="C553" s="37"/>
      <c r="D553" s="35"/>
    </row>
    <row r="554" spans="3:4" x14ac:dyDescent="0.25">
      <c r="C554" s="37"/>
      <c r="D554" s="35"/>
    </row>
    <row r="555" spans="3:4" x14ac:dyDescent="0.25">
      <c r="C555" s="37"/>
      <c r="D555" s="35"/>
    </row>
    <row r="556" spans="3:4" x14ac:dyDescent="0.25">
      <c r="C556" s="37"/>
      <c r="D556" s="35"/>
    </row>
    <row r="557" spans="3:4" x14ac:dyDescent="0.25">
      <c r="C557" s="37"/>
      <c r="D557" s="35"/>
    </row>
    <row r="558" spans="3:4" x14ac:dyDescent="0.25">
      <c r="C558" s="37"/>
      <c r="D558" s="35"/>
    </row>
    <row r="559" spans="3:4" x14ac:dyDescent="0.25">
      <c r="C559" s="37"/>
      <c r="D559" s="35"/>
    </row>
    <row r="560" spans="3:4" x14ac:dyDescent="0.25">
      <c r="C560" s="37"/>
      <c r="D560" s="35"/>
    </row>
    <row r="561" spans="3:4" x14ac:dyDescent="0.25">
      <c r="C561" s="37"/>
      <c r="D561" s="35"/>
    </row>
    <row r="562" spans="3:4" x14ac:dyDescent="0.25">
      <c r="C562" s="37"/>
      <c r="D562" s="35"/>
    </row>
    <row r="563" spans="3:4" x14ac:dyDescent="0.25">
      <c r="C563" s="37"/>
      <c r="D563" s="35"/>
    </row>
    <row r="564" spans="3:4" x14ac:dyDescent="0.25">
      <c r="C564" s="37"/>
      <c r="D564" s="35"/>
    </row>
    <row r="565" spans="3:4" x14ac:dyDescent="0.25">
      <c r="C565" s="37"/>
      <c r="D565" s="35"/>
    </row>
    <row r="566" spans="3:4" x14ac:dyDescent="0.25">
      <c r="C566" s="37"/>
      <c r="D566" s="35"/>
    </row>
    <row r="567" spans="3:4" x14ac:dyDescent="0.25">
      <c r="C567" s="37"/>
      <c r="D567" s="35"/>
    </row>
    <row r="568" spans="3:4" x14ac:dyDescent="0.25">
      <c r="C568" s="37"/>
      <c r="D568" s="35"/>
    </row>
    <row r="569" spans="3:4" x14ac:dyDescent="0.25">
      <c r="C569" s="37"/>
      <c r="D569" s="35"/>
    </row>
    <row r="570" spans="3:4" x14ac:dyDescent="0.25">
      <c r="C570" s="37"/>
      <c r="D570" s="35"/>
    </row>
    <row r="571" spans="3:4" x14ac:dyDescent="0.25">
      <c r="C571" s="37"/>
      <c r="D571" s="35"/>
    </row>
    <row r="572" spans="3:4" x14ac:dyDescent="0.25">
      <c r="C572" s="37"/>
      <c r="D572" s="35"/>
    </row>
    <row r="573" spans="3:4" x14ac:dyDescent="0.25">
      <c r="C573" s="37"/>
      <c r="D573" s="35"/>
    </row>
    <row r="574" spans="3:4" x14ac:dyDescent="0.25">
      <c r="C574" s="37"/>
      <c r="D574" s="35"/>
    </row>
    <row r="575" spans="3:4" x14ac:dyDescent="0.25">
      <c r="C575" s="37"/>
      <c r="D575" s="35"/>
    </row>
    <row r="576" spans="3:4" x14ac:dyDescent="0.25">
      <c r="C576" s="37"/>
      <c r="D576" s="35"/>
    </row>
    <row r="577" spans="3:4" x14ac:dyDescent="0.25">
      <c r="C577" s="37"/>
      <c r="D577" s="35"/>
    </row>
    <row r="578" spans="3:4" x14ac:dyDescent="0.25">
      <c r="C578" s="37"/>
      <c r="D578" s="35"/>
    </row>
    <row r="579" spans="3:4" x14ac:dyDescent="0.25">
      <c r="C579" s="37"/>
      <c r="D579" s="35"/>
    </row>
    <row r="580" spans="3:4" x14ac:dyDescent="0.25">
      <c r="C580" s="37"/>
      <c r="D580" s="35"/>
    </row>
    <row r="581" spans="3:4" x14ac:dyDescent="0.25">
      <c r="C581" s="37"/>
      <c r="D581" s="35"/>
    </row>
    <row r="582" spans="3:4" x14ac:dyDescent="0.25">
      <c r="C582" s="37"/>
      <c r="D582" s="35"/>
    </row>
    <row r="583" spans="3:4" x14ac:dyDescent="0.25">
      <c r="C583" s="37"/>
      <c r="D583" s="35"/>
    </row>
    <row r="584" spans="3:4" x14ac:dyDescent="0.25">
      <c r="C584" s="37"/>
      <c r="D584" s="35"/>
    </row>
    <row r="585" spans="3:4" x14ac:dyDescent="0.25">
      <c r="C585" s="37"/>
      <c r="D585" s="35"/>
    </row>
    <row r="586" spans="3:4" x14ac:dyDescent="0.25">
      <c r="C586" s="37"/>
      <c r="D586" s="35"/>
    </row>
    <row r="587" spans="3:4" x14ac:dyDescent="0.25">
      <c r="C587" s="37"/>
      <c r="D587" s="35"/>
    </row>
    <row r="588" spans="3:4" x14ac:dyDescent="0.25">
      <c r="C588" s="37"/>
      <c r="D588" s="35"/>
    </row>
    <row r="589" spans="3:4" x14ac:dyDescent="0.25">
      <c r="C589" s="37"/>
      <c r="D589" s="35"/>
    </row>
    <row r="590" spans="3:4" x14ac:dyDescent="0.25">
      <c r="C590" s="37"/>
      <c r="D590" s="35"/>
    </row>
    <row r="591" spans="3:4" x14ac:dyDescent="0.25">
      <c r="C591" s="37"/>
      <c r="D591" s="35"/>
    </row>
    <row r="592" spans="3:4" x14ac:dyDescent="0.25">
      <c r="C592" s="37"/>
      <c r="D592" s="35"/>
    </row>
    <row r="593" spans="3:4" x14ac:dyDescent="0.25">
      <c r="C593" s="37"/>
      <c r="D593" s="35"/>
    </row>
    <row r="594" spans="3:4" x14ac:dyDescent="0.25">
      <c r="C594" s="37"/>
      <c r="D594" s="35"/>
    </row>
    <row r="595" spans="3:4" x14ac:dyDescent="0.25">
      <c r="C595" s="37"/>
      <c r="D595" s="35"/>
    </row>
    <row r="596" spans="3:4" x14ac:dyDescent="0.25">
      <c r="C596" s="37"/>
      <c r="D596" s="35"/>
    </row>
    <row r="597" spans="3:4" x14ac:dyDescent="0.25">
      <c r="C597" s="37"/>
      <c r="D597" s="35"/>
    </row>
    <row r="598" spans="3:4" x14ac:dyDescent="0.25">
      <c r="C598" s="37"/>
      <c r="D598" s="35"/>
    </row>
    <row r="599" spans="3:4" x14ac:dyDescent="0.25">
      <c r="C599" s="37"/>
      <c r="D599" s="35"/>
    </row>
    <row r="600" spans="3:4" x14ac:dyDescent="0.25">
      <c r="C600" s="37"/>
      <c r="D600" s="35"/>
    </row>
    <row r="601" spans="3:4" x14ac:dyDescent="0.25">
      <c r="C601" s="37"/>
      <c r="D601" s="35"/>
    </row>
    <row r="602" spans="3:4" x14ac:dyDescent="0.25">
      <c r="C602" s="37"/>
      <c r="D602" s="35"/>
    </row>
    <row r="603" spans="3:4" x14ac:dyDescent="0.25">
      <c r="C603" s="37"/>
      <c r="D603" s="35"/>
    </row>
    <row r="604" spans="3:4" x14ac:dyDescent="0.25">
      <c r="C604" s="37"/>
      <c r="D604" s="35"/>
    </row>
    <row r="605" spans="3:4" x14ac:dyDescent="0.25">
      <c r="C605" s="37"/>
      <c r="D605" s="35"/>
    </row>
    <row r="606" spans="3:4" x14ac:dyDescent="0.25">
      <c r="C606" s="37"/>
      <c r="D606" s="35"/>
    </row>
    <row r="607" spans="3:4" x14ac:dyDescent="0.25">
      <c r="C607" s="37"/>
      <c r="D607" s="35"/>
    </row>
    <row r="608" spans="3:4" x14ac:dyDescent="0.25">
      <c r="C608" s="37"/>
      <c r="D608" s="35"/>
    </row>
    <row r="609" spans="3:4" x14ac:dyDescent="0.25">
      <c r="C609" s="37"/>
      <c r="D609" s="35"/>
    </row>
    <row r="610" spans="3:4" x14ac:dyDescent="0.25">
      <c r="C610" s="37"/>
      <c r="D610" s="35"/>
    </row>
    <row r="611" spans="3:4" x14ac:dyDescent="0.25">
      <c r="C611" s="37"/>
      <c r="D611" s="35"/>
    </row>
    <row r="612" spans="3:4" x14ac:dyDescent="0.25">
      <c r="C612" s="37"/>
      <c r="D612" s="35"/>
    </row>
    <row r="613" spans="3:4" x14ac:dyDescent="0.25">
      <c r="C613" s="37"/>
      <c r="D613" s="35"/>
    </row>
    <row r="614" spans="3:4" x14ac:dyDescent="0.25">
      <c r="C614" s="37"/>
      <c r="D614" s="35"/>
    </row>
    <row r="615" spans="3:4" x14ac:dyDescent="0.25">
      <c r="C615" s="37"/>
      <c r="D615" s="35"/>
    </row>
    <row r="616" spans="3:4" x14ac:dyDescent="0.25">
      <c r="C616" s="37"/>
      <c r="D616" s="35"/>
    </row>
    <row r="617" spans="3:4" x14ac:dyDescent="0.25">
      <c r="C617" s="37"/>
      <c r="D617" s="35"/>
    </row>
    <row r="618" spans="3:4" x14ac:dyDescent="0.25">
      <c r="C618" s="37"/>
      <c r="D618" s="35"/>
    </row>
    <row r="619" spans="3:4" x14ac:dyDescent="0.25">
      <c r="C619" s="37"/>
      <c r="D619" s="35"/>
    </row>
    <row r="620" spans="3:4" x14ac:dyDescent="0.25">
      <c r="C620" s="37"/>
      <c r="D620" s="35"/>
    </row>
    <row r="621" spans="3:4" x14ac:dyDescent="0.25">
      <c r="C621" s="37"/>
      <c r="D621" s="35"/>
    </row>
    <row r="622" spans="3:4" x14ac:dyDescent="0.25">
      <c r="C622" s="37"/>
      <c r="D622" s="35"/>
    </row>
    <row r="623" spans="3:4" x14ac:dyDescent="0.25">
      <c r="C623" s="37"/>
      <c r="D623" s="35"/>
    </row>
    <row r="624" spans="3:4" x14ac:dyDescent="0.25">
      <c r="C624" s="37"/>
      <c r="D624" s="35"/>
    </row>
    <row r="625" spans="3:4" x14ac:dyDescent="0.25">
      <c r="C625" s="37"/>
      <c r="D625" s="35"/>
    </row>
    <row r="626" spans="3:4" x14ac:dyDescent="0.25">
      <c r="C626" s="37"/>
      <c r="D626" s="35"/>
    </row>
    <row r="627" spans="3:4" x14ac:dyDescent="0.25">
      <c r="C627" s="37"/>
      <c r="D627" s="35"/>
    </row>
    <row r="628" spans="3:4" x14ac:dyDescent="0.25">
      <c r="C628" s="37"/>
      <c r="D628" s="35"/>
    </row>
    <row r="629" spans="3:4" x14ac:dyDescent="0.25">
      <c r="C629" s="37"/>
      <c r="D629" s="35"/>
    </row>
    <row r="630" spans="3:4" x14ac:dyDescent="0.25">
      <c r="C630" s="37"/>
      <c r="D630" s="35"/>
    </row>
    <row r="631" spans="3:4" x14ac:dyDescent="0.25">
      <c r="C631" s="37"/>
      <c r="D631" s="35"/>
    </row>
    <row r="632" spans="3:4" x14ac:dyDescent="0.25">
      <c r="C632" s="37"/>
      <c r="D632" s="35"/>
    </row>
    <row r="633" spans="3:4" x14ac:dyDescent="0.25">
      <c r="C633" s="37"/>
      <c r="D633" s="35"/>
    </row>
    <row r="634" spans="3:4" x14ac:dyDescent="0.25">
      <c r="C634" s="37"/>
      <c r="D634" s="35"/>
    </row>
    <row r="635" spans="3:4" x14ac:dyDescent="0.25">
      <c r="C635" s="37"/>
      <c r="D635" s="35"/>
    </row>
    <row r="636" spans="3:4" x14ac:dyDescent="0.25">
      <c r="C636" s="37"/>
      <c r="D636" s="35"/>
    </row>
    <row r="637" spans="3:4" x14ac:dyDescent="0.25">
      <c r="C637" s="37"/>
      <c r="D637" s="35"/>
    </row>
    <row r="638" spans="3:4" x14ac:dyDescent="0.25">
      <c r="C638" s="37"/>
      <c r="D638" s="35"/>
    </row>
    <row r="639" spans="3:4" x14ac:dyDescent="0.25">
      <c r="C639" s="37"/>
      <c r="D639" s="35"/>
    </row>
    <row r="640" spans="3:4" x14ac:dyDescent="0.25">
      <c r="C640" s="37"/>
      <c r="D640" s="35"/>
    </row>
    <row r="641" spans="3:4" x14ac:dyDescent="0.25">
      <c r="C641" s="37"/>
      <c r="D641" s="35"/>
    </row>
    <row r="642" spans="3:4" x14ac:dyDescent="0.25">
      <c r="C642" s="37"/>
      <c r="D642" s="35"/>
    </row>
    <row r="643" spans="3:4" x14ac:dyDescent="0.25">
      <c r="C643" s="37"/>
      <c r="D643" s="35"/>
    </row>
    <row r="644" spans="3:4" x14ac:dyDescent="0.25">
      <c r="C644" s="37"/>
      <c r="D644" s="35"/>
    </row>
    <row r="645" spans="3:4" x14ac:dyDescent="0.25">
      <c r="C645" s="37"/>
      <c r="D645" s="35"/>
    </row>
    <row r="646" spans="3:4" x14ac:dyDescent="0.25">
      <c r="C646" s="37"/>
      <c r="D646" s="35"/>
    </row>
    <row r="647" spans="3:4" x14ac:dyDescent="0.25">
      <c r="C647" s="37"/>
      <c r="D647" s="35"/>
    </row>
    <row r="648" spans="3:4" x14ac:dyDescent="0.25">
      <c r="C648" s="37"/>
      <c r="D648" s="35"/>
    </row>
    <row r="649" spans="3:4" x14ac:dyDescent="0.25">
      <c r="C649" s="37"/>
      <c r="D649" s="35"/>
    </row>
    <row r="650" spans="3:4" x14ac:dyDescent="0.25">
      <c r="C650" s="37"/>
      <c r="D650" s="35"/>
    </row>
    <row r="651" spans="3:4" x14ac:dyDescent="0.25">
      <c r="C651" s="37"/>
      <c r="D651" s="35"/>
    </row>
    <row r="652" spans="3:4" x14ac:dyDescent="0.25">
      <c r="C652" s="37"/>
      <c r="D652" s="35"/>
    </row>
    <row r="653" spans="3:4" x14ac:dyDescent="0.25">
      <c r="C653" s="37"/>
      <c r="D653" s="35"/>
    </row>
    <row r="654" spans="3:4" x14ac:dyDescent="0.25">
      <c r="C654" s="37"/>
      <c r="D654" s="35"/>
    </row>
    <row r="655" spans="3:4" x14ac:dyDescent="0.25">
      <c r="C655" s="37"/>
      <c r="D655" s="35"/>
    </row>
    <row r="656" spans="3:4" x14ac:dyDescent="0.25">
      <c r="C656" s="37"/>
      <c r="D656" s="35"/>
    </row>
    <row r="657" spans="3:4" x14ac:dyDescent="0.25">
      <c r="C657" s="37"/>
      <c r="D657" s="35"/>
    </row>
    <row r="658" spans="3:4" x14ac:dyDescent="0.25">
      <c r="C658" s="37"/>
      <c r="D658" s="35"/>
    </row>
    <row r="659" spans="3:4" x14ac:dyDescent="0.25">
      <c r="C659" s="37"/>
      <c r="D659" s="35"/>
    </row>
    <row r="660" spans="3:4" x14ac:dyDescent="0.25">
      <c r="C660" s="37"/>
      <c r="D660" s="35"/>
    </row>
    <row r="661" spans="3:4" x14ac:dyDescent="0.25">
      <c r="C661" s="37"/>
      <c r="D661" s="35"/>
    </row>
    <row r="662" spans="3:4" x14ac:dyDescent="0.25">
      <c r="C662" s="37"/>
      <c r="D662" s="35"/>
    </row>
    <row r="663" spans="3:4" x14ac:dyDescent="0.25">
      <c r="C663" s="37"/>
      <c r="D663" s="35"/>
    </row>
    <row r="664" spans="3:4" x14ac:dyDescent="0.25">
      <c r="C664" s="37"/>
      <c r="D664" s="35"/>
    </row>
    <row r="665" spans="3:4" x14ac:dyDescent="0.25">
      <c r="C665" s="37"/>
      <c r="D665" s="35"/>
    </row>
    <row r="666" spans="3:4" x14ac:dyDescent="0.25">
      <c r="C666" s="37"/>
      <c r="D666" s="35"/>
    </row>
    <row r="667" spans="3:4" x14ac:dyDescent="0.25">
      <c r="C667" s="37"/>
      <c r="D667" s="35"/>
    </row>
    <row r="668" spans="3:4" x14ac:dyDescent="0.25">
      <c r="C668" s="37"/>
      <c r="D668" s="35"/>
    </row>
    <row r="669" spans="3:4" x14ac:dyDescent="0.25">
      <c r="C669" s="37"/>
      <c r="D669" s="35"/>
    </row>
    <row r="670" spans="3:4" x14ac:dyDescent="0.25">
      <c r="C670" s="37"/>
      <c r="D670" s="35"/>
    </row>
    <row r="671" spans="3:4" x14ac:dyDescent="0.25">
      <c r="C671" s="37"/>
      <c r="D671" s="35"/>
    </row>
    <row r="672" spans="3:4" x14ac:dyDescent="0.25">
      <c r="C672" s="37"/>
      <c r="D672" s="35"/>
    </row>
    <row r="673" spans="3:4" x14ac:dyDescent="0.25">
      <c r="C673" s="37"/>
      <c r="D673" s="35"/>
    </row>
    <row r="674" spans="3:4" x14ac:dyDescent="0.25">
      <c r="C674" s="37"/>
      <c r="D674" s="35"/>
    </row>
    <row r="675" spans="3:4" x14ac:dyDescent="0.25">
      <c r="C675" s="37"/>
      <c r="D675" s="35"/>
    </row>
    <row r="676" spans="3:4" x14ac:dyDescent="0.25">
      <c r="C676" s="37"/>
      <c r="D676" s="35"/>
    </row>
    <row r="677" spans="3:4" x14ac:dyDescent="0.25">
      <c r="C677" s="37"/>
      <c r="D677" s="35"/>
    </row>
    <row r="678" spans="3:4" x14ac:dyDescent="0.25">
      <c r="C678" s="37"/>
      <c r="D678" s="35"/>
    </row>
    <row r="679" spans="3:4" x14ac:dyDescent="0.25">
      <c r="C679" s="37"/>
      <c r="D679" s="35"/>
    </row>
    <row r="680" spans="3:4" x14ac:dyDescent="0.25">
      <c r="C680" s="37"/>
      <c r="D680" s="35"/>
    </row>
    <row r="681" spans="3:4" x14ac:dyDescent="0.25">
      <c r="C681" s="37"/>
      <c r="D681" s="35"/>
    </row>
    <row r="682" spans="3:4" x14ac:dyDescent="0.25">
      <c r="C682" s="37"/>
      <c r="D682" s="35"/>
    </row>
    <row r="683" spans="3:4" x14ac:dyDescent="0.25">
      <c r="C683" s="37"/>
      <c r="D683" s="35"/>
    </row>
    <row r="684" spans="3:4" x14ac:dyDescent="0.25">
      <c r="C684" s="37"/>
      <c r="D684" s="35"/>
    </row>
    <row r="685" spans="3:4" x14ac:dyDescent="0.25">
      <c r="C685" s="37"/>
      <c r="D685" s="35"/>
    </row>
    <row r="686" spans="3:4" x14ac:dyDescent="0.25">
      <c r="C686" s="37"/>
      <c r="D686" s="35"/>
    </row>
    <row r="687" spans="3:4" x14ac:dyDescent="0.25">
      <c r="C687" s="37"/>
      <c r="D687" s="35"/>
    </row>
    <row r="688" spans="3:4" x14ac:dyDescent="0.25">
      <c r="C688" s="37"/>
      <c r="D688" s="35"/>
    </row>
    <row r="689" spans="3:4" x14ac:dyDescent="0.25">
      <c r="C689" s="37"/>
      <c r="D689" s="35"/>
    </row>
    <row r="690" spans="3:4" x14ac:dyDescent="0.25">
      <c r="C690" s="37"/>
      <c r="D690" s="35"/>
    </row>
    <row r="691" spans="3:4" x14ac:dyDescent="0.25">
      <c r="C691" s="37"/>
      <c r="D691" s="35"/>
    </row>
    <row r="692" spans="3:4" x14ac:dyDescent="0.25">
      <c r="C692" s="37"/>
      <c r="D692" s="35"/>
    </row>
    <row r="693" spans="3:4" x14ac:dyDescent="0.25">
      <c r="C693" s="37"/>
      <c r="D693" s="35"/>
    </row>
    <row r="694" spans="3:4" x14ac:dyDescent="0.25">
      <c r="C694" s="37"/>
      <c r="D694" s="35"/>
    </row>
    <row r="695" spans="3:4" x14ac:dyDescent="0.25">
      <c r="C695" s="37"/>
      <c r="D695" s="35"/>
    </row>
    <row r="696" spans="3:4" x14ac:dyDescent="0.25">
      <c r="C696" s="37"/>
      <c r="D696" s="35"/>
    </row>
    <row r="697" spans="3:4" x14ac:dyDescent="0.25">
      <c r="C697" s="37"/>
      <c r="D697" s="35"/>
    </row>
    <row r="698" spans="3:4" x14ac:dyDescent="0.25">
      <c r="C698" s="37"/>
      <c r="D698" s="35"/>
    </row>
    <row r="699" spans="3:4" x14ac:dyDescent="0.25">
      <c r="C699" s="37"/>
      <c r="D699" s="35"/>
    </row>
    <row r="700" spans="3:4" x14ac:dyDescent="0.25">
      <c r="C700" s="37"/>
      <c r="D700" s="35"/>
    </row>
    <row r="701" spans="3:4" x14ac:dyDescent="0.25">
      <c r="C701" s="37"/>
      <c r="D701" s="35"/>
    </row>
    <row r="702" spans="3:4" x14ac:dyDescent="0.25">
      <c r="C702" s="37"/>
      <c r="D702" s="35"/>
    </row>
    <row r="703" spans="3:4" x14ac:dyDescent="0.25">
      <c r="C703" s="37"/>
      <c r="D703" s="35"/>
    </row>
    <row r="704" spans="3:4" x14ac:dyDescent="0.25">
      <c r="C704" s="37"/>
      <c r="D704" s="35"/>
    </row>
    <row r="705" spans="3:4" x14ac:dyDescent="0.25">
      <c r="C705" s="37"/>
      <c r="D705" s="35"/>
    </row>
    <row r="706" spans="3:4" x14ac:dyDescent="0.25">
      <c r="C706" s="37"/>
      <c r="D706" s="35"/>
    </row>
    <row r="707" spans="3:4" x14ac:dyDescent="0.25">
      <c r="C707" s="37"/>
      <c r="D707" s="35"/>
    </row>
    <row r="708" spans="3:4" x14ac:dyDescent="0.25">
      <c r="C708" s="37"/>
      <c r="D708" s="35"/>
    </row>
    <row r="709" spans="3:4" x14ac:dyDescent="0.25">
      <c r="C709" s="37"/>
      <c r="D709" s="35"/>
    </row>
    <row r="710" spans="3:4" x14ac:dyDescent="0.25">
      <c r="C710" s="37"/>
      <c r="D710" s="35"/>
    </row>
    <row r="711" spans="3:4" x14ac:dyDescent="0.25">
      <c r="C711" s="37"/>
      <c r="D711" s="35"/>
    </row>
    <row r="712" spans="3:4" x14ac:dyDescent="0.25">
      <c r="C712" s="37"/>
      <c r="D712" s="35"/>
    </row>
    <row r="713" spans="3:4" x14ac:dyDescent="0.25">
      <c r="C713" s="37"/>
      <c r="D713" s="35"/>
    </row>
    <row r="714" spans="3:4" x14ac:dyDescent="0.25">
      <c r="C714" s="37"/>
      <c r="D714" s="35"/>
    </row>
    <row r="715" spans="3:4" x14ac:dyDescent="0.25">
      <c r="C715" s="37"/>
      <c r="D715" s="35"/>
    </row>
    <row r="716" spans="3:4" x14ac:dyDescent="0.25">
      <c r="C716" s="37"/>
      <c r="D716" s="35"/>
    </row>
    <row r="717" spans="3:4" x14ac:dyDescent="0.25">
      <c r="C717" s="37"/>
      <c r="D717" s="35"/>
    </row>
    <row r="718" spans="3:4" x14ac:dyDescent="0.25">
      <c r="C718" s="37"/>
      <c r="D718" s="35"/>
    </row>
    <row r="719" spans="3:4" x14ac:dyDescent="0.25">
      <c r="C719" s="37"/>
      <c r="D719" s="35"/>
    </row>
    <row r="720" spans="3:4" x14ac:dyDescent="0.25">
      <c r="C720" s="37"/>
      <c r="D720" s="35"/>
    </row>
    <row r="721" spans="3:4" x14ac:dyDescent="0.25">
      <c r="C721" s="37"/>
      <c r="D721" s="35"/>
    </row>
    <row r="722" spans="3:4" x14ac:dyDescent="0.25">
      <c r="C722" s="37"/>
      <c r="D722" s="35"/>
    </row>
    <row r="723" spans="3:4" x14ac:dyDescent="0.25">
      <c r="C723" s="37"/>
      <c r="D723" s="35"/>
    </row>
    <row r="724" spans="3:4" x14ac:dyDescent="0.25">
      <c r="C724" s="37"/>
      <c r="D724" s="35"/>
    </row>
    <row r="725" spans="3:4" x14ac:dyDescent="0.25">
      <c r="C725" s="37"/>
      <c r="D725" s="35"/>
    </row>
    <row r="726" spans="3:4" x14ac:dyDescent="0.25">
      <c r="C726" s="37"/>
      <c r="D726" s="35"/>
    </row>
    <row r="727" spans="3:4" x14ac:dyDescent="0.25">
      <c r="C727" s="37"/>
      <c r="D727" s="35"/>
    </row>
    <row r="728" spans="3:4" x14ac:dyDescent="0.25">
      <c r="C728" s="37"/>
      <c r="D728" s="35"/>
    </row>
    <row r="729" spans="3:4" x14ac:dyDescent="0.25">
      <c r="C729" s="37"/>
      <c r="D729" s="35"/>
    </row>
    <row r="730" spans="3:4" x14ac:dyDescent="0.25">
      <c r="C730" s="37"/>
      <c r="D730" s="35"/>
    </row>
    <row r="731" spans="3:4" x14ac:dyDescent="0.25">
      <c r="C731" s="37"/>
      <c r="D731" s="35"/>
    </row>
    <row r="732" spans="3:4" x14ac:dyDescent="0.25">
      <c r="C732" s="37"/>
      <c r="D732" s="35"/>
    </row>
    <row r="733" spans="3:4" x14ac:dyDescent="0.25">
      <c r="C733" s="37"/>
      <c r="D733" s="35"/>
    </row>
    <row r="734" spans="3:4" x14ac:dyDescent="0.25">
      <c r="C734" s="37"/>
      <c r="D734" s="35"/>
    </row>
    <row r="735" spans="3:4" x14ac:dyDescent="0.25">
      <c r="C735" s="37"/>
      <c r="D735" s="35"/>
    </row>
    <row r="736" spans="3:4" x14ac:dyDescent="0.25">
      <c r="C736" s="37"/>
      <c r="D736" s="35"/>
    </row>
    <row r="737" spans="3:4" x14ac:dyDescent="0.25">
      <c r="C737" s="37"/>
      <c r="D737" s="35"/>
    </row>
    <row r="738" spans="3:4" x14ac:dyDescent="0.25">
      <c r="C738" s="37"/>
      <c r="D738" s="35"/>
    </row>
    <row r="739" spans="3:4" x14ac:dyDescent="0.25">
      <c r="C739" s="37"/>
      <c r="D739" s="35"/>
    </row>
    <row r="740" spans="3:4" x14ac:dyDescent="0.25">
      <c r="C740" s="37"/>
      <c r="D740" s="35"/>
    </row>
    <row r="741" spans="3:4" x14ac:dyDescent="0.25">
      <c r="C741" s="37"/>
      <c r="D741" s="35"/>
    </row>
    <row r="742" spans="3:4" x14ac:dyDescent="0.25">
      <c r="C742" s="37"/>
      <c r="D742" s="35"/>
    </row>
    <row r="743" spans="3:4" x14ac:dyDescent="0.25">
      <c r="C743" s="37"/>
      <c r="D743" s="35"/>
    </row>
    <row r="744" spans="3:4" x14ac:dyDescent="0.25">
      <c r="C744" s="37"/>
      <c r="D744" s="35"/>
    </row>
    <row r="745" spans="3:4" x14ac:dyDescent="0.25">
      <c r="C745" s="37"/>
      <c r="D745" s="35"/>
    </row>
    <row r="746" spans="3:4" x14ac:dyDescent="0.25">
      <c r="C746" s="37"/>
      <c r="D746" s="35"/>
    </row>
    <row r="747" spans="3:4" x14ac:dyDescent="0.25">
      <c r="C747" s="37"/>
      <c r="D747" s="35"/>
    </row>
    <row r="748" spans="3:4" x14ac:dyDescent="0.25">
      <c r="C748" s="37"/>
      <c r="D748" s="35"/>
    </row>
    <row r="749" spans="3:4" x14ac:dyDescent="0.25">
      <c r="C749" s="37"/>
      <c r="D749" s="35"/>
    </row>
    <row r="750" spans="3:4" x14ac:dyDescent="0.25">
      <c r="C750" s="37"/>
      <c r="D750" s="35"/>
    </row>
    <row r="751" spans="3:4" x14ac:dyDescent="0.25">
      <c r="C751" s="37"/>
      <c r="D751" s="35"/>
    </row>
    <row r="752" spans="3:4" x14ac:dyDescent="0.25">
      <c r="C752" s="37"/>
      <c r="D752" s="35"/>
    </row>
    <row r="753" spans="3:4" x14ac:dyDescent="0.25">
      <c r="C753" s="37"/>
      <c r="D753" s="35"/>
    </row>
    <row r="754" spans="3:4" x14ac:dyDescent="0.25">
      <c r="C754" s="37"/>
      <c r="D754" s="35"/>
    </row>
    <row r="755" spans="3:4" x14ac:dyDescent="0.25">
      <c r="C755" s="37"/>
      <c r="D755" s="35"/>
    </row>
    <row r="756" spans="3:4" x14ac:dyDescent="0.25">
      <c r="C756" s="37"/>
      <c r="D756" s="35"/>
    </row>
    <row r="757" spans="3:4" x14ac:dyDescent="0.25">
      <c r="C757" s="37"/>
      <c r="D757" s="35"/>
    </row>
    <row r="758" spans="3:4" x14ac:dyDescent="0.25">
      <c r="C758" s="37"/>
      <c r="D758" s="35"/>
    </row>
    <row r="759" spans="3:4" x14ac:dyDescent="0.25">
      <c r="C759" s="37"/>
      <c r="D759" s="35"/>
    </row>
    <row r="760" spans="3:4" x14ac:dyDescent="0.25">
      <c r="C760" s="37"/>
      <c r="D760" s="35"/>
    </row>
    <row r="761" spans="3:4" x14ac:dyDescent="0.25">
      <c r="C761" s="37"/>
      <c r="D761" s="35"/>
    </row>
    <row r="762" spans="3:4" x14ac:dyDescent="0.25">
      <c r="C762" s="37"/>
      <c r="D762" s="35"/>
    </row>
    <row r="763" spans="3:4" x14ac:dyDescent="0.25">
      <c r="C763" s="37"/>
      <c r="D763" s="35"/>
    </row>
    <row r="764" spans="3:4" x14ac:dyDescent="0.25">
      <c r="C764" s="37"/>
      <c r="D764" s="35"/>
    </row>
    <row r="765" spans="3:4" x14ac:dyDescent="0.25">
      <c r="C765" s="37"/>
      <c r="D765" s="35"/>
    </row>
    <row r="766" spans="3:4" x14ac:dyDescent="0.25">
      <c r="C766" s="37"/>
      <c r="D766" s="35"/>
    </row>
    <row r="767" spans="3:4" x14ac:dyDescent="0.25">
      <c r="C767" s="37"/>
      <c r="D767" s="35"/>
    </row>
    <row r="768" spans="3:4" x14ac:dyDescent="0.25">
      <c r="C768" s="37"/>
      <c r="D768" s="35"/>
    </row>
    <row r="769" spans="3:4" x14ac:dyDescent="0.25">
      <c r="C769" s="37"/>
      <c r="D769" s="35"/>
    </row>
    <row r="770" spans="3:4" x14ac:dyDescent="0.25">
      <c r="C770" s="37"/>
      <c r="D770" s="35"/>
    </row>
    <row r="771" spans="3:4" x14ac:dyDescent="0.25">
      <c r="C771" s="37"/>
      <c r="D771" s="35"/>
    </row>
    <row r="772" spans="3:4" x14ac:dyDescent="0.25">
      <c r="C772" s="37"/>
      <c r="D772" s="35"/>
    </row>
    <row r="773" spans="3:4" x14ac:dyDescent="0.25">
      <c r="C773" s="37"/>
      <c r="D773" s="35"/>
    </row>
    <row r="774" spans="3:4" x14ac:dyDescent="0.25">
      <c r="C774" s="37"/>
      <c r="D774" s="35"/>
    </row>
    <row r="775" spans="3:4" x14ac:dyDescent="0.25">
      <c r="C775" s="37"/>
      <c r="D775" s="35"/>
    </row>
    <row r="776" spans="3:4" x14ac:dyDescent="0.25">
      <c r="C776" s="37"/>
      <c r="D776" s="35"/>
    </row>
    <row r="777" spans="3:4" x14ac:dyDescent="0.25">
      <c r="C777" s="37"/>
      <c r="D777" s="35"/>
    </row>
    <row r="778" spans="3:4" x14ac:dyDescent="0.25">
      <c r="C778" s="37"/>
      <c r="D778" s="35"/>
    </row>
    <row r="779" spans="3:4" x14ac:dyDescent="0.25">
      <c r="C779" s="37"/>
      <c r="D779" s="35"/>
    </row>
    <row r="780" spans="3:4" x14ac:dyDescent="0.25">
      <c r="C780" s="37"/>
      <c r="D780" s="35"/>
    </row>
    <row r="781" spans="3:4" x14ac:dyDescent="0.25">
      <c r="C781" s="37"/>
      <c r="D781" s="35"/>
    </row>
    <row r="782" spans="3:4" x14ac:dyDescent="0.25">
      <c r="C782" s="37"/>
      <c r="D782" s="35"/>
    </row>
    <row r="783" spans="3:4" x14ac:dyDescent="0.25">
      <c r="C783" s="37"/>
      <c r="D783" s="35"/>
    </row>
    <row r="784" spans="3:4" x14ac:dyDescent="0.25">
      <c r="C784" s="37"/>
      <c r="D784" s="35"/>
    </row>
    <row r="785" spans="3:4" x14ac:dyDescent="0.25">
      <c r="C785" s="37"/>
      <c r="D785" s="35"/>
    </row>
    <row r="786" spans="3:4" x14ac:dyDescent="0.25">
      <c r="C786" s="37"/>
      <c r="D786" s="35"/>
    </row>
    <row r="787" spans="3:4" x14ac:dyDescent="0.25">
      <c r="C787" s="37"/>
      <c r="D787" s="35"/>
    </row>
    <row r="788" spans="3:4" x14ac:dyDescent="0.25">
      <c r="C788" s="37"/>
      <c r="D788" s="35"/>
    </row>
    <row r="789" spans="3:4" x14ac:dyDescent="0.25">
      <c r="C789" s="37"/>
      <c r="D789" s="35"/>
    </row>
    <row r="790" spans="3:4" x14ac:dyDescent="0.25">
      <c r="C790" s="37"/>
      <c r="D790" s="35"/>
    </row>
    <row r="791" spans="3:4" x14ac:dyDescent="0.25">
      <c r="C791" s="37"/>
      <c r="D791" s="35"/>
    </row>
    <row r="792" spans="3:4" x14ac:dyDescent="0.25">
      <c r="C792" s="37"/>
      <c r="D792" s="35"/>
    </row>
    <row r="793" spans="3:4" x14ac:dyDescent="0.25">
      <c r="C793" s="37"/>
      <c r="D793" s="35"/>
    </row>
    <row r="794" spans="3:4" x14ac:dyDescent="0.25">
      <c r="C794" s="37"/>
      <c r="D794" s="35"/>
    </row>
    <row r="795" spans="3:4" x14ac:dyDescent="0.25">
      <c r="C795" s="37"/>
      <c r="D795" s="35"/>
    </row>
    <row r="796" spans="3:4" x14ac:dyDescent="0.25">
      <c r="C796" s="37"/>
      <c r="D796" s="35"/>
    </row>
    <row r="797" spans="3:4" x14ac:dyDescent="0.25">
      <c r="C797" s="37"/>
      <c r="D797" s="35"/>
    </row>
    <row r="798" spans="3:4" x14ac:dyDescent="0.25">
      <c r="C798" s="37"/>
      <c r="D798" s="35"/>
    </row>
    <row r="799" spans="3:4" x14ac:dyDescent="0.25">
      <c r="C799" s="37"/>
      <c r="D799" s="35"/>
    </row>
    <row r="800" spans="3:4" x14ac:dyDescent="0.25">
      <c r="C800" s="37"/>
      <c r="D800" s="35"/>
    </row>
    <row r="801" spans="3:4" x14ac:dyDescent="0.25">
      <c r="C801" s="37"/>
      <c r="D801" s="35"/>
    </row>
    <row r="802" spans="3:4" x14ac:dyDescent="0.25">
      <c r="C802" s="37"/>
      <c r="D802" s="35"/>
    </row>
    <row r="803" spans="3:4" x14ac:dyDescent="0.25">
      <c r="C803" s="37"/>
      <c r="D803" s="35"/>
    </row>
    <row r="804" spans="3:4" x14ac:dyDescent="0.25">
      <c r="C804" s="37"/>
      <c r="D804" s="35"/>
    </row>
    <row r="805" spans="3:4" x14ac:dyDescent="0.25">
      <c r="C805" s="37"/>
      <c r="D805" s="35"/>
    </row>
    <row r="806" spans="3:4" x14ac:dyDescent="0.25">
      <c r="C806" s="37"/>
      <c r="D806" s="35"/>
    </row>
    <row r="807" spans="3:4" x14ac:dyDescent="0.25">
      <c r="C807" s="37"/>
      <c r="D807" s="35"/>
    </row>
    <row r="808" spans="3:4" x14ac:dyDescent="0.25">
      <c r="C808" s="37"/>
      <c r="D808" s="35"/>
    </row>
    <row r="809" spans="3:4" x14ac:dyDescent="0.25">
      <c r="C809" s="37"/>
      <c r="D809" s="35"/>
    </row>
    <row r="810" spans="3:4" x14ac:dyDescent="0.25">
      <c r="C810" s="37"/>
      <c r="D810" s="35"/>
    </row>
    <row r="811" spans="3:4" x14ac:dyDescent="0.25">
      <c r="C811" s="37"/>
      <c r="D811" s="35"/>
    </row>
    <row r="812" spans="3:4" x14ac:dyDescent="0.25">
      <c r="C812" s="37"/>
      <c r="D812" s="35"/>
    </row>
    <row r="813" spans="3:4" x14ac:dyDescent="0.25">
      <c r="C813" s="37"/>
      <c r="D813" s="35"/>
    </row>
    <row r="814" spans="3:4" x14ac:dyDescent="0.25">
      <c r="C814" s="37"/>
      <c r="D814" s="35"/>
    </row>
    <row r="815" spans="3:4" x14ac:dyDescent="0.25">
      <c r="C815" s="37"/>
      <c r="D815" s="35"/>
    </row>
    <row r="816" spans="3:4" x14ac:dyDescent="0.25">
      <c r="C816" s="37"/>
      <c r="D816" s="35"/>
    </row>
    <row r="817" spans="3:4" x14ac:dyDescent="0.25">
      <c r="C817" s="37"/>
      <c r="D817" s="35"/>
    </row>
    <row r="818" spans="3:4" x14ac:dyDescent="0.25">
      <c r="C818" s="37"/>
      <c r="D818" s="35"/>
    </row>
    <row r="819" spans="3:4" x14ac:dyDescent="0.25">
      <c r="C819" s="37"/>
      <c r="D819" s="35"/>
    </row>
    <row r="820" spans="3:4" x14ac:dyDescent="0.25">
      <c r="C820" s="37"/>
      <c r="D820" s="35"/>
    </row>
    <row r="821" spans="3:4" x14ac:dyDescent="0.25">
      <c r="C821" s="37"/>
      <c r="D821" s="35"/>
    </row>
    <row r="822" spans="3:4" x14ac:dyDescent="0.25">
      <c r="C822" s="37"/>
      <c r="D822" s="35"/>
    </row>
    <row r="823" spans="3:4" x14ac:dyDescent="0.25">
      <c r="C823" s="37"/>
      <c r="D823" s="35"/>
    </row>
    <row r="824" spans="3:4" x14ac:dyDescent="0.25">
      <c r="C824" s="37"/>
      <c r="D824" s="35"/>
    </row>
    <row r="825" spans="3:4" x14ac:dyDescent="0.25">
      <c r="C825" s="37"/>
      <c r="D825" s="35"/>
    </row>
    <row r="826" spans="3:4" x14ac:dyDescent="0.25">
      <c r="C826" s="37"/>
      <c r="D826" s="35"/>
    </row>
    <row r="827" spans="3:4" x14ac:dyDescent="0.25">
      <c r="C827" s="37"/>
      <c r="D827" s="35"/>
    </row>
    <row r="828" spans="3:4" x14ac:dyDescent="0.25">
      <c r="C828" s="37"/>
      <c r="D828" s="35"/>
    </row>
    <row r="829" spans="3:4" x14ac:dyDescent="0.25">
      <c r="C829" s="37"/>
      <c r="D829" s="35"/>
    </row>
    <row r="830" spans="3:4" x14ac:dyDescent="0.25">
      <c r="C830" s="37"/>
      <c r="D830" s="35"/>
    </row>
    <row r="831" spans="3:4" x14ac:dyDescent="0.25">
      <c r="C831" s="37"/>
      <c r="D831" s="35"/>
    </row>
    <row r="832" spans="3:4" x14ac:dyDescent="0.25">
      <c r="C832" s="37"/>
      <c r="D832" s="35"/>
    </row>
    <row r="833" spans="3:4" x14ac:dyDescent="0.25">
      <c r="C833" s="37"/>
      <c r="D833" s="35"/>
    </row>
    <row r="834" spans="3:4" x14ac:dyDescent="0.25">
      <c r="C834" s="37"/>
      <c r="D834" s="35"/>
    </row>
    <row r="835" spans="3:4" x14ac:dyDescent="0.25">
      <c r="C835" s="37"/>
      <c r="D835" s="35"/>
    </row>
    <row r="836" spans="3:4" x14ac:dyDescent="0.25">
      <c r="C836" s="37"/>
      <c r="D836" s="35"/>
    </row>
    <row r="837" spans="3:4" x14ac:dyDescent="0.25">
      <c r="C837" s="37"/>
      <c r="D837" s="35"/>
    </row>
    <row r="838" spans="3:4" x14ac:dyDescent="0.25">
      <c r="C838" s="37"/>
      <c r="D838" s="35"/>
    </row>
    <row r="839" spans="3:4" x14ac:dyDescent="0.25">
      <c r="C839" s="37"/>
      <c r="D839" s="35"/>
    </row>
    <row r="840" spans="3:4" x14ac:dyDescent="0.25">
      <c r="C840" s="37"/>
      <c r="D840" s="35"/>
    </row>
    <row r="841" spans="3:4" x14ac:dyDescent="0.25">
      <c r="C841" s="37"/>
      <c r="D841" s="35"/>
    </row>
    <row r="842" spans="3:4" x14ac:dyDescent="0.25">
      <c r="C842" s="37"/>
      <c r="D842" s="35"/>
    </row>
    <row r="843" spans="3:4" x14ac:dyDescent="0.25">
      <c r="C843" s="37"/>
      <c r="D843" s="35"/>
    </row>
    <row r="844" spans="3:4" x14ac:dyDescent="0.25">
      <c r="C844" s="37"/>
      <c r="D844" s="35"/>
    </row>
    <row r="845" spans="3:4" x14ac:dyDescent="0.25">
      <c r="C845" s="37"/>
      <c r="D845" s="35"/>
    </row>
    <row r="846" spans="3:4" x14ac:dyDescent="0.25">
      <c r="C846" s="37"/>
      <c r="D846" s="35"/>
    </row>
    <row r="847" spans="3:4" x14ac:dyDescent="0.25">
      <c r="C847" s="37"/>
      <c r="D847" s="35"/>
    </row>
    <row r="848" spans="3:4" x14ac:dyDescent="0.25">
      <c r="C848" s="37"/>
      <c r="D848" s="35"/>
    </row>
    <row r="849" spans="3:4" x14ac:dyDescent="0.25">
      <c r="C849" s="37"/>
      <c r="D849" s="35"/>
    </row>
    <row r="850" spans="3:4" x14ac:dyDescent="0.25">
      <c r="C850" s="37"/>
      <c r="D850" s="35"/>
    </row>
    <row r="851" spans="3:4" x14ac:dyDescent="0.25">
      <c r="C851" s="37"/>
      <c r="D851" s="35"/>
    </row>
    <row r="852" spans="3:4" x14ac:dyDescent="0.25">
      <c r="C852" s="37"/>
      <c r="D852" s="35"/>
    </row>
    <row r="853" spans="3:4" x14ac:dyDescent="0.25">
      <c r="C853" s="37"/>
      <c r="D853" s="35"/>
    </row>
    <row r="854" spans="3:4" x14ac:dyDescent="0.25">
      <c r="C854" s="37"/>
      <c r="D854" s="35"/>
    </row>
    <row r="855" spans="3:4" x14ac:dyDescent="0.25">
      <c r="C855" s="37"/>
      <c r="D855" s="35"/>
    </row>
    <row r="856" spans="3:4" x14ac:dyDescent="0.25">
      <c r="C856" s="37"/>
      <c r="D856" s="35"/>
    </row>
    <row r="857" spans="3:4" x14ac:dyDescent="0.25">
      <c r="C857" s="37"/>
      <c r="D857" s="35"/>
    </row>
    <row r="858" spans="3:4" x14ac:dyDescent="0.25">
      <c r="C858" s="37"/>
      <c r="D858" s="35"/>
    </row>
    <row r="859" spans="3:4" x14ac:dyDescent="0.25">
      <c r="C859" s="37"/>
      <c r="D859" s="35"/>
    </row>
    <row r="860" spans="3:4" x14ac:dyDescent="0.25">
      <c r="C860" s="37"/>
      <c r="D860" s="35"/>
    </row>
    <row r="861" spans="3:4" x14ac:dyDescent="0.25">
      <c r="C861" s="37"/>
      <c r="D861" s="35"/>
    </row>
    <row r="862" spans="3:4" x14ac:dyDescent="0.25">
      <c r="C862" s="37"/>
      <c r="D862" s="35"/>
    </row>
    <row r="863" spans="3:4" x14ac:dyDescent="0.25">
      <c r="C863" s="37"/>
      <c r="D863" s="35"/>
    </row>
    <row r="864" spans="3:4" x14ac:dyDescent="0.25">
      <c r="C864" s="37"/>
      <c r="D864" s="35"/>
    </row>
    <row r="865" spans="3:4" x14ac:dyDescent="0.25">
      <c r="C865" s="37"/>
      <c r="D865" s="35"/>
    </row>
    <row r="866" spans="3:4" x14ac:dyDescent="0.25">
      <c r="C866" s="37"/>
      <c r="D866" s="35"/>
    </row>
    <row r="867" spans="3:4" x14ac:dyDescent="0.25">
      <c r="C867" s="37"/>
      <c r="D867" s="35"/>
    </row>
    <row r="868" spans="3:4" x14ac:dyDescent="0.25">
      <c r="C868" s="37"/>
      <c r="D868" s="35"/>
    </row>
    <row r="869" spans="3:4" x14ac:dyDescent="0.25">
      <c r="C869" s="37"/>
      <c r="D869" s="35"/>
    </row>
    <row r="870" spans="3:4" x14ac:dyDescent="0.25">
      <c r="C870" s="37"/>
      <c r="D870" s="35"/>
    </row>
    <row r="871" spans="3:4" x14ac:dyDescent="0.25">
      <c r="C871" s="37"/>
      <c r="D871" s="35"/>
    </row>
    <row r="872" spans="3:4" x14ac:dyDescent="0.25">
      <c r="C872" s="37"/>
      <c r="D872" s="35"/>
    </row>
    <row r="873" spans="3:4" x14ac:dyDescent="0.25">
      <c r="C873" s="37"/>
      <c r="D873" s="35"/>
    </row>
    <row r="874" spans="3:4" x14ac:dyDescent="0.25">
      <c r="C874" s="37"/>
      <c r="D874" s="35"/>
    </row>
    <row r="875" spans="3:4" x14ac:dyDescent="0.25">
      <c r="C875" s="37"/>
      <c r="D875" s="35"/>
    </row>
    <row r="876" spans="3:4" x14ac:dyDescent="0.25">
      <c r="C876" s="37"/>
      <c r="D876" s="35"/>
    </row>
    <row r="877" spans="3:4" x14ac:dyDescent="0.25">
      <c r="C877" s="37"/>
      <c r="D877" s="35"/>
    </row>
    <row r="878" spans="3:4" x14ac:dyDescent="0.25">
      <c r="C878" s="37"/>
      <c r="D878" s="35"/>
    </row>
    <row r="879" spans="3:4" x14ac:dyDescent="0.25">
      <c r="C879" s="37"/>
      <c r="D879" s="35"/>
    </row>
    <row r="880" spans="3:4" x14ac:dyDescent="0.25">
      <c r="C880" s="37"/>
      <c r="D880" s="35"/>
    </row>
    <row r="881" spans="3:4" x14ac:dyDescent="0.25">
      <c r="C881" s="37"/>
      <c r="D881" s="35"/>
    </row>
    <row r="882" spans="3:4" x14ac:dyDescent="0.25">
      <c r="C882" s="37"/>
      <c r="D882" s="35"/>
    </row>
    <row r="883" spans="3:4" x14ac:dyDescent="0.25">
      <c r="C883" s="37"/>
      <c r="D883" s="35"/>
    </row>
    <row r="884" spans="3:4" x14ac:dyDescent="0.25">
      <c r="C884" s="37"/>
      <c r="D884" s="35"/>
    </row>
    <row r="885" spans="3:4" x14ac:dyDescent="0.25">
      <c r="C885" s="37"/>
      <c r="D885" s="35"/>
    </row>
    <row r="886" spans="3:4" x14ac:dyDescent="0.25">
      <c r="C886" s="37"/>
      <c r="D886" s="35"/>
    </row>
    <row r="887" spans="3:4" x14ac:dyDescent="0.25">
      <c r="C887" s="37"/>
      <c r="D887" s="35"/>
    </row>
    <row r="888" spans="3:4" x14ac:dyDescent="0.25">
      <c r="C888" s="37"/>
      <c r="D888" s="35"/>
    </row>
    <row r="889" spans="3:4" x14ac:dyDescent="0.25">
      <c r="C889" s="37"/>
      <c r="D889" s="35"/>
    </row>
    <row r="890" spans="3:4" x14ac:dyDescent="0.25">
      <c r="C890" s="37"/>
      <c r="D890" s="35"/>
    </row>
    <row r="891" spans="3:4" x14ac:dyDescent="0.25">
      <c r="C891" s="37"/>
      <c r="D891" s="35"/>
    </row>
    <row r="892" spans="3:4" x14ac:dyDescent="0.25">
      <c r="C892" s="37"/>
      <c r="D892" s="35"/>
    </row>
    <row r="893" spans="3:4" x14ac:dyDescent="0.25">
      <c r="C893" s="37"/>
      <c r="D893" s="35"/>
    </row>
    <row r="894" spans="3:4" x14ac:dyDescent="0.25">
      <c r="C894" s="37"/>
      <c r="D894" s="35"/>
    </row>
    <row r="895" spans="3:4" x14ac:dyDescent="0.25">
      <c r="C895" s="37"/>
      <c r="D895" s="35"/>
    </row>
    <row r="896" spans="3:4" x14ac:dyDescent="0.25">
      <c r="C896" s="37"/>
      <c r="D896" s="35"/>
    </row>
    <row r="897" spans="3:4" x14ac:dyDescent="0.25">
      <c r="C897" s="37"/>
      <c r="D897" s="35"/>
    </row>
    <row r="898" spans="3:4" x14ac:dyDescent="0.25">
      <c r="C898" s="37"/>
      <c r="D898" s="35"/>
    </row>
    <row r="899" spans="3:4" x14ac:dyDescent="0.25">
      <c r="C899" s="37"/>
      <c r="D899" s="35"/>
    </row>
    <row r="900" spans="3:4" x14ac:dyDescent="0.25">
      <c r="C900" s="37"/>
      <c r="D900" s="35"/>
    </row>
    <row r="901" spans="3:4" x14ac:dyDescent="0.25">
      <c r="C901" s="37"/>
      <c r="D901" s="35"/>
    </row>
    <row r="902" spans="3:4" x14ac:dyDescent="0.25">
      <c r="C902" s="37"/>
      <c r="D902" s="35"/>
    </row>
    <row r="903" spans="3:4" x14ac:dyDescent="0.25">
      <c r="C903" s="37"/>
      <c r="D903" s="35"/>
    </row>
    <row r="904" spans="3:4" x14ac:dyDescent="0.25">
      <c r="C904" s="37"/>
      <c r="D904" s="35"/>
    </row>
    <row r="905" spans="3:4" x14ac:dyDescent="0.25">
      <c r="C905" s="37"/>
      <c r="D905" s="35"/>
    </row>
    <row r="906" spans="3:4" x14ac:dyDescent="0.25">
      <c r="C906" s="37"/>
      <c r="D906" s="35"/>
    </row>
    <row r="907" spans="3:4" x14ac:dyDescent="0.25">
      <c r="C907" s="37"/>
      <c r="D907" s="35"/>
    </row>
    <row r="908" spans="3:4" x14ac:dyDescent="0.25">
      <c r="C908" s="37"/>
      <c r="D908" s="35"/>
    </row>
    <row r="909" spans="3:4" x14ac:dyDescent="0.25">
      <c r="C909" s="37"/>
      <c r="D909" s="35"/>
    </row>
    <row r="910" spans="3:4" x14ac:dyDescent="0.25">
      <c r="C910" s="37"/>
      <c r="D910" s="35"/>
    </row>
    <row r="911" spans="3:4" x14ac:dyDescent="0.25">
      <c r="C911" s="37"/>
      <c r="D911" s="35"/>
    </row>
    <row r="912" spans="3:4" x14ac:dyDescent="0.25">
      <c r="C912" s="37"/>
      <c r="D912" s="35"/>
    </row>
    <row r="913" spans="3:4" x14ac:dyDescent="0.25">
      <c r="C913" s="37"/>
      <c r="D913" s="35"/>
    </row>
    <row r="914" spans="3:4" x14ac:dyDescent="0.25">
      <c r="C914" s="37"/>
      <c r="D914" s="35"/>
    </row>
    <row r="915" spans="3:4" x14ac:dyDescent="0.25">
      <c r="C915" s="37"/>
      <c r="D915" s="35"/>
    </row>
    <row r="916" spans="3:4" x14ac:dyDescent="0.25">
      <c r="C916" s="37"/>
      <c r="D916" s="35"/>
    </row>
    <row r="917" spans="3:4" x14ac:dyDescent="0.25">
      <c r="C917" s="37"/>
      <c r="D917" s="35"/>
    </row>
    <row r="918" spans="3:4" x14ac:dyDescent="0.25">
      <c r="C918" s="37"/>
      <c r="D918" s="35"/>
    </row>
    <row r="919" spans="3:4" x14ac:dyDescent="0.25">
      <c r="C919" s="37"/>
      <c r="D919" s="35"/>
    </row>
    <row r="920" spans="3:4" x14ac:dyDescent="0.25">
      <c r="C920" s="37"/>
      <c r="D920" s="35"/>
    </row>
    <row r="921" spans="3:4" x14ac:dyDescent="0.25">
      <c r="C921" s="37"/>
      <c r="D921" s="35"/>
    </row>
    <row r="922" spans="3:4" x14ac:dyDescent="0.25">
      <c r="C922" s="37"/>
      <c r="D922" s="35"/>
    </row>
    <row r="923" spans="3:4" x14ac:dyDescent="0.25">
      <c r="C923" s="37"/>
      <c r="D923" s="35"/>
    </row>
    <row r="924" spans="3:4" x14ac:dyDescent="0.25">
      <c r="C924" s="37"/>
      <c r="D924" s="35"/>
    </row>
    <row r="925" spans="3:4" x14ac:dyDescent="0.25">
      <c r="C925" s="37"/>
      <c r="D925" s="35"/>
    </row>
    <row r="926" spans="3:4" x14ac:dyDescent="0.25">
      <c r="C926" s="37"/>
      <c r="D926" s="35"/>
    </row>
    <row r="927" spans="3:4" x14ac:dyDescent="0.25">
      <c r="C927" s="37"/>
      <c r="D927" s="35"/>
    </row>
    <row r="928" spans="3:4" x14ac:dyDescent="0.25">
      <c r="C928" s="37"/>
      <c r="D928" s="35"/>
    </row>
    <row r="929" spans="3:4" x14ac:dyDescent="0.25">
      <c r="C929" s="37"/>
      <c r="D929" s="35"/>
    </row>
    <row r="930" spans="3:4" x14ac:dyDescent="0.25">
      <c r="C930" s="37"/>
      <c r="D930" s="35"/>
    </row>
    <row r="931" spans="3:4" x14ac:dyDescent="0.25">
      <c r="C931" s="37"/>
      <c r="D931" s="35"/>
    </row>
    <row r="932" spans="3:4" x14ac:dyDescent="0.25">
      <c r="C932" s="37"/>
      <c r="D932" s="35"/>
    </row>
    <row r="933" spans="3:4" x14ac:dyDescent="0.25">
      <c r="C933" s="37"/>
      <c r="D933" s="35"/>
    </row>
    <row r="934" spans="3:4" x14ac:dyDescent="0.25">
      <c r="C934" s="37"/>
      <c r="D934" s="35"/>
    </row>
    <row r="935" spans="3:4" x14ac:dyDescent="0.25">
      <c r="C935" s="37"/>
      <c r="D935" s="35"/>
    </row>
    <row r="936" spans="3:4" x14ac:dyDescent="0.25">
      <c r="C936" s="37"/>
      <c r="D936" s="35"/>
    </row>
    <row r="937" spans="3:4" x14ac:dyDescent="0.25">
      <c r="C937" s="37"/>
      <c r="D937" s="35"/>
    </row>
    <row r="938" spans="3:4" x14ac:dyDescent="0.25">
      <c r="C938" s="37"/>
      <c r="D938" s="35"/>
    </row>
    <row r="939" spans="3:4" x14ac:dyDescent="0.25">
      <c r="C939" s="37"/>
      <c r="D939" s="35"/>
    </row>
    <row r="940" spans="3:4" x14ac:dyDescent="0.25">
      <c r="C940" s="37"/>
      <c r="D940" s="35"/>
    </row>
    <row r="941" spans="3:4" x14ac:dyDescent="0.25">
      <c r="C941" s="37"/>
      <c r="D941" s="35"/>
    </row>
    <row r="942" spans="3:4" x14ac:dyDescent="0.25">
      <c r="C942" s="37"/>
      <c r="D942" s="35"/>
    </row>
    <row r="943" spans="3:4" x14ac:dyDescent="0.25">
      <c r="C943" s="37"/>
      <c r="D943" s="35"/>
    </row>
    <row r="944" spans="3:4" x14ac:dyDescent="0.25">
      <c r="C944" s="37"/>
      <c r="D944" s="35"/>
    </row>
    <row r="945" spans="3:4" x14ac:dyDescent="0.25">
      <c r="C945" s="37"/>
      <c r="D945" s="35"/>
    </row>
    <row r="946" spans="3:4" x14ac:dyDescent="0.25">
      <c r="C946" s="37"/>
      <c r="D946" s="35"/>
    </row>
    <row r="947" spans="3:4" x14ac:dyDescent="0.25">
      <c r="C947" s="37"/>
      <c r="D947" s="35"/>
    </row>
    <row r="948" spans="3:4" x14ac:dyDescent="0.25">
      <c r="C948" s="37"/>
      <c r="D948" s="35"/>
    </row>
    <row r="949" spans="3:4" x14ac:dyDescent="0.25">
      <c r="C949" s="37"/>
      <c r="D949" s="35"/>
    </row>
    <row r="950" spans="3:4" x14ac:dyDescent="0.25">
      <c r="C950" s="37"/>
      <c r="D950" s="35"/>
    </row>
    <row r="951" spans="3:4" x14ac:dyDescent="0.25">
      <c r="C951" s="37"/>
      <c r="D951" s="35"/>
    </row>
    <row r="952" spans="3:4" x14ac:dyDescent="0.25">
      <c r="C952" s="37"/>
      <c r="D952" s="35"/>
    </row>
    <row r="953" spans="3:4" x14ac:dyDescent="0.25">
      <c r="C953" s="37"/>
      <c r="D953" s="35"/>
    </row>
    <row r="954" spans="3:4" x14ac:dyDescent="0.25">
      <c r="C954" s="37"/>
      <c r="D954" s="35"/>
    </row>
    <row r="955" spans="3:4" x14ac:dyDescent="0.25">
      <c r="C955" s="37"/>
      <c r="D955" s="35"/>
    </row>
    <row r="956" spans="3:4" x14ac:dyDescent="0.25">
      <c r="C956" s="37"/>
      <c r="D956" s="35"/>
    </row>
    <row r="957" spans="3:4" x14ac:dyDescent="0.25">
      <c r="C957" s="37"/>
      <c r="D957" s="35"/>
    </row>
    <row r="958" spans="3:4" x14ac:dyDescent="0.25">
      <c r="C958" s="37"/>
      <c r="D958" s="35"/>
    </row>
    <row r="959" spans="3:4" x14ac:dyDescent="0.25">
      <c r="C959" s="37"/>
      <c r="D959" s="35"/>
    </row>
    <row r="960" spans="3:4" x14ac:dyDescent="0.25">
      <c r="C960" s="37"/>
      <c r="D960" s="35"/>
    </row>
    <row r="961" spans="3:4" x14ac:dyDescent="0.25">
      <c r="C961" s="37"/>
      <c r="D961" s="35"/>
    </row>
    <row r="962" spans="3:4" x14ac:dyDescent="0.25">
      <c r="C962" s="37"/>
      <c r="D962" s="35"/>
    </row>
    <row r="963" spans="3:4" x14ac:dyDescent="0.25">
      <c r="C963" s="37"/>
      <c r="D963" s="35"/>
    </row>
    <row r="964" spans="3:4" x14ac:dyDescent="0.25">
      <c r="C964" s="37"/>
      <c r="D964" s="35"/>
    </row>
    <row r="965" spans="3:4" x14ac:dyDescent="0.25">
      <c r="C965" s="37"/>
      <c r="D965" s="35"/>
    </row>
    <row r="966" spans="3:4" x14ac:dyDescent="0.25">
      <c r="C966" s="37"/>
      <c r="D966" s="35"/>
    </row>
    <row r="967" spans="3:4" x14ac:dyDescent="0.25">
      <c r="C967" s="37"/>
      <c r="D967" s="35"/>
    </row>
    <row r="968" spans="3:4" x14ac:dyDescent="0.25">
      <c r="C968" s="37"/>
      <c r="D968" s="35"/>
    </row>
    <row r="969" spans="3:4" x14ac:dyDescent="0.25">
      <c r="C969" s="37"/>
      <c r="D969" s="35"/>
    </row>
    <row r="970" spans="3:4" x14ac:dyDescent="0.25">
      <c r="C970" s="37"/>
      <c r="D970" s="35"/>
    </row>
    <row r="971" spans="3:4" x14ac:dyDescent="0.25">
      <c r="C971" s="37"/>
      <c r="D971" s="35"/>
    </row>
    <row r="972" spans="3:4" x14ac:dyDescent="0.25">
      <c r="C972" s="37"/>
      <c r="D972" s="35"/>
    </row>
    <row r="973" spans="3:4" x14ac:dyDescent="0.25">
      <c r="C973" s="37"/>
      <c r="D973" s="35"/>
    </row>
    <row r="974" spans="3:4" x14ac:dyDescent="0.25">
      <c r="C974" s="37"/>
      <c r="D974" s="35"/>
    </row>
    <row r="975" spans="3:4" x14ac:dyDescent="0.25">
      <c r="C975" s="37"/>
      <c r="D975" s="35"/>
    </row>
    <row r="976" spans="3:4" x14ac:dyDescent="0.25">
      <c r="C976" s="37"/>
      <c r="D976" s="35"/>
    </row>
    <row r="977" spans="3:4" x14ac:dyDescent="0.25">
      <c r="C977" s="37"/>
      <c r="D977" s="35"/>
    </row>
    <row r="978" spans="3:4" x14ac:dyDescent="0.25">
      <c r="C978" s="37"/>
      <c r="D978" s="35"/>
    </row>
    <row r="979" spans="3:4" x14ac:dyDescent="0.25">
      <c r="C979" s="37"/>
      <c r="D979" s="35"/>
    </row>
    <row r="980" spans="3:4" x14ac:dyDescent="0.25">
      <c r="C980" s="37"/>
      <c r="D980" s="35"/>
    </row>
    <row r="981" spans="3:4" x14ac:dyDescent="0.25">
      <c r="C981" s="37"/>
      <c r="D981" s="35"/>
    </row>
    <row r="982" spans="3:4" x14ac:dyDescent="0.25">
      <c r="C982" s="37"/>
      <c r="D982" s="35"/>
    </row>
    <row r="983" spans="3:4" x14ac:dyDescent="0.25">
      <c r="C983" s="37"/>
      <c r="D983" s="35"/>
    </row>
    <row r="984" spans="3:4" x14ac:dyDescent="0.25">
      <c r="C984" s="37"/>
      <c r="D984" s="35"/>
    </row>
    <row r="985" spans="3:4" x14ac:dyDescent="0.25">
      <c r="C985" s="37"/>
      <c r="D985" s="35"/>
    </row>
    <row r="986" spans="3:4" x14ac:dyDescent="0.25">
      <c r="C986" s="37"/>
      <c r="D986" s="35"/>
    </row>
    <row r="987" spans="3:4" x14ac:dyDescent="0.25">
      <c r="C987" s="37"/>
      <c r="D987" s="35"/>
    </row>
    <row r="988" spans="3:4" x14ac:dyDescent="0.25">
      <c r="C988" s="37"/>
      <c r="D988" s="35"/>
    </row>
    <row r="989" spans="3:4" x14ac:dyDescent="0.25">
      <c r="C989" s="37"/>
      <c r="D989" s="35"/>
    </row>
    <row r="990" spans="3:4" x14ac:dyDescent="0.25">
      <c r="C990" s="37"/>
      <c r="D990" s="35"/>
    </row>
    <row r="991" spans="3:4" x14ac:dyDescent="0.25">
      <c r="C991" s="37"/>
      <c r="D991" s="35"/>
    </row>
    <row r="992" spans="3:4" x14ac:dyDescent="0.25">
      <c r="C992" s="37"/>
      <c r="D992" s="35"/>
    </row>
    <row r="993" spans="3:4" x14ac:dyDescent="0.25">
      <c r="C993" s="37"/>
      <c r="D993" s="35"/>
    </row>
    <row r="994" spans="3:4" x14ac:dyDescent="0.25">
      <c r="C994" s="37"/>
      <c r="D994" s="35"/>
    </row>
    <row r="995" spans="3:4" x14ac:dyDescent="0.25">
      <c r="C995" s="37"/>
      <c r="D995" s="35"/>
    </row>
    <row r="996" spans="3:4" x14ac:dyDescent="0.25">
      <c r="C996" s="37"/>
      <c r="D996" s="35"/>
    </row>
    <row r="997" spans="3:4" x14ac:dyDescent="0.25">
      <c r="C997" s="37"/>
      <c r="D997" s="35"/>
    </row>
    <row r="998" spans="3:4" x14ac:dyDescent="0.25">
      <c r="C998" s="37"/>
      <c r="D998" s="35"/>
    </row>
    <row r="999" spans="3:4" x14ac:dyDescent="0.25">
      <c r="C999" s="37"/>
      <c r="D999" s="35"/>
    </row>
    <row r="1000" spans="3:4" x14ac:dyDescent="0.25">
      <c r="C1000" s="37"/>
      <c r="D1000" s="35"/>
    </row>
    <row r="1001" spans="3:4" x14ac:dyDescent="0.25">
      <c r="C1001" s="37"/>
      <c r="D1001" s="35"/>
    </row>
    <row r="1002" spans="3:4" x14ac:dyDescent="0.25">
      <c r="C1002" s="37"/>
      <c r="D1002" s="35"/>
    </row>
    <row r="1003" spans="3:4" x14ac:dyDescent="0.25">
      <c r="C1003" s="37"/>
      <c r="D1003" s="35"/>
    </row>
    <row r="1004" spans="3:4" x14ac:dyDescent="0.25">
      <c r="C1004" s="37"/>
      <c r="D1004" s="35"/>
    </row>
    <row r="1005" spans="3:4" x14ac:dyDescent="0.25">
      <c r="C1005" s="37"/>
      <c r="D1005" s="35"/>
    </row>
    <row r="1006" spans="3:4" x14ac:dyDescent="0.25">
      <c r="C1006" s="37"/>
      <c r="D1006" s="35"/>
    </row>
    <row r="1007" spans="3:4" x14ac:dyDescent="0.25">
      <c r="C1007" s="37"/>
      <c r="D1007" s="35"/>
    </row>
    <row r="1008" spans="3:4" x14ac:dyDescent="0.25">
      <c r="C1008" s="37"/>
      <c r="D1008" s="35"/>
    </row>
    <row r="1009" spans="3:4" x14ac:dyDescent="0.25">
      <c r="C1009" s="37"/>
      <c r="D1009" s="35"/>
    </row>
    <row r="1010" spans="3:4" x14ac:dyDescent="0.25">
      <c r="C1010" s="37"/>
      <c r="D1010" s="35"/>
    </row>
    <row r="1011" spans="3:4" x14ac:dyDescent="0.25">
      <c r="C1011" s="37"/>
      <c r="D1011" s="35"/>
    </row>
    <row r="1012" spans="3:4" x14ac:dyDescent="0.25">
      <c r="C1012" s="37"/>
      <c r="D1012" s="35"/>
    </row>
    <row r="1013" spans="3:4" x14ac:dyDescent="0.25">
      <c r="C1013" s="37"/>
      <c r="D1013" s="35"/>
    </row>
    <row r="1014" spans="3:4" x14ac:dyDescent="0.25">
      <c r="C1014" s="37"/>
      <c r="D1014" s="35"/>
    </row>
    <row r="1015" spans="3:4" x14ac:dyDescent="0.25">
      <c r="C1015" s="37"/>
      <c r="D1015" s="35"/>
    </row>
    <row r="1016" spans="3:4" x14ac:dyDescent="0.25">
      <c r="C1016" s="37"/>
      <c r="D1016" s="35"/>
    </row>
    <row r="1017" spans="3:4" x14ac:dyDescent="0.25">
      <c r="C1017" s="37"/>
      <c r="D1017" s="35"/>
    </row>
    <row r="1018" spans="3:4" x14ac:dyDescent="0.25">
      <c r="C1018" s="37"/>
      <c r="D1018" s="35"/>
    </row>
    <row r="1019" spans="3:4" x14ac:dyDescent="0.25">
      <c r="C1019" s="37"/>
      <c r="D1019" s="35"/>
    </row>
    <row r="1020" spans="3:4" x14ac:dyDescent="0.25">
      <c r="C1020" s="37"/>
      <c r="D1020" s="35"/>
    </row>
    <row r="1021" spans="3:4" x14ac:dyDescent="0.25">
      <c r="C1021" s="37"/>
      <c r="D1021" s="35"/>
    </row>
    <row r="1022" spans="3:4" x14ac:dyDescent="0.25">
      <c r="C1022" s="37"/>
      <c r="D1022" s="35"/>
    </row>
    <row r="1023" spans="3:4" x14ac:dyDescent="0.25">
      <c r="C1023" s="37"/>
      <c r="D1023" s="35"/>
    </row>
    <row r="1024" spans="3:4" x14ac:dyDescent="0.25">
      <c r="C1024" s="37"/>
      <c r="D1024" s="35"/>
    </row>
    <row r="1025" spans="3:4" x14ac:dyDescent="0.25">
      <c r="C1025" s="37"/>
      <c r="D1025" s="35"/>
    </row>
    <row r="1026" spans="3:4" x14ac:dyDescent="0.25">
      <c r="C1026" s="37"/>
      <c r="D1026" s="35"/>
    </row>
    <row r="1027" spans="3:4" x14ac:dyDescent="0.25">
      <c r="C1027" s="37"/>
      <c r="D1027" s="35"/>
    </row>
    <row r="1028" spans="3:4" x14ac:dyDescent="0.25">
      <c r="C1028" s="37"/>
      <c r="D1028" s="35"/>
    </row>
    <row r="1029" spans="3:4" x14ac:dyDescent="0.25">
      <c r="C1029" s="37"/>
      <c r="D1029" s="35"/>
    </row>
    <row r="1030" spans="3:4" x14ac:dyDescent="0.25">
      <c r="C1030" s="37"/>
      <c r="D1030" s="35"/>
    </row>
    <row r="1031" spans="3:4" x14ac:dyDescent="0.25">
      <c r="C1031" s="37"/>
      <c r="D1031" s="35"/>
    </row>
    <row r="1032" spans="3:4" x14ac:dyDescent="0.25">
      <c r="C1032" s="37"/>
      <c r="D1032" s="35"/>
    </row>
    <row r="1033" spans="3:4" x14ac:dyDescent="0.25">
      <c r="C1033" s="37"/>
      <c r="D1033" s="35"/>
    </row>
    <row r="1034" spans="3:4" x14ac:dyDescent="0.25">
      <c r="C1034" s="37"/>
      <c r="D1034" s="35"/>
    </row>
    <row r="1035" spans="3:4" x14ac:dyDescent="0.25">
      <c r="C1035" s="37"/>
      <c r="D1035" s="35"/>
    </row>
    <row r="1036" spans="3:4" x14ac:dyDescent="0.25">
      <c r="C1036" s="37"/>
      <c r="D1036" s="35"/>
    </row>
    <row r="1037" spans="3:4" x14ac:dyDescent="0.25">
      <c r="C1037" s="37"/>
      <c r="D1037" s="35"/>
    </row>
    <row r="1038" spans="3:4" x14ac:dyDescent="0.25">
      <c r="C1038" s="37"/>
      <c r="D1038" s="35"/>
    </row>
    <row r="1039" spans="3:4" x14ac:dyDescent="0.25">
      <c r="C1039" s="37"/>
      <c r="D1039" s="35"/>
    </row>
    <row r="1040" spans="3:4" x14ac:dyDescent="0.25">
      <c r="C1040" s="37"/>
      <c r="D1040" s="35"/>
    </row>
    <row r="1041" spans="3:4" x14ac:dyDescent="0.25">
      <c r="C1041" s="37"/>
      <c r="D1041" s="35"/>
    </row>
    <row r="1042" spans="3:4" x14ac:dyDescent="0.25">
      <c r="C1042" s="37"/>
      <c r="D1042" s="35"/>
    </row>
    <row r="1043" spans="3:4" x14ac:dyDescent="0.25">
      <c r="C1043" s="37"/>
      <c r="D1043" s="35"/>
    </row>
    <row r="1044" spans="3:4" x14ac:dyDescent="0.25">
      <c r="C1044" s="37"/>
      <c r="D1044" s="35"/>
    </row>
    <row r="1045" spans="3:4" x14ac:dyDescent="0.25">
      <c r="C1045" s="37"/>
      <c r="D1045" s="35"/>
    </row>
    <row r="1046" spans="3:4" x14ac:dyDescent="0.25">
      <c r="C1046" s="37"/>
      <c r="D1046" s="35"/>
    </row>
    <row r="1047" spans="3:4" x14ac:dyDescent="0.25">
      <c r="C1047" s="37"/>
      <c r="D1047" s="35"/>
    </row>
    <row r="1048" spans="3:4" x14ac:dyDescent="0.25">
      <c r="C1048" s="37"/>
      <c r="D1048" s="35"/>
    </row>
    <row r="1049" spans="3:4" x14ac:dyDescent="0.25">
      <c r="C1049" s="37"/>
      <c r="D1049" s="35"/>
    </row>
    <row r="1050" spans="3:4" x14ac:dyDescent="0.25">
      <c r="C1050" s="37"/>
      <c r="D1050" s="35"/>
    </row>
    <row r="1051" spans="3:4" x14ac:dyDescent="0.25">
      <c r="C1051" s="37"/>
      <c r="D1051" s="35"/>
    </row>
    <row r="1052" spans="3:4" x14ac:dyDescent="0.25">
      <c r="C1052" s="37"/>
      <c r="D1052" s="35"/>
    </row>
    <row r="1053" spans="3:4" x14ac:dyDescent="0.25">
      <c r="C1053" s="37"/>
      <c r="D1053" s="35"/>
    </row>
    <row r="1054" spans="3:4" x14ac:dyDescent="0.25">
      <c r="C1054" s="37"/>
      <c r="D1054" s="35"/>
    </row>
    <row r="1055" spans="3:4" x14ac:dyDescent="0.25">
      <c r="C1055" s="37"/>
      <c r="D1055" s="35"/>
    </row>
    <row r="1056" spans="3:4" x14ac:dyDescent="0.25">
      <c r="C1056" s="37"/>
      <c r="D1056" s="35"/>
    </row>
    <row r="1057" spans="3:4" x14ac:dyDescent="0.25">
      <c r="C1057" s="37"/>
      <c r="D1057" s="35"/>
    </row>
    <row r="1058" spans="3:4" x14ac:dyDescent="0.25">
      <c r="C1058" s="37"/>
      <c r="D1058" s="35"/>
    </row>
    <row r="1059" spans="3:4" x14ac:dyDescent="0.25">
      <c r="C1059" s="37"/>
      <c r="D1059" s="35"/>
    </row>
    <row r="1060" spans="3:4" x14ac:dyDescent="0.25">
      <c r="C1060" s="37"/>
      <c r="D1060" s="35"/>
    </row>
    <row r="1061" spans="3:4" x14ac:dyDescent="0.25">
      <c r="C1061" s="37"/>
      <c r="D1061" s="35"/>
    </row>
    <row r="1062" spans="3:4" x14ac:dyDescent="0.25">
      <c r="C1062" s="37"/>
      <c r="D1062" s="35"/>
    </row>
    <row r="1063" spans="3:4" x14ac:dyDescent="0.25">
      <c r="C1063" s="37"/>
      <c r="D1063" s="35"/>
    </row>
    <row r="1064" spans="3:4" x14ac:dyDescent="0.25">
      <c r="C1064" s="37"/>
      <c r="D1064" s="35"/>
    </row>
    <row r="1065" spans="3:4" x14ac:dyDescent="0.25">
      <c r="C1065" s="37"/>
      <c r="D1065" s="35"/>
    </row>
    <row r="1066" spans="3:4" x14ac:dyDescent="0.25">
      <c r="C1066" s="37"/>
      <c r="D1066" s="35"/>
    </row>
    <row r="1067" spans="3:4" x14ac:dyDescent="0.25">
      <c r="C1067" s="37"/>
      <c r="D1067" s="35"/>
    </row>
    <row r="1068" spans="3:4" x14ac:dyDescent="0.25">
      <c r="C1068" s="37"/>
      <c r="D1068" s="35"/>
    </row>
    <row r="1069" spans="3:4" x14ac:dyDescent="0.25">
      <c r="C1069" s="37"/>
      <c r="D1069" s="35"/>
    </row>
    <row r="1070" spans="3:4" x14ac:dyDescent="0.25">
      <c r="C1070" s="37"/>
      <c r="D1070" s="35"/>
    </row>
    <row r="1071" spans="3:4" x14ac:dyDescent="0.25">
      <c r="C1071" s="37"/>
      <c r="D1071" s="35"/>
    </row>
    <row r="1072" spans="3:4" x14ac:dyDescent="0.25">
      <c r="C1072" s="37"/>
      <c r="D1072" s="35"/>
    </row>
    <row r="1073" spans="3:4" x14ac:dyDescent="0.25">
      <c r="C1073" s="37"/>
      <c r="D1073" s="35"/>
    </row>
    <row r="1074" spans="3:4" x14ac:dyDescent="0.25">
      <c r="C1074" s="37"/>
      <c r="D1074" s="35"/>
    </row>
    <row r="1075" spans="3:4" x14ac:dyDescent="0.25">
      <c r="C1075" s="37"/>
      <c r="D1075" s="35"/>
    </row>
    <row r="1076" spans="3:4" x14ac:dyDescent="0.25">
      <c r="C1076" s="37"/>
      <c r="D1076" s="35"/>
    </row>
    <row r="1077" spans="3:4" x14ac:dyDescent="0.25">
      <c r="C1077" s="37"/>
      <c r="D1077" s="35"/>
    </row>
    <row r="1078" spans="3:4" x14ac:dyDescent="0.25">
      <c r="C1078" s="37"/>
      <c r="D1078" s="35"/>
    </row>
    <row r="1079" spans="3:4" x14ac:dyDescent="0.25">
      <c r="C1079" s="37"/>
      <c r="D1079" s="35"/>
    </row>
    <row r="1080" spans="3:4" x14ac:dyDescent="0.25">
      <c r="C1080" s="37"/>
      <c r="D1080" s="35"/>
    </row>
    <row r="1081" spans="3:4" x14ac:dyDescent="0.25">
      <c r="C1081" s="37"/>
      <c r="D1081" s="35"/>
    </row>
    <row r="1082" spans="3:4" x14ac:dyDescent="0.25">
      <c r="C1082" s="37"/>
      <c r="D1082" s="35"/>
    </row>
    <row r="1083" spans="3:4" x14ac:dyDescent="0.25">
      <c r="C1083" s="37"/>
      <c r="D1083" s="35"/>
    </row>
    <row r="1084" spans="3:4" x14ac:dyDescent="0.25">
      <c r="C1084" s="37"/>
      <c r="D1084" s="35"/>
    </row>
    <row r="1085" spans="3:4" x14ac:dyDescent="0.25">
      <c r="C1085" s="37"/>
      <c r="D1085" s="35"/>
    </row>
    <row r="1086" spans="3:4" x14ac:dyDescent="0.25">
      <c r="C1086" s="37"/>
      <c r="D1086" s="35"/>
    </row>
    <row r="1087" spans="3:4" x14ac:dyDescent="0.25">
      <c r="C1087" s="37"/>
      <c r="D1087" s="35"/>
    </row>
    <row r="1088" spans="3:4" x14ac:dyDescent="0.25">
      <c r="C1088" s="37"/>
      <c r="D1088" s="35"/>
    </row>
    <row r="1089" spans="3:4" x14ac:dyDescent="0.25">
      <c r="C1089" s="37"/>
      <c r="D1089" s="35"/>
    </row>
    <row r="1090" spans="3:4" x14ac:dyDescent="0.25">
      <c r="C1090" s="37"/>
      <c r="D1090" s="35"/>
    </row>
    <row r="1091" spans="3:4" x14ac:dyDescent="0.25">
      <c r="C1091" s="37"/>
      <c r="D1091" s="35"/>
    </row>
    <row r="1092" spans="3:4" x14ac:dyDescent="0.25">
      <c r="C1092" s="37"/>
      <c r="D1092" s="35"/>
    </row>
    <row r="1093" spans="3:4" x14ac:dyDescent="0.25">
      <c r="C1093" s="37"/>
      <c r="D1093" s="35"/>
    </row>
    <row r="1094" spans="3:4" x14ac:dyDescent="0.25">
      <c r="C1094" s="37"/>
      <c r="D1094" s="35"/>
    </row>
    <row r="1095" spans="3:4" x14ac:dyDescent="0.25">
      <c r="C1095" s="37"/>
      <c r="D1095" s="35"/>
    </row>
    <row r="1096" spans="3:4" x14ac:dyDescent="0.25">
      <c r="C1096" s="37"/>
      <c r="D1096" s="35"/>
    </row>
    <row r="1097" spans="3:4" x14ac:dyDescent="0.25">
      <c r="C1097" s="37"/>
      <c r="D1097" s="35"/>
    </row>
    <row r="1098" spans="3:4" x14ac:dyDescent="0.25">
      <c r="C1098" s="37"/>
      <c r="D1098" s="35"/>
    </row>
    <row r="1099" spans="3:4" x14ac:dyDescent="0.25">
      <c r="C1099" s="37"/>
      <c r="D1099" s="35"/>
    </row>
    <row r="1100" spans="3:4" x14ac:dyDescent="0.25">
      <c r="C1100" s="37"/>
      <c r="D1100" s="35"/>
    </row>
    <row r="1101" spans="3:4" x14ac:dyDescent="0.25">
      <c r="C1101" s="37"/>
      <c r="D1101" s="35"/>
    </row>
    <row r="1102" spans="3:4" x14ac:dyDescent="0.25">
      <c r="C1102" s="37"/>
      <c r="D1102" s="35"/>
    </row>
    <row r="1103" spans="3:4" x14ac:dyDescent="0.25">
      <c r="C1103" s="37"/>
      <c r="D1103" s="35"/>
    </row>
    <row r="1104" spans="3:4" x14ac:dyDescent="0.25">
      <c r="C1104" s="37"/>
      <c r="D1104" s="35"/>
    </row>
    <row r="1105" spans="3:4" x14ac:dyDescent="0.25">
      <c r="C1105" s="37"/>
      <c r="D1105" s="35"/>
    </row>
    <row r="1106" spans="3:4" x14ac:dyDescent="0.25">
      <c r="C1106" s="37"/>
      <c r="D1106" s="35"/>
    </row>
    <row r="1107" spans="3:4" x14ac:dyDescent="0.25">
      <c r="C1107" s="37"/>
      <c r="D1107" s="35"/>
    </row>
    <row r="1108" spans="3:4" x14ac:dyDescent="0.25">
      <c r="C1108" s="37"/>
      <c r="D1108" s="35"/>
    </row>
    <row r="1109" spans="3:4" x14ac:dyDescent="0.25">
      <c r="C1109" s="37"/>
      <c r="D1109" s="35"/>
    </row>
    <row r="1110" spans="3:4" x14ac:dyDescent="0.25">
      <c r="C1110" s="37"/>
      <c r="D1110" s="35"/>
    </row>
    <row r="1111" spans="3:4" x14ac:dyDescent="0.25">
      <c r="C1111" s="37"/>
      <c r="D1111" s="35"/>
    </row>
    <row r="1112" spans="3:4" x14ac:dyDescent="0.25">
      <c r="C1112" s="37"/>
      <c r="D1112" s="35"/>
    </row>
    <row r="1113" spans="3:4" x14ac:dyDescent="0.25">
      <c r="C1113" s="37"/>
      <c r="D1113" s="35"/>
    </row>
    <row r="1114" spans="3:4" x14ac:dyDescent="0.25">
      <c r="C1114" s="37"/>
      <c r="D1114" s="35"/>
    </row>
    <row r="1115" spans="3:4" x14ac:dyDescent="0.25">
      <c r="C1115" s="37"/>
      <c r="D1115" s="35"/>
    </row>
    <row r="1116" spans="3:4" x14ac:dyDescent="0.25">
      <c r="C1116" s="37"/>
      <c r="D1116" s="35"/>
    </row>
    <row r="1117" spans="3:4" x14ac:dyDescent="0.25">
      <c r="C1117" s="37"/>
      <c r="D1117" s="35"/>
    </row>
    <row r="1118" spans="3:4" x14ac:dyDescent="0.25">
      <c r="C1118" s="37"/>
      <c r="D1118" s="35"/>
    </row>
    <row r="1119" spans="3:4" x14ac:dyDescent="0.25">
      <c r="C1119" s="37"/>
      <c r="D1119" s="35"/>
    </row>
    <row r="1120" spans="3:4" x14ac:dyDescent="0.25">
      <c r="C1120" s="37"/>
      <c r="D1120" s="35"/>
    </row>
    <row r="1121" spans="3:4" x14ac:dyDescent="0.25">
      <c r="C1121" s="37"/>
      <c r="D1121" s="35"/>
    </row>
    <row r="1122" spans="3:4" x14ac:dyDescent="0.25">
      <c r="C1122" s="37"/>
      <c r="D1122" s="35"/>
    </row>
    <row r="1123" spans="3:4" x14ac:dyDescent="0.25">
      <c r="C1123" s="37"/>
      <c r="D1123" s="35"/>
    </row>
    <row r="1124" spans="3:4" x14ac:dyDescent="0.25">
      <c r="C1124" s="37"/>
      <c r="D1124" s="35"/>
    </row>
    <row r="1125" spans="3:4" x14ac:dyDescent="0.25">
      <c r="C1125" s="37"/>
      <c r="D1125" s="35"/>
    </row>
    <row r="1126" spans="3:4" x14ac:dyDescent="0.25">
      <c r="C1126" s="37"/>
      <c r="D1126" s="35"/>
    </row>
    <row r="1127" spans="3:4" x14ac:dyDescent="0.25">
      <c r="C1127" s="37"/>
      <c r="D1127" s="35"/>
    </row>
    <row r="1128" spans="3:4" x14ac:dyDescent="0.25">
      <c r="C1128" s="37"/>
      <c r="D1128" s="35"/>
    </row>
    <row r="1129" spans="3:4" x14ac:dyDescent="0.25">
      <c r="C1129" s="37"/>
      <c r="D1129" s="35"/>
    </row>
    <row r="1130" spans="3:4" x14ac:dyDescent="0.25">
      <c r="C1130" s="37"/>
      <c r="D1130" s="35"/>
    </row>
    <row r="1131" spans="3:4" x14ac:dyDescent="0.25">
      <c r="C1131" s="37"/>
      <c r="D1131" s="35"/>
    </row>
    <row r="1132" spans="3:4" x14ac:dyDescent="0.25">
      <c r="C1132" s="37"/>
      <c r="D1132" s="35"/>
    </row>
    <row r="1133" spans="3:4" x14ac:dyDescent="0.25">
      <c r="C1133" s="37"/>
      <c r="D1133" s="35"/>
    </row>
    <row r="1134" spans="3:4" x14ac:dyDescent="0.25">
      <c r="C1134" s="37"/>
      <c r="D1134" s="35"/>
    </row>
    <row r="1135" spans="3:4" x14ac:dyDescent="0.25">
      <c r="C1135" s="37"/>
      <c r="D1135" s="35"/>
    </row>
    <row r="1136" spans="3:4" x14ac:dyDescent="0.25">
      <c r="C1136" s="37"/>
      <c r="D1136" s="35"/>
    </row>
    <row r="1137" spans="3:4" x14ac:dyDescent="0.25">
      <c r="C1137" s="37"/>
      <c r="D1137" s="35"/>
    </row>
    <row r="1138" spans="3:4" x14ac:dyDescent="0.25">
      <c r="C1138" s="37"/>
      <c r="D1138" s="35"/>
    </row>
    <row r="1139" spans="3:4" x14ac:dyDescent="0.25">
      <c r="C1139" s="37"/>
      <c r="D1139" s="35"/>
    </row>
    <row r="1140" spans="3:4" x14ac:dyDescent="0.25">
      <c r="C1140" s="37"/>
      <c r="D1140" s="35"/>
    </row>
    <row r="1141" spans="3:4" x14ac:dyDescent="0.25">
      <c r="C1141" s="37"/>
      <c r="D1141" s="35"/>
    </row>
    <row r="1142" spans="3:4" x14ac:dyDescent="0.25">
      <c r="C1142" s="37"/>
      <c r="D1142" s="35"/>
    </row>
    <row r="1143" spans="3:4" x14ac:dyDescent="0.25">
      <c r="C1143" s="37"/>
      <c r="D1143" s="35"/>
    </row>
    <row r="1144" spans="3:4" x14ac:dyDescent="0.25">
      <c r="C1144" s="37"/>
      <c r="D1144" s="35"/>
    </row>
    <row r="1145" spans="3:4" x14ac:dyDescent="0.25">
      <c r="C1145" s="37"/>
      <c r="D1145" s="35"/>
    </row>
    <row r="1146" spans="3:4" x14ac:dyDescent="0.25">
      <c r="C1146" s="37"/>
      <c r="D1146" s="35"/>
    </row>
    <row r="1147" spans="3:4" x14ac:dyDescent="0.25">
      <c r="C1147" s="37"/>
      <c r="D1147" s="35"/>
    </row>
    <row r="1148" spans="3:4" x14ac:dyDescent="0.25">
      <c r="C1148" s="37"/>
      <c r="D1148" s="35"/>
    </row>
    <row r="1149" spans="3:4" x14ac:dyDescent="0.25">
      <c r="C1149" s="37"/>
      <c r="D1149" s="35"/>
    </row>
    <row r="1150" spans="3:4" x14ac:dyDescent="0.25">
      <c r="C1150" s="37"/>
      <c r="D1150" s="35"/>
    </row>
    <row r="1151" spans="3:4" x14ac:dyDescent="0.25">
      <c r="C1151" s="37"/>
      <c r="D1151" s="35"/>
    </row>
    <row r="1152" spans="3:4" x14ac:dyDescent="0.25">
      <c r="C1152" s="37"/>
      <c r="D1152" s="35"/>
    </row>
    <row r="1153" spans="3:4" x14ac:dyDescent="0.25">
      <c r="C1153" s="37"/>
      <c r="D1153" s="35"/>
    </row>
    <row r="1154" spans="3:4" x14ac:dyDescent="0.25">
      <c r="C1154" s="37"/>
      <c r="D1154" s="35"/>
    </row>
    <row r="1155" spans="3:4" x14ac:dyDescent="0.25">
      <c r="C1155" s="37"/>
      <c r="D1155" s="35"/>
    </row>
    <row r="1156" spans="3:4" x14ac:dyDescent="0.25">
      <c r="C1156" s="37"/>
      <c r="D1156" s="35"/>
    </row>
    <row r="1157" spans="3:4" x14ac:dyDescent="0.25">
      <c r="C1157" s="37"/>
      <c r="D1157" s="35"/>
    </row>
    <row r="1158" spans="3:4" x14ac:dyDescent="0.25">
      <c r="C1158" s="37"/>
      <c r="D1158" s="35"/>
    </row>
    <row r="1159" spans="3:4" x14ac:dyDescent="0.25">
      <c r="C1159" s="37"/>
      <c r="D1159" s="35"/>
    </row>
    <row r="1160" spans="3:4" x14ac:dyDescent="0.25">
      <c r="C1160" s="37"/>
      <c r="D1160" s="35"/>
    </row>
    <row r="1161" spans="3:4" x14ac:dyDescent="0.25">
      <c r="C1161" s="37"/>
      <c r="D1161" s="35"/>
    </row>
    <row r="1162" spans="3:4" x14ac:dyDescent="0.25">
      <c r="C1162" s="37"/>
      <c r="D1162" s="35"/>
    </row>
    <row r="1163" spans="3:4" x14ac:dyDescent="0.25">
      <c r="C1163" s="37"/>
      <c r="D1163" s="35"/>
    </row>
    <row r="1164" spans="3:4" x14ac:dyDescent="0.25">
      <c r="C1164" s="37"/>
      <c r="D1164" s="35"/>
    </row>
    <row r="1165" spans="3:4" x14ac:dyDescent="0.25">
      <c r="C1165" s="37"/>
      <c r="D1165" s="35"/>
    </row>
    <row r="1166" spans="3:4" x14ac:dyDescent="0.25">
      <c r="C1166" s="37"/>
      <c r="D1166" s="35"/>
    </row>
    <row r="1167" spans="3:4" x14ac:dyDescent="0.25">
      <c r="C1167" s="37"/>
      <c r="D1167" s="35"/>
    </row>
    <row r="1168" spans="3:4" x14ac:dyDescent="0.25">
      <c r="C1168" s="37"/>
      <c r="D1168" s="35"/>
    </row>
    <row r="1169" spans="3:4" x14ac:dyDescent="0.25">
      <c r="C1169" s="37"/>
      <c r="D1169" s="35"/>
    </row>
    <row r="1170" spans="3:4" x14ac:dyDescent="0.25">
      <c r="C1170" s="37"/>
      <c r="D1170" s="35"/>
    </row>
    <row r="1171" spans="3:4" x14ac:dyDescent="0.25">
      <c r="C1171" s="37"/>
      <c r="D1171" s="35"/>
    </row>
    <row r="1172" spans="3:4" x14ac:dyDescent="0.25">
      <c r="C1172" s="37"/>
      <c r="D1172" s="35"/>
    </row>
    <row r="1173" spans="3:4" x14ac:dyDescent="0.25">
      <c r="C1173" s="37"/>
      <c r="D1173" s="35"/>
    </row>
    <row r="1174" spans="3:4" x14ac:dyDescent="0.25">
      <c r="C1174" s="37"/>
      <c r="D1174" s="35"/>
    </row>
    <row r="1175" spans="3:4" x14ac:dyDescent="0.25">
      <c r="C1175" s="37"/>
      <c r="D1175" s="35"/>
    </row>
    <row r="1176" spans="3:4" x14ac:dyDescent="0.25">
      <c r="C1176" s="37"/>
      <c r="D1176" s="35"/>
    </row>
    <row r="1177" spans="3:4" x14ac:dyDescent="0.25">
      <c r="C1177" s="37"/>
      <c r="D1177" s="35"/>
    </row>
    <row r="1178" spans="3:4" x14ac:dyDescent="0.25">
      <c r="C1178" s="37"/>
      <c r="D1178" s="35"/>
    </row>
    <row r="1179" spans="3:4" x14ac:dyDescent="0.25">
      <c r="C1179" s="37"/>
      <c r="D1179" s="35"/>
    </row>
    <row r="1180" spans="3:4" x14ac:dyDescent="0.25">
      <c r="C1180" s="37"/>
      <c r="D1180" s="35"/>
    </row>
    <row r="1181" spans="3:4" x14ac:dyDescent="0.25">
      <c r="C1181" s="37"/>
      <c r="D1181" s="35"/>
    </row>
    <row r="1182" spans="3:4" x14ac:dyDescent="0.25">
      <c r="C1182" s="37"/>
      <c r="D1182" s="35"/>
    </row>
    <row r="1183" spans="3:4" x14ac:dyDescent="0.25">
      <c r="C1183" s="37"/>
      <c r="D1183" s="35"/>
    </row>
    <row r="1184" spans="3:4" x14ac:dyDescent="0.25">
      <c r="C1184" s="37"/>
      <c r="D1184" s="35"/>
    </row>
    <row r="1185" spans="3:4" x14ac:dyDescent="0.25">
      <c r="C1185" s="37"/>
      <c r="D1185" s="35"/>
    </row>
    <row r="1186" spans="3:4" x14ac:dyDescent="0.25">
      <c r="C1186" s="37"/>
      <c r="D1186" s="35"/>
    </row>
    <row r="1187" spans="3:4" x14ac:dyDescent="0.25">
      <c r="C1187" s="37"/>
      <c r="D1187" s="35"/>
    </row>
    <row r="1188" spans="3:4" x14ac:dyDescent="0.25">
      <c r="C1188" s="37"/>
      <c r="D1188" s="35"/>
    </row>
    <row r="1189" spans="3:4" x14ac:dyDescent="0.25">
      <c r="C1189" s="37"/>
      <c r="D1189" s="35"/>
    </row>
    <row r="1190" spans="3:4" x14ac:dyDescent="0.25">
      <c r="C1190" s="37"/>
      <c r="D1190" s="35"/>
    </row>
    <row r="1191" spans="3:4" x14ac:dyDescent="0.25">
      <c r="C1191" s="37"/>
      <c r="D1191" s="35"/>
    </row>
    <row r="1192" spans="3:4" x14ac:dyDescent="0.25">
      <c r="C1192" s="37"/>
      <c r="D1192" s="35"/>
    </row>
    <row r="1193" spans="3:4" x14ac:dyDescent="0.25">
      <c r="C1193" s="37"/>
      <c r="D1193" s="35"/>
    </row>
    <row r="1194" spans="3:4" x14ac:dyDescent="0.25">
      <c r="C1194" s="37"/>
      <c r="D1194" s="35"/>
    </row>
    <row r="1195" spans="3:4" x14ac:dyDescent="0.25">
      <c r="C1195" s="37"/>
      <c r="D1195" s="35"/>
    </row>
    <row r="1196" spans="3:4" x14ac:dyDescent="0.25">
      <c r="C1196" s="37"/>
      <c r="D1196" s="35"/>
    </row>
    <row r="1197" spans="3:4" x14ac:dyDescent="0.25">
      <c r="C1197" s="37"/>
      <c r="D1197" s="35"/>
    </row>
    <row r="1198" spans="3:4" x14ac:dyDescent="0.25">
      <c r="C1198" s="37"/>
      <c r="D1198" s="35"/>
    </row>
    <row r="1199" spans="3:4" x14ac:dyDescent="0.25">
      <c r="C1199" s="37"/>
      <c r="D1199" s="35"/>
    </row>
    <row r="1200" spans="3:4" x14ac:dyDescent="0.25">
      <c r="C1200" s="37"/>
      <c r="D1200" s="35"/>
    </row>
    <row r="1201" spans="3:4" x14ac:dyDescent="0.25">
      <c r="C1201" s="37"/>
      <c r="D1201" s="35"/>
    </row>
    <row r="1202" spans="3:4" x14ac:dyDescent="0.25">
      <c r="C1202" s="37"/>
      <c r="D1202" s="35"/>
    </row>
    <row r="1203" spans="3:4" x14ac:dyDescent="0.25">
      <c r="C1203" s="37"/>
      <c r="D1203" s="35"/>
    </row>
    <row r="1204" spans="3:4" x14ac:dyDescent="0.25">
      <c r="C1204" s="37"/>
      <c r="D1204" s="35"/>
    </row>
    <row r="1205" spans="3:4" x14ac:dyDescent="0.25">
      <c r="C1205" s="37"/>
      <c r="D1205" s="35"/>
    </row>
    <row r="1206" spans="3:4" x14ac:dyDescent="0.25">
      <c r="C1206" s="37"/>
      <c r="D1206" s="35"/>
    </row>
    <row r="1207" spans="3:4" x14ac:dyDescent="0.25">
      <c r="C1207" s="37"/>
      <c r="D1207" s="35"/>
    </row>
    <row r="1208" spans="3:4" x14ac:dyDescent="0.25">
      <c r="C1208" s="37"/>
      <c r="D1208" s="35"/>
    </row>
    <row r="1209" spans="3:4" x14ac:dyDescent="0.25">
      <c r="C1209" s="37"/>
      <c r="D1209" s="35"/>
    </row>
    <row r="1210" spans="3:4" x14ac:dyDescent="0.25">
      <c r="C1210" s="37"/>
      <c r="D1210" s="35"/>
    </row>
    <row r="1211" spans="3:4" x14ac:dyDescent="0.25">
      <c r="C1211" s="37"/>
      <c r="D1211" s="35"/>
    </row>
    <row r="1212" spans="3:4" x14ac:dyDescent="0.25">
      <c r="C1212" s="37"/>
      <c r="D1212" s="35"/>
    </row>
    <row r="1213" spans="3:4" x14ac:dyDescent="0.25">
      <c r="C1213" s="37"/>
      <c r="D1213" s="35"/>
    </row>
    <row r="1214" spans="3:4" x14ac:dyDescent="0.25">
      <c r="C1214" s="37"/>
      <c r="D1214" s="35"/>
    </row>
    <row r="1215" spans="3:4" x14ac:dyDescent="0.25">
      <c r="C1215" s="37"/>
      <c r="D1215" s="35"/>
    </row>
    <row r="1216" spans="3:4" x14ac:dyDescent="0.25">
      <c r="C1216" s="37"/>
      <c r="D1216" s="35"/>
    </row>
    <row r="1217" spans="3:4" x14ac:dyDescent="0.25">
      <c r="C1217" s="37"/>
      <c r="D1217" s="35"/>
    </row>
    <row r="1218" spans="3:4" x14ac:dyDescent="0.25">
      <c r="C1218" s="37"/>
      <c r="D1218" s="35"/>
    </row>
    <row r="1219" spans="3:4" x14ac:dyDescent="0.25">
      <c r="C1219" s="37"/>
      <c r="D1219" s="35"/>
    </row>
    <row r="1220" spans="3:4" x14ac:dyDescent="0.25">
      <c r="C1220" s="37"/>
      <c r="D1220" s="35"/>
    </row>
    <row r="1221" spans="3:4" x14ac:dyDescent="0.25">
      <c r="C1221" s="37"/>
      <c r="D1221" s="35"/>
    </row>
    <row r="1222" spans="3:4" x14ac:dyDescent="0.25">
      <c r="C1222" s="37"/>
      <c r="D1222" s="35"/>
    </row>
    <row r="1223" spans="3:4" x14ac:dyDescent="0.25">
      <c r="C1223" s="37"/>
      <c r="D1223" s="35"/>
    </row>
    <row r="1224" spans="3:4" x14ac:dyDescent="0.25">
      <c r="C1224" s="37"/>
      <c r="D1224" s="35"/>
    </row>
    <row r="1225" spans="3:4" x14ac:dyDescent="0.25">
      <c r="C1225" s="37"/>
      <c r="D1225" s="35"/>
    </row>
    <row r="1226" spans="3:4" x14ac:dyDescent="0.25">
      <c r="C1226" s="37"/>
      <c r="D1226" s="35"/>
    </row>
    <row r="1227" spans="3:4" x14ac:dyDescent="0.25">
      <c r="C1227" s="37"/>
      <c r="D1227" s="35"/>
    </row>
    <row r="1228" spans="3:4" x14ac:dyDescent="0.25">
      <c r="C1228" s="37"/>
      <c r="D1228" s="35"/>
    </row>
    <row r="1229" spans="3:4" x14ac:dyDescent="0.25">
      <c r="C1229" s="37"/>
      <c r="D1229" s="35"/>
    </row>
    <row r="1230" spans="3:4" x14ac:dyDescent="0.25">
      <c r="C1230" s="37"/>
      <c r="D1230" s="35"/>
    </row>
    <row r="1231" spans="3:4" x14ac:dyDescent="0.25">
      <c r="C1231" s="37"/>
      <c r="D1231" s="35"/>
    </row>
    <row r="1232" spans="3:4" x14ac:dyDescent="0.25">
      <c r="C1232" s="37"/>
      <c r="D1232" s="35"/>
    </row>
    <row r="1233" spans="3:4" x14ac:dyDescent="0.25">
      <c r="C1233" s="37"/>
      <c r="D1233" s="35"/>
    </row>
    <row r="1234" spans="3:4" x14ac:dyDescent="0.25">
      <c r="C1234" s="37"/>
      <c r="D1234" s="35"/>
    </row>
    <row r="1235" spans="3:4" x14ac:dyDescent="0.25">
      <c r="C1235" s="37"/>
      <c r="D1235" s="35"/>
    </row>
    <row r="1236" spans="3:4" x14ac:dyDescent="0.25">
      <c r="C1236" s="37"/>
      <c r="D1236" s="35"/>
    </row>
    <row r="1237" spans="3:4" x14ac:dyDescent="0.25">
      <c r="C1237" s="37"/>
      <c r="D1237" s="35"/>
    </row>
    <row r="1238" spans="3:4" x14ac:dyDescent="0.25">
      <c r="C1238" s="37"/>
      <c r="D1238" s="35"/>
    </row>
    <row r="1239" spans="3:4" x14ac:dyDescent="0.25">
      <c r="C1239" s="37"/>
      <c r="D1239" s="35"/>
    </row>
    <row r="1240" spans="3:4" x14ac:dyDescent="0.25">
      <c r="C1240" s="37"/>
      <c r="D1240" s="35"/>
    </row>
    <row r="1241" spans="3:4" x14ac:dyDescent="0.25">
      <c r="C1241" s="37"/>
      <c r="D1241" s="35"/>
    </row>
    <row r="1242" spans="3:4" x14ac:dyDescent="0.25">
      <c r="C1242" s="37"/>
      <c r="D1242" s="35"/>
    </row>
    <row r="1243" spans="3:4" x14ac:dyDescent="0.25">
      <c r="C1243" s="37"/>
      <c r="D1243" s="35"/>
    </row>
    <row r="1244" spans="3:4" x14ac:dyDescent="0.25">
      <c r="C1244" s="37"/>
      <c r="D1244" s="35"/>
    </row>
    <row r="1245" spans="3:4" x14ac:dyDescent="0.25">
      <c r="C1245" s="37"/>
      <c r="D1245" s="35"/>
    </row>
    <row r="1246" spans="3:4" x14ac:dyDescent="0.25">
      <c r="C1246" s="37"/>
      <c r="D1246" s="35"/>
    </row>
    <row r="1247" spans="3:4" x14ac:dyDescent="0.25">
      <c r="C1247" s="37"/>
      <c r="D1247" s="35"/>
    </row>
    <row r="1248" spans="3:4" x14ac:dyDescent="0.25">
      <c r="C1248" s="37"/>
      <c r="D1248" s="35"/>
    </row>
    <row r="1249" spans="3:4" x14ac:dyDescent="0.25">
      <c r="C1249" s="37"/>
      <c r="D1249" s="35"/>
    </row>
    <row r="1250" spans="3:4" x14ac:dyDescent="0.25">
      <c r="C1250" s="37"/>
      <c r="D1250" s="35"/>
    </row>
    <row r="1251" spans="3:4" x14ac:dyDescent="0.25">
      <c r="C1251" s="37"/>
      <c r="D1251" s="35"/>
    </row>
    <row r="1252" spans="3:4" x14ac:dyDescent="0.25">
      <c r="C1252" s="37"/>
      <c r="D1252" s="35"/>
    </row>
    <row r="1253" spans="3:4" x14ac:dyDescent="0.25">
      <c r="C1253" s="37"/>
      <c r="D1253" s="35"/>
    </row>
    <row r="1254" spans="3:4" x14ac:dyDescent="0.25">
      <c r="C1254" s="37"/>
      <c r="D1254" s="35"/>
    </row>
    <row r="1255" spans="3:4" x14ac:dyDescent="0.25">
      <c r="C1255" s="37"/>
      <c r="D1255" s="35"/>
    </row>
    <row r="1256" spans="3:4" x14ac:dyDescent="0.25">
      <c r="C1256" s="37"/>
      <c r="D1256" s="35"/>
    </row>
    <row r="1257" spans="3:4" x14ac:dyDescent="0.25">
      <c r="C1257" s="37"/>
      <c r="D1257" s="35"/>
    </row>
    <row r="1258" spans="3:4" x14ac:dyDescent="0.25">
      <c r="C1258" s="37"/>
      <c r="D1258" s="35"/>
    </row>
    <row r="1259" spans="3:4" x14ac:dyDescent="0.25">
      <c r="C1259" s="37"/>
      <c r="D1259" s="35"/>
    </row>
    <row r="1260" spans="3:4" x14ac:dyDescent="0.25">
      <c r="C1260" s="37"/>
      <c r="D1260" s="35"/>
    </row>
    <row r="1261" spans="3:4" x14ac:dyDescent="0.25">
      <c r="C1261" s="37"/>
      <c r="D1261" s="35"/>
    </row>
    <row r="1262" spans="3:4" x14ac:dyDescent="0.25">
      <c r="C1262" s="37"/>
      <c r="D1262" s="35"/>
    </row>
    <row r="1263" spans="3:4" x14ac:dyDescent="0.25">
      <c r="C1263" s="37"/>
      <c r="D1263" s="35"/>
    </row>
    <row r="1264" spans="3:4" x14ac:dyDescent="0.25">
      <c r="C1264" s="37"/>
      <c r="D1264" s="35"/>
    </row>
    <row r="1265" spans="3:4" x14ac:dyDescent="0.25">
      <c r="C1265" s="37"/>
      <c r="D1265" s="35"/>
    </row>
    <row r="1266" spans="3:4" x14ac:dyDescent="0.25">
      <c r="C1266" s="37"/>
      <c r="D1266" s="35"/>
    </row>
    <row r="1267" spans="3:4" x14ac:dyDescent="0.25">
      <c r="C1267" s="37"/>
      <c r="D1267" s="35"/>
    </row>
    <row r="1268" spans="3:4" x14ac:dyDescent="0.25">
      <c r="C1268" s="37"/>
      <c r="D1268" s="35"/>
    </row>
    <row r="1269" spans="3:4" x14ac:dyDescent="0.25">
      <c r="C1269" s="37"/>
      <c r="D1269" s="35"/>
    </row>
    <row r="1270" spans="3:4" x14ac:dyDescent="0.25">
      <c r="C1270" s="37"/>
      <c r="D1270" s="35"/>
    </row>
    <row r="1271" spans="3:4" x14ac:dyDescent="0.25">
      <c r="C1271" s="37"/>
      <c r="D1271" s="35"/>
    </row>
    <row r="1272" spans="3:4" x14ac:dyDescent="0.25">
      <c r="C1272" s="37"/>
      <c r="D1272" s="35"/>
    </row>
    <row r="1273" spans="3:4" x14ac:dyDescent="0.25">
      <c r="C1273" s="37"/>
      <c r="D1273" s="35"/>
    </row>
    <row r="1274" spans="3:4" x14ac:dyDescent="0.25">
      <c r="C1274" s="37"/>
      <c r="D1274" s="35"/>
    </row>
    <row r="1275" spans="3:4" x14ac:dyDescent="0.25">
      <c r="C1275" s="37"/>
      <c r="D1275" s="35"/>
    </row>
    <row r="1276" spans="3:4" x14ac:dyDescent="0.25">
      <c r="C1276" s="37"/>
      <c r="D1276" s="35"/>
    </row>
    <row r="1277" spans="3:4" x14ac:dyDescent="0.25">
      <c r="C1277" s="37"/>
      <c r="D1277" s="35"/>
    </row>
    <row r="1278" spans="3:4" x14ac:dyDescent="0.25">
      <c r="C1278" s="37"/>
      <c r="D1278" s="35"/>
    </row>
    <row r="1279" spans="3:4" x14ac:dyDescent="0.25">
      <c r="C1279" s="37"/>
      <c r="D1279" s="35"/>
    </row>
    <row r="1280" spans="3:4" x14ac:dyDescent="0.25">
      <c r="C1280" s="37"/>
      <c r="D1280" s="35"/>
    </row>
    <row r="1281" spans="3:4" x14ac:dyDescent="0.25">
      <c r="C1281" s="37"/>
      <c r="D1281" s="35"/>
    </row>
    <row r="1282" spans="3:4" x14ac:dyDescent="0.25">
      <c r="C1282" s="37"/>
      <c r="D1282" s="35"/>
    </row>
    <row r="1283" spans="3:4" x14ac:dyDescent="0.25">
      <c r="C1283" s="37"/>
      <c r="D1283" s="35"/>
    </row>
    <row r="1284" spans="3:4" x14ac:dyDescent="0.25">
      <c r="C1284" s="37"/>
      <c r="D1284" s="35"/>
    </row>
    <row r="1285" spans="3:4" x14ac:dyDescent="0.25">
      <c r="C1285" s="37"/>
      <c r="D1285" s="35"/>
    </row>
    <row r="1286" spans="3:4" x14ac:dyDescent="0.25">
      <c r="C1286" s="37"/>
      <c r="D1286" s="35"/>
    </row>
    <row r="1287" spans="3:4" x14ac:dyDescent="0.25">
      <c r="C1287" s="37"/>
      <c r="D1287" s="35"/>
    </row>
    <row r="1288" spans="3:4" x14ac:dyDescent="0.25">
      <c r="C1288" s="37"/>
      <c r="D1288" s="35"/>
    </row>
    <row r="1289" spans="3:4" x14ac:dyDescent="0.25">
      <c r="C1289" s="37"/>
      <c r="D1289" s="35"/>
    </row>
    <row r="1290" spans="3:4" x14ac:dyDescent="0.25">
      <c r="C1290" s="37"/>
      <c r="D1290" s="35"/>
    </row>
    <row r="1291" spans="3:4" x14ac:dyDescent="0.25">
      <c r="C1291" s="37"/>
      <c r="D1291" s="35"/>
    </row>
    <row r="1292" spans="3:4" x14ac:dyDescent="0.25">
      <c r="C1292" s="37"/>
      <c r="D1292" s="35"/>
    </row>
    <row r="1293" spans="3:4" x14ac:dyDescent="0.25">
      <c r="C1293" s="37"/>
      <c r="D1293" s="35"/>
    </row>
    <row r="1294" spans="3:4" x14ac:dyDescent="0.25">
      <c r="C1294" s="37"/>
      <c r="D1294" s="35"/>
    </row>
    <row r="1295" spans="3:4" x14ac:dyDescent="0.25">
      <c r="C1295" s="37"/>
      <c r="D1295" s="35"/>
    </row>
    <row r="1296" spans="3:4" x14ac:dyDescent="0.25">
      <c r="C1296" s="37"/>
      <c r="D1296" s="35"/>
    </row>
    <row r="1297" spans="3:4" x14ac:dyDescent="0.25">
      <c r="C1297" s="37"/>
      <c r="D1297" s="35"/>
    </row>
    <row r="1298" spans="3:4" x14ac:dyDescent="0.25">
      <c r="C1298" s="37"/>
      <c r="D1298" s="35"/>
    </row>
    <row r="1299" spans="3:4" x14ac:dyDescent="0.25">
      <c r="C1299" s="37"/>
      <c r="D1299" s="35"/>
    </row>
    <row r="1300" spans="3:4" x14ac:dyDescent="0.25">
      <c r="C1300" s="37"/>
      <c r="D1300" s="35"/>
    </row>
    <row r="1301" spans="3:4" x14ac:dyDescent="0.25">
      <c r="C1301" s="37"/>
      <c r="D1301" s="35"/>
    </row>
    <row r="1302" spans="3:4" x14ac:dyDescent="0.25">
      <c r="C1302" s="37"/>
      <c r="D1302" s="35"/>
    </row>
    <row r="1303" spans="3:4" x14ac:dyDescent="0.25">
      <c r="C1303" s="37"/>
      <c r="D1303" s="35"/>
    </row>
    <row r="1304" spans="3:4" x14ac:dyDescent="0.25">
      <c r="C1304" s="37"/>
      <c r="D1304" s="35"/>
    </row>
    <row r="1305" spans="3:4" x14ac:dyDescent="0.25">
      <c r="C1305" s="37"/>
      <c r="D1305" s="35"/>
    </row>
    <row r="1306" spans="3:4" x14ac:dyDescent="0.25">
      <c r="C1306" s="37"/>
      <c r="D1306" s="35"/>
    </row>
    <row r="1307" spans="3:4" x14ac:dyDescent="0.25">
      <c r="C1307" s="37"/>
      <c r="D1307" s="35"/>
    </row>
    <row r="1308" spans="3:4" x14ac:dyDescent="0.25">
      <c r="C1308" s="37"/>
      <c r="D1308" s="35"/>
    </row>
    <row r="1309" spans="3:4" x14ac:dyDescent="0.25">
      <c r="C1309" s="37"/>
      <c r="D1309" s="35"/>
    </row>
    <row r="1310" spans="3:4" x14ac:dyDescent="0.25">
      <c r="C1310" s="37"/>
      <c r="D1310" s="35"/>
    </row>
    <row r="1311" spans="3:4" x14ac:dyDescent="0.25">
      <c r="C1311" s="37"/>
      <c r="D1311" s="35"/>
    </row>
    <row r="1312" spans="3:4" x14ac:dyDescent="0.25">
      <c r="C1312" s="37"/>
      <c r="D1312" s="35"/>
    </row>
    <row r="1313" spans="3:4" x14ac:dyDescent="0.25">
      <c r="C1313" s="37"/>
      <c r="D1313" s="35"/>
    </row>
    <row r="1314" spans="3:4" x14ac:dyDescent="0.25">
      <c r="C1314" s="37"/>
      <c r="D1314" s="35"/>
    </row>
    <row r="1315" spans="3:4" x14ac:dyDescent="0.25">
      <c r="C1315" s="37"/>
      <c r="D1315" s="35"/>
    </row>
    <row r="1316" spans="3:4" x14ac:dyDescent="0.25">
      <c r="C1316" s="37"/>
      <c r="D1316" s="35"/>
    </row>
    <row r="1317" spans="3:4" x14ac:dyDescent="0.25">
      <c r="C1317" s="37"/>
      <c r="D1317" s="35"/>
    </row>
    <row r="1318" spans="3:4" x14ac:dyDescent="0.25">
      <c r="C1318" s="37"/>
      <c r="D1318" s="35"/>
    </row>
    <row r="1319" spans="3:4" x14ac:dyDescent="0.25">
      <c r="C1319" s="37"/>
      <c r="D1319" s="35"/>
    </row>
    <row r="1320" spans="3:4" x14ac:dyDescent="0.25">
      <c r="C1320" s="37"/>
      <c r="D1320" s="35"/>
    </row>
    <row r="1321" spans="3:4" x14ac:dyDescent="0.25">
      <c r="C1321" s="37"/>
      <c r="D1321" s="35"/>
    </row>
    <row r="1322" spans="3:4" x14ac:dyDescent="0.25">
      <c r="C1322" s="37"/>
      <c r="D1322" s="35"/>
    </row>
    <row r="1323" spans="3:4" x14ac:dyDescent="0.25">
      <c r="C1323" s="37"/>
      <c r="D1323" s="35"/>
    </row>
    <row r="1324" spans="3:4" x14ac:dyDescent="0.25">
      <c r="C1324" s="37"/>
      <c r="D1324" s="35"/>
    </row>
    <row r="1325" spans="3:4" x14ac:dyDescent="0.25">
      <c r="C1325" s="37"/>
      <c r="D1325" s="35"/>
    </row>
    <row r="1326" spans="3:4" x14ac:dyDescent="0.25">
      <c r="C1326" s="37"/>
      <c r="D1326" s="35"/>
    </row>
    <row r="1327" spans="3:4" x14ac:dyDescent="0.25">
      <c r="C1327" s="37"/>
      <c r="D1327" s="35"/>
    </row>
    <row r="1328" spans="3:4" x14ac:dyDescent="0.25">
      <c r="C1328" s="37"/>
      <c r="D1328" s="35"/>
    </row>
    <row r="1329" spans="3:4" x14ac:dyDescent="0.25">
      <c r="C1329" s="37"/>
      <c r="D1329" s="35"/>
    </row>
    <row r="1330" spans="3:4" x14ac:dyDescent="0.25">
      <c r="C1330" s="37"/>
      <c r="D1330" s="35"/>
    </row>
    <row r="1331" spans="3:4" x14ac:dyDescent="0.25">
      <c r="C1331" s="37"/>
      <c r="D1331" s="35"/>
    </row>
    <row r="1332" spans="3:4" x14ac:dyDescent="0.25">
      <c r="C1332" s="37"/>
      <c r="D1332" s="35"/>
    </row>
    <row r="1333" spans="3:4" x14ac:dyDescent="0.25">
      <c r="C1333" s="37"/>
      <c r="D1333" s="35"/>
    </row>
  </sheetData>
  <mergeCells count="18">
    <mergeCell ref="N2:O2"/>
    <mergeCell ref="D2:E2"/>
    <mergeCell ref="F2:G2"/>
    <mergeCell ref="H2:I2"/>
    <mergeCell ref="J2:K2"/>
    <mergeCell ref="L2:M2"/>
    <mergeCell ref="N29:O29"/>
    <mergeCell ref="D17:E17"/>
    <mergeCell ref="F17:G17"/>
    <mergeCell ref="H17:I17"/>
    <mergeCell ref="J17:K17"/>
    <mergeCell ref="L17:M17"/>
    <mergeCell ref="N17:O17"/>
    <mergeCell ref="D29:E29"/>
    <mergeCell ref="F29:G29"/>
    <mergeCell ref="H29:I29"/>
    <mergeCell ref="J29:K29"/>
    <mergeCell ref="L29:M29"/>
  </mergeCells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EC822-9D9E-4080-99BF-47DC5711BCB5}">
  <dimension ref="A1:AC1333"/>
  <sheetViews>
    <sheetView workbookViewId="0"/>
  </sheetViews>
  <sheetFormatPr defaultRowHeight="15" outlineLevelCol="1" x14ac:dyDescent="0.25"/>
  <cols>
    <col min="1" max="1" width="9.42578125" customWidth="1"/>
    <col min="2" max="2" width="25.140625" bestFit="1" customWidth="1"/>
    <col min="3" max="3" width="24.28515625" style="11" bestFit="1" customWidth="1"/>
    <col min="4" max="4" width="15.85546875" style="6" bestFit="1" customWidth="1"/>
    <col min="5" max="5" width="19.5703125" style="11" bestFit="1" customWidth="1"/>
    <col min="6" max="6" width="7.140625" style="6" bestFit="1" customWidth="1"/>
    <col min="7" max="7" width="19.5703125" style="11" bestFit="1" customWidth="1"/>
    <col min="8" max="8" width="9.140625" style="6"/>
    <col min="9" max="9" width="19.5703125" style="11" bestFit="1" customWidth="1"/>
    <col min="10" max="10" width="7.140625" style="6" bestFit="1" customWidth="1"/>
    <col min="11" max="11" width="18" style="11" bestFit="1" customWidth="1"/>
    <col min="12" max="12" width="7.140625" style="5" bestFit="1" customWidth="1"/>
    <col min="13" max="13" width="19.5703125" style="10" bestFit="1" customWidth="1"/>
    <col min="14" max="14" width="8.140625" style="10" bestFit="1" customWidth="1"/>
    <col min="15" max="15" width="19.5703125" style="10" customWidth="1"/>
    <col min="16" max="16" width="7.140625" bestFit="1" customWidth="1"/>
    <col min="17" max="18" width="7.140625" hidden="1" customWidth="1" outlineLevel="1"/>
    <col min="19" max="19" width="18" bestFit="1" customWidth="1" collapsed="1"/>
    <col min="20" max="20" width="16.85546875" bestFit="1" customWidth="1"/>
    <col min="21" max="21" width="18" bestFit="1" customWidth="1"/>
    <col min="22" max="22" width="16.85546875" bestFit="1" customWidth="1"/>
    <col min="23" max="23" width="15.28515625" bestFit="1" customWidth="1"/>
    <col min="25" max="25" width="7.85546875" bestFit="1" customWidth="1"/>
    <col min="26" max="26" width="11.140625" bestFit="1" customWidth="1"/>
    <col min="27" max="27" width="13.28515625" bestFit="1" customWidth="1"/>
    <col min="28" max="28" width="7.85546875" bestFit="1" customWidth="1"/>
    <col min="29" max="29" width="8.140625" bestFit="1" customWidth="1"/>
  </cols>
  <sheetData>
    <row r="1" spans="1:29" ht="9" customHeight="1" x14ac:dyDescent="0.25"/>
    <row r="2" spans="1:29" x14ac:dyDescent="0.25">
      <c r="B2" s="4" t="s">
        <v>1</v>
      </c>
      <c r="C2" s="9" t="s">
        <v>4</v>
      </c>
      <c r="D2" s="112" t="s">
        <v>7</v>
      </c>
      <c r="E2" s="112"/>
      <c r="F2" s="112" t="s">
        <v>8</v>
      </c>
      <c r="G2" s="112"/>
      <c r="H2" s="112" t="s">
        <v>10</v>
      </c>
      <c r="I2" s="112"/>
      <c r="J2" s="112" t="s">
        <v>9</v>
      </c>
      <c r="K2" s="112"/>
      <c r="L2" s="112" t="s">
        <v>21</v>
      </c>
      <c r="M2" s="112"/>
      <c r="N2" s="112" t="s">
        <v>55</v>
      </c>
      <c r="O2" s="112"/>
      <c r="Q2" s="1" t="s">
        <v>46</v>
      </c>
      <c r="S2" s="27" t="s">
        <v>49</v>
      </c>
      <c r="T2" s="27" t="s">
        <v>50</v>
      </c>
      <c r="U2" s="27" t="s">
        <v>51</v>
      </c>
      <c r="V2" s="27" t="s">
        <v>52</v>
      </c>
      <c r="W2" s="27" t="s">
        <v>53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</row>
    <row r="3" spans="1:29" x14ac:dyDescent="0.25">
      <c r="B3" s="21" t="s">
        <v>5</v>
      </c>
      <c r="C3" s="23">
        <v>406006039.07999998</v>
      </c>
      <c r="D3" s="26">
        <f>0.278+0.044</f>
        <v>0.32200000000000001</v>
      </c>
      <c r="E3" s="23">
        <f>D3*C3</f>
        <v>130733944.58375999</v>
      </c>
      <c r="F3" s="26">
        <f>0.115+0.102+0.022+0.013</f>
        <v>0.252</v>
      </c>
      <c r="G3" s="22">
        <f>F3*C3</f>
        <v>102313521.84816</v>
      </c>
      <c r="H3" s="26">
        <f>0.324+0.003</f>
        <v>0.32700000000000001</v>
      </c>
      <c r="I3" s="23">
        <f>H3*C3</f>
        <v>132763974.77915999</v>
      </c>
      <c r="J3" s="26">
        <v>3.2000000000000001E-2</v>
      </c>
      <c r="K3" s="23">
        <f>J3*C3</f>
        <v>12992193.250560001</v>
      </c>
      <c r="L3" s="24"/>
      <c r="M3" s="25">
        <f>L3*C3</f>
        <v>0</v>
      </c>
      <c r="N3" s="14">
        <v>6.7000000000000004E-2</v>
      </c>
      <c r="O3" s="12">
        <f>N3*C3</f>
        <v>27202404.618360002</v>
      </c>
      <c r="S3" s="12">
        <f>C3-'Jun23'!C3</f>
        <v>406006039.07999998</v>
      </c>
      <c r="T3" s="12">
        <f>E3-'Jun23'!E3</f>
        <v>130733944.58375999</v>
      </c>
      <c r="U3" s="12">
        <f>I3-'Jun23'!I3</f>
        <v>132763974.77915999</v>
      </c>
      <c r="V3" s="12">
        <f>K3-'Jun23'!K3</f>
        <v>12992193.250560001</v>
      </c>
      <c r="W3" s="12">
        <f>+M3-'Jun23'!M3</f>
        <v>0</v>
      </c>
      <c r="Y3" s="28">
        <f>D3-'Jun23'!D3</f>
        <v>0.32200000000000001</v>
      </c>
      <c r="Z3" s="28">
        <f>F3-'Jun23'!F3</f>
        <v>0.252</v>
      </c>
      <c r="AA3" s="28">
        <f>H3-'Jun23'!H3</f>
        <v>0.32700000000000001</v>
      </c>
      <c r="AB3" s="28">
        <f>J3-'Jun23'!J3</f>
        <v>3.2000000000000001E-2</v>
      </c>
      <c r="AC3" s="28">
        <f>L3-'Jun23'!L3</f>
        <v>0</v>
      </c>
    </row>
    <row r="4" spans="1:29" x14ac:dyDescent="0.25">
      <c r="B4" s="3" t="s">
        <v>0</v>
      </c>
      <c r="C4" s="12">
        <v>1269538618</v>
      </c>
      <c r="D4" s="14">
        <v>0.36</v>
      </c>
      <c r="E4" s="12">
        <f t="shared" ref="E4:E11" si="0">D4*C4</f>
        <v>457033902.47999996</v>
      </c>
      <c r="F4" s="14">
        <v>0.1</v>
      </c>
      <c r="G4" s="12">
        <f t="shared" ref="G4:G13" si="1">F4*C4</f>
        <v>126953861.80000001</v>
      </c>
      <c r="H4" s="14">
        <f>0.42+0.02+0.02</f>
        <v>0.46</v>
      </c>
      <c r="I4" s="12">
        <f t="shared" ref="I4:I13" si="2">H4*C4</f>
        <v>583987764.27999997</v>
      </c>
      <c r="J4" s="14">
        <v>0.08</v>
      </c>
      <c r="K4" s="12">
        <f>J4*C4</f>
        <v>101563089.44</v>
      </c>
      <c r="L4" s="14"/>
      <c r="M4" s="12">
        <f>L4*C4</f>
        <v>0</v>
      </c>
      <c r="N4" s="14"/>
      <c r="O4" s="12">
        <f t="shared" ref="O4:O13" si="3">N4*C4</f>
        <v>0</v>
      </c>
      <c r="S4" s="12">
        <f>C4-'Jun23'!C4</f>
        <v>851600190</v>
      </c>
      <c r="T4" s="12">
        <f>E4-'Jun23'!E4</f>
        <v>294037915.55999994</v>
      </c>
      <c r="U4" s="12">
        <f>I4-'Jun23'!I4</f>
        <v>387556703.12</v>
      </c>
      <c r="V4" s="12">
        <f>K4-'Jun23'!K4</f>
        <v>76486783.75999999</v>
      </c>
      <c r="W4" s="12">
        <f>+M4-'Jun23'!M4</f>
        <v>0</v>
      </c>
      <c r="Y4" s="28">
        <f>D4-'Jun23'!D4</f>
        <v>-3.0000000000000027E-2</v>
      </c>
      <c r="Z4" s="28">
        <f>F4-'Jun23'!F4</f>
        <v>2.0000000000000004E-2</v>
      </c>
      <c r="AA4" s="28">
        <f>H4-'Jun23'!H4</f>
        <v>-9.9999999999999534E-3</v>
      </c>
      <c r="AB4" s="28">
        <f>J4-'Jun23'!J4</f>
        <v>2.0000000000000004E-2</v>
      </c>
      <c r="AC4" s="28">
        <f>L4-'Jun23'!L4</f>
        <v>0</v>
      </c>
    </row>
    <row r="5" spans="1:29" x14ac:dyDescent="0.25">
      <c r="B5" s="3" t="s">
        <v>3</v>
      </c>
      <c r="C5" s="12">
        <v>1370829309.6600001</v>
      </c>
      <c r="D5" s="14">
        <v>0.41</v>
      </c>
      <c r="E5" s="12">
        <f t="shared" si="0"/>
        <v>562040016.96060002</v>
      </c>
      <c r="F5" s="14"/>
      <c r="G5" s="12">
        <f t="shared" si="1"/>
        <v>0</v>
      </c>
      <c r="H5" s="14">
        <f>0.36+0.06+0.03</f>
        <v>0.44999999999999996</v>
      </c>
      <c r="I5" s="12">
        <f t="shared" si="2"/>
        <v>616873189.347</v>
      </c>
      <c r="J5" s="14">
        <v>0.06</v>
      </c>
      <c r="K5" s="12">
        <f t="shared" ref="K5:K7" si="4">J5*C5</f>
        <v>82249758.579600006</v>
      </c>
      <c r="L5" s="14">
        <v>0.08</v>
      </c>
      <c r="M5" s="12">
        <f>L5*C5</f>
        <v>109666344.77280001</v>
      </c>
      <c r="N5" s="14"/>
      <c r="O5" s="12">
        <f t="shared" si="3"/>
        <v>0</v>
      </c>
      <c r="S5" s="12">
        <f>C5-'Jun23'!C5</f>
        <v>-48236533.879999876</v>
      </c>
      <c r="T5" s="12">
        <f>E5-'Jun23'!E5</f>
        <v>51176313.286200047</v>
      </c>
      <c r="U5" s="12">
        <f>I5-'Jun23'!I5</f>
        <v>-78469073.987599969</v>
      </c>
      <c r="V5" s="12">
        <f>K5-'Jun23'!K5</f>
        <v>-2894192.032799989</v>
      </c>
      <c r="W5" s="12">
        <f>+M5-'Jun23'!M5</f>
        <v>-3858922.7103999853</v>
      </c>
      <c r="Y5" s="28">
        <f>D5-'Jun23'!D5</f>
        <v>4.9999999999999989E-2</v>
      </c>
      <c r="Z5" s="28">
        <f>F5-'Jun23'!F5</f>
        <v>0</v>
      </c>
      <c r="AA5" s="28">
        <f>H5-'Jun23'!H5</f>
        <v>-4.0000000000000036E-2</v>
      </c>
      <c r="AB5" s="28">
        <f>J5-'Jun23'!J5</f>
        <v>0</v>
      </c>
      <c r="AC5" s="28">
        <f>L5-'Jun23'!L5</f>
        <v>0</v>
      </c>
    </row>
    <row r="6" spans="1:29" x14ac:dyDescent="0.25">
      <c r="B6" s="3" t="s">
        <v>37</v>
      </c>
      <c r="C6" s="12">
        <v>2873456747</v>
      </c>
      <c r="D6" s="14">
        <v>0.28599999999999998</v>
      </c>
      <c r="E6" s="12">
        <f t="shared" si="0"/>
        <v>821808629.64199996</v>
      </c>
      <c r="F6" s="14">
        <v>0.19769999999999999</v>
      </c>
      <c r="G6" s="12">
        <f t="shared" si="1"/>
        <v>568082398.88189995</v>
      </c>
      <c r="H6" s="14">
        <f>0.4464+0.0272+0.0202</f>
        <v>0.49380000000000002</v>
      </c>
      <c r="I6" s="12">
        <f t="shared" si="2"/>
        <v>1418912941.6686001</v>
      </c>
      <c r="J6" s="14"/>
      <c r="K6" s="12">
        <f t="shared" si="4"/>
        <v>0</v>
      </c>
      <c r="L6" s="14"/>
      <c r="M6" s="12">
        <f>L6*C6</f>
        <v>0</v>
      </c>
      <c r="N6" s="14">
        <v>2.2499999999999999E-2</v>
      </c>
      <c r="O6" s="12">
        <f t="shared" si="3"/>
        <v>64652776.807499997</v>
      </c>
      <c r="S6" s="12">
        <f>C6-'Jun23'!C6</f>
        <v>-254113957</v>
      </c>
      <c r="T6" s="12">
        <f>E6-'Jun23'!E6</f>
        <v>-59853551.815600038</v>
      </c>
      <c r="U6" s="12">
        <f>I6-'Jun23'!I6</f>
        <v>-157695450.2177999</v>
      </c>
      <c r="V6" s="12">
        <f>K6-'Jun23'!K6</f>
        <v>0</v>
      </c>
      <c r="W6" s="12">
        <f>+M6-'Jun23'!M6</f>
        <v>0</v>
      </c>
      <c r="Y6" s="28">
        <f>D6-'Jun23'!D6</f>
        <v>4.0999999999999925E-3</v>
      </c>
      <c r="Z6" s="28">
        <f>F6-'Jun23'!F6</f>
        <v>5.7999999999999996E-3</v>
      </c>
      <c r="AA6" s="28">
        <f>H6-'Jun23'!H6</f>
        <v>-1.0299999999999976E-2</v>
      </c>
      <c r="AB6" s="28">
        <f>J6-'Jun23'!J6</f>
        <v>0</v>
      </c>
      <c r="AC6" s="28">
        <f>L6-'Jun23'!L6</f>
        <v>0</v>
      </c>
    </row>
    <row r="7" spans="1:29" x14ac:dyDescent="0.25">
      <c r="B7" s="3" t="s">
        <v>22</v>
      </c>
      <c r="C7" s="12">
        <v>1051250000</v>
      </c>
      <c r="D7" s="14">
        <v>0.30599999999999999</v>
      </c>
      <c r="E7" s="12">
        <f t="shared" si="0"/>
        <v>321682500</v>
      </c>
      <c r="F7" s="14">
        <v>7.0000000000000007E-2</v>
      </c>
      <c r="G7" s="12">
        <f t="shared" si="1"/>
        <v>73587500</v>
      </c>
      <c r="H7" s="14">
        <f>0.481+0.093</f>
        <v>0.57399999999999995</v>
      </c>
      <c r="I7" s="12">
        <f t="shared" si="2"/>
        <v>603417500</v>
      </c>
      <c r="J7" s="14">
        <v>0.05</v>
      </c>
      <c r="K7" s="12">
        <f t="shared" si="4"/>
        <v>52562500</v>
      </c>
      <c r="L7" s="16"/>
      <c r="M7" s="12">
        <f t="shared" ref="M7:M13" si="5">L7*C7</f>
        <v>0</v>
      </c>
      <c r="N7" s="14"/>
      <c r="O7" s="12">
        <f t="shared" si="3"/>
        <v>0</v>
      </c>
      <c r="S7" s="12">
        <f>C7-'Jun23'!C7</f>
        <v>-75280000</v>
      </c>
      <c r="T7" s="12">
        <f>E7-'Jun23'!E7</f>
        <v>-47819340</v>
      </c>
      <c r="U7" s="12">
        <f>I7-'Jun23'!I7</f>
        <v>-6035230</v>
      </c>
      <c r="V7" s="12">
        <f>K7-'Jun23'!K7</f>
        <v>-24041540</v>
      </c>
      <c r="W7" s="12">
        <f>+M7-'Jun23'!M7</f>
        <v>0</v>
      </c>
      <c r="Y7" s="28">
        <f>D7-'Jun23'!D7</f>
        <v>-2.200000000000002E-2</v>
      </c>
      <c r="Z7" s="28">
        <f>F7-'Jun23'!F7</f>
        <v>6.0000000000000053E-3</v>
      </c>
      <c r="AA7" s="28">
        <f>H7-'Jun23'!H7</f>
        <v>3.2999999999999918E-2</v>
      </c>
      <c r="AB7" s="28">
        <f>J7-'Jun23'!J7</f>
        <v>-1.8000000000000002E-2</v>
      </c>
      <c r="AC7" s="28">
        <f>L7-'Jun23'!L7</f>
        <v>0</v>
      </c>
    </row>
    <row r="8" spans="1:29" x14ac:dyDescent="0.25">
      <c r="B8" s="3" t="s">
        <v>23</v>
      </c>
      <c r="C8" s="12">
        <v>1229928917.5</v>
      </c>
      <c r="D8" s="14">
        <v>0.15</v>
      </c>
      <c r="E8" s="12">
        <f t="shared" si="0"/>
        <v>184489337.625</v>
      </c>
      <c r="F8" s="14">
        <f>0.22+0.06</f>
        <v>0.28000000000000003</v>
      </c>
      <c r="G8" s="12">
        <f t="shared" si="1"/>
        <v>344380096.90000004</v>
      </c>
      <c r="H8" s="14">
        <f>0.44+0.01</f>
        <v>0.45</v>
      </c>
      <c r="I8" s="12">
        <f t="shared" si="2"/>
        <v>553468012.875</v>
      </c>
      <c r="J8" s="14">
        <v>0.08</v>
      </c>
      <c r="K8" s="12">
        <f>J8*C8</f>
        <v>98394313.400000006</v>
      </c>
      <c r="L8" s="16"/>
      <c r="M8" s="12">
        <f t="shared" si="5"/>
        <v>0</v>
      </c>
      <c r="N8" s="14">
        <v>0.04</v>
      </c>
      <c r="O8" s="12">
        <f t="shared" si="3"/>
        <v>49197156.700000003</v>
      </c>
      <c r="S8" s="12">
        <f>C8-'Jun23'!C8</f>
        <v>-36328215.599999905</v>
      </c>
      <c r="T8" s="12">
        <f>E8-'Jun23'!E8</f>
        <v>7213338.9909999967</v>
      </c>
      <c r="U8" s="12">
        <f>I8-'Jun23'!I8</f>
        <v>-22678982.685500026</v>
      </c>
      <c r="V8" s="12">
        <f>K8-'Jun23'!K8</f>
        <v>3425028.4175000191</v>
      </c>
      <c r="W8" s="12">
        <f>+M8-'Jun23'!M8</f>
        <v>0</v>
      </c>
      <c r="Y8" s="28">
        <f>D8-'Jun23'!D8</f>
        <v>9.9999999999999811E-3</v>
      </c>
      <c r="Z8" s="28">
        <f>F8-'Jun23'!F8</f>
        <v>-1.9999999999999962E-2</v>
      </c>
      <c r="AA8" s="28">
        <f>H8-'Jun23'!H8</f>
        <v>-5.0000000000000044E-3</v>
      </c>
      <c r="AB8" s="28">
        <f>J8-'Jun23'!J8</f>
        <v>5.0000000000000044E-3</v>
      </c>
      <c r="AC8" s="28">
        <f>L8-'Jun23'!L8</f>
        <v>0</v>
      </c>
    </row>
    <row r="9" spans="1:29" x14ac:dyDescent="0.25">
      <c r="B9" s="3" t="s">
        <v>24</v>
      </c>
      <c r="C9" s="12">
        <v>2239808399</v>
      </c>
      <c r="D9" s="14">
        <v>0.29680000000000001</v>
      </c>
      <c r="E9" s="12">
        <f t="shared" si="0"/>
        <v>664775132.82319999</v>
      </c>
      <c r="F9" s="14">
        <v>0.18229999999999999</v>
      </c>
      <c r="G9" s="12">
        <f t="shared" si="1"/>
        <v>408317071.13769996</v>
      </c>
      <c r="H9" s="14">
        <v>0.4657</v>
      </c>
      <c r="I9" s="12">
        <f t="shared" si="2"/>
        <v>1043078771.4143</v>
      </c>
      <c r="J9" s="14">
        <v>4.2500000000000003E-2</v>
      </c>
      <c r="K9" s="12">
        <f>J9*C9</f>
        <v>95191856.957500011</v>
      </c>
      <c r="L9" s="14"/>
      <c r="M9" s="12">
        <f t="shared" si="5"/>
        <v>0</v>
      </c>
      <c r="N9" s="14">
        <v>1.2699999999999999E-2</v>
      </c>
      <c r="O9" s="12">
        <f t="shared" si="3"/>
        <v>28445566.667299997</v>
      </c>
      <c r="S9" s="12">
        <f>C9-'Jun23'!C9</f>
        <v>-81764829</v>
      </c>
      <c r="T9" s="12">
        <f>E9-'Jun23'!E9</f>
        <v>-27518003.766400099</v>
      </c>
      <c r="U9" s="12">
        <f>I9-'Jun23'!I9</f>
        <v>-42256712.675700188</v>
      </c>
      <c r="V9" s="12">
        <f>K9-'Jun23'!K9</f>
        <v>-1153432.0045000017</v>
      </c>
      <c r="W9" s="12">
        <f>+M9-'Jun23'!M9</f>
        <v>0</v>
      </c>
      <c r="Y9" s="28">
        <f>D9-'Jun23'!D9</f>
        <v>-1.4000000000000123E-3</v>
      </c>
      <c r="Z9" s="28">
        <f>F9-'Jun23'!F9</f>
        <v>3.6999999999999811E-3</v>
      </c>
      <c r="AA9" s="28">
        <f>H9-'Jun23'!H9</f>
        <v>-1.8000000000000238E-3</v>
      </c>
      <c r="AB9" s="28">
        <f>J9-'Jun23'!J9</f>
        <v>1.0000000000000009E-3</v>
      </c>
      <c r="AC9" s="28">
        <f>L9-'Jun23'!L9</f>
        <v>0</v>
      </c>
    </row>
    <row r="10" spans="1:29" x14ac:dyDescent="0.25">
      <c r="B10" s="3" t="s">
        <v>25</v>
      </c>
      <c r="C10" s="12">
        <v>456815413</v>
      </c>
      <c r="D10" s="14">
        <v>0.37</v>
      </c>
      <c r="E10" s="12">
        <f t="shared" si="0"/>
        <v>169021702.81</v>
      </c>
      <c r="F10" s="14">
        <f>0.1+0.05</f>
        <v>0.15000000000000002</v>
      </c>
      <c r="G10" s="12">
        <f t="shared" si="1"/>
        <v>68522311.950000003</v>
      </c>
      <c r="H10" s="14">
        <v>0.4</v>
      </c>
      <c r="I10" s="12">
        <f t="shared" si="2"/>
        <v>182726165.20000002</v>
      </c>
      <c r="J10" s="14">
        <v>0.08</v>
      </c>
      <c r="K10" s="12">
        <f>J10*C10</f>
        <v>36545233.039999999</v>
      </c>
      <c r="L10" s="16"/>
      <c r="M10" s="12">
        <f t="shared" si="5"/>
        <v>0</v>
      </c>
      <c r="N10" s="14"/>
      <c r="O10" s="12">
        <f t="shared" si="3"/>
        <v>0</v>
      </c>
      <c r="S10" s="12">
        <f>C10-'Jun23'!C10</f>
        <v>-17967525</v>
      </c>
      <c r="T10" s="12">
        <f>E10-'Jun23'!E10</f>
        <v>21838992.030000001</v>
      </c>
      <c r="U10" s="12">
        <f>I10-'Jun23'!I10</f>
        <v>-21430498.139999986</v>
      </c>
      <c r="V10" s="12">
        <f>K10-'Jun23'!K10</f>
        <v>-1437402</v>
      </c>
      <c r="W10" s="12">
        <f>+M10-'Jun23'!M10</f>
        <v>0</v>
      </c>
      <c r="Y10" s="28">
        <f>D10-'Jun23'!D10</f>
        <v>0.06</v>
      </c>
      <c r="Z10" s="28">
        <f>F10-'Jun23'!F10</f>
        <v>-2.9999999999999971E-2</v>
      </c>
      <c r="AA10" s="28">
        <f>H10-'Jun23'!H10</f>
        <v>-2.9999999999999971E-2</v>
      </c>
      <c r="AB10" s="28">
        <f>J10-'Jun23'!J10</f>
        <v>0</v>
      </c>
      <c r="AC10" s="28">
        <f>L10-'Jun23'!L10</f>
        <v>0</v>
      </c>
    </row>
    <row r="11" spans="1:29" x14ac:dyDescent="0.25">
      <c r="B11" s="3" t="s">
        <v>29</v>
      </c>
      <c r="C11" s="12">
        <v>3164495741</v>
      </c>
      <c r="D11" s="14">
        <v>0.26</v>
      </c>
      <c r="E11" s="12">
        <f t="shared" si="0"/>
        <v>822768892.66000009</v>
      </c>
      <c r="F11" s="14">
        <f>0.242+0.012</f>
        <v>0.254</v>
      </c>
      <c r="G11" s="12">
        <f t="shared" si="1"/>
        <v>803781918.21399999</v>
      </c>
      <c r="H11" s="14">
        <f>0.422+0.017</f>
        <v>0.439</v>
      </c>
      <c r="I11" s="12">
        <f t="shared" si="2"/>
        <v>1389213630.299</v>
      </c>
      <c r="J11" s="14">
        <v>4.7E-2</v>
      </c>
      <c r="K11" s="12">
        <f>J11*C11</f>
        <v>148731299.82699999</v>
      </c>
      <c r="L11" s="16"/>
      <c r="M11" s="12">
        <f t="shared" si="5"/>
        <v>0</v>
      </c>
      <c r="N11" s="14"/>
      <c r="O11" s="12">
        <f t="shared" si="3"/>
        <v>0</v>
      </c>
      <c r="S11" s="12">
        <f>C11-'Jun23'!C11</f>
        <v>108314297</v>
      </c>
      <c r="T11" s="12">
        <f>E11-'Jun23'!E11</f>
        <v>37330261.552000046</v>
      </c>
      <c r="U11" s="12">
        <f>I11-'Jun23'!I11</f>
        <v>20044343.387000084</v>
      </c>
      <c r="V11" s="12">
        <f>K11-'Jun23'!K11</f>
        <v>8146953.4029999971</v>
      </c>
      <c r="W11" s="12">
        <f>+M11-'Jun23'!M11</f>
        <v>0</v>
      </c>
      <c r="Y11" s="28">
        <f>D11-'Jun23'!D11</f>
        <v>3.0000000000000027E-3</v>
      </c>
      <c r="Z11" s="28">
        <f>F11-'Jun23'!F11</f>
        <v>5.0000000000000044E-3</v>
      </c>
      <c r="AA11" s="28">
        <f>H11-'Jun23'!H11</f>
        <v>-9.000000000000008E-3</v>
      </c>
      <c r="AB11" s="28">
        <f>J11-'Jun23'!J11</f>
        <v>1.0000000000000009E-3</v>
      </c>
      <c r="AC11" s="28">
        <f>L11-'Jun23'!L11</f>
        <v>0</v>
      </c>
    </row>
    <row r="12" spans="1:29" x14ac:dyDescent="0.25">
      <c r="B12" s="3" t="s">
        <v>47</v>
      </c>
      <c r="C12" s="12">
        <v>1213562119.01</v>
      </c>
      <c r="D12" s="14">
        <v>0.67</v>
      </c>
      <c r="E12" s="12">
        <f>D12*C12</f>
        <v>813086619.73670006</v>
      </c>
      <c r="F12" s="14">
        <v>5.7000000000000002E-2</v>
      </c>
      <c r="G12" s="12">
        <f t="shared" si="1"/>
        <v>69173040.783570006</v>
      </c>
      <c r="H12" s="14">
        <v>0.27300000000000002</v>
      </c>
      <c r="I12" s="12">
        <f t="shared" si="2"/>
        <v>331302458.48973</v>
      </c>
      <c r="J12" s="14"/>
      <c r="K12" s="12"/>
      <c r="L12" s="16"/>
      <c r="M12" s="12">
        <f>L12*C12</f>
        <v>0</v>
      </c>
      <c r="N12" s="14"/>
      <c r="O12" s="12">
        <f>N12*C12</f>
        <v>0</v>
      </c>
      <c r="Q12" t="s">
        <v>48</v>
      </c>
      <c r="S12" s="12">
        <f>C12-'Jun23'!C12</f>
        <v>0</v>
      </c>
      <c r="T12" s="12">
        <f>E12-'Jun23'!E12</f>
        <v>0</v>
      </c>
      <c r="U12" s="12">
        <f>I12-'Jun23'!I12</f>
        <v>0</v>
      </c>
      <c r="V12" s="12">
        <f>K12-'Jun23'!K12</f>
        <v>0</v>
      </c>
      <c r="W12" s="12">
        <f>+M12-'Jun23'!M12</f>
        <v>0</v>
      </c>
      <c r="Y12" s="28">
        <f>D12-'Jun23'!D12</f>
        <v>0</v>
      </c>
      <c r="Z12" s="28">
        <f>F12-'Jun23'!F12</f>
        <v>0</v>
      </c>
      <c r="AA12" s="28">
        <f>H12-'Jun23'!H12</f>
        <v>0</v>
      </c>
      <c r="AB12" s="28">
        <f>J12-'Jun23'!J12</f>
        <v>0</v>
      </c>
      <c r="AC12" s="28">
        <f>L12-'Jun23'!L12</f>
        <v>0</v>
      </c>
    </row>
    <row r="13" spans="1:29" x14ac:dyDescent="0.25">
      <c r="B13" s="3" t="s">
        <v>30</v>
      </c>
      <c r="C13" s="12">
        <v>986420000</v>
      </c>
      <c r="D13" s="14">
        <v>0.27</v>
      </c>
      <c r="E13" s="12">
        <f t="shared" ref="E13" si="6">D13*C13</f>
        <v>266333400.00000003</v>
      </c>
      <c r="F13" s="14">
        <v>0.2</v>
      </c>
      <c r="G13" s="12">
        <f t="shared" si="1"/>
        <v>197284000</v>
      </c>
      <c r="H13" s="14">
        <v>0.52</v>
      </c>
      <c r="I13" s="12">
        <f t="shared" si="2"/>
        <v>512938400</v>
      </c>
      <c r="J13" s="14">
        <v>0.01</v>
      </c>
      <c r="K13" s="12">
        <f t="shared" ref="K13" si="7">J13*C13</f>
        <v>9864200</v>
      </c>
      <c r="L13" s="16"/>
      <c r="M13" s="12">
        <f t="shared" si="5"/>
        <v>0</v>
      </c>
      <c r="N13" s="14"/>
      <c r="O13" s="12">
        <f t="shared" si="3"/>
        <v>0</v>
      </c>
      <c r="S13" s="12">
        <f>C13-'Jun23'!C13</f>
        <v>-433610000</v>
      </c>
      <c r="T13" s="12">
        <f>E13-'Jun23'!E13</f>
        <v>-131275000.00000003</v>
      </c>
      <c r="U13" s="12">
        <f>I13-'Jun23'!I13</f>
        <v>-182876300</v>
      </c>
      <c r="V13" s="12">
        <f>K13-'Jun23'!K13</f>
        <v>-4336100</v>
      </c>
      <c r="W13" s="12">
        <f>+M13-'Jun23'!M13</f>
        <v>0</v>
      </c>
      <c r="Y13" s="28">
        <f>D13-'Jun23'!D13</f>
        <v>-1.0000000000000009E-2</v>
      </c>
      <c r="Z13" s="28">
        <f>F13-'Jun23'!F13</f>
        <v>-1.999999999999999E-2</v>
      </c>
      <c r="AA13" s="28">
        <f>H13-'Jun23'!H13</f>
        <v>3.0000000000000027E-2</v>
      </c>
      <c r="AB13" s="28">
        <f>J13-'Jun23'!J13</f>
        <v>0</v>
      </c>
      <c r="AC13" s="28">
        <f>L13-'Jun23'!L13</f>
        <v>0</v>
      </c>
    </row>
    <row r="14" spans="1:29" x14ac:dyDescent="0.25">
      <c r="B14" s="3" t="s">
        <v>31</v>
      </c>
      <c r="C14" s="12">
        <v>47495927.960000001</v>
      </c>
      <c r="D14" s="14">
        <v>0.36799999999999999</v>
      </c>
      <c r="E14" s="18">
        <f>D14*C14</f>
        <v>17478501.48928</v>
      </c>
      <c r="F14" s="14">
        <v>0.14199999999999999</v>
      </c>
      <c r="G14" s="12">
        <f>F14*C14</f>
        <v>6744421.7703199992</v>
      </c>
      <c r="H14" s="19">
        <v>0.44700000000000001</v>
      </c>
      <c r="I14" s="18">
        <f>H14*C14</f>
        <v>21230679.798119999</v>
      </c>
      <c r="J14" s="14">
        <v>4.2999999999999997E-2</v>
      </c>
      <c r="K14" s="12">
        <f>J14*C14</f>
        <v>2042324.9022799998</v>
      </c>
      <c r="L14" s="16"/>
      <c r="M14" s="12">
        <f>L14*C14</f>
        <v>0</v>
      </c>
      <c r="N14" s="14"/>
      <c r="O14" s="12">
        <f>N14*C14</f>
        <v>0</v>
      </c>
      <c r="S14" s="12">
        <f>C14-'Jun23'!C14</f>
        <v>10240610.25</v>
      </c>
      <c r="T14" s="12">
        <f>E14-'Jun23'!E14</f>
        <v>4141097.7490999997</v>
      </c>
      <c r="U14" s="12">
        <f>I14-'Jun23'!I14</f>
        <v>4130488.9692299999</v>
      </c>
      <c r="V14" s="12">
        <f>K14-'Jun23'!K14</f>
        <v>328580.28761999984</v>
      </c>
      <c r="W14" s="12">
        <f>+M14-'Jun23'!M14</f>
        <v>0</v>
      </c>
      <c r="Y14" s="28">
        <f>D14-'Jun23'!D14</f>
        <v>1.0000000000000009E-2</v>
      </c>
      <c r="Z14" s="28">
        <f>F14-'Jun23'!F14</f>
        <v>3.9999999999999758E-3</v>
      </c>
      <c r="AA14" s="28">
        <f>H14-'Jun23'!H14</f>
        <v>-1.2000000000000011E-2</v>
      </c>
      <c r="AB14" s="28">
        <f>J14-'Jun23'!J14</f>
        <v>-3.0000000000000027E-3</v>
      </c>
      <c r="AC14" s="28">
        <f>L14-'Jun23'!L14</f>
        <v>0</v>
      </c>
    </row>
    <row r="15" spans="1:29" s="8" customFormat="1" x14ac:dyDescent="0.25">
      <c r="A15"/>
      <c r="B15" s="21" t="s">
        <v>45</v>
      </c>
      <c r="C15" s="20">
        <f>SUM(C3:C14)</f>
        <v>16309607231.209999</v>
      </c>
      <c r="D15" s="15">
        <f>+E15/$C15</f>
        <v>0.32074669283267815</v>
      </c>
      <c r="E15" s="17">
        <f>SUM(E3:E14)</f>
        <v>5231252580.8105402</v>
      </c>
      <c r="F15" s="15">
        <f>+G15/$C15</f>
        <v>0.16978582647818977</v>
      </c>
      <c r="G15" s="20">
        <f>SUM(G3:G14)</f>
        <v>2769140143.2856498</v>
      </c>
      <c r="H15" s="15">
        <f>+I15/$C15</f>
        <v>0.4531018671013487</v>
      </c>
      <c r="I15" s="17">
        <f>SUM(I3:I14)</f>
        <v>7389913488.1509085</v>
      </c>
      <c r="J15" s="15">
        <f>+K15/$C15</f>
        <v>3.9249061017973312E-2</v>
      </c>
      <c r="K15" s="17">
        <f>SUM(K3:K14)</f>
        <v>640136769.39693999</v>
      </c>
      <c r="L15" s="15">
        <f>+M15/$C15</f>
        <v>6.7240334618814688E-3</v>
      </c>
      <c r="M15" s="17">
        <f>SUM(M3:M14)</f>
        <v>109666344.77280001</v>
      </c>
      <c r="N15" s="15">
        <f>+O15/$C15</f>
        <v>1.0392519107928575E-2</v>
      </c>
      <c r="O15" s="17">
        <f>SUM(O3:O14)</f>
        <v>169497904.79315999</v>
      </c>
      <c r="S15" s="12">
        <f>C15-'Jun23'!C15</f>
        <v>428860075.85000038</v>
      </c>
      <c r="T15" s="12">
        <f>E15-'Jun23'!E15</f>
        <v>280005968.1700592</v>
      </c>
      <c r="U15" s="12">
        <f>I15-'Jun23'!I15</f>
        <v>33053262.548789024</v>
      </c>
      <c r="V15" s="12">
        <f>K15-'Jun23'!K15</f>
        <v>67516873.08138001</v>
      </c>
      <c r="W15" s="12">
        <f>+M15-'Jun23'!M15</f>
        <v>-3858922.7103999853</v>
      </c>
      <c r="Y15" s="28">
        <f>D15-'Jun23'!D15</f>
        <v>8.9700135490867194E-3</v>
      </c>
      <c r="Z15" s="28">
        <f>F15-'Jun23'!F15</f>
        <v>-2.3342184461062898E-3</v>
      </c>
      <c r="AA15" s="28">
        <f>H15-'Jun23'!H15</f>
        <v>-1.0154688376210474E-2</v>
      </c>
      <c r="AB15" s="28">
        <f>J15-'Jun23'!J15</f>
        <v>3.1915701005959182E-3</v>
      </c>
      <c r="AC15" s="28">
        <f>L15-'Jun23'!L15</f>
        <v>-4.2457651047008143E-4</v>
      </c>
    </row>
    <row r="16" spans="1:29" x14ac:dyDescent="0.25">
      <c r="C16" s="10"/>
      <c r="D16" s="10"/>
      <c r="E16" s="10"/>
      <c r="F16" s="5"/>
      <c r="G16" s="10"/>
      <c r="H16" s="10"/>
      <c r="I16" s="10"/>
      <c r="J16" s="5"/>
      <c r="K16" s="10"/>
    </row>
    <row r="17" spans="1:29" x14ac:dyDescent="0.25">
      <c r="B17" s="4" t="s">
        <v>2</v>
      </c>
      <c r="C17" s="9" t="s">
        <v>4</v>
      </c>
      <c r="D17" s="112" t="s">
        <v>7</v>
      </c>
      <c r="E17" s="112"/>
      <c r="F17" s="112" t="s">
        <v>8</v>
      </c>
      <c r="G17" s="112"/>
      <c r="H17" s="112" t="s">
        <v>10</v>
      </c>
      <c r="I17" s="112"/>
      <c r="J17" s="112" t="s">
        <v>9</v>
      </c>
      <c r="K17" s="112"/>
      <c r="L17" s="112" t="s">
        <v>21</v>
      </c>
      <c r="M17" s="112"/>
      <c r="N17" s="112" t="s">
        <v>55</v>
      </c>
      <c r="O17" s="112"/>
      <c r="S17" s="27" t="s">
        <v>49</v>
      </c>
      <c r="T17" s="27" t="s">
        <v>50</v>
      </c>
      <c r="U17" s="27" t="s">
        <v>51</v>
      </c>
      <c r="V17" s="27" t="s">
        <v>52</v>
      </c>
      <c r="W17" s="27" t="s">
        <v>53</v>
      </c>
      <c r="Y17" s="27" t="s">
        <v>49</v>
      </c>
      <c r="Z17" s="27" t="s">
        <v>50</v>
      </c>
      <c r="AA17" s="27" t="s">
        <v>51</v>
      </c>
      <c r="AB17" s="27" t="s">
        <v>52</v>
      </c>
      <c r="AC17" s="27" t="s">
        <v>53</v>
      </c>
    </row>
    <row r="18" spans="1:29" x14ac:dyDescent="0.25">
      <c r="B18" s="21" t="s">
        <v>6</v>
      </c>
      <c r="C18" s="22">
        <v>321842876.05000001</v>
      </c>
      <c r="D18" s="26">
        <f>0.1785+0.005</f>
        <v>0.1835</v>
      </c>
      <c r="E18" s="23">
        <f t="shared" ref="E18:E26" si="8">D18*C18</f>
        <v>59058167.755175002</v>
      </c>
      <c r="F18" s="26">
        <f>0.1004+0.0644+0.0438+0.0042</f>
        <v>0.21280000000000002</v>
      </c>
      <c r="G18" s="22">
        <f>C18*F18</f>
        <v>68488164.023440003</v>
      </c>
      <c r="H18" s="26">
        <f>0.4701+0.0084</f>
        <v>0.47850000000000004</v>
      </c>
      <c r="I18" s="23">
        <f t="shared" ref="I18:I26" si="9">H18*C18</f>
        <v>154001816.18992501</v>
      </c>
      <c r="J18" s="26">
        <v>5.9200000000000003E-2</v>
      </c>
      <c r="K18" s="23">
        <f>J18*C18</f>
        <v>19053098.262160003</v>
      </c>
      <c r="L18" s="24"/>
      <c r="M18" s="23">
        <f>L18*E18</f>
        <v>0</v>
      </c>
      <c r="N18" s="26">
        <v>6.6000000000000003E-2</v>
      </c>
      <c r="O18" s="23">
        <f>N18*G18</f>
        <v>4520218.8255470404</v>
      </c>
      <c r="S18" s="12">
        <f>C18-'Jun23'!C18</f>
        <v>321842876.05000001</v>
      </c>
      <c r="T18" s="12">
        <f>E18-'Jun23'!E18</f>
        <v>59058167.755175002</v>
      </c>
      <c r="U18" s="12">
        <f>I18-'Jun23'!I18</f>
        <v>154001816.18992501</v>
      </c>
      <c r="V18" s="12">
        <f>K18-'Jun23'!K18</f>
        <v>19053098.262160003</v>
      </c>
      <c r="W18" s="12">
        <f>+M18-'Jun23'!M18</f>
        <v>0</v>
      </c>
      <c r="Y18" s="28">
        <f>D18-'Jun23'!D18</f>
        <v>0.1835</v>
      </c>
      <c r="Z18" s="28">
        <f>F18-'Jun23'!F18</f>
        <v>0.21280000000000002</v>
      </c>
      <c r="AA18" s="28">
        <f>H18-'Jun23'!H18</f>
        <v>0.47850000000000004</v>
      </c>
      <c r="AB18" s="28">
        <f>J18-'Jun23'!J18</f>
        <v>5.9200000000000003E-2</v>
      </c>
      <c r="AC18" s="28">
        <f>L18-'Jun23'!L18</f>
        <v>0</v>
      </c>
    </row>
    <row r="19" spans="1:29" x14ac:dyDescent="0.25">
      <c r="B19" s="3" t="s">
        <v>26</v>
      </c>
      <c r="C19" s="12">
        <v>409704255.88</v>
      </c>
      <c r="D19" s="14">
        <v>0.17</v>
      </c>
      <c r="E19" s="12">
        <f t="shared" si="8"/>
        <v>69649723.499600008</v>
      </c>
      <c r="F19" s="14">
        <f>0.14+0.01</f>
        <v>0.15000000000000002</v>
      </c>
      <c r="G19" s="12">
        <f t="shared" ref="G19:G26" si="10">C19*F19</f>
        <v>61455638.382000007</v>
      </c>
      <c r="H19" s="14">
        <f>0.03+0.48</f>
        <v>0.51</v>
      </c>
      <c r="I19" s="12">
        <f t="shared" si="9"/>
        <v>208949170.49880001</v>
      </c>
      <c r="J19" s="14">
        <v>0.15</v>
      </c>
      <c r="K19" s="12">
        <f t="shared" ref="K19:O26" si="11">J19*C19</f>
        <v>61455638.381999999</v>
      </c>
      <c r="L19" s="16"/>
      <c r="M19" s="12">
        <f t="shared" si="11"/>
        <v>0</v>
      </c>
      <c r="N19" s="26">
        <v>0.02</v>
      </c>
      <c r="O19" s="12">
        <f t="shared" si="11"/>
        <v>1229112.7676400002</v>
      </c>
      <c r="S19" s="12">
        <f>C19-'Jun23'!C19</f>
        <v>1508273.8799999952</v>
      </c>
      <c r="T19" s="12">
        <f>E19-'Jun23'!E19</f>
        <v>4338366.3796000034</v>
      </c>
      <c r="U19" s="12">
        <f>I19-'Jun23'!I19</f>
        <v>-11476659.781199992</v>
      </c>
      <c r="V19" s="12">
        <f>K19-'Jun23'!K19</f>
        <v>4308200.9019999951</v>
      </c>
      <c r="W19" s="12">
        <f>+M19-'Jun23'!M19</f>
        <v>0</v>
      </c>
      <c r="Y19" s="28">
        <f>D19-'Jun23'!D19</f>
        <v>1.0000000000000009E-2</v>
      </c>
      <c r="Z19" s="28">
        <f>F19-'Jun23'!F19</f>
        <v>1.0000000000000009E-2</v>
      </c>
      <c r="AA19" s="28">
        <f>H19-'Jun23'!H19</f>
        <v>-3.0000000000000027E-2</v>
      </c>
      <c r="AB19" s="28">
        <f>J19-'Jun23'!J19</f>
        <v>9.9999999999999811E-3</v>
      </c>
      <c r="AC19" s="28">
        <f>L19-'Jun23'!L19</f>
        <v>0</v>
      </c>
    </row>
    <row r="20" spans="1:29" x14ac:dyDescent="0.25">
      <c r="B20" s="3" t="s">
        <v>27</v>
      </c>
      <c r="C20" s="12">
        <v>614769827</v>
      </c>
      <c r="D20" s="14">
        <v>0.18559999999999999</v>
      </c>
      <c r="E20" s="12">
        <f t="shared" si="8"/>
        <v>114101279.89119999</v>
      </c>
      <c r="F20" s="14">
        <v>0.2087</v>
      </c>
      <c r="G20" s="12">
        <f t="shared" si="10"/>
        <v>128302462.89489999</v>
      </c>
      <c r="H20" s="14">
        <f>0.4638+0.0757</f>
        <v>0.53949999999999998</v>
      </c>
      <c r="I20" s="12">
        <f t="shared" si="9"/>
        <v>331668321.66649997</v>
      </c>
      <c r="J20" s="14">
        <v>5.96E-2</v>
      </c>
      <c r="K20" s="12">
        <f t="shared" si="11"/>
        <v>36640281.689199999</v>
      </c>
      <c r="L20" s="16"/>
      <c r="M20" s="12">
        <f t="shared" si="11"/>
        <v>0</v>
      </c>
      <c r="N20" s="26">
        <v>6.6E-3</v>
      </c>
      <c r="O20" s="12">
        <f t="shared" si="11"/>
        <v>846796.25510633993</v>
      </c>
      <c r="S20" s="12">
        <f>C20-'Jun23'!C20</f>
        <v>-28812345</v>
      </c>
      <c r="T20" s="12">
        <f>E20-'Jun23'!E20</f>
        <v>6944848.2531999797</v>
      </c>
      <c r="U20" s="12">
        <f>I20-'Jun23'!I20</f>
        <v>-26935664.57190007</v>
      </c>
      <c r="V20" s="12">
        <f>K20-'Jun23'!K20</f>
        <v>-301334.98359999806</v>
      </c>
      <c r="W20" s="12">
        <f>+M20-'Jun23'!M20</f>
        <v>0</v>
      </c>
      <c r="Y20" s="28">
        <f>D20-'Jun23'!D20</f>
        <v>1.9099999999999978E-2</v>
      </c>
      <c r="Z20" s="28">
        <f>F20-'Jun23'!F20</f>
        <v>-4.0000000000000036E-3</v>
      </c>
      <c r="AA20" s="28">
        <f>H20-'Jun23'!H20</f>
        <v>-1.7700000000000049E-2</v>
      </c>
      <c r="AB20" s="28">
        <f>J20-'Jun23'!J20</f>
        <v>2.2000000000000006E-3</v>
      </c>
      <c r="AC20" s="28">
        <f>L20-'Jun23'!L20</f>
        <v>0</v>
      </c>
    </row>
    <row r="21" spans="1:29" x14ac:dyDescent="0.25">
      <c r="B21" s="3" t="s">
        <v>28</v>
      </c>
      <c r="C21" s="12">
        <v>1121907284</v>
      </c>
      <c r="D21" s="14">
        <v>0.13</v>
      </c>
      <c r="E21" s="12">
        <f t="shared" si="8"/>
        <v>145847946.92000002</v>
      </c>
      <c r="F21" s="14">
        <f>0.07+0.04</f>
        <v>0.11000000000000001</v>
      </c>
      <c r="G21" s="12">
        <f t="shared" si="10"/>
        <v>123409801.24000001</v>
      </c>
      <c r="H21" s="14">
        <f>0.57+0.04+0.01</f>
        <v>0.62</v>
      </c>
      <c r="I21" s="12">
        <f t="shared" si="9"/>
        <v>695582516.08000004</v>
      </c>
      <c r="J21" s="14">
        <v>0.14000000000000001</v>
      </c>
      <c r="K21" s="12">
        <f t="shared" si="11"/>
        <v>157067019.76000002</v>
      </c>
      <c r="L21" s="16"/>
      <c r="M21" s="12">
        <f t="shared" si="11"/>
        <v>0</v>
      </c>
      <c r="N21" s="26"/>
      <c r="O21" s="12">
        <f t="shared" si="11"/>
        <v>0</v>
      </c>
      <c r="S21" s="12">
        <f>C21-'Jun23'!C21</f>
        <v>575951146</v>
      </c>
      <c r="T21" s="12">
        <f>E21-'Jun23'!E21</f>
        <v>63954526.220000014</v>
      </c>
      <c r="U21" s="12">
        <f>I21-'Jun23'!I21</f>
        <v>368008833.28000003</v>
      </c>
      <c r="V21" s="12">
        <f>K21-'Jun23'!K21</f>
        <v>80633160.440000013</v>
      </c>
      <c r="W21" s="12">
        <f>+M21-'Jun23'!M21</f>
        <v>0</v>
      </c>
      <c r="Y21" s="28">
        <f>D21-'Jun23'!D21</f>
        <v>-1.999999999999999E-2</v>
      </c>
      <c r="Z21" s="28">
        <f>F21-'Jun23'!F21</f>
        <v>0</v>
      </c>
      <c r="AA21" s="28">
        <f>H21-'Jun23'!H21</f>
        <v>2.0000000000000018E-2</v>
      </c>
      <c r="AB21" s="28">
        <f>J21-'Jun23'!J21</f>
        <v>0</v>
      </c>
      <c r="AC21" s="28">
        <f>L21-'Jun23'!L21</f>
        <v>0</v>
      </c>
    </row>
    <row r="22" spans="1:29" x14ac:dyDescent="0.25">
      <c r="B22" s="3" t="s">
        <v>32</v>
      </c>
      <c r="C22" s="12">
        <v>367700000</v>
      </c>
      <c r="D22" s="14">
        <v>0.04</v>
      </c>
      <c r="E22" s="12">
        <f t="shared" si="8"/>
        <v>14708000</v>
      </c>
      <c r="F22" s="14">
        <v>0.11</v>
      </c>
      <c r="G22" s="12">
        <f t="shared" si="10"/>
        <v>40447000</v>
      </c>
      <c r="H22" s="14">
        <f>0.7+0.02</f>
        <v>0.72</v>
      </c>
      <c r="I22" s="12">
        <f t="shared" si="9"/>
        <v>264744000</v>
      </c>
      <c r="J22" s="14">
        <v>0.13</v>
      </c>
      <c r="K22" s="12">
        <f t="shared" si="11"/>
        <v>47801000</v>
      </c>
      <c r="L22" s="16"/>
      <c r="M22" s="12">
        <f t="shared" si="11"/>
        <v>0</v>
      </c>
      <c r="N22" s="26"/>
      <c r="O22" s="12">
        <f t="shared" si="11"/>
        <v>0</v>
      </c>
      <c r="S22" s="12">
        <f>C22-'Jun23'!C22</f>
        <v>-3100000</v>
      </c>
      <c r="T22" s="12">
        <f>E22-'Jun23'!E22</f>
        <v>-11248000.000000004</v>
      </c>
      <c r="U22" s="12">
        <f>I22-'Jun23'!I22</f>
        <v>1475999.9999999702</v>
      </c>
      <c r="V22" s="12">
        <f>K22-'Jun23'!K22</f>
        <v>3305000</v>
      </c>
      <c r="W22" s="12">
        <f>+M22-'Jun23'!M22</f>
        <v>0</v>
      </c>
      <c r="Y22" s="28">
        <f>D22-'Jun23'!D22</f>
        <v>-3.0000000000000006E-2</v>
      </c>
      <c r="Z22" s="28">
        <f>F22-'Jun23'!F22</f>
        <v>9.999999999999995E-3</v>
      </c>
      <c r="AA22" s="28">
        <f>H22-'Jun23'!H22</f>
        <v>9.9999999999998979E-3</v>
      </c>
      <c r="AB22" s="28">
        <f>J22-'Jun23'!J22</f>
        <v>1.0000000000000009E-2</v>
      </c>
      <c r="AC22" s="28">
        <f>L22-'Jun23'!L22</f>
        <v>0</v>
      </c>
    </row>
    <row r="23" spans="1:29" x14ac:dyDescent="0.25">
      <c r="B23" s="3" t="s">
        <v>33</v>
      </c>
      <c r="C23" s="12">
        <v>626600000</v>
      </c>
      <c r="D23" s="14">
        <v>0.19</v>
      </c>
      <c r="E23" s="12">
        <f t="shared" si="8"/>
        <v>119054000</v>
      </c>
      <c r="F23" s="14">
        <v>0.13</v>
      </c>
      <c r="G23" s="12">
        <f t="shared" si="10"/>
        <v>81458000</v>
      </c>
      <c r="H23" s="14">
        <v>0.63</v>
      </c>
      <c r="I23" s="12">
        <f t="shared" si="9"/>
        <v>394758000</v>
      </c>
      <c r="J23" s="14">
        <v>0.05</v>
      </c>
      <c r="K23" s="12">
        <f t="shared" si="11"/>
        <v>31330000</v>
      </c>
      <c r="L23" s="16"/>
      <c r="M23" s="12">
        <f t="shared" si="11"/>
        <v>0</v>
      </c>
      <c r="N23" s="26"/>
      <c r="O23" s="12">
        <f t="shared" si="11"/>
        <v>0</v>
      </c>
      <c r="S23" s="12">
        <f>C23-'Jun23'!C23</f>
        <v>-13600000</v>
      </c>
      <c r="T23" s="12">
        <f>E23-'Jun23'!E23</f>
        <v>-15388000</v>
      </c>
      <c r="U23" s="12">
        <f>I23-'Jun23'!I23</f>
        <v>10638000</v>
      </c>
      <c r="V23" s="12">
        <f>K23-'Jun23'!K23</f>
        <v>-680000</v>
      </c>
      <c r="W23" s="12">
        <f>+M23-'Jun23'!M23</f>
        <v>0</v>
      </c>
      <c r="Y23" s="28">
        <f>D23-'Jun23'!D23</f>
        <v>-1.999999999999999E-2</v>
      </c>
      <c r="Z23" s="28">
        <f>F23-'Jun23'!F23</f>
        <v>-1.0000000000000009E-2</v>
      </c>
      <c r="AA23" s="28">
        <f>H23-'Jun23'!H23</f>
        <v>3.0000000000000027E-2</v>
      </c>
      <c r="AB23" s="28">
        <f>J23-'Jun23'!J23</f>
        <v>0</v>
      </c>
      <c r="AC23" s="28">
        <f>L23-'Jun23'!L23</f>
        <v>0</v>
      </c>
    </row>
    <row r="24" spans="1:29" x14ac:dyDescent="0.25">
      <c r="B24" s="3" t="s">
        <v>34</v>
      </c>
      <c r="C24" s="12">
        <v>279087842</v>
      </c>
      <c r="D24" s="14">
        <v>0.16220000000000001</v>
      </c>
      <c r="E24" s="12">
        <f t="shared" si="8"/>
        <v>45268047.972400002</v>
      </c>
      <c r="F24" s="14">
        <v>0.16250000000000001</v>
      </c>
      <c r="G24" s="12">
        <f t="shared" si="10"/>
        <v>45351774.325000003</v>
      </c>
      <c r="H24" s="14">
        <v>0.57569999999999999</v>
      </c>
      <c r="I24" s="12">
        <f t="shared" si="9"/>
        <v>160670870.63940001</v>
      </c>
      <c r="J24" s="14">
        <v>9.1600000000000001E-2</v>
      </c>
      <c r="K24" s="12">
        <f t="shared" si="11"/>
        <v>25564446.327199999</v>
      </c>
      <c r="L24" s="14"/>
      <c r="M24" s="12">
        <f t="shared" si="11"/>
        <v>0</v>
      </c>
      <c r="N24" s="26">
        <v>8.0000000000000002E-3</v>
      </c>
      <c r="O24" s="12">
        <f t="shared" si="11"/>
        <v>362814.19460000005</v>
      </c>
      <c r="S24" s="12">
        <f>C24-'Jun23'!C24</f>
        <v>-22824286</v>
      </c>
      <c r="T24" s="12">
        <f>E24-'Jun23'!E24</f>
        <v>-17891969.205199994</v>
      </c>
      <c r="U24" s="12">
        <f>I24-'Jun23'!I24</f>
        <v>-4565637.0149999857</v>
      </c>
      <c r="V24" s="12">
        <f>K24-'Jun23'!K24</f>
        <v>1864344.2791999988</v>
      </c>
      <c r="W24" s="12">
        <f>+M24-'Jun23'!M24</f>
        <v>0</v>
      </c>
      <c r="Y24" s="28">
        <f>D24-'Jun23'!D24</f>
        <v>-4.6999999999999986E-2</v>
      </c>
      <c r="Z24" s="28">
        <f>F24-'Jun23'!F24</f>
        <v>4.7999999999999987E-3</v>
      </c>
      <c r="AA24" s="28">
        <f>H24-'Jun23'!H24</f>
        <v>2.8399999999999981E-2</v>
      </c>
      <c r="AB24" s="28">
        <f>J24-'Jun23'!J24</f>
        <v>1.3100000000000001E-2</v>
      </c>
      <c r="AC24" s="28">
        <f>L24-'Jun23'!L24</f>
        <v>0</v>
      </c>
    </row>
    <row r="25" spans="1:29" x14ac:dyDescent="0.25">
      <c r="B25" s="3" t="s">
        <v>35</v>
      </c>
      <c r="C25" s="12">
        <v>212752020</v>
      </c>
      <c r="D25" s="14">
        <v>0.11899999999999999</v>
      </c>
      <c r="E25" s="12">
        <f t="shared" si="8"/>
        <v>25317490.379999999</v>
      </c>
      <c r="F25" s="14">
        <f>0.29+0.031</f>
        <v>0.32099999999999995</v>
      </c>
      <c r="G25" s="12">
        <f t="shared" si="10"/>
        <v>68293398.419999987</v>
      </c>
      <c r="H25" s="14">
        <f>0.49+0.015</f>
        <v>0.505</v>
      </c>
      <c r="I25" s="12">
        <f t="shared" si="9"/>
        <v>107439770.09999999</v>
      </c>
      <c r="J25" s="14">
        <v>5.5E-2</v>
      </c>
      <c r="K25" s="12">
        <f t="shared" si="11"/>
        <v>11701361.1</v>
      </c>
      <c r="L25" s="16"/>
      <c r="M25" s="12">
        <f t="shared" si="11"/>
        <v>0</v>
      </c>
      <c r="N25" s="26"/>
      <c r="O25" s="12">
        <f t="shared" si="11"/>
        <v>0</v>
      </c>
      <c r="S25" s="12">
        <f>C25-'Jun23'!C25</f>
        <v>7239720</v>
      </c>
      <c r="T25" s="12">
        <f>E25-'Jun23'!E25</f>
        <v>12575727.779999999</v>
      </c>
      <c r="U25" s="12">
        <f>I25-'Jun23'!I25</f>
        <v>-7236093.3000000119</v>
      </c>
      <c r="V25" s="12">
        <f>K25-'Jun23'!K25</f>
        <v>809209.19999999925</v>
      </c>
      <c r="W25" s="12">
        <f>+M25-'Jun23'!M25</f>
        <v>0</v>
      </c>
      <c r="Y25" s="28">
        <f>D25-'Jun23'!D25</f>
        <v>5.6999999999999995E-2</v>
      </c>
      <c r="Z25" s="28">
        <f>F25-'Jun23'!F25</f>
        <v>-1.5000000000000013E-2</v>
      </c>
      <c r="AA25" s="28">
        <f>H25-'Jun23'!H25</f>
        <v>-5.3000000000000047E-2</v>
      </c>
      <c r="AB25" s="28">
        <f>J25-'Jun23'!J25</f>
        <v>2.0000000000000018E-3</v>
      </c>
      <c r="AC25" s="28">
        <f>L25-'Jun23'!L25</f>
        <v>0</v>
      </c>
    </row>
    <row r="26" spans="1:29" x14ac:dyDescent="0.25">
      <c r="B26" s="3" t="s">
        <v>36</v>
      </c>
      <c r="C26" s="12">
        <v>319640000</v>
      </c>
      <c r="D26" s="19">
        <v>0.13</v>
      </c>
      <c r="E26" s="18">
        <f t="shared" si="8"/>
        <v>41553200</v>
      </c>
      <c r="F26" s="14">
        <v>0.12</v>
      </c>
      <c r="G26" s="12">
        <f t="shared" si="10"/>
        <v>38356800</v>
      </c>
      <c r="H26" s="19">
        <v>0.67</v>
      </c>
      <c r="I26" s="18">
        <f t="shared" si="9"/>
        <v>214158800</v>
      </c>
      <c r="J26" s="14">
        <v>0.08</v>
      </c>
      <c r="K26" s="12">
        <f t="shared" si="11"/>
        <v>25571200</v>
      </c>
      <c r="L26" s="16"/>
      <c r="M26" s="12">
        <f t="shared" si="11"/>
        <v>0</v>
      </c>
      <c r="N26" s="26"/>
      <c r="O26" s="12">
        <f t="shared" si="11"/>
        <v>0</v>
      </c>
      <c r="S26" s="12">
        <f>C26-'Jun23'!C26</f>
        <v>-1618360000</v>
      </c>
      <c r="T26" s="12">
        <f>E26-'Jun23'!E26</f>
        <v>-94106800</v>
      </c>
      <c r="U26" s="12">
        <f>I26-'Jun23'!I26</f>
        <v>-1123061200</v>
      </c>
      <c r="V26" s="12">
        <f>K26-'Jun23'!K26</f>
        <v>-206988800</v>
      </c>
      <c r="W26" s="12">
        <f>+M26-'Jun23'!M26</f>
        <v>0</v>
      </c>
      <c r="Y26" s="28">
        <f>D26-'Jun23'!D26</f>
        <v>0.06</v>
      </c>
      <c r="Z26" s="28">
        <f>F26-'Jun23'!F26</f>
        <v>0</v>
      </c>
      <c r="AA26" s="28">
        <f>H26-'Jun23'!H26</f>
        <v>-2.0000000000000018E-2</v>
      </c>
      <c r="AB26" s="28">
        <f>J26-'Jun23'!J26</f>
        <v>-3.9999999999999994E-2</v>
      </c>
      <c r="AC26" s="28">
        <f>L26-'Jun23'!L26</f>
        <v>0</v>
      </c>
    </row>
    <row r="27" spans="1:29" s="8" customFormat="1" x14ac:dyDescent="0.25">
      <c r="A27"/>
      <c r="B27" s="21" t="s">
        <v>45</v>
      </c>
      <c r="C27" s="20">
        <f>SUM(C18:C26)</f>
        <v>4274004104.9300003</v>
      </c>
      <c r="D27" s="15">
        <f>+E27/$C27</f>
        <v>0.14846917336518745</v>
      </c>
      <c r="E27" s="17">
        <f>SUM(E18:E26)</f>
        <v>634557856.41837502</v>
      </c>
      <c r="F27" s="15">
        <f>+G27/$C27</f>
        <v>0.15338381133727919</v>
      </c>
      <c r="G27" s="20">
        <f>SUM(G18:G26)</f>
        <v>655563039.28533995</v>
      </c>
      <c r="H27" s="15">
        <f>+I27/$C27</f>
        <v>0.59241245516213503</v>
      </c>
      <c r="I27" s="17">
        <f>SUM(I18:I26)</f>
        <v>2531973265.1746249</v>
      </c>
      <c r="J27" s="15">
        <f>+K27/$C27</f>
        <v>9.7375677538657002E-2</v>
      </c>
      <c r="K27" s="17">
        <f>SUM(K18:K26)</f>
        <v>416184045.52056003</v>
      </c>
      <c r="L27" s="15">
        <f>+M27/$C27</f>
        <v>0</v>
      </c>
      <c r="M27" s="17">
        <f>SUM(M18:M26)</f>
        <v>0</v>
      </c>
      <c r="N27" s="15">
        <f>+O27/$C27</f>
        <v>1.6282020026294182E-3</v>
      </c>
      <c r="O27" s="17">
        <f>SUM(O18:O26)</f>
        <v>6958942.0428933809</v>
      </c>
      <c r="S27" s="12">
        <f>C27-'Jun23'!C27</f>
        <v>-780154615.06999969</v>
      </c>
      <c r="T27" s="12">
        <f>E27-'Jun23'!E27</f>
        <v>8236867.1827750206</v>
      </c>
      <c r="U27" s="12">
        <f>I27-'Jun23'!I27</f>
        <v>-639150605.19817543</v>
      </c>
      <c r="V27" s="12">
        <f>K27-'Jun23'!K27</f>
        <v>-97997121.900239944</v>
      </c>
      <c r="W27" s="12">
        <f>+M27-'Jun23'!M27</f>
        <v>0</v>
      </c>
      <c r="Y27" s="28">
        <f>D27-'Jun23'!D27</f>
        <v>2.4547265895767889E-2</v>
      </c>
      <c r="Z27" s="28">
        <f>F27-'Jun23'!F27</f>
        <v>8.9435085147354654E-3</v>
      </c>
      <c r="AA27" s="28">
        <f>H27-'Jun23'!H27</f>
        <v>-3.5016172637824639E-2</v>
      </c>
      <c r="AB27" s="28">
        <f>J27-'Jun23'!J27</f>
        <v>-4.3585963348789641E-3</v>
      </c>
      <c r="AC27" s="28">
        <f>L27-'Jun23'!L27</f>
        <v>0</v>
      </c>
    </row>
    <row r="28" spans="1:29" x14ac:dyDescent="0.25">
      <c r="C28" s="10"/>
      <c r="D28" s="10"/>
      <c r="E28" s="10"/>
      <c r="F28" s="5"/>
      <c r="G28" s="10"/>
      <c r="H28" s="10"/>
      <c r="I28" s="10"/>
      <c r="J28" s="5"/>
      <c r="K28" s="10"/>
    </row>
    <row r="29" spans="1:29" x14ac:dyDescent="0.25">
      <c r="B29" s="4" t="s">
        <v>38</v>
      </c>
      <c r="C29" s="9" t="s">
        <v>4</v>
      </c>
      <c r="D29" s="113" t="s">
        <v>7</v>
      </c>
      <c r="E29" s="113"/>
      <c r="F29" s="112" t="s">
        <v>8</v>
      </c>
      <c r="G29" s="112"/>
      <c r="H29" s="112" t="s">
        <v>10</v>
      </c>
      <c r="I29" s="112"/>
      <c r="J29" s="112" t="s">
        <v>9</v>
      </c>
      <c r="K29" s="112"/>
      <c r="L29" s="112" t="s">
        <v>40</v>
      </c>
      <c r="M29" s="112"/>
      <c r="N29" s="112" t="s">
        <v>55</v>
      </c>
      <c r="O29" s="112"/>
      <c r="S29" s="27" t="s">
        <v>49</v>
      </c>
      <c r="T29" s="27" t="s">
        <v>50</v>
      </c>
      <c r="U29" s="27" t="s">
        <v>51</v>
      </c>
      <c r="V29" s="27" t="s">
        <v>52</v>
      </c>
      <c r="W29" s="27" t="s">
        <v>54</v>
      </c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</row>
    <row r="30" spans="1:29" x14ac:dyDescent="0.25">
      <c r="B30" s="21" t="s">
        <v>39</v>
      </c>
      <c r="C30" s="22">
        <v>198737049.34</v>
      </c>
      <c r="D30" s="26">
        <f>0.041+0.027</f>
        <v>6.8000000000000005E-2</v>
      </c>
      <c r="E30" s="23">
        <f>D30*C30</f>
        <v>13514119.355120001</v>
      </c>
      <c r="F30" s="26">
        <f>0.083+0.044+0.036</f>
        <v>0.16300000000000001</v>
      </c>
      <c r="G30" s="22">
        <f>F30*C30</f>
        <v>32394139.042420004</v>
      </c>
      <c r="H30" s="26">
        <f>0.65+0.053+0.01</f>
        <v>0.71300000000000008</v>
      </c>
      <c r="I30" s="23">
        <f>H30*C30</f>
        <v>141699516.17942002</v>
      </c>
      <c r="J30" s="26">
        <v>0.11700000000000001</v>
      </c>
      <c r="K30" s="23">
        <f>J30*C30</f>
        <v>23252234.772780001</v>
      </c>
      <c r="L30" s="39">
        <v>6.7000000000000004E-2</v>
      </c>
      <c r="M30" s="23">
        <f>L30*C30</f>
        <v>13315382.305780001</v>
      </c>
      <c r="N30" s="26">
        <v>3.3000000000000002E-2</v>
      </c>
      <c r="O30" s="23">
        <f>N30*E30</f>
        <v>445965.93871896004</v>
      </c>
      <c r="S30" s="12">
        <f>C30-'Jun23'!C30</f>
        <v>198737049.34</v>
      </c>
      <c r="T30" s="12">
        <f>E30-'Jun23'!E30</f>
        <v>13514119.355120001</v>
      </c>
      <c r="U30" s="12">
        <f>I30-'Jun23'!I30</f>
        <v>141699516.17942002</v>
      </c>
      <c r="V30" s="12">
        <f>K30-'Jun23'!K30</f>
        <v>23252234.772780001</v>
      </c>
      <c r="W30" s="12">
        <f>+M30-'Jun23'!M30</f>
        <v>13315382.305780001</v>
      </c>
      <c r="Y30" s="28">
        <f>D30-'Jun23'!D30</f>
        <v>6.8000000000000005E-2</v>
      </c>
      <c r="Z30" s="28">
        <f>F30-'Jun23'!F30</f>
        <v>0.16300000000000001</v>
      </c>
      <c r="AA30" s="28">
        <f>H30-'Jun23'!H30</f>
        <v>0.71300000000000008</v>
      </c>
      <c r="AB30" s="28">
        <f>J30-'Jun23'!J30</f>
        <v>0.11700000000000001</v>
      </c>
      <c r="AC30" s="28">
        <f>L30-'Jun23'!L30</f>
        <v>6.7000000000000004E-2</v>
      </c>
    </row>
    <row r="31" spans="1:29" x14ac:dyDescent="0.25">
      <c r="B31" s="3" t="s">
        <v>56</v>
      </c>
      <c r="C31" s="12"/>
      <c r="D31" s="14"/>
      <c r="E31" s="12"/>
      <c r="F31" s="14"/>
      <c r="G31" s="12"/>
      <c r="H31" s="14"/>
      <c r="I31" s="12"/>
      <c r="J31" s="14"/>
      <c r="K31" s="12"/>
      <c r="L31" s="14"/>
      <c r="M31" s="12"/>
      <c r="N31" s="14"/>
      <c r="O31" s="12"/>
      <c r="S31" s="12">
        <f>C31-'Jun23'!C31</f>
        <v>0</v>
      </c>
      <c r="T31" s="12">
        <f>E31-'Jun23'!E31</f>
        <v>0</v>
      </c>
      <c r="U31" s="12">
        <f>I31-'Jun23'!I31</f>
        <v>0</v>
      </c>
      <c r="V31" s="12">
        <f>K31-'Jun23'!K31</f>
        <v>0</v>
      </c>
      <c r="W31" s="12">
        <f>+M31-'Jun23'!M31</f>
        <v>0</v>
      </c>
      <c r="Y31" s="28">
        <f>D31-'Jun23'!D31</f>
        <v>0</v>
      </c>
      <c r="Z31" s="28">
        <f>F31-'Jun23'!F31</f>
        <v>0</v>
      </c>
      <c r="AA31" s="28">
        <f>H31-'Jun23'!H31</f>
        <v>0</v>
      </c>
      <c r="AB31" s="28">
        <f>J31-'Jun23'!J31</f>
        <v>0</v>
      </c>
      <c r="AC31" s="28">
        <f>L31-'Jun23'!L31</f>
        <v>0</v>
      </c>
    </row>
    <row r="32" spans="1:29" x14ac:dyDescent="0.25">
      <c r="B32" s="3" t="s">
        <v>42</v>
      </c>
      <c r="C32" s="12">
        <v>218177580</v>
      </c>
      <c r="D32" s="14">
        <v>0.08</v>
      </c>
      <c r="E32" s="12">
        <f>D32*C32</f>
        <v>17454206.399999999</v>
      </c>
      <c r="F32" s="14">
        <v>0.12</v>
      </c>
      <c r="G32" s="12">
        <f>F32*C32</f>
        <v>26181309.599999998</v>
      </c>
      <c r="H32" s="14">
        <v>0.62</v>
      </c>
      <c r="I32" s="12">
        <f>H32*C32</f>
        <v>135270099.59999999</v>
      </c>
      <c r="J32" s="14">
        <v>7.0000000000000007E-2</v>
      </c>
      <c r="K32" s="12">
        <f>J32*C32</f>
        <v>15272430.600000001</v>
      </c>
      <c r="L32" s="14">
        <v>0.08</v>
      </c>
      <c r="M32" s="12">
        <f>L32*C32</f>
        <v>17454206.399999999</v>
      </c>
      <c r="N32" s="14"/>
      <c r="O32" s="12">
        <f>N32*E32</f>
        <v>0</v>
      </c>
      <c r="S32" s="12">
        <f>C32-'Jun23'!C32</f>
        <v>-3818770</v>
      </c>
      <c r="T32" s="12">
        <f>E32-'Jun23'!E32</f>
        <v>4134425.3999999985</v>
      </c>
      <c r="U32" s="12">
        <f>I32-'Jun23'!I32</f>
        <v>-13467454.900000006</v>
      </c>
      <c r="V32" s="12">
        <f>K32-'Jun23'!K32</f>
        <v>4172613.1000000015</v>
      </c>
      <c r="W32" s="12">
        <f>+M32-'Jun23'!M32</f>
        <v>-305501.60000000149</v>
      </c>
      <c r="Y32" s="28">
        <f>D32-'Jun23'!D32</f>
        <v>2.0000000000000004E-2</v>
      </c>
      <c r="Z32" s="28">
        <f>F32-'Jun23'!F32</f>
        <v>-2.0000000000000018E-2</v>
      </c>
      <c r="AA32" s="28">
        <f>H32-'Jun23'!H32</f>
        <v>-5.0000000000000044E-2</v>
      </c>
      <c r="AB32" s="28">
        <f>J32-'Jun23'!J32</f>
        <v>2.0000000000000004E-2</v>
      </c>
      <c r="AC32" s="28">
        <f>L32-'Jun23'!L32</f>
        <v>0</v>
      </c>
    </row>
    <row r="33" spans="1:29" x14ac:dyDescent="0.25">
      <c r="B33" s="3" t="s">
        <v>43</v>
      </c>
      <c r="C33" s="12">
        <v>787907783</v>
      </c>
      <c r="D33" s="14">
        <v>0.06</v>
      </c>
      <c r="E33" s="12">
        <f>D33*C33</f>
        <v>47274466.979999997</v>
      </c>
      <c r="F33" s="14">
        <f>0.1+0.01+0.01</f>
        <v>0.12</v>
      </c>
      <c r="G33" s="12">
        <f>F33*C33</f>
        <v>94548933.959999993</v>
      </c>
      <c r="H33" s="14">
        <f>0.65+0.02</f>
        <v>0.67</v>
      </c>
      <c r="I33" s="12">
        <f>H33*C33</f>
        <v>527898214.61000001</v>
      </c>
      <c r="J33" s="14">
        <v>0.15</v>
      </c>
      <c r="K33" s="12">
        <f>J33*C33</f>
        <v>118186167.45</v>
      </c>
      <c r="L33" s="14"/>
      <c r="M33" s="12">
        <f>L33*C33</f>
        <v>0</v>
      </c>
      <c r="N33" s="14"/>
      <c r="O33" s="12">
        <f>N33*E33</f>
        <v>0</v>
      </c>
      <c r="S33" s="12">
        <f>C33-'Jun23'!C33</f>
        <v>421166543</v>
      </c>
      <c r="T33" s="12">
        <f>E33-'Jun23'!E33</f>
        <v>14267755.379999999</v>
      </c>
      <c r="U33" s="12">
        <f>I33-'Jun23'!I33</f>
        <v>285848996.21000004</v>
      </c>
      <c r="V33" s="12">
        <f>K33-'Jun23'!K33</f>
        <v>66842393.850000001</v>
      </c>
      <c r="W33" s="12">
        <f>+M33-'Jun23'!M33</f>
        <v>0</v>
      </c>
      <c r="Y33" s="28">
        <f>D33-'Jun23'!D33</f>
        <v>-0.03</v>
      </c>
      <c r="Z33" s="28">
        <f>F33-'Jun23'!F33</f>
        <v>9.999999999999995E-3</v>
      </c>
      <c r="AA33" s="28">
        <f>H33-'Jun23'!H33</f>
        <v>1.0000000000000009E-2</v>
      </c>
      <c r="AB33" s="28">
        <f>J33-'Jun23'!J33</f>
        <v>9.9999999999999811E-3</v>
      </c>
      <c r="AC33" s="28">
        <f>L33-'Jun23'!L33</f>
        <v>0</v>
      </c>
    </row>
    <row r="34" spans="1:29" x14ac:dyDescent="0.25">
      <c r="B34" s="3" t="s">
        <v>44</v>
      </c>
      <c r="C34" s="12">
        <v>20200000</v>
      </c>
      <c r="D34" s="14">
        <v>0.22</v>
      </c>
      <c r="E34" s="12">
        <f>D34*C34</f>
        <v>4444000</v>
      </c>
      <c r="F34" s="14"/>
      <c r="G34" s="12">
        <f>F34*C34</f>
        <v>0</v>
      </c>
      <c r="H34" s="14">
        <v>0.54</v>
      </c>
      <c r="I34" s="12">
        <f>H34*C34</f>
        <v>10908000</v>
      </c>
      <c r="J34" s="14"/>
      <c r="K34" s="12">
        <f>J34*C34</f>
        <v>0</v>
      </c>
      <c r="L34" s="14">
        <v>0.24</v>
      </c>
      <c r="M34" s="12">
        <f>L34*C34</f>
        <v>4848000</v>
      </c>
      <c r="N34" s="14"/>
      <c r="O34" s="12">
        <f>N34*E34</f>
        <v>0</v>
      </c>
      <c r="S34" s="12">
        <f>C34-'Jun23'!C34</f>
        <v>-1000000</v>
      </c>
      <c r="T34" s="12">
        <f>E34-'Jun23'!E34</f>
        <v>-2975999.9999999991</v>
      </c>
      <c r="U34" s="12">
        <f>I34-'Jun23'!I34</f>
        <v>1792000</v>
      </c>
      <c r="V34" s="12">
        <f>K34-'Jun23'!K34</f>
        <v>0</v>
      </c>
      <c r="W34" s="12">
        <f>+M34-'Jun23'!M34</f>
        <v>184000</v>
      </c>
      <c r="Y34" s="28">
        <f>D34-'Jun23'!D34</f>
        <v>-0.12999999999999998</v>
      </c>
      <c r="Z34" s="28">
        <f>F34-'Jun23'!F34</f>
        <v>0</v>
      </c>
      <c r="AA34" s="28">
        <f>H34-'Jun23'!H34</f>
        <v>0.11000000000000004</v>
      </c>
      <c r="AB34" s="28">
        <f>J34-'Jun23'!J34</f>
        <v>0</v>
      </c>
      <c r="AC34" s="28">
        <f>L34-'Jun23'!L34</f>
        <v>1.999999999999999E-2</v>
      </c>
    </row>
    <row r="35" spans="1:29" s="8" customFormat="1" x14ac:dyDescent="0.25">
      <c r="A35"/>
      <c r="B35" s="3" t="s">
        <v>45</v>
      </c>
      <c r="C35" s="17">
        <f>SUM(C30:C34)</f>
        <v>1225022412.3400002</v>
      </c>
      <c r="D35" s="15">
        <f>+E35/$C35</f>
        <v>6.7498187708398105E-2</v>
      </c>
      <c r="E35" s="17">
        <f>SUM(E30:E34)</f>
        <v>82686792.735119998</v>
      </c>
      <c r="F35" s="15">
        <f>+G35/$C35</f>
        <v>0.1249972090795682</v>
      </c>
      <c r="G35" s="17">
        <f>SUM(G30:G34)</f>
        <v>153124382.60242</v>
      </c>
      <c r="H35" s="15">
        <f>+I35/$C35</f>
        <v>0.66592726971513128</v>
      </c>
      <c r="I35" s="17">
        <f>SUM(I30:I34)</f>
        <v>815775830.38942003</v>
      </c>
      <c r="J35" s="15">
        <f>+K35/$C35</f>
        <v>0.12792486998130573</v>
      </c>
      <c r="K35" s="17">
        <f>SUM(K30:K34)</f>
        <v>156710832.82278001</v>
      </c>
      <c r="L35" s="15">
        <f>+M35/$C35</f>
        <v>2.9075050666007306E-2</v>
      </c>
      <c r="M35" s="17">
        <f>SUM(M30:M34)</f>
        <v>35617588.705779999</v>
      </c>
      <c r="N35" s="15">
        <f>+O35/$C35</f>
        <v>3.6404716699598143E-4</v>
      </c>
      <c r="O35" s="17">
        <f>SUM(O30:O34)</f>
        <v>445965.93871896004</v>
      </c>
      <c r="S35" s="12">
        <f>C35-'Jun23'!C35</f>
        <v>615084822.34000015</v>
      </c>
      <c r="T35" s="12">
        <f>E35-'Jun23'!E35</f>
        <v>28940300.135120004</v>
      </c>
      <c r="U35" s="12">
        <f>I35-'Jun23'!I35</f>
        <v>415873057.48942006</v>
      </c>
      <c r="V35" s="12">
        <f>K35-'Jun23'!K35</f>
        <v>94267241.722780019</v>
      </c>
      <c r="W35" s="12">
        <f>+M35-'Jun23'!M35</f>
        <v>13193880.705779999</v>
      </c>
      <c r="Y35" s="28">
        <f>D35-'Jun23'!D35</f>
        <v>-2.0619832038507466E-2</v>
      </c>
      <c r="Z35" s="28">
        <f>F35-'Jun23'!F35</f>
        <v>7.9015806563388497E-3</v>
      </c>
      <c r="AA35" s="28">
        <f>H35-'Jun23'!H35</f>
        <v>1.0281873437784306E-2</v>
      </c>
      <c r="AB35" s="28">
        <f>J35-'Jun23'!J35</f>
        <v>2.55478528507498E-2</v>
      </c>
      <c r="AC35" s="28">
        <f>L35-'Jun23'!L35</f>
        <v>-7.6888877559548492E-3</v>
      </c>
    </row>
    <row r="37" spans="1:29" x14ac:dyDescent="0.25">
      <c r="E37"/>
    </row>
    <row r="38" spans="1:29" x14ac:dyDescent="0.25">
      <c r="D38" s="38"/>
    </row>
    <row r="39" spans="1:29" x14ac:dyDescent="0.25">
      <c r="C39" s="30"/>
      <c r="D39" s="35"/>
    </row>
    <row r="40" spans="1:29" x14ac:dyDescent="0.25">
      <c r="C40" s="37"/>
      <c r="D40" s="35"/>
    </row>
    <row r="41" spans="1:29" x14ac:dyDescent="0.25">
      <c r="C41" s="37"/>
      <c r="D41" s="35"/>
    </row>
    <row r="42" spans="1:29" x14ac:dyDescent="0.25">
      <c r="C42" s="37"/>
      <c r="D42" s="35"/>
    </row>
    <row r="43" spans="1:29" x14ac:dyDescent="0.25">
      <c r="C43" s="37"/>
      <c r="D43" s="35"/>
    </row>
    <row r="44" spans="1:29" x14ac:dyDescent="0.25">
      <c r="C44" s="37"/>
      <c r="D44" s="35"/>
      <c r="E44" s="37"/>
    </row>
    <row r="45" spans="1:29" x14ac:dyDescent="0.25">
      <c r="C45" s="37"/>
      <c r="D45" s="35"/>
    </row>
    <row r="46" spans="1:29" x14ac:dyDescent="0.25">
      <c r="C46" s="37"/>
      <c r="D46" s="35"/>
    </row>
    <row r="47" spans="1:29" x14ac:dyDescent="0.25">
      <c r="C47" s="37"/>
      <c r="D47" s="35"/>
    </row>
    <row r="48" spans="1:29" x14ac:dyDescent="0.25">
      <c r="C48" s="37"/>
      <c r="D48" s="35"/>
    </row>
    <row r="49" spans="3:4" x14ac:dyDescent="0.25">
      <c r="C49" s="37"/>
      <c r="D49" s="35"/>
    </row>
    <row r="50" spans="3:4" x14ac:dyDescent="0.25">
      <c r="C50" s="37"/>
      <c r="D50" s="35"/>
    </row>
    <row r="51" spans="3:4" x14ac:dyDescent="0.25">
      <c r="C51" s="37"/>
      <c r="D51" s="35"/>
    </row>
    <row r="52" spans="3:4" x14ac:dyDescent="0.25">
      <c r="C52" s="37"/>
      <c r="D52" s="35"/>
    </row>
    <row r="53" spans="3:4" x14ac:dyDescent="0.25">
      <c r="C53" s="37"/>
      <c r="D53" s="35"/>
    </row>
    <row r="54" spans="3:4" x14ac:dyDescent="0.25">
      <c r="C54" s="37"/>
      <c r="D54" s="35"/>
    </row>
    <row r="55" spans="3:4" x14ac:dyDescent="0.25">
      <c r="C55" s="37"/>
      <c r="D55" s="35"/>
    </row>
    <row r="56" spans="3:4" x14ac:dyDescent="0.25">
      <c r="C56" s="37"/>
      <c r="D56" s="35"/>
    </row>
    <row r="57" spans="3:4" x14ac:dyDescent="0.25">
      <c r="C57" s="37"/>
      <c r="D57" s="35"/>
    </row>
    <row r="58" spans="3:4" x14ac:dyDescent="0.25">
      <c r="C58" s="37"/>
      <c r="D58" s="35"/>
    </row>
    <row r="59" spans="3:4" x14ac:dyDescent="0.25">
      <c r="C59" s="37"/>
      <c r="D59" s="35"/>
    </row>
    <row r="60" spans="3:4" x14ac:dyDescent="0.25">
      <c r="C60" s="37"/>
      <c r="D60" s="35"/>
    </row>
    <row r="61" spans="3:4" x14ac:dyDescent="0.25">
      <c r="C61" s="37"/>
      <c r="D61" s="35"/>
    </row>
    <row r="62" spans="3:4" x14ac:dyDescent="0.25">
      <c r="C62" s="37"/>
      <c r="D62" s="35"/>
    </row>
    <row r="63" spans="3:4" x14ac:dyDescent="0.25">
      <c r="C63" s="37"/>
      <c r="D63" s="35"/>
    </row>
    <row r="64" spans="3:4" x14ac:dyDescent="0.25">
      <c r="C64" s="37"/>
      <c r="D64" s="35"/>
    </row>
    <row r="65" spans="3:4" x14ac:dyDescent="0.25">
      <c r="C65" s="37"/>
      <c r="D65" s="35"/>
    </row>
    <row r="66" spans="3:4" x14ac:dyDescent="0.25">
      <c r="C66" s="37"/>
      <c r="D66" s="35"/>
    </row>
    <row r="67" spans="3:4" x14ac:dyDescent="0.25">
      <c r="C67" s="37"/>
      <c r="D67" s="35"/>
    </row>
    <row r="68" spans="3:4" x14ac:dyDescent="0.25">
      <c r="C68" s="37"/>
      <c r="D68" s="35"/>
    </row>
    <row r="69" spans="3:4" x14ac:dyDescent="0.25">
      <c r="C69" s="37"/>
      <c r="D69" s="35"/>
    </row>
    <row r="70" spans="3:4" x14ac:dyDescent="0.25">
      <c r="C70" s="37"/>
      <c r="D70" s="35"/>
    </row>
    <row r="71" spans="3:4" x14ac:dyDescent="0.25">
      <c r="C71" s="37"/>
      <c r="D71" s="35"/>
    </row>
    <row r="72" spans="3:4" x14ac:dyDescent="0.25">
      <c r="C72" s="37"/>
      <c r="D72" s="35"/>
    </row>
    <row r="73" spans="3:4" x14ac:dyDescent="0.25">
      <c r="C73" s="37"/>
      <c r="D73" s="35"/>
    </row>
    <row r="74" spans="3:4" x14ac:dyDescent="0.25">
      <c r="C74" s="37"/>
      <c r="D74" s="35"/>
    </row>
    <row r="75" spans="3:4" x14ac:dyDescent="0.25">
      <c r="C75" s="37"/>
      <c r="D75" s="35"/>
    </row>
    <row r="76" spans="3:4" x14ac:dyDescent="0.25">
      <c r="C76" s="37"/>
      <c r="D76" s="35"/>
    </row>
    <row r="77" spans="3:4" x14ac:dyDescent="0.25">
      <c r="C77" s="37"/>
      <c r="D77" s="35"/>
    </row>
    <row r="78" spans="3:4" x14ac:dyDescent="0.25">
      <c r="C78" s="37"/>
      <c r="D78" s="35"/>
    </row>
    <row r="79" spans="3:4" x14ac:dyDescent="0.25">
      <c r="C79" s="37"/>
      <c r="D79" s="35"/>
    </row>
    <row r="80" spans="3:4" x14ac:dyDescent="0.25">
      <c r="C80" s="37"/>
      <c r="D80" s="35"/>
    </row>
    <row r="81" spans="3:4" x14ac:dyDescent="0.25">
      <c r="C81" s="37"/>
      <c r="D81" s="35"/>
    </row>
    <row r="82" spans="3:4" x14ac:dyDescent="0.25">
      <c r="C82" s="37"/>
      <c r="D82" s="35"/>
    </row>
    <row r="83" spans="3:4" x14ac:dyDescent="0.25">
      <c r="C83" s="37"/>
      <c r="D83" s="35"/>
    </row>
    <row r="84" spans="3:4" x14ac:dyDescent="0.25">
      <c r="C84" s="37"/>
      <c r="D84" s="35"/>
    </row>
    <row r="85" spans="3:4" x14ac:dyDescent="0.25">
      <c r="C85" s="37"/>
      <c r="D85" s="35"/>
    </row>
    <row r="86" spans="3:4" x14ac:dyDescent="0.25">
      <c r="C86" s="37"/>
      <c r="D86" s="35"/>
    </row>
    <row r="87" spans="3:4" x14ac:dyDescent="0.25">
      <c r="C87" s="37"/>
      <c r="D87" s="35"/>
    </row>
    <row r="88" spans="3:4" x14ac:dyDescent="0.25">
      <c r="C88" s="37"/>
      <c r="D88" s="35"/>
    </row>
    <row r="89" spans="3:4" x14ac:dyDescent="0.25">
      <c r="C89" s="37"/>
      <c r="D89" s="35"/>
    </row>
    <row r="90" spans="3:4" x14ac:dyDescent="0.25">
      <c r="C90" s="37"/>
      <c r="D90" s="35"/>
    </row>
    <row r="91" spans="3:4" x14ac:dyDescent="0.25">
      <c r="C91" s="37"/>
      <c r="D91" s="35"/>
    </row>
    <row r="92" spans="3:4" x14ac:dyDescent="0.25">
      <c r="C92" s="37"/>
      <c r="D92" s="35"/>
    </row>
    <row r="93" spans="3:4" x14ac:dyDescent="0.25">
      <c r="C93" s="37"/>
      <c r="D93" s="35"/>
    </row>
    <row r="94" spans="3:4" x14ac:dyDescent="0.25">
      <c r="C94" s="37"/>
      <c r="D94" s="35"/>
    </row>
    <row r="95" spans="3:4" x14ac:dyDescent="0.25">
      <c r="C95" s="37"/>
      <c r="D95" s="35"/>
    </row>
    <row r="96" spans="3:4" x14ac:dyDescent="0.25">
      <c r="C96" s="37"/>
      <c r="D96" s="35"/>
    </row>
    <row r="97" spans="3:4" x14ac:dyDescent="0.25">
      <c r="C97" s="37"/>
      <c r="D97" s="35"/>
    </row>
    <row r="98" spans="3:4" x14ac:dyDescent="0.25">
      <c r="C98" s="37"/>
      <c r="D98" s="35"/>
    </row>
    <row r="99" spans="3:4" x14ac:dyDescent="0.25">
      <c r="C99" s="37"/>
      <c r="D99" s="35"/>
    </row>
    <row r="100" spans="3:4" x14ac:dyDescent="0.25">
      <c r="C100" s="37"/>
      <c r="D100" s="35"/>
    </row>
    <row r="101" spans="3:4" x14ac:dyDescent="0.25">
      <c r="C101" s="37"/>
      <c r="D101" s="35"/>
    </row>
    <row r="102" spans="3:4" x14ac:dyDescent="0.25">
      <c r="C102" s="37"/>
      <c r="D102" s="35"/>
    </row>
    <row r="103" spans="3:4" x14ac:dyDescent="0.25">
      <c r="C103" s="37"/>
      <c r="D103" s="35"/>
    </row>
    <row r="104" spans="3:4" x14ac:dyDescent="0.25">
      <c r="C104" s="37"/>
      <c r="D104" s="35"/>
    </row>
    <row r="105" spans="3:4" x14ac:dyDescent="0.25">
      <c r="C105" s="37"/>
      <c r="D105" s="35"/>
    </row>
    <row r="106" spans="3:4" x14ac:dyDescent="0.25">
      <c r="C106" s="37"/>
      <c r="D106" s="35"/>
    </row>
    <row r="107" spans="3:4" x14ac:dyDescent="0.25">
      <c r="C107" s="37"/>
      <c r="D107" s="35"/>
    </row>
    <row r="108" spans="3:4" x14ac:dyDescent="0.25">
      <c r="C108" s="37"/>
      <c r="D108" s="35"/>
    </row>
    <row r="109" spans="3:4" x14ac:dyDescent="0.25">
      <c r="C109" s="37"/>
      <c r="D109" s="35"/>
    </row>
    <row r="110" spans="3:4" x14ac:dyDescent="0.25">
      <c r="C110" s="37"/>
      <c r="D110" s="35"/>
    </row>
    <row r="111" spans="3:4" x14ac:dyDescent="0.25">
      <c r="C111" s="37"/>
      <c r="D111" s="35"/>
    </row>
    <row r="112" spans="3:4" x14ac:dyDescent="0.25">
      <c r="C112" s="37"/>
      <c r="D112" s="35"/>
    </row>
    <row r="113" spans="3:4" x14ac:dyDescent="0.25">
      <c r="C113" s="37"/>
      <c r="D113" s="35"/>
    </row>
    <row r="114" spans="3:4" x14ac:dyDescent="0.25">
      <c r="C114" s="37"/>
      <c r="D114" s="35"/>
    </row>
    <row r="115" spans="3:4" x14ac:dyDescent="0.25">
      <c r="C115" s="37"/>
      <c r="D115" s="35"/>
    </row>
    <row r="116" spans="3:4" x14ac:dyDescent="0.25">
      <c r="C116" s="37"/>
      <c r="D116" s="35"/>
    </row>
    <row r="117" spans="3:4" x14ac:dyDescent="0.25">
      <c r="C117" s="37"/>
      <c r="D117" s="35"/>
    </row>
    <row r="118" spans="3:4" x14ac:dyDescent="0.25">
      <c r="C118" s="37"/>
      <c r="D118" s="35"/>
    </row>
    <row r="119" spans="3:4" x14ac:dyDescent="0.25">
      <c r="C119" s="37"/>
      <c r="D119" s="35"/>
    </row>
    <row r="120" spans="3:4" x14ac:dyDescent="0.25">
      <c r="C120" s="37"/>
      <c r="D120" s="35"/>
    </row>
    <row r="121" spans="3:4" x14ac:dyDescent="0.25">
      <c r="C121" s="37"/>
      <c r="D121" s="35"/>
    </row>
    <row r="122" spans="3:4" x14ac:dyDescent="0.25">
      <c r="C122" s="37"/>
      <c r="D122" s="35"/>
    </row>
    <row r="123" spans="3:4" x14ac:dyDescent="0.25">
      <c r="C123" s="37"/>
      <c r="D123" s="35"/>
    </row>
    <row r="124" spans="3:4" x14ac:dyDescent="0.25">
      <c r="C124" s="37"/>
      <c r="D124" s="35"/>
    </row>
    <row r="125" spans="3:4" x14ac:dyDescent="0.25">
      <c r="C125" s="37"/>
      <c r="D125" s="35"/>
    </row>
    <row r="126" spans="3:4" x14ac:dyDescent="0.25">
      <c r="C126" s="37"/>
      <c r="D126" s="35"/>
    </row>
    <row r="127" spans="3:4" x14ac:dyDescent="0.25">
      <c r="C127" s="37"/>
      <c r="D127" s="35"/>
    </row>
    <row r="128" spans="3:4" x14ac:dyDescent="0.25">
      <c r="C128" s="37"/>
      <c r="D128" s="35"/>
    </row>
    <row r="129" spans="3:4" x14ac:dyDescent="0.25">
      <c r="C129" s="37"/>
      <c r="D129" s="35"/>
    </row>
    <row r="130" spans="3:4" x14ac:dyDescent="0.25">
      <c r="C130" s="37"/>
      <c r="D130" s="35"/>
    </row>
    <row r="131" spans="3:4" x14ac:dyDescent="0.25">
      <c r="C131" s="37"/>
      <c r="D131" s="35"/>
    </row>
    <row r="132" spans="3:4" x14ac:dyDescent="0.25">
      <c r="C132" s="37"/>
      <c r="D132" s="35"/>
    </row>
    <row r="133" spans="3:4" x14ac:dyDescent="0.25">
      <c r="C133" s="37"/>
      <c r="D133" s="35"/>
    </row>
    <row r="134" spans="3:4" x14ac:dyDescent="0.25">
      <c r="C134" s="37"/>
      <c r="D134" s="35"/>
    </row>
    <row r="135" spans="3:4" x14ac:dyDescent="0.25">
      <c r="C135" s="37"/>
      <c r="D135" s="35"/>
    </row>
    <row r="136" spans="3:4" x14ac:dyDescent="0.25">
      <c r="C136" s="37"/>
      <c r="D136" s="35"/>
    </row>
    <row r="137" spans="3:4" x14ac:dyDescent="0.25">
      <c r="C137" s="37"/>
      <c r="D137" s="35"/>
    </row>
    <row r="138" spans="3:4" x14ac:dyDescent="0.25">
      <c r="C138" s="37"/>
      <c r="D138" s="35"/>
    </row>
    <row r="139" spans="3:4" x14ac:dyDescent="0.25">
      <c r="C139" s="37"/>
      <c r="D139" s="35"/>
    </row>
    <row r="140" spans="3:4" x14ac:dyDescent="0.25">
      <c r="C140" s="37"/>
      <c r="D140" s="35"/>
    </row>
    <row r="141" spans="3:4" x14ac:dyDescent="0.25">
      <c r="C141" s="37"/>
      <c r="D141" s="35"/>
    </row>
    <row r="142" spans="3:4" x14ac:dyDescent="0.25">
      <c r="C142" s="37"/>
      <c r="D142" s="35"/>
    </row>
    <row r="143" spans="3:4" x14ac:dyDescent="0.25">
      <c r="C143" s="37"/>
      <c r="D143" s="35"/>
    </row>
    <row r="144" spans="3:4" x14ac:dyDescent="0.25">
      <c r="C144" s="37"/>
      <c r="D144" s="35"/>
    </row>
    <row r="145" spans="3:4" x14ac:dyDescent="0.25">
      <c r="C145" s="37"/>
      <c r="D145" s="35"/>
    </row>
    <row r="146" spans="3:4" x14ac:dyDescent="0.25">
      <c r="C146" s="37"/>
      <c r="D146" s="35"/>
    </row>
    <row r="147" spans="3:4" x14ac:dyDescent="0.25">
      <c r="C147" s="37"/>
      <c r="D147" s="35"/>
    </row>
    <row r="148" spans="3:4" x14ac:dyDescent="0.25">
      <c r="C148" s="37"/>
      <c r="D148" s="35"/>
    </row>
    <row r="149" spans="3:4" x14ac:dyDescent="0.25">
      <c r="C149" s="37"/>
      <c r="D149" s="35"/>
    </row>
    <row r="150" spans="3:4" x14ac:dyDescent="0.25">
      <c r="C150" s="37"/>
      <c r="D150" s="35"/>
    </row>
    <row r="151" spans="3:4" x14ac:dyDescent="0.25">
      <c r="C151" s="37"/>
      <c r="D151" s="35"/>
    </row>
    <row r="152" spans="3:4" x14ac:dyDescent="0.25">
      <c r="C152" s="37"/>
      <c r="D152" s="35"/>
    </row>
    <row r="153" spans="3:4" x14ac:dyDescent="0.25">
      <c r="C153" s="37"/>
      <c r="D153" s="35"/>
    </row>
    <row r="154" spans="3:4" x14ac:dyDescent="0.25">
      <c r="C154" s="37"/>
      <c r="D154" s="35"/>
    </row>
    <row r="155" spans="3:4" x14ac:dyDescent="0.25">
      <c r="C155" s="37"/>
      <c r="D155" s="35"/>
    </row>
    <row r="156" spans="3:4" x14ac:dyDescent="0.25">
      <c r="C156" s="37"/>
      <c r="D156" s="35"/>
    </row>
    <row r="157" spans="3:4" x14ac:dyDescent="0.25">
      <c r="C157" s="37"/>
      <c r="D157" s="35"/>
    </row>
    <row r="158" spans="3:4" x14ac:dyDescent="0.25">
      <c r="C158" s="37"/>
      <c r="D158" s="35"/>
    </row>
    <row r="159" spans="3:4" x14ac:dyDescent="0.25">
      <c r="C159" s="37"/>
      <c r="D159" s="35"/>
    </row>
    <row r="160" spans="3:4" x14ac:dyDescent="0.25">
      <c r="C160" s="37"/>
      <c r="D160" s="35"/>
    </row>
    <row r="161" spans="3:4" x14ac:dyDescent="0.25">
      <c r="C161" s="37"/>
      <c r="D161" s="35"/>
    </row>
    <row r="162" spans="3:4" x14ac:dyDescent="0.25">
      <c r="C162" s="37"/>
      <c r="D162" s="35"/>
    </row>
    <row r="163" spans="3:4" x14ac:dyDescent="0.25">
      <c r="C163" s="37"/>
      <c r="D163" s="35"/>
    </row>
    <row r="164" spans="3:4" x14ac:dyDescent="0.25">
      <c r="C164" s="37"/>
      <c r="D164" s="35"/>
    </row>
    <row r="165" spans="3:4" x14ac:dyDescent="0.25">
      <c r="C165" s="37"/>
      <c r="D165" s="35"/>
    </row>
    <row r="166" spans="3:4" x14ac:dyDescent="0.25">
      <c r="C166" s="37"/>
      <c r="D166" s="35"/>
    </row>
    <row r="167" spans="3:4" x14ac:dyDescent="0.25">
      <c r="C167" s="37"/>
      <c r="D167" s="35"/>
    </row>
    <row r="168" spans="3:4" x14ac:dyDescent="0.25">
      <c r="C168" s="37"/>
      <c r="D168" s="35"/>
    </row>
    <row r="169" spans="3:4" x14ac:dyDescent="0.25">
      <c r="C169" s="37"/>
      <c r="D169" s="35"/>
    </row>
    <row r="170" spans="3:4" x14ac:dyDescent="0.25">
      <c r="C170" s="37"/>
      <c r="D170" s="35"/>
    </row>
    <row r="171" spans="3:4" x14ac:dyDescent="0.25">
      <c r="C171" s="37"/>
      <c r="D171" s="35"/>
    </row>
    <row r="172" spans="3:4" x14ac:dyDescent="0.25">
      <c r="C172" s="37"/>
      <c r="D172" s="35"/>
    </row>
    <row r="173" spans="3:4" x14ac:dyDescent="0.25">
      <c r="C173" s="37"/>
      <c r="D173" s="35"/>
    </row>
    <row r="174" spans="3:4" x14ac:dyDescent="0.25">
      <c r="C174" s="37"/>
      <c r="D174" s="35"/>
    </row>
    <row r="175" spans="3:4" x14ac:dyDescent="0.25">
      <c r="C175" s="37"/>
      <c r="D175" s="35"/>
    </row>
    <row r="176" spans="3:4" x14ac:dyDescent="0.25">
      <c r="C176" s="37"/>
      <c r="D176" s="35"/>
    </row>
    <row r="177" spans="3:4" x14ac:dyDescent="0.25">
      <c r="C177" s="37"/>
      <c r="D177" s="35"/>
    </row>
    <row r="178" spans="3:4" x14ac:dyDescent="0.25">
      <c r="C178" s="37"/>
      <c r="D178" s="35"/>
    </row>
    <row r="179" spans="3:4" x14ac:dyDescent="0.25">
      <c r="C179" s="37"/>
      <c r="D179" s="35"/>
    </row>
    <row r="180" spans="3:4" x14ac:dyDescent="0.25">
      <c r="C180" s="37"/>
      <c r="D180" s="35"/>
    </row>
    <row r="181" spans="3:4" x14ac:dyDescent="0.25">
      <c r="C181" s="37"/>
      <c r="D181" s="35"/>
    </row>
    <row r="182" spans="3:4" x14ac:dyDescent="0.25">
      <c r="C182" s="37"/>
      <c r="D182" s="35"/>
    </row>
    <row r="183" spans="3:4" x14ac:dyDescent="0.25">
      <c r="C183" s="37"/>
      <c r="D183" s="35"/>
    </row>
    <row r="184" spans="3:4" x14ac:dyDescent="0.25">
      <c r="C184" s="37"/>
      <c r="D184" s="35"/>
    </row>
    <row r="185" spans="3:4" x14ac:dyDescent="0.25">
      <c r="C185" s="37"/>
      <c r="D185" s="35"/>
    </row>
    <row r="186" spans="3:4" x14ac:dyDescent="0.25">
      <c r="C186" s="37"/>
      <c r="D186" s="35"/>
    </row>
    <row r="187" spans="3:4" x14ac:dyDescent="0.25">
      <c r="C187" s="37"/>
      <c r="D187" s="35"/>
    </row>
    <row r="188" spans="3:4" x14ac:dyDescent="0.25">
      <c r="C188" s="37"/>
      <c r="D188" s="35"/>
    </row>
    <row r="189" spans="3:4" x14ac:dyDescent="0.25">
      <c r="C189" s="37"/>
      <c r="D189" s="35"/>
    </row>
    <row r="190" spans="3:4" x14ac:dyDescent="0.25">
      <c r="C190" s="37"/>
      <c r="D190" s="35"/>
    </row>
    <row r="191" spans="3:4" x14ac:dyDescent="0.25">
      <c r="C191" s="37"/>
      <c r="D191" s="35"/>
    </row>
    <row r="192" spans="3:4" x14ac:dyDescent="0.25">
      <c r="C192" s="37"/>
      <c r="D192" s="35"/>
    </row>
    <row r="193" spans="3:4" x14ac:dyDescent="0.25">
      <c r="C193" s="37"/>
      <c r="D193" s="35"/>
    </row>
    <row r="194" spans="3:4" x14ac:dyDescent="0.25">
      <c r="C194" s="37"/>
      <c r="D194" s="35"/>
    </row>
    <row r="195" spans="3:4" x14ac:dyDescent="0.25">
      <c r="C195" s="37"/>
      <c r="D195" s="35"/>
    </row>
    <row r="196" spans="3:4" x14ac:dyDescent="0.25">
      <c r="C196" s="37"/>
      <c r="D196" s="35"/>
    </row>
    <row r="197" spans="3:4" x14ac:dyDescent="0.25">
      <c r="C197" s="37"/>
      <c r="D197" s="35"/>
    </row>
    <row r="198" spans="3:4" x14ac:dyDescent="0.25">
      <c r="C198" s="37"/>
      <c r="D198" s="35"/>
    </row>
    <row r="199" spans="3:4" x14ac:dyDescent="0.25">
      <c r="C199" s="37"/>
      <c r="D199" s="35"/>
    </row>
    <row r="200" spans="3:4" x14ac:dyDescent="0.25">
      <c r="C200" s="37"/>
      <c r="D200" s="35"/>
    </row>
    <row r="201" spans="3:4" x14ac:dyDescent="0.25">
      <c r="C201" s="37"/>
      <c r="D201" s="35"/>
    </row>
    <row r="202" spans="3:4" x14ac:dyDescent="0.25">
      <c r="C202" s="37"/>
      <c r="D202" s="35"/>
    </row>
    <row r="203" spans="3:4" x14ac:dyDescent="0.25">
      <c r="C203" s="37"/>
      <c r="D203" s="35"/>
    </row>
    <row r="204" spans="3:4" x14ac:dyDescent="0.25">
      <c r="C204" s="37"/>
      <c r="D204" s="35"/>
    </row>
    <row r="205" spans="3:4" x14ac:dyDescent="0.25">
      <c r="C205" s="37"/>
      <c r="D205" s="35"/>
    </row>
    <row r="206" spans="3:4" x14ac:dyDescent="0.25">
      <c r="C206" s="37"/>
      <c r="D206" s="35"/>
    </row>
    <row r="207" spans="3:4" x14ac:dyDescent="0.25">
      <c r="C207" s="37"/>
      <c r="D207" s="35"/>
    </row>
    <row r="208" spans="3:4" x14ac:dyDescent="0.25">
      <c r="C208" s="37"/>
      <c r="D208" s="35"/>
    </row>
    <row r="209" spans="3:4" x14ac:dyDescent="0.25">
      <c r="C209" s="37"/>
      <c r="D209" s="35"/>
    </row>
    <row r="210" spans="3:4" x14ac:dyDescent="0.25">
      <c r="C210" s="37"/>
      <c r="D210" s="35"/>
    </row>
    <row r="211" spans="3:4" x14ac:dyDescent="0.25">
      <c r="C211" s="37"/>
      <c r="D211" s="35"/>
    </row>
    <row r="212" spans="3:4" x14ac:dyDescent="0.25">
      <c r="C212" s="37"/>
      <c r="D212" s="35"/>
    </row>
    <row r="213" spans="3:4" x14ac:dyDescent="0.25">
      <c r="C213" s="37"/>
      <c r="D213" s="35"/>
    </row>
    <row r="214" spans="3:4" x14ac:dyDescent="0.25">
      <c r="C214" s="37"/>
      <c r="D214" s="35"/>
    </row>
    <row r="215" spans="3:4" x14ac:dyDescent="0.25">
      <c r="C215" s="37"/>
      <c r="D215" s="35"/>
    </row>
    <row r="216" spans="3:4" x14ac:dyDescent="0.25">
      <c r="C216" s="37"/>
      <c r="D216" s="35"/>
    </row>
    <row r="217" spans="3:4" x14ac:dyDescent="0.25">
      <c r="C217" s="37"/>
      <c r="D217" s="35"/>
    </row>
    <row r="218" spans="3:4" x14ac:dyDescent="0.25">
      <c r="C218" s="37"/>
      <c r="D218" s="35"/>
    </row>
    <row r="219" spans="3:4" x14ac:dyDescent="0.25">
      <c r="C219" s="37"/>
      <c r="D219" s="35"/>
    </row>
    <row r="220" spans="3:4" x14ac:dyDescent="0.25">
      <c r="C220" s="37"/>
      <c r="D220" s="35"/>
    </row>
    <row r="221" spans="3:4" x14ac:dyDescent="0.25">
      <c r="C221" s="37"/>
      <c r="D221" s="35"/>
    </row>
    <row r="222" spans="3:4" x14ac:dyDescent="0.25">
      <c r="C222" s="37"/>
      <c r="D222" s="35"/>
    </row>
    <row r="223" spans="3:4" x14ac:dyDescent="0.25">
      <c r="C223" s="37"/>
      <c r="D223" s="35"/>
    </row>
    <row r="224" spans="3:4" x14ac:dyDescent="0.25">
      <c r="C224" s="37"/>
      <c r="D224" s="35"/>
    </row>
    <row r="225" spans="3:4" x14ac:dyDescent="0.25">
      <c r="C225" s="37"/>
      <c r="D225" s="35"/>
    </row>
    <row r="226" spans="3:4" x14ac:dyDescent="0.25">
      <c r="C226" s="37"/>
      <c r="D226" s="35"/>
    </row>
    <row r="227" spans="3:4" x14ac:dyDescent="0.25">
      <c r="C227" s="37"/>
      <c r="D227" s="35"/>
    </row>
    <row r="228" spans="3:4" x14ac:dyDescent="0.25">
      <c r="C228" s="37"/>
      <c r="D228" s="35"/>
    </row>
    <row r="229" spans="3:4" x14ac:dyDescent="0.25">
      <c r="C229" s="37"/>
      <c r="D229" s="35"/>
    </row>
    <row r="230" spans="3:4" x14ac:dyDescent="0.25">
      <c r="C230" s="37"/>
      <c r="D230" s="35"/>
    </row>
    <row r="231" spans="3:4" x14ac:dyDescent="0.25">
      <c r="C231" s="37"/>
      <c r="D231" s="35"/>
    </row>
    <row r="232" spans="3:4" x14ac:dyDescent="0.25">
      <c r="C232" s="37"/>
      <c r="D232" s="35"/>
    </row>
    <row r="233" spans="3:4" x14ac:dyDescent="0.25">
      <c r="C233" s="37"/>
      <c r="D233" s="35"/>
    </row>
    <row r="234" spans="3:4" x14ac:dyDescent="0.25">
      <c r="C234" s="37"/>
      <c r="D234" s="35"/>
    </row>
    <row r="235" spans="3:4" x14ac:dyDescent="0.25">
      <c r="C235" s="37"/>
      <c r="D235" s="35"/>
    </row>
    <row r="236" spans="3:4" x14ac:dyDescent="0.25">
      <c r="C236" s="37"/>
      <c r="D236" s="35"/>
    </row>
    <row r="237" spans="3:4" x14ac:dyDescent="0.25">
      <c r="C237" s="37"/>
      <c r="D237" s="35"/>
    </row>
    <row r="238" spans="3:4" x14ac:dyDescent="0.25">
      <c r="C238" s="37"/>
      <c r="D238" s="35"/>
    </row>
    <row r="239" spans="3:4" x14ac:dyDescent="0.25">
      <c r="C239" s="37"/>
      <c r="D239" s="35"/>
    </row>
    <row r="240" spans="3:4" x14ac:dyDescent="0.25">
      <c r="C240" s="37"/>
      <c r="D240" s="35"/>
    </row>
    <row r="241" spans="3:4" x14ac:dyDescent="0.25">
      <c r="C241" s="37"/>
      <c r="D241" s="35"/>
    </row>
    <row r="242" spans="3:4" x14ac:dyDescent="0.25">
      <c r="C242" s="37"/>
      <c r="D242" s="35"/>
    </row>
    <row r="243" spans="3:4" x14ac:dyDescent="0.25">
      <c r="C243" s="37"/>
      <c r="D243" s="35"/>
    </row>
    <row r="244" spans="3:4" x14ac:dyDescent="0.25">
      <c r="C244" s="37"/>
      <c r="D244" s="35"/>
    </row>
    <row r="245" spans="3:4" x14ac:dyDescent="0.25">
      <c r="C245" s="37"/>
      <c r="D245" s="35"/>
    </row>
    <row r="246" spans="3:4" x14ac:dyDescent="0.25">
      <c r="C246" s="37"/>
      <c r="D246" s="35"/>
    </row>
    <row r="247" spans="3:4" x14ac:dyDescent="0.25">
      <c r="C247" s="37"/>
      <c r="D247" s="35"/>
    </row>
    <row r="248" spans="3:4" x14ac:dyDescent="0.25">
      <c r="C248" s="37"/>
      <c r="D248" s="35"/>
    </row>
    <row r="249" spans="3:4" x14ac:dyDescent="0.25">
      <c r="C249" s="37"/>
      <c r="D249" s="35"/>
    </row>
    <row r="250" spans="3:4" x14ac:dyDescent="0.25">
      <c r="C250" s="37"/>
      <c r="D250" s="35"/>
    </row>
    <row r="251" spans="3:4" x14ac:dyDescent="0.25">
      <c r="C251" s="37"/>
      <c r="D251" s="35"/>
    </row>
    <row r="252" spans="3:4" x14ac:dyDescent="0.25">
      <c r="C252" s="37"/>
      <c r="D252" s="35"/>
    </row>
    <row r="253" spans="3:4" x14ac:dyDescent="0.25">
      <c r="C253" s="37"/>
      <c r="D253" s="35"/>
    </row>
    <row r="254" spans="3:4" x14ac:dyDescent="0.25">
      <c r="C254" s="37"/>
      <c r="D254" s="35"/>
    </row>
    <row r="255" spans="3:4" x14ac:dyDescent="0.25">
      <c r="C255" s="37"/>
      <c r="D255" s="35"/>
    </row>
    <row r="256" spans="3:4" x14ac:dyDescent="0.25">
      <c r="C256" s="37"/>
      <c r="D256" s="35"/>
    </row>
    <row r="257" spans="3:4" x14ac:dyDescent="0.25">
      <c r="C257" s="37"/>
      <c r="D257" s="35"/>
    </row>
    <row r="258" spans="3:4" x14ac:dyDescent="0.25">
      <c r="C258" s="37"/>
      <c r="D258" s="35"/>
    </row>
    <row r="259" spans="3:4" x14ac:dyDescent="0.25">
      <c r="C259" s="37"/>
      <c r="D259" s="35"/>
    </row>
    <row r="260" spans="3:4" x14ac:dyDescent="0.25">
      <c r="C260" s="37"/>
      <c r="D260" s="35"/>
    </row>
    <row r="261" spans="3:4" x14ac:dyDescent="0.25">
      <c r="C261" s="37"/>
      <c r="D261" s="35"/>
    </row>
    <row r="262" spans="3:4" x14ac:dyDescent="0.25">
      <c r="C262" s="37"/>
      <c r="D262" s="35"/>
    </row>
    <row r="263" spans="3:4" x14ac:dyDescent="0.25">
      <c r="C263" s="37"/>
      <c r="D263" s="35"/>
    </row>
    <row r="264" spans="3:4" x14ac:dyDescent="0.25">
      <c r="C264" s="37"/>
      <c r="D264" s="35"/>
    </row>
    <row r="265" spans="3:4" x14ac:dyDescent="0.25">
      <c r="C265" s="37"/>
      <c r="D265" s="35"/>
    </row>
    <row r="266" spans="3:4" x14ac:dyDescent="0.25">
      <c r="C266" s="37"/>
      <c r="D266" s="35"/>
    </row>
    <row r="267" spans="3:4" x14ac:dyDescent="0.25">
      <c r="C267" s="37"/>
      <c r="D267" s="35"/>
    </row>
    <row r="268" spans="3:4" x14ac:dyDescent="0.25">
      <c r="C268" s="37"/>
      <c r="D268" s="35"/>
    </row>
    <row r="269" spans="3:4" x14ac:dyDescent="0.25">
      <c r="C269" s="37"/>
      <c r="D269" s="35"/>
    </row>
    <row r="270" spans="3:4" x14ac:dyDescent="0.25">
      <c r="C270" s="37"/>
      <c r="D270" s="35"/>
    </row>
    <row r="271" spans="3:4" x14ac:dyDescent="0.25">
      <c r="C271" s="37"/>
      <c r="D271" s="35"/>
    </row>
    <row r="272" spans="3:4" x14ac:dyDescent="0.25">
      <c r="C272" s="37"/>
      <c r="D272" s="35"/>
    </row>
    <row r="273" spans="3:4" x14ac:dyDescent="0.25">
      <c r="C273" s="37"/>
      <c r="D273" s="35"/>
    </row>
    <row r="274" spans="3:4" x14ac:dyDescent="0.25">
      <c r="C274" s="37"/>
      <c r="D274" s="35"/>
    </row>
    <row r="275" spans="3:4" x14ac:dyDescent="0.25">
      <c r="C275" s="37"/>
      <c r="D275" s="35"/>
    </row>
    <row r="276" spans="3:4" x14ac:dyDescent="0.25">
      <c r="C276" s="37"/>
      <c r="D276" s="35"/>
    </row>
    <row r="277" spans="3:4" x14ac:dyDescent="0.25">
      <c r="C277" s="37"/>
      <c r="D277" s="35"/>
    </row>
    <row r="278" spans="3:4" x14ac:dyDescent="0.25">
      <c r="C278" s="37"/>
      <c r="D278" s="35"/>
    </row>
    <row r="279" spans="3:4" x14ac:dyDescent="0.25">
      <c r="C279" s="37"/>
      <c r="D279" s="35"/>
    </row>
    <row r="280" spans="3:4" x14ac:dyDescent="0.25">
      <c r="C280" s="37"/>
      <c r="D280" s="35"/>
    </row>
    <row r="281" spans="3:4" x14ac:dyDescent="0.25">
      <c r="C281" s="37"/>
      <c r="D281" s="35"/>
    </row>
    <row r="282" spans="3:4" x14ac:dyDescent="0.25">
      <c r="C282" s="37"/>
      <c r="D282" s="35"/>
    </row>
    <row r="283" spans="3:4" x14ac:dyDescent="0.25">
      <c r="C283" s="37"/>
      <c r="D283" s="35"/>
    </row>
    <row r="284" spans="3:4" x14ac:dyDescent="0.25">
      <c r="C284" s="37"/>
      <c r="D284" s="35"/>
    </row>
    <row r="285" spans="3:4" x14ac:dyDescent="0.25">
      <c r="C285" s="37"/>
      <c r="D285" s="35"/>
    </row>
    <row r="286" spans="3:4" x14ac:dyDescent="0.25">
      <c r="C286" s="37"/>
      <c r="D286" s="35"/>
    </row>
    <row r="287" spans="3:4" x14ac:dyDescent="0.25">
      <c r="C287" s="37"/>
      <c r="D287" s="35"/>
    </row>
    <row r="288" spans="3:4" x14ac:dyDescent="0.25">
      <c r="C288" s="37"/>
      <c r="D288" s="35"/>
    </row>
    <row r="289" spans="3:4" x14ac:dyDescent="0.25">
      <c r="C289" s="37"/>
      <c r="D289" s="35"/>
    </row>
    <row r="290" spans="3:4" x14ac:dyDescent="0.25">
      <c r="C290" s="37"/>
      <c r="D290" s="35"/>
    </row>
    <row r="291" spans="3:4" x14ac:dyDescent="0.25">
      <c r="C291" s="37"/>
      <c r="D291" s="35"/>
    </row>
    <row r="292" spans="3:4" x14ac:dyDescent="0.25">
      <c r="C292" s="37"/>
      <c r="D292" s="35"/>
    </row>
    <row r="293" spans="3:4" x14ac:dyDescent="0.25">
      <c r="C293" s="37"/>
      <c r="D293" s="35"/>
    </row>
    <row r="294" spans="3:4" x14ac:dyDescent="0.25">
      <c r="C294" s="37"/>
      <c r="D294" s="35"/>
    </row>
    <row r="295" spans="3:4" x14ac:dyDescent="0.25">
      <c r="C295" s="37"/>
      <c r="D295" s="35"/>
    </row>
    <row r="296" spans="3:4" x14ac:dyDescent="0.25">
      <c r="C296" s="37"/>
      <c r="D296" s="35"/>
    </row>
    <row r="297" spans="3:4" x14ac:dyDescent="0.25">
      <c r="C297" s="37"/>
      <c r="D297" s="35"/>
    </row>
    <row r="298" spans="3:4" x14ac:dyDescent="0.25">
      <c r="C298" s="37"/>
      <c r="D298" s="35"/>
    </row>
    <row r="299" spans="3:4" x14ac:dyDescent="0.25">
      <c r="C299" s="37"/>
      <c r="D299" s="35"/>
    </row>
    <row r="300" spans="3:4" x14ac:dyDescent="0.25">
      <c r="C300" s="37"/>
      <c r="D300" s="35"/>
    </row>
    <row r="301" spans="3:4" x14ac:dyDescent="0.25">
      <c r="C301" s="37"/>
      <c r="D301" s="35"/>
    </row>
    <row r="302" spans="3:4" x14ac:dyDescent="0.25">
      <c r="C302" s="37"/>
      <c r="D302" s="35"/>
    </row>
    <row r="303" spans="3:4" x14ac:dyDescent="0.25">
      <c r="C303" s="37"/>
      <c r="D303" s="35"/>
    </row>
    <row r="304" spans="3:4" x14ac:dyDescent="0.25">
      <c r="C304" s="37"/>
      <c r="D304" s="35"/>
    </row>
    <row r="305" spans="3:6" x14ac:dyDescent="0.25">
      <c r="C305" s="37"/>
      <c r="D305" s="35"/>
    </row>
    <row r="306" spans="3:6" x14ac:dyDescent="0.25">
      <c r="C306" s="37"/>
      <c r="D306" s="35"/>
    </row>
    <row r="307" spans="3:6" x14ac:dyDescent="0.25">
      <c r="C307" s="37"/>
      <c r="D307" s="35"/>
    </row>
    <row r="308" spans="3:6" x14ac:dyDescent="0.25">
      <c r="C308" s="37"/>
      <c r="D308" s="35"/>
    </row>
    <row r="309" spans="3:6" x14ac:dyDescent="0.25">
      <c r="C309" s="37"/>
      <c r="D309" s="35"/>
    </row>
    <row r="310" spans="3:6" x14ac:dyDescent="0.25">
      <c r="C310" s="37"/>
      <c r="D310" s="35"/>
    </row>
    <row r="311" spans="3:6" x14ac:dyDescent="0.25">
      <c r="C311" s="37"/>
      <c r="D311" s="35"/>
      <c r="F311" s="36"/>
    </row>
    <row r="312" spans="3:6" x14ac:dyDescent="0.25">
      <c r="C312" s="37"/>
      <c r="D312" s="35"/>
    </row>
    <row r="313" spans="3:6" x14ac:dyDescent="0.25">
      <c r="C313" s="37"/>
      <c r="D313" s="35"/>
    </row>
    <row r="314" spans="3:6" x14ac:dyDescent="0.25">
      <c r="C314" s="37"/>
      <c r="D314" s="35"/>
    </row>
    <row r="315" spans="3:6" x14ac:dyDescent="0.25">
      <c r="C315" s="37"/>
      <c r="D315" s="35"/>
    </row>
    <row r="316" spans="3:6" x14ac:dyDescent="0.25">
      <c r="C316" s="37"/>
      <c r="D316" s="35"/>
    </row>
    <row r="317" spans="3:6" x14ac:dyDescent="0.25">
      <c r="C317" s="37"/>
      <c r="D317" s="35"/>
    </row>
    <row r="318" spans="3:6" x14ac:dyDescent="0.25">
      <c r="C318" s="37"/>
      <c r="D318" s="35"/>
    </row>
    <row r="319" spans="3:6" x14ac:dyDescent="0.25">
      <c r="C319" s="37"/>
      <c r="D319" s="35"/>
    </row>
    <row r="320" spans="3:6" x14ac:dyDescent="0.25">
      <c r="C320" s="37"/>
      <c r="D320" s="35"/>
    </row>
    <row r="321" spans="3:4" x14ac:dyDescent="0.25">
      <c r="C321" s="37"/>
      <c r="D321" s="35"/>
    </row>
    <row r="322" spans="3:4" x14ac:dyDescent="0.25">
      <c r="C322" s="37"/>
      <c r="D322" s="35"/>
    </row>
    <row r="323" spans="3:4" x14ac:dyDescent="0.25">
      <c r="C323" s="37"/>
      <c r="D323" s="35"/>
    </row>
    <row r="324" spans="3:4" x14ac:dyDescent="0.25">
      <c r="C324" s="37"/>
      <c r="D324" s="35"/>
    </row>
    <row r="325" spans="3:4" x14ac:dyDescent="0.25">
      <c r="C325" s="37"/>
      <c r="D325" s="35"/>
    </row>
    <row r="326" spans="3:4" x14ac:dyDescent="0.25">
      <c r="C326" s="37"/>
      <c r="D326" s="35"/>
    </row>
    <row r="327" spans="3:4" x14ac:dyDescent="0.25">
      <c r="C327" s="37"/>
      <c r="D327" s="35"/>
    </row>
    <row r="328" spans="3:4" x14ac:dyDescent="0.25">
      <c r="C328" s="37"/>
      <c r="D328" s="35"/>
    </row>
    <row r="329" spans="3:4" x14ac:dyDescent="0.25">
      <c r="C329" s="37"/>
      <c r="D329" s="35"/>
    </row>
    <row r="330" spans="3:4" x14ac:dyDescent="0.25">
      <c r="C330" s="37"/>
      <c r="D330" s="35"/>
    </row>
    <row r="331" spans="3:4" x14ac:dyDescent="0.25">
      <c r="C331" s="37"/>
      <c r="D331" s="35"/>
    </row>
    <row r="332" spans="3:4" x14ac:dyDescent="0.25">
      <c r="C332" s="37"/>
      <c r="D332" s="35"/>
    </row>
    <row r="333" spans="3:4" x14ac:dyDescent="0.25">
      <c r="C333" s="37"/>
      <c r="D333" s="35"/>
    </row>
    <row r="334" spans="3:4" x14ac:dyDescent="0.25">
      <c r="C334" s="37"/>
      <c r="D334" s="35"/>
    </row>
    <row r="335" spans="3:4" x14ac:dyDescent="0.25">
      <c r="C335" s="37"/>
      <c r="D335" s="35"/>
    </row>
    <row r="336" spans="3:4" x14ac:dyDescent="0.25">
      <c r="C336" s="37"/>
      <c r="D336" s="35"/>
    </row>
    <row r="337" spans="3:4" x14ac:dyDescent="0.25">
      <c r="C337" s="37"/>
      <c r="D337" s="35"/>
    </row>
    <row r="338" spans="3:4" x14ac:dyDescent="0.25">
      <c r="C338" s="37"/>
      <c r="D338" s="35"/>
    </row>
    <row r="339" spans="3:4" x14ac:dyDescent="0.25">
      <c r="C339" s="37"/>
      <c r="D339" s="35"/>
    </row>
    <row r="340" spans="3:4" x14ac:dyDescent="0.25">
      <c r="C340" s="37"/>
      <c r="D340" s="35"/>
    </row>
    <row r="341" spans="3:4" x14ac:dyDescent="0.25">
      <c r="C341" s="37"/>
      <c r="D341" s="35"/>
    </row>
    <row r="342" spans="3:4" x14ac:dyDescent="0.25">
      <c r="C342" s="37"/>
      <c r="D342" s="35"/>
    </row>
    <row r="343" spans="3:4" x14ac:dyDescent="0.25">
      <c r="C343" s="37"/>
      <c r="D343" s="35"/>
    </row>
    <row r="344" spans="3:4" x14ac:dyDescent="0.25">
      <c r="C344" s="37"/>
      <c r="D344" s="35"/>
    </row>
    <row r="345" spans="3:4" x14ac:dyDescent="0.25">
      <c r="C345" s="37"/>
      <c r="D345" s="35"/>
    </row>
    <row r="346" spans="3:4" x14ac:dyDescent="0.25">
      <c r="C346" s="37"/>
      <c r="D346" s="35"/>
    </row>
    <row r="347" spans="3:4" x14ac:dyDescent="0.25">
      <c r="C347" s="37"/>
      <c r="D347" s="35"/>
    </row>
    <row r="348" spans="3:4" x14ac:dyDescent="0.25">
      <c r="C348" s="37"/>
      <c r="D348" s="35"/>
    </row>
    <row r="349" spans="3:4" x14ac:dyDescent="0.25">
      <c r="C349" s="37"/>
      <c r="D349" s="35"/>
    </row>
    <row r="350" spans="3:4" x14ac:dyDescent="0.25">
      <c r="C350" s="37"/>
      <c r="D350" s="35"/>
    </row>
    <row r="351" spans="3:4" x14ac:dyDescent="0.25">
      <c r="C351" s="37"/>
      <c r="D351" s="35"/>
    </row>
    <row r="352" spans="3:4" x14ac:dyDescent="0.25">
      <c r="C352" s="37"/>
      <c r="D352" s="35"/>
    </row>
    <row r="353" spans="3:4" x14ac:dyDescent="0.25">
      <c r="C353" s="37"/>
      <c r="D353" s="35"/>
    </row>
    <row r="354" spans="3:4" x14ac:dyDescent="0.25">
      <c r="C354" s="37"/>
      <c r="D354" s="35"/>
    </row>
    <row r="355" spans="3:4" x14ac:dyDescent="0.25">
      <c r="C355" s="37"/>
      <c r="D355" s="35"/>
    </row>
    <row r="356" spans="3:4" x14ac:dyDescent="0.25">
      <c r="C356" s="37"/>
      <c r="D356" s="35"/>
    </row>
    <row r="357" spans="3:4" x14ac:dyDescent="0.25">
      <c r="C357" s="37"/>
      <c r="D357" s="35"/>
    </row>
    <row r="358" spans="3:4" x14ac:dyDescent="0.25">
      <c r="C358" s="37"/>
      <c r="D358" s="35"/>
    </row>
    <row r="359" spans="3:4" x14ac:dyDescent="0.25">
      <c r="C359" s="37"/>
      <c r="D359" s="35"/>
    </row>
    <row r="360" spans="3:4" x14ac:dyDescent="0.25">
      <c r="C360" s="37"/>
      <c r="D360" s="35"/>
    </row>
    <row r="361" spans="3:4" x14ac:dyDescent="0.25">
      <c r="C361" s="37"/>
      <c r="D361" s="35"/>
    </row>
    <row r="362" spans="3:4" x14ac:dyDescent="0.25">
      <c r="C362" s="37"/>
      <c r="D362" s="35"/>
    </row>
    <row r="363" spans="3:4" x14ac:dyDescent="0.25">
      <c r="C363" s="37"/>
      <c r="D363" s="35"/>
    </row>
    <row r="364" spans="3:4" x14ac:dyDescent="0.25">
      <c r="C364" s="37"/>
      <c r="D364" s="35"/>
    </row>
    <row r="365" spans="3:4" x14ac:dyDescent="0.25">
      <c r="C365" s="37"/>
      <c r="D365" s="35"/>
    </row>
    <row r="366" spans="3:4" x14ac:dyDescent="0.25">
      <c r="C366" s="37"/>
      <c r="D366" s="35"/>
    </row>
    <row r="367" spans="3:4" x14ac:dyDescent="0.25">
      <c r="C367" s="37"/>
      <c r="D367" s="35"/>
    </row>
    <row r="368" spans="3:4" x14ac:dyDescent="0.25">
      <c r="C368" s="37"/>
      <c r="D368" s="35"/>
    </row>
    <row r="369" spans="3:4" x14ac:dyDescent="0.25">
      <c r="C369" s="37"/>
      <c r="D369" s="35"/>
    </row>
    <row r="370" spans="3:4" x14ac:dyDescent="0.25">
      <c r="C370" s="37"/>
      <c r="D370" s="35"/>
    </row>
    <row r="371" spans="3:4" x14ac:dyDescent="0.25">
      <c r="C371" s="37"/>
      <c r="D371" s="35"/>
    </row>
    <row r="372" spans="3:4" x14ac:dyDescent="0.25">
      <c r="C372" s="37"/>
      <c r="D372" s="35"/>
    </row>
    <row r="373" spans="3:4" x14ac:dyDescent="0.25">
      <c r="C373" s="37"/>
      <c r="D373" s="35"/>
    </row>
    <row r="374" spans="3:4" x14ac:dyDescent="0.25">
      <c r="C374" s="37"/>
      <c r="D374" s="35"/>
    </row>
    <row r="375" spans="3:4" x14ac:dyDescent="0.25">
      <c r="C375" s="37"/>
      <c r="D375" s="35"/>
    </row>
    <row r="376" spans="3:4" x14ac:dyDescent="0.25">
      <c r="C376" s="37"/>
      <c r="D376" s="35"/>
    </row>
    <row r="377" spans="3:4" x14ac:dyDescent="0.25">
      <c r="C377" s="37"/>
      <c r="D377" s="35"/>
    </row>
    <row r="378" spans="3:4" x14ac:dyDescent="0.25">
      <c r="C378" s="37"/>
      <c r="D378" s="35"/>
    </row>
    <row r="379" spans="3:4" x14ac:dyDescent="0.25">
      <c r="C379" s="37"/>
      <c r="D379" s="35"/>
    </row>
    <row r="380" spans="3:4" x14ac:dyDescent="0.25">
      <c r="C380" s="37"/>
      <c r="D380" s="35"/>
    </row>
    <row r="381" spans="3:4" x14ac:dyDescent="0.25">
      <c r="C381" s="37"/>
      <c r="D381" s="35"/>
    </row>
    <row r="382" spans="3:4" x14ac:dyDescent="0.25">
      <c r="C382" s="37"/>
      <c r="D382" s="35"/>
    </row>
    <row r="383" spans="3:4" x14ac:dyDescent="0.25">
      <c r="C383" s="37"/>
      <c r="D383" s="35"/>
    </row>
    <row r="384" spans="3:4" x14ac:dyDescent="0.25">
      <c r="C384" s="37"/>
      <c r="D384" s="35"/>
    </row>
    <row r="385" spans="3:4" x14ac:dyDescent="0.25">
      <c r="C385" s="37"/>
      <c r="D385" s="35"/>
    </row>
    <row r="386" spans="3:4" x14ac:dyDescent="0.25">
      <c r="C386" s="37"/>
      <c r="D386" s="35"/>
    </row>
    <row r="387" spans="3:4" x14ac:dyDescent="0.25">
      <c r="C387" s="37"/>
      <c r="D387" s="35"/>
    </row>
    <row r="388" spans="3:4" x14ac:dyDescent="0.25">
      <c r="C388" s="37"/>
      <c r="D388" s="35"/>
    </row>
    <row r="389" spans="3:4" x14ac:dyDescent="0.25">
      <c r="C389" s="37"/>
      <c r="D389" s="35"/>
    </row>
    <row r="390" spans="3:4" x14ac:dyDescent="0.25">
      <c r="C390" s="37"/>
      <c r="D390" s="35"/>
    </row>
    <row r="391" spans="3:4" x14ac:dyDescent="0.25">
      <c r="C391" s="37"/>
      <c r="D391" s="35"/>
    </row>
    <row r="392" spans="3:4" x14ac:dyDescent="0.25">
      <c r="C392" s="37"/>
      <c r="D392" s="35"/>
    </row>
    <row r="393" spans="3:4" x14ac:dyDescent="0.25">
      <c r="C393" s="37"/>
      <c r="D393" s="35"/>
    </row>
    <row r="394" spans="3:4" x14ac:dyDescent="0.25">
      <c r="C394" s="37"/>
      <c r="D394" s="35"/>
    </row>
    <row r="395" spans="3:4" x14ac:dyDescent="0.25">
      <c r="C395" s="37"/>
      <c r="D395" s="35"/>
    </row>
    <row r="396" spans="3:4" x14ac:dyDescent="0.25">
      <c r="C396" s="37"/>
      <c r="D396" s="35"/>
    </row>
    <row r="397" spans="3:4" x14ac:dyDescent="0.25">
      <c r="C397" s="37"/>
      <c r="D397" s="35"/>
    </row>
    <row r="398" spans="3:4" x14ac:dyDescent="0.25">
      <c r="C398" s="37"/>
      <c r="D398" s="35"/>
    </row>
    <row r="399" spans="3:4" x14ac:dyDescent="0.25">
      <c r="C399" s="37"/>
      <c r="D399" s="35"/>
    </row>
    <row r="400" spans="3:4" x14ac:dyDescent="0.25">
      <c r="C400" s="37"/>
      <c r="D400" s="35"/>
    </row>
    <row r="401" spans="3:4" x14ac:dyDescent="0.25">
      <c r="C401" s="37"/>
      <c r="D401" s="35"/>
    </row>
    <row r="402" spans="3:4" x14ac:dyDescent="0.25">
      <c r="C402" s="37"/>
      <c r="D402" s="35"/>
    </row>
    <row r="403" spans="3:4" x14ac:dyDescent="0.25">
      <c r="C403" s="37"/>
      <c r="D403" s="35"/>
    </row>
    <row r="404" spans="3:4" x14ac:dyDescent="0.25">
      <c r="C404" s="37"/>
      <c r="D404" s="35"/>
    </row>
    <row r="405" spans="3:4" x14ac:dyDescent="0.25">
      <c r="C405" s="37"/>
      <c r="D405" s="35"/>
    </row>
    <row r="406" spans="3:4" x14ac:dyDescent="0.25">
      <c r="C406" s="37"/>
      <c r="D406" s="35"/>
    </row>
    <row r="407" spans="3:4" x14ac:dyDescent="0.25">
      <c r="C407" s="37"/>
      <c r="D407" s="35"/>
    </row>
    <row r="408" spans="3:4" x14ac:dyDescent="0.25">
      <c r="C408" s="37"/>
      <c r="D408" s="35"/>
    </row>
    <row r="409" spans="3:4" x14ac:dyDescent="0.25">
      <c r="C409" s="37"/>
      <c r="D409" s="35"/>
    </row>
    <row r="410" spans="3:4" x14ac:dyDescent="0.25">
      <c r="C410" s="37"/>
      <c r="D410" s="35"/>
    </row>
    <row r="411" spans="3:4" x14ac:dyDescent="0.25">
      <c r="C411" s="37"/>
      <c r="D411" s="35"/>
    </row>
    <row r="412" spans="3:4" x14ac:dyDescent="0.25">
      <c r="C412" s="37"/>
      <c r="D412" s="35"/>
    </row>
    <row r="413" spans="3:4" x14ac:dyDescent="0.25">
      <c r="C413" s="37"/>
      <c r="D413" s="35"/>
    </row>
    <row r="414" spans="3:4" x14ac:dyDescent="0.25">
      <c r="C414" s="37"/>
      <c r="D414" s="35"/>
    </row>
    <row r="415" spans="3:4" x14ac:dyDescent="0.25">
      <c r="C415" s="37"/>
      <c r="D415" s="35"/>
    </row>
    <row r="416" spans="3:4" x14ac:dyDescent="0.25">
      <c r="C416" s="37"/>
      <c r="D416" s="35"/>
    </row>
    <row r="417" spans="3:4" x14ac:dyDescent="0.25">
      <c r="C417" s="37"/>
      <c r="D417" s="35"/>
    </row>
    <row r="418" spans="3:4" x14ac:dyDescent="0.25">
      <c r="C418" s="37"/>
      <c r="D418" s="35"/>
    </row>
    <row r="419" spans="3:4" x14ac:dyDescent="0.25">
      <c r="C419" s="37"/>
      <c r="D419" s="35"/>
    </row>
    <row r="420" spans="3:4" x14ac:dyDescent="0.25">
      <c r="C420" s="37"/>
      <c r="D420" s="35"/>
    </row>
    <row r="421" spans="3:4" x14ac:dyDescent="0.25">
      <c r="C421" s="37"/>
      <c r="D421" s="35"/>
    </row>
    <row r="422" spans="3:4" x14ac:dyDescent="0.25">
      <c r="C422" s="37"/>
      <c r="D422" s="35"/>
    </row>
    <row r="423" spans="3:4" x14ac:dyDescent="0.25">
      <c r="C423" s="37"/>
      <c r="D423" s="35"/>
    </row>
    <row r="424" spans="3:4" x14ac:dyDescent="0.25">
      <c r="C424" s="37"/>
      <c r="D424" s="35"/>
    </row>
    <row r="425" spans="3:4" x14ac:dyDescent="0.25">
      <c r="C425" s="37"/>
      <c r="D425" s="35"/>
    </row>
    <row r="426" spans="3:4" x14ac:dyDescent="0.25">
      <c r="C426" s="37"/>
      <c r="D426" s="35"/>
    </row>
    <row r="427" spans="3:4" x14ac:dyDescent="0.25">
      <c r="C427" s="37"/>
      <c r="D427" s="35"/>
    </row>
    <row r="428" spans="3:4" x14ac:dyDescent="0.25">
      <c r="C428" s="37"/>
      <c r="D428" s="35"/>
    </row>
    <row r="429" spans="3:4" x14ac:dyDescent="0.25">
      <c r="C429" s="37"/>
      <c r="D429" s="35"/>
    </row>
    <row r="430" spans="3:4" x14ac:dyDescent="0.25">
      <c r="C430" s="37"/>
      <c r="D430" s="35"/>
    </row>
    <row r="431" spans="3:4" x14ac:dyDescent="0.25">
      <c r="C431" s="37"/>
      <c r="D431" s="35"/>
    </row>
    <row r="432" spans="3:4" x14ac:dyDescent="0.25">
      <c r="C432" s="37"/>
      <c r="D432" s="35"/>
    </row>
    <row r="433" spans="3:4" x14ac:dyDescent="0.25">
      <c r="C433" s="37"/>
      <c r="D433" s="35"/>
    </row>
    <row r="434" spans="3:4" x14ac:dyDescent="0.25">
      <c r="C434" s="37"/>
      <c r="D434" s="35"/>
    </row>
    <row r="435" spans="3:4" x14ac:dyDescent="0.25">
      <c r="C435" s="37"/>
      <c r="D435" s="35"/>
    </row>
    <row r="436" spans="3:4" x14ac:dyDescent="0.25">
      <c r="C436" s="37"/>
      <c r="D436" s="35"/>
    </row>
    <row r="437" spans="3:4" x14ac:dyDescent="0.25">
      <c r="C437" s="37"/>
      <c r="D437" s="35"/>
    </row>
    <row r="438" spans="3:4" x14ac:dyDescent="0.25">
      <c r="C438" s="37"/>
      <c r="D438" s="35"/>
    </row>
    <row r="439" spans="3:4" x14ac:dyDescent="0.25">
      <c r="C439" s="37"/>
      <c r="D439" s="35"/>
    </row>
    <row r="440" spans="3:4" x14ac:dyDescent="0.25">
      <c r="C440" s="37"/>
      <c r="D440" s="35"/>
    </row>
    <row r="441" spans="3:4" x14ac:dyDescent="0.25">
      <c r="C441" s="37"/>
      <c r="D441" s="35"/>
    </row>
    <row r="442" spans="3:4" x14ac:dyDescent="0.25">
      <c r="C442" s="37"/>
      <c r="D442" s="35"/>
    </row>
    <row r="443" spans="3:4" x14ac:dyDescent="0.25">
      <c r="C443" s="37"/>
      <c r="D443" s="35"/>
    </row>
    <row r="444" spans="3:4" x14ac:dyDescent="0.25">
      <c r="C444" s="37"/>
      <c r="D444" s="35"/>
    </row>
    <row r="445" spans="3:4" x14ac:dyDescent="0.25">
      <c r="C445" s="37"/>
      <c r="D445" s="35"/>
    </row>
    <row r="446" spans="3:4" x14ac:dyDescent="0.25">
      <c r="C446" s="37"/>
      <c r="D446" s="35"/>
    </row>
    <row r="447" spans="3:4" x14ac:dyDescent="0.25">
      <c r="C447" s="37"/>
      <c r="D447" s="35"/>
    </row>
    <row r="448" spans="3:4" x14ac:dyDescent="0.25">
      <c r="C448" s="37"/>
      <c r="D448" s="35"/>
    </row>
    <row r="449" spans="3:4" x14ac:dyDescent="0.25">
      <c r="C449" s="37"/>
      <c r="D449" s="35"/>
    </row>
    <row r="450" spans="3:4" x14ac:dyDescent="0.25">
      <c r="C450" s="37"/>
      <c r="D450" s="35"/>
    </row>
    <row r="451" spans="3:4" x14ac:dyDescent="0.25">
      <c r="C451" s="37"/>
      <c r="D451" s="35"/>
    </row>
    <row r="452" spans="3:4" x14ac:dyDescent="0.25">
      <c r="C452" s="37"/>
      <c r="D452" s="35"/>
    </row>
    <row r="453" spans="3:4" x14ac:dyDescent="0.25">
      <c r="C453" s="37"/>
      <c r="D453" s="35"/>
    </row>
    <row r="454" spans="3:4" x14ac:dyDescent="0.25">
      <c r="C454" s="37"/>
      <c r="D454" s="35"/>
    </row>
    <row r="455" spans="3:4" x14ac:dyDescent="0.25">
      <c r="C455" s="37"/>
      <c r="D455" s="35"/>
    </row>
    <row r="456" spans="3:4" x14ac:dyDescent="0.25">
      <c r="C456" s="37"/>
      <c r="D456" s="35"/>
    </row>
    <row r="457" spans="3:4" x14ac:dyDescent="0.25">
      <c r="C457" s="37"/>
      <c r="D457" s="35"/>
    </row>
    <row r="458" spans="3:4" x14ac:dyDescent="0.25">
      <c r="C458" s="37"/>
      <c r="D458" s="35"/>
    </row>
    <row r="459" spans="3:4" x14ac:dyDescent="0.25">
      <c r="C459" s="37"/>
      <c r="D459" s="35"/>
    </row>
    <row r="460" spans="3:4" x14ac:dyDescent="0.25">
      <c r="C460" s="37"/>
      <c r="D460" s="35"/>
    </row>
    <row r="461" spans="3:4" x14ac:dyDescent="0.25">
      <c r="C461" s="37"/>
      <c r="D461" s="35"/>
    </row>
    <row r="462" spans="3:4" x14ac:dyDescent="0.25">
      <c r="C462" s="37"/>
      <c r="D462" s="35"/>
    </row>
    <row r="463" spans="3:4" x14ac:dyDescent="0.25">
      <c r="C463" s="37"/>
      <c r="D463" s="35"/>
    </row>
    <row r="464" spans="3:4" x14ac:dyDescent="0.25">
      <c r="C464" s="37"/>
      <c r="D464" s="35"/>
    </row>
    <row r="465" spans="3:4" x14ac:dyDescent="0.25">
      <c r="C465" s="37"/>
      <c r="D465" s="35"/>
    </row>
    <row r="466" spans="3:4" x14ac:dyDescent="0.25">
      <c r="C466" s="37"/>
      <c r="D466" s="35"/>
    </row>
    <row r="467" spans="3:4" x14ac:dyDescent="0.25">
      <c r="C467" s="37"/>
      <c r="D467" s="35"/>
    </row>
    <row r="468" spans="3:4" x14ac:dyDescent="0.25">
      <c r="C468" s="37"/>
      <c r="D468" s="35"/>
    </row>
    <row r="469" spans="3:4" x14ac:dyDescent="0.25">
      <c r="C469" s="37"/>
      <c r="D469" s="35"/>
    </row>
    <row r="470" spans="3:4" x14ac:dyDescent="0.25">
      <c r="C470" s="37"/>
      <c r="D470" s="35"/>
    </row>
    <row r="471" spans="3:4" x14ac:dyDescent="0.25">
      <c r="C471" s="37"/>
      <c r="D471" s="35"/>
    </row>
    <row r="472" spans="3:4" x14ac:dyDescent="0.25">
      <c r="C472" s="37"/>
      <c r="D472" s="35"/>
    </row>
    <row r="473" spans="3:4" x14ac:dyDescent="0.25">
      <c r="C473" s="37"/>
      <c r="D473" s="35"/>
    </row>
    <row r="474" spans="3:4" x14ac:dyDescent="0.25">
      <c r="C474" s="37"/>
      <c r="D474" s="35"/>
    </row>
    <row r="475" spans="3:4" x14ac:dyDescent="0.25">
      <c r="C475" s="37"/>
      <c r="D475" s="35"/>
    </row>
    <row r="476" spans="3:4" x14ac:dyDescent="0.25">
      <c r="C476" s="37"/>
      <c r="D476" s="35"/>
    </row>
    <row r="477" spans="3:4" x14ac:dyDescent="0.25">
      <c r="C477" s="37"/>
      <c r="D477" s="35"/>
    </row>
    <row r="478" spans="3:4" x14ac:dyDescent="0.25">
      <c r="C478" s="37"/>
      <c r="D478" s="35"/>
    </row>
    <row r="479" spans="3:4" x14ac:dyDescent="0.25">
      <c r="C479" s="37"/>
      <c r="D479" s="35"/>
    </row>
    <row r="480" spans="3:4" x14ac:dyDescent="0.25">
      <c r="C480" s="37"/>
      <c r="D480" s="35"/>
    </row>
    <row r="481" spans="3:4" x14ac:dyDescent="0.25">
      <c r="C481" s="37"/>
      <c r="D481" s="35"/>
    </row>
    <row r="482" spans="3:4" x14ac:dyDescent="0.25">
      <c r="C482" s="37"/>
      <c r="D482" s="35"/>
    </row>
    <row r="483" spans="3:4" x14ac:dyDescent="0.25">
      <c r="C483" s="37"/>
      <c r="D483" s="35"/>
    </row>
    <row r="484" spans="3:4" x14ac:dyDescent="0.25">
      <c r="C484" s="37"/>
      <c r="D484" s="35"/>
    </row>
    <row r="485" spans="3:4" x14ac:dyDescent="0.25">
      <c r="C485" s="37"/>
      <c r="D485" s="35"/>
    </row>
    <row r="486" spans="3:4" x14ac:dyDescent="0.25">
      <c r="C486" s="37"/>
      <c r="D486" s="35"/>
    </row>
    <row r="487" spans="3:4" x14ac:dyDescent="0.25">
      <c r="C487" s="37"/>
      <c r="D487" s="35"/>
    </row>
    <row r="488" spans="3:4" x14ac:dyDescent="0.25">
      <c r="C488" s="37"/>
      <c r="D488" s="35"/>
    </row>
    <row r="489" spans="3:4" x14ac:dyDescent="0.25">
      <c r="C489" s="37"/>
      <c r="D489" s="35"/>
    </row>
    <row r="490" spans="3:4" x14ac:dyDescent="0.25">
      <c r="C490" s="37"/>
      <c r="D490" s="35"/>
    </row>
    <row r="491" spans="3:4" x14ac:dyDescent="0.25">
      <c r="C491" s="37"/>
      <c r="D491" s="35"/>
    </row>
    <row r="492" spans="3:4" x14ac:dyDescent="0.25">
      <c r="C492" s="37"/>
      <c r="D492" s="35"/>
    </row>
    <row r="493" spans="3:4" x14ac:dyDescent="0.25">
      <c r="C493" s="37"/>
      <c r="D493" s="35"/>
    </row>
    <row r="494" spans="3:4" x14ac:dyDescent="0.25">
      <c r="C494" s="37"/>
      <c r="D494" s="35"/>
    </row>
    <row r="495" spans="3:4" x14ac:dyDescent="0.25">
      <c r="C495" s="37"/>
      <c r="D495" s="35"/>
    </row>
    <row r="496" spans="3:4" x14ac:dyDescent="0.25">
      <c r="C496" s="37"/>
      <c r="D496" s="35"/>
    </row>
    <row r="497" spans="3:4" x14ac:dyDescent="0.25">
      <c r="C497" s="37"/>
      <c r="D497" s="35"/>
    </row>
    <row r="498" spans="3:4" x14ac:dyDescent="0.25">
      <c r="C498" s="37"/>
      <c r="D498" s="35"/>
    </row>
    <row r="499" spans="3:4" x14ac:dyDescent="0.25">
      <c r="C499" s="37"/>
      <c r="D499" s="35"/>
    </row>
    <row r="500" spans="3:4" x14ac:dyDescent="0.25">
      <c r="C500" s="37"/>
      <c r="D500" s="35"/>
    </row>
    <row r="501" spans="3:4" x14ac:dyDescent="0.25">
      <c r="C501" s="37"/>
      <c r="D501" s="35"/>
    </row>
    <row r="502" spans="3:4" x14ac:dyDescent="0.25">
      <c r="C502" s="37"/>
      <c r="D502" s="35"/>
    </row>
    <row r="503" spans="3:4" x14ac:dyDescent="0.25">
      <c r="C503" s="37"/>
      <c r="D503" s="35"/>
    </row>
    <row r="504" spans="3:4" x14ac:dyDescent="0.25">
      <c r="C504" s="37"/>
      <c r="D504" s="35"/>
    </row>
    <row r="505" spans="3:4" x14ac:dyDescent="0.25">
      <c r="C505" s="37"/>
      <c r="D505" s="35"/>
    </row>
    <row r="506" spans="3:4" x14ac:dyDescent="0.25">
      <c r="C506" s="37"/>
      <c r="D506" s="35"/>
    </row>
    <row r="507" spans="3:4" x14ac:dyDescent="0.25">
      <c r="C507" s="37"/>
      <c r="D507" s="35"/>
    </row>
    <row r="508" spans="3:4" x14ac:dyDescent="0.25">
      <c r="C508" s="37"/>
      <c r="D508" s="35"/>
    </row>
    <row r="509" spans="3:4" x14ac:dyDescent="0.25">
      <c r="C509" s="37"/>
      <c r="D509" s="35"/>
    </row>
    <row r="510" spans="3:4" x14ac:dyDescent="0.25">
      <c r="C510" s="37"/>
      <c r="D510" s="35"/>
    </row>
    <row r="511" spans="3:4" x14ac:dyDescent="0.25">
      <c r="C511" s="37"/>
      <c r="D511" s="35"/>
    </row>
    <row r="512" spans="3:4" x14ac:dyDescent="0.25">
      <c r="C512" s="37"/>
      <c r="D512" s="35"/>
    </row>
    <row r="513" spans="3:4" x14ac:dyDescent="0.25">
      <c r="C513" s="37"/>
      <c r="D513" s="35"/>
    </row>
    <row r="514" spans="3:4" x14ac:dyDescent="0.25">
      <c r="C514" s="37"/>
      <c r="D514" s="35"/>
    </row>
    <row r="515" spans="3:4" x14ac:dyDescent="0.25">
      <c r="C515" s="37"/>
      <c r="D515" s="35"/>
    </row>
    <row r="516" spans="3:4" x14ac:dyDescent="0.25">
      <c r="C516" s="37"/>
      <c r="D516" s="35"/>
    </row>
    <row r="517" spans="3:4" x14ac:dyDescent="0.25">
      <c r="C517" s="37"/>
      <c r="D517" s="35"/>
    </row>
    <row r="518" spans="3:4" x14ac:dyDescent="0.25">
      <c r="C518" s="37"/>
      <c r="D518" s="35"/>
    </row>
    <row r="519" spans="3:4" x14ac:dyDescent="0.25">
      <c r="C519" s="37"/>
      <c r="D519" s="35"/>
    </row>
    <row r="520" spans="3:4" x14ac:dyDescent="0.25">
      <c r="C520" s="37"/>
      <c r="D520" s="35"/>
    </row>
    <row r="521" spans="3:4" x14ac:dyDescent="0.25">
      <c r="C521" s="37"/>
      <c r="D521" s="35"/>
    </row>
    <row r="522" spans="3:4" x14ac:dyDescent="0.25">
      <c r="C522" s="37"/>
      <c r="D522" s="35"/>
    </row>
    <row r="523" spans="3:4" x14ac:dyDescent="0.25">
      <c r="C523" s="37"/>
      <c r="D523" s="35"/>
    </row>
    <row r="524" spans="3:4" x14ac:dyDescent="0.25">
      <c r="C524" s="37"/>
      <c r="D524" s="35"/>
    </row>
    <row r="525" spans="3:4" x14ac:dyDescent="0.25">
      <c r="C525" s="37"/>
      <c r="D525" s="35"/>
    </row>
    <row r="526" spans="3:4" x14ac:dyDescent="0.25">
      <c r="C526" s="37"/>
      <c r="D526" s="35"/>
    </row>
    <row r="527" spans="3:4" x14ac:dyDescent="0.25">
      <c r="C527" s="37"/>
      <c r="D527" s="35"/>
    </row>
    <row r="528" spans="3:4" x14ac:dyDescent="0.25">
      <c r="C528" s="37"/>
      <c r="D528" s="35"/>
    </row>
    <row r="529" spans="3:4" x14ac:dyDescent="0.25">
      <c r="C529" s="37"/>
      <c r="D529" s="35"/>
    </row>
    <row r="530" spans="3:4" x14ac:dyDescent="0.25">
      <c r="C530" s="37"/>
      <c r="D530" s="35"/>
    </row>
    <row r="531" spans="3:4" x14ac:dyDescent="0.25">
      <c r="C531" s="37"/>
      <c r="D531" s="35"/>
    </row>
    <row r="532" spans="3:4" x14ac:dyDescent="0.25">
      <c r="C532" s="37"/>
      <c r="D532" s="35"/>
    </row>
    <row r="533" spans="3:4" x14ac:dyDescent="0.25">
      <c r="C533" s="37"/>
      <c r="D533" s="35"/>
    </row>
    <row r="534" spans="3:4" x14ac:dyDescent="0.25">
      <c r="C534" s="37"/>
      <c r="D534" s="35"/>
    </row>
    <row r="535" spans="3:4" x14ac:dyDescent="0.25">
      <c r="C535" s="37"/>
      <c r="D535" s="35"/>
    </row>
    <row r="536" spans="3:4" x14ac:dyDescent="0.25">
      <c r="C536" s="37"/>
      <c r="D536" s="35"/>
    </row>
    <row r="537" spans="3:4" x14ac:dyDescent="0.25">
      <c r="C537" s="37"/>
      <c r="D537" s="35"/>
    </row>
    <row r="538" spans="3:4" x14ac:dyDescent="0.25">
      <c r="C538" s="37"/>
      <c r="D538" s="35"/>
    </row>
    <row r="539" spans="3:4" x14ac:dyDescent="0.25">
      <c r="C539" s="37"/>
      <c r="D539" s="35"/>
    </row>
    <row r="540" spans="3:4" x14ac:dyDescent="0.25">
      <c r="C540" s="37"/>
      <c r="D540" s="35"/>
    </row>
    <row r="541" spans="3:4" x14ac:dyDescent="0.25">
      <c r="C541" s="37"/>
      <c r="D541" s="35"/>
    </row>
    <row r="542" spans="3:4" x14ac:dyDescent="0.25">
      <c r="C542" s="37"/>
      <c r="D542" s="35"/>
    </row>
    <row r="543" spans="3:4" x14ac:dyDescent="0.25">
      <c r="C543" s="37"/>
      <c r="D543" s="35"/>
    </row>
    <row r="544" spans="3:4" x14ac:dyDescent="0.25">
      <c r="C544" s="37"/>
      <c r="D544" s="35"/>
    </row>
    <row r="545" spans="3:4" x14ac:dyDescent="0.25">
      <c r="C545" s="37"/>
      <c r="D545" s="35"/>
    </row>
    <row r="546" spans="3:4" x14ac:dyDescent="0.25">
      <c r="C546" s="37"/>
      <c r="D546" s="35"/>
    </row>
    <row r="547" spans="3:4" x14ac:dyDescent="0.25">
      <c r="C547" s="37"/>
      <c r="D547" s="35"/>
    </row>
    <row r="548" spans="3:4" x14ac:dyDescent="0.25">
      <c r="C548" s="37"/>
      <c r="D548" s="35"/>
    </row>
    <row r="549" spans="3:4" x14ac:dyDescent="0.25">
      <c r="C549" s="37"/>
      <c r="D549" s="35"/>
    </row>
    <row r="550" spans="3:4" x14ac:dyDescent="0.25">
      <c r="C550" s="37"/>
      <c r="D550" s="35"/>
    </row>
    <row r="551" spans="3:4" x14ac:dyDescent="0.25">
      <c r="C551" s="37"/>
      <c r="D551" s="35"/>
    </row>
    <row r="552" spans="3:4" x14ac:dyDescent="0.25">
      <c r="C552" s="37"/>
      <c r="D552" s="35"/>
    </row>
    <row r="553" spans="3:4" x14ac:dyDescent="0.25">
      <c r="C553" s="37"/>
      <c r="D553" s="35"/>
    </row>
    <row r="554" spans="3:4" x14ac:dyDescent="0.25">
      <c r="C554" s="37"/>
      <c r="D554" s="35"/>
    </row>
    <row r="555" spans="3:4" x14ac:dyDescent="0.25">
      <c r="C555" s="37"/>
      <c r="D555" s="35"/>
    </row>
    <row r="556" spans="3:4" x14ac:dyDescent="0.25">
      <c r="C556" s="37"/>
      <c r="D556" s="35"/>
    </row>
    <row r="557" spans="3:4" x14ac:dyDescent="0.25">
      <c r="C557" s="37"/>
      <c r="D557" s="35"/>
    </row>
    <row r="558" spans="3:4" x14ac:dyDescent="0.25">
      <c r="C558" s="37"/>
      <c r="D558" s="35"/>
    </row>
    <row r="559" spans="3:4" x14ac:dyDescent="0.25">
      <c r="C559" s="37"/>
      <c r="D559" s="35"/>
    </row>
    <row r="560" spans="3:4" x14ac:dyDescent="0.25">
      <c r="C560" s="37"/>
      <c r="D560" s="35"/>
    </row>
    <row r="561" spans="3:4" x14ac:dyDescent="0.25">
      <c r="C561" s="37"/>
      <c r="D561" s="35"/>
    </row>
    <row r="562" spans="3:4" x14ac:dyDescent="0.25">
      <c r="C562" s="37"/>
      <c r="D562" s="35"/>
    </row>
    <row r="563" spans="3:4" x14ac:dyDescent="0.25">
      <c r="C563" s="37"/>
      <c r="D563" s="35"/>
    </row>
    <row r="564" spans="3:4" x14ac:dyDescent="0.25">
      <c r="C564" s="37"/>
      <c r="D564" s="35"/>
    </row>
    <row r="565" spans="3:4" x14ac:dyDescent="0.25">
      <c r="C565" s="37"/>
      <c r="D565" s="35"/>
    </row>
    <row r="566" spans="3:4" x14ac:dyDescent="0.25">
      <c r="C566" s="37"/>
      <c r="D566" s="35"/>
    </row>
    <row r="567" spans="3:4" x14ac:dyDescent="0.25">
      <c r="C567" s="37"/>
      <c r="D567" s="35"/>
    </row>
    <row r="568" spans="3:4" x14ac:dyDescent="0.25">
      <c r="C568" s="37"/>
      <c r="D568" s="35"/>
    </row>
    <row r="569" spans="3:4" x14ac:dyDescent="0.25">
      <c r="C569" s="37"/>
      <c r="D569" s="35"/>
    </row>
    <row r="570" spans="3:4" x14ac:dyDescent="0.25">
      <c r="C570" s="37"/>
      <c r="D570" s="35"/>
    </row>
    <row r="571" spans="3:4" x14ac:dyDescent="0.25">
      <c r="C571" s="37"/>
      <c r="D571" s="35"/>
    </row>
    <row r="572" spans="3:4" x14ac:dyDescent="0.25">
      <c r="C572" s="37"/>
      <c r="D572" s="35"/>
    </row>
    <row r="573" spans="3:4" x14ac:dyDescent="0.25">
      <c r="C573" s="37"/>
      <c r="D573" s="35"/>
    </row>
    <row r="574" spans="3:4" x14ac:dyDescent="0.25">
      <c r="C574" s="37"/>
      <c r="D574" s="35"/>
    </row>
    <row r="575" spans="3:4" x14ac:dyDescent="0.25">
      <c r="C575" s="37"/>
      <c r="D575" s="35"/>
    </row>
    <row r="576" spans="3:4" x14ac:dyDescent="0.25">
      <c r="C576" s="37"/>
      <c r="D576" s="35"/>
    </row>
    <row r="577" spans="3:4" x14ac:dyDescent="0.25">
      <c r="C577" s="37"/>
      <c r="D577" s="35"/>
    </row>
    <row r="578" spans="3:4" x14ac:dyDescent="0.25">
      <c r="C578" s="37"/>
      <c r="D578" s="35"/>
    </row>
    <row r="579" spans="3:4" x14ac:dyDescent="0.25">
      <c r="C579" s="37"/>
      <c r="D579" s="35"/>
    </row>
    <row r="580" spans="3:4" x14ac:dyDescent="0.25">
      <c r="C580" s="37"/>
      <c r="D580" s="35"/>
    </row>
    <row r="581" spans="3:4" x14ac:dyDescent="0.25">
      <c r="C581" s="37"/>
      <c r="D581" s="35"/>
    </row>
    <row r="582" spans="3:4" x14ac:dyDescent="0.25">
      <c r="C582" s="37"/>
      <c r="D582" s="35"/>
    </row>
    <row r="583" spans="3:4" x14ac:dyDescent="0.25">
      <c r="C583" s="37"/>
      <c r="D583" s="35"/>
    </row>
    <row r="584" spans="3:4" x14ac:dyDescent="0.25">
      <c r="C584" s="37"/>
      <c r="D584" s="35"/>
    </row>
    <row r="585" spans="3:4" x14ac:dyDescent="0.25">
      <c r="C585" s="37"/>
      <c r="D585" s="35"/>
    </row>
    <row r="586" spans="3:4" x14ac:dyDescent="0.25">
      <c r="C586" s="37"/>
      <c r="D586" s="35"/>
    </row>
    <row r="587" spans="3:4" x14ac:dyDescent="0.25">
      <c r="C587" s="37"/>
      <c r="D587" s="35"/>
    </row>
    <row r="588" spans="3:4" x14ac:dyDescent="0.25">
      <c r="C588" s="37"/>
      <c r="D588" s="35"/>
    </row>
    <row r="589" spans="3:4" x14ac:dyDescent="0.25">
      <c r="C589" s="37"/>
      <c r="D589" s="35"/>
    </row>
    <row r="590" spans="3:4" x14ac:dyDescent="0.25">
      <c r="C590" s="37"/>
      <c r="D590" s="35"/>
    </row>
    <row r="591" spans="3:4" x14ac:dyDescent="0.25">
      <c r="C591" s="37"/>
      <c r="D591" s="35"/>
    </row>
    <row r="592" spans="3:4" x14ac:dyDescent="0.25">
      <c r="C592" s="37"/>
      <c r="D592" s="35"/>
    </row>
    <row r="593" spans="3:4" x14ac:dyDescent="0.25">
      <c r="C593" s="37"/>
      <c r="D593" s="35"/>
    </row>
    <row r="594" spans="3:4" x14ac:dyDescent="0.25">
      <c r="C594" s="37"/>
      <c r="D594" s="35"/>
    </row>
    <row r="595" spans="3:4" x14ac:dyDescent="0.25">
      <c r="C595" s="37"/>
      <c r="D595" s="35"/>
    </row>
    <row r="596" spans="3:4" x14ac:dyDescent="0.25">
      <c r="C596" s="37"/>
      <c r="D596" s="35"/>
    </row>
    <row r="597" spans="3:4" x14ac:dyDescent="0.25">
      <c r="C597" s="37"/>
      <c r="D597" s="35"/>
    </row>
    <row r="598" spans="3:4" x14ac:dyDescent="0.25">
      <c r="C598" s="37"/>
      <c r="D598" s="35"/>
    </row>
    <row r="599" spans="3:4" x14ac:dyDescent="0.25">
      <c r="C599" s="37"/>
      <c r="D599" s="35"/>
    </row>
    <row r="600" spans="3:4" x14ac:dyDescent="0.25">
      <c r="C600" s="37"/>
      <c r="D600" s="35"/>
    </row>
    <row r="601" spans="3:4" x14ac:dyDescent="0.25">
      <c r="C601" s="37"/>
      <c r="D601" s="35"/>
    </row>
    <row r="602" spans="3:4" x14ac:dyDescent="0.25">
      <c r="C602" s="37"/>
      <c r="D602" s="35"/>
    </row>
    <row r="603" spans="3:4" x14ac:dyDescent="0.25">
      <c r="C603" s="37"/>
      <c r="D603" s="35"/>
    </row>
    <row r="604" spans="3:4" x14ac:dyDescent="0.25">
      <c r="C604" s="37"/>
      <c r="D604" s="35"/>
    </row>
    <row r="605" spans="3:4" x14ac:dyDescent="0.25">
      <c r="C605" s="37"/>
      <c r="D605" s="35"/>
    </row>
    <row r="606" spans="3:4" x14ac:dyDescent="0.25">
      <c r="C606" s="37"/>
      <c r="D606" s="35"/>
    </row>
    <row r="607" spans="3:4" x14ac:dyDescent="0.25">
      <c r="C607" s="37"/>
      <c r="D607" s="35"/>
    </row>
    <row r="608" spans="3:4" x14ac:dyDescent="0.25">
      <c r="C608" s="37"/>
      <c r="D608" s="35"/>
    </row>
    <row r="609" spans="3:4" x14ac:dyDescent="0.25">
      <c r="C609" s="37"/>
      <c r="D609" s="35"/>
    </row>
    <row r="610" spans="3:4" x14ac:dyDescent="0.25">
      <c r="C610" s="37"/>
      <c r="D610" s="35"/>
    </row>
    <row r="611" spans="3:4" x14ac:dyDescent="0.25">
      <c r="C611" s="37"/>
      <c r="D611" s="35"/>
    </row>
    <row r="612" spans="3:4" x14ac:dyDescent="0.25">
      <c r="C612" s="37"/>
      <c r="D612" s="35"/>
    </row>
    <row r="613" spans="3:4" x14ac:dyDescent="0.25">
      <c r="C613" s="37"/>
      <c r="D613" s="35"/>
    </row>
    <row r="614" spans="3:4" x14ac:dyDescent="0.25">
      <c r="C614" s="37"/>
      <c r="D614" s="35"/>
    </row>
    <row r="615" spans="3:4" x14ac:dyDescent="0.25">
      <c r="C615" s="37"/>
      <c r="D615" s="35"/>
    </row>
    <row r="616" spans="3:4" x14ac:dyDescent="0.25">
      <c r="C616" s="37"/>
      <c r="D616" s="35"/>
    </row>
    <row r="617" spans="3:4" x14ac:dyDescent="0.25">
      <c r="C617" s="37"/>
      <c r="D617" s="35"/>
    </row>
    <row r="618" spans="3:4" x14ac:dyDescent="0.25">
      <c r="C618" s="37"/>
      <c r="D618" s="35"/>
    </row>
    <row r="619" spans="3:4" x14ac:dyDescent="0.25">
      <c r="C619" s="37"/>
      <c r="D619" s="35"/>
    </row>
    <row r="620" spans="3:4" x14ac:dyDescent="0.25">
      <c r="C620" s="37"/>
      <c r="D620" s="35"/>
    </row>
    <row r="621" spans="3:4" x14ac:dyDescent="0.25">
      <c r="C621" s="37"/>
      <c r="D621" s="35"/>
    </row>
    <row r="622" spans="3:4" x14ac:dyDescent="0.25">
      <c r="C622" s="37"/>
      <c r="D622" s="35"/>
    </row>
    <row r="623" spans="3:4" x14ac:dyDescent="0.25">
      <c r="C623" s="37"/>
      <c r="D623" s="35"/>
    </row>
    <row r="624" spans="3:4" x14ac:dyDescent="0.25">
      <c r="C624" s="37"/>
      <c r="D624" s="35"/>
    </row>
    <row r="625" spans="3:4" x14ac:dyDescent="0.25">
      <c r="C625" s="37"/>
      <c r="D625" s="35"/>
    </row>
    <row r="626" spans="3:4" x14ac:dyDescent="0.25">
      <c r="C626" s="37"/>
      <c r="D626" s="35"/>
    </row>
    <row r="627" spans="3:4" x14ac:dyDescent="0.25">
      <c r="C627" s="37"/>
      <c r="D627" s="35"/>
    </row>
    <row r="628" spans="3:4" x14ac:dyDescent="0.25">
      <c r="C628" s="37"/>
      <c r="D628" s="35"/>
    </row>
    <row r="629" spans="3:4" x14ac:dyDescent="0.25">
      <c r="C629" s="37"/>
      <c r="D629" s="35"/>
    </row>
    <row r="630" spans="3:4" x14ac:dyDescent="0.25">
      <c r="C630" s="37"/>
      <c r="D630" s="35"/>
    </row>
    <row r="631" spans="3:4" x14ac:dyDescent="0.25">
      <c r="C631" s="37"/>
      <c r="D631" s="35"/>
    </row>
    <row r="632" spans="3:4" x14ac:dyDescent="0.25">
      <c r="C632" s="37"/>
      <c r="D632" s="35"/>
    </row>
    <row r="633" spans="3:4" x14ac:dyDescent="0.25">
      <c r="C633" s="37"/>
      <c r="D633" s="35"/>
    </row>
    <row r="634" spans="3:4" x14ac:dyDescent="0.25">
      <c r="C634" s="37"/>
      <c r="D634" s="35"/>
    </row>
    <row r="635" spans="3:4" x14ac:dyDescent="0.25">
      <c r="C635" s="37"/>
      <c r="D635" s="35"/>
    </row>
    <row r="636" spans="3:4" x14ac:dyDescent="0.25">
      <c r="C636" s="37"/>
      <c r="D636" s="35"/>
    </row>
    <row r="637" spans="3:4" x14ac:dyDescent="0.25">
      <c r="C637" s="37"/>
      <c r="D637" s="35"/>
    </row>
    <row r="638" spans="3:4" x14ac:dyDescent="0.25">
      <c r="C638" s="37"/>
      <c r="D638" s="35"/>
    </row>
    <row r="639" spans="3:4" x14ac:dyDescent="0.25">
      <c r="C639" s="37"/>
      <c r="D639" s="35"/>
    </row>
    <row r="640" spans="3:4" x14ac:dyDescent="0.25">
      <c r="C640" s="37"/>
      <c r="D640" s="35"/>
    </row>
    <row r="641" spans="3:4" x14ac:dyDescent="0.25">
      <c r="C641" s="37"/>
      <c r="D641" s="35"/>
    </row>
    <row r="642" spans="3:4" x14ac:dyDescent="0.25">
      <c r="C642" s="37"/>
      <c r="D642" s="35"/>
    </row>
    <row r="643" spans="3:4" x14ac:dyDescent="0.25">
      <c r="C643" s="37"/>
      <c r="D643" s="35"/>
    </row>
    <row r="644" spans="3:4" x14ac:dyDescent="0.25">
      <c r="C644" s="37"/>
      <c r="D644" s="35"/>
    </row>
    <row r="645" spans="3:4" x14ac:dyDescent="0.25">
      <c r="C645" s="37"/>
      <c r="D645" s="35"/>
    </row>
    <row r="646" spans="3:4" x14ac:dyDescent="0.25">
      <c r="C646" s="37"/>
      <c r="D646" s="35"/>
    </row>
    <row r="647" spans="3:4" x14ac:dyDescent="0.25">
      <c r="C647" s="37"/>
      <c r="D647" s="35"/>
    </row>
    <row r="648" spans="3:4" x14ac:dyDescent="0.25">
      <c r="C648" s="37"/>
      <c r="D648" s="35"/>
    </row>
    <row r="649" spans="3:4" x14ac:dyDescent="0.25">
      <c r="C649" s="37"/>
      <c r="D649" s="35"/>
    </row>
    <row r="650" spans="3:4" x14ac:dyDescent="0.25">
      <c r="C650" s="37"/>
      <c r="D650" s="35"/>
    </row>
    <row r="651" spans="3:4" x14ac:dyDescent="0.25">
      <c r="C651" s="37"/>
      <c r="D651" s="35"/>
    </row>
    <row r="652" spans="3:4" x14ac:dyDescent="0.25">
      <c r="C652" s="37"/>
      <c r="D652" s="35"/>
    </row>
    <row r="653" spans="3:4" x14ac:dyDescent="0.25">
      <c r="C653" s="37"/>
      <c r="D653" s="35"/>
    </row>
    <row r="654" spans="3:4" x14ac:dyDescent="0.25">
      <c r="C654" s="37"/>
      <c r="D654" s="35"/>
    </row>
    <row r="655" spans="3:4" x14ac:dyDescent="0.25">
      <c r="C655" s="37"/>
      <c r="D655" s="35"/>
    </row>
    <row r="656" spans="3:4" x14ac:dyDescent="0.25">
      <c r="C656" s="37"/>
      <c r="D656" s="35"/>
    </row>
    <row r="657" spans="3:4" x14ac:dyDescent="0.25">
      <c r="C657" s="37"/>
      <c r="D657" s="35"/>
    </row>
    <row r="658" spans="3:4" x14ac:dyDescent="0.25">
      <c r="C658" s="37"/>
      <c r="D658" s="35"/>
    </row>
    <row r="659" spans="3:4" x14ac:dyDescent="0.25">
      <c r="C659" s="37"/>
      <c r="D659" s="35"/>
    </row>
    <row r="660" spans="3:4" x14ac:dyDescent="0.25">
      <c r="C660" s="37"/>
      <c r="D660" s="35"/>
    </row>
    <row r="661" spans="3:4" x14ac:dyDescent="0.25">
      <c r="C661" s="37"/>
      <c r="D661" s="35"/>
    </row>
    <row r="662" spans="3:4" x14ac:dyDescent="0.25">
      <c r="C662" s="37"/>
      <c r="D662" s="35"/>
    </row>
    <row r="663" spans="3:4" x14ac:dyDescent="0.25">
      <c r="C663" s="37"/>
      <c r="D663" s="35"/>
    </row>
    <row r="664" spans="3:4" x14ac:dyDescent="0.25">
      <c r="C664" s="37"/>
      <c r="D664" s="35"/>
    </row>
    <row r="665" spans="3:4" x14ac:dyDescent="0.25">
      <c r="C665" s="37"/>
      <c r="D665" s="35"/>
    </row>
    <row r="666" spans="3:4" x14ac:dyDescent="0.25">
      <c r="C666" s="37"/>
      <c r="D666" s="35"/>
    </row>
    <row r="667" spans="3:4" x14ac:dyDescent="0.25">
      <c r="C667" s="37"/>
      <c r="D667" s="35"/>
    </row>
    <row r="668" spans="3:4" x14ac:dyDescent="0.25">
      <c r="C668" s="37"/>
      <c r="D668" s="35"/>
    </row>
    <row r="669" spans="3:4" x14ac:dyDescent="0.25">
      <c r="C669" s="37"/>
      <c r="D669" s="35"/>
    </row>
    <row r="670" spans="3:4" x14ac:dyDescent="0.25">
      <c r="C670" s="37"/>
      <c r="D670" s="35"/>
    </row>
    <row r="671" spans="3:4" x14ac:dyDescent="0.25">
      <c r="C671" s="37"/>
      <c r="D671" s="35"/>
    </row>
    <row r="672" spans="3:4" x14ac:dyDescent="0.25">
      <c r="C672" s="37"/>
      <c r="D672" s="35"/>
    </row>
    <row r="673" spans="3:4" x14ac:dyDescent="0.25">
      <c r="C673" s="37"/>
      <c r="D673" s="35"/>
    </row>
    <row r="674" spans="3:4" x14ac:dyDescent="0.25">
      <c r="C674" s="37"/>
      <c r="D674" s="35"/>
    </row>
    <row r="675" spans="3:4" x14ac:dyDescent="0.25">
      <c r="C675" s="37"/>
      <c r="D675" s="35"/>
    </row>
    <row r="676" spans="3:4" x14ac:dyDescent="0.25">
      <c r="C676" s="37"/>
      <c r="D676" s="35"/>
    </row>
    <row r="677" spans="3:4" x14ac:dyDescent="0.25">
      <c r="C677" s="37"/>
      <c r="D677" s="35"/>
    </row>
    <row r="678" spans="3:4" x14ac:dyDescent="0.25">
      <c r="C678" s="37"/>
      <c r="D678" s="35"/>
    </row>
    <row r="679" spans="3:4" x14ac:dyDescent="0.25">
      <c r="C679" s="37"/>
      <c r="D679" s="35"/>
    </row>
    <row r="680" spans="3:4" x14ac:dyDescent="0.25">
      <c r="C680" s="37"/>
      <c r="D680" s="35"/>
    </row>
    <row r="681" spans="3:4" x14ac:dyDescent="0.25">
      <c r="C681" s="37"/>
      <c r="D681" s="35"/>
    </row>
    <row r="682" spans="3:4" x14ac:dyDescent="0.25">
      <c r="C682" s="37"/>
      <c r="D682" s="35"/>
    </row>
    <row r="683" spans="3:4" x14ac:dyDescent="0.25">
      <c r="C683" s="37"/>
      <c r="D683" s="35"/>
    </row>
    <row r="684" spans="3:4" x14ac:dyDescent="0.25">
      <c r="C684" s="37"/>
      <c r="D684" s="35"/>
    </row>
    <row r="685" spans="3:4" x14ac:dyDescent="0.25">
      <c r="C685" s="37"/>
      <c r="D685" s="35"/>
    </row>
    <row r="686" spans="3:4" x14ac:dyDescent="0.25">
      <c r="C686" s="37"/>
      <c r="D686" s="35"/>
    </row>
    <row r="687" spans="3:4" x14ac:dyDescent="0.25">
      <c r="C687" s="37"/>
      <c r="D687" s="35"/>
    </row>
    <row r="688" spans="3:4" x14ac:dyDescent="0.25">
      <c r="C688" s="37"/>
      <c r="D688" s="35"/>
    </row>
    <row r="689" spans="3:4" x14ac:dyDescent="0.25">
      <c r="C689" s="37"/>
      <c r="D689" s="35"/>
    </row>
    <row r="690" spans="3:4" x14ac:dyDescent="0.25">
      <c r="C690" s="37"/>
      <c r="D690" s="35"/>
    </row>
    <row r="691" spans="3:4" x14ac:dyDescent="0.25">
      <c r="C691" s="37"/>
      <c r="D691" s="35"/>
    </row>
    <row r="692" spans="3:4" x14ac:dyDescent="0.25">
      <c r="C692" s="37"/>
      <c r="D692" s="35"/>
    </row>
    <row r="693" spans="3:4" x14ac:dyDescent="0.25">
      <c r="C693" s="37"/>
      <c r="D693" s="35"/>
    </row>
    <row r="694" spans="3:4" x14ac:dyDescent="0.25">
      <c r="C694" s="37"/>
      <c r="D694" s="35"/>
    </row>
    <row r="695" spans="3:4" x14ac:dyDescent="0.25">
      <c r="C695" s="37"/>
      <c r="D695" s="35"/>
    </row>
    <row r="696" spans="3:4" x14ac:dyDescent="0.25">
      <c r="C696" s="37"/>
      <c r="D696" s="35"/>
    </row>
    <row r="697" spans="3:4" x14ac:dyDescent="0.25">
      <c r="C697" s="37"/>
      <c r="D697" s="35"/>
    </row>
    <row r="698" spans="3:4" x14ac:dyDescent="0.25">
      <c r="C698" s="37"/>
      <c r="D698" s="35"/>
    </row>
    <row r="699" spans="3:4" x14ac:dyDescent="0.25">
      <c r="C699" s="37"/>
      <c r="D699" s="35"/>
    </row>
    <row r="700" spans="3:4" x14ac:dyDescent="0.25">
      <c r="C700" s="37"/>
      <c r="D700" s="35"/>
    </row>
    <row r="701" spans="3:4" x14ac:dyDescent="0.25">
      <c r="C701" s="37"/>
      <c r="D701" s="35"/>
    </row>
    <row r="702" spans="3:4" x14ac:dyDescent="0.25">
      <c r="C702" s="37"/>
      <c r="D702" s="35"/>
    </row>
    <row r="703" spans="3:4" x14ac:dyDescent="0.25">
      <c r="C703" s="37"/>
      <c r="D703" s="35"/>
    </row>
    <row r="704" spans="3:4" x14ac:dyDescent="0.25">
      <c r="C704" s="37"/>
      <c r="D704" s="35"/>
    </row>
    <row r="705" spans="3:4" x14ac:dyDescent="0.25">
      <c r="C705" s="37"/>
      <c r="D705" s="35"/>
    </row>
    <row r="706" spans="3:4" x14ac:dyDescent="0.25">
      <c r="C706" s="37"/>
      <c r="D706" s="35"/>
    </row>
    <row r="707" spans="3:4" x14ac:dyDescent="0.25">
      <c r="C707" s="37"/>
      <c r="D707" s="35"/>
    </row>
    <row r="708" spans="3:4" x14ac:dyDescent="0.25">
      <c r="C708" s="37"/>
      <c r="D708" s="35"/>
    </row>
    <row r="709" spans="3:4" x14ac:dyDescent="0.25">
      <c r="C709" s="37"/>
      <c r="D709" s="35"/>
    </row>
    <row r="710" spans="3:4" x14ac:dyDescent="0.25">
      <c r="C710" s="37"/>
      <c r="D710" s="35"/>
    </row>
    <row r="711" spans="3:4" x14ac:dyDescent="0.25">
      <c r="C711" s="37"/>
      <c r="D711" s="35"/>
    </row>
    <row r="712" spans="3:4" x14ac:dyDescent="0.25">
      <c r="C712" s="37"/>
      <c r="D712" s="35"/>
    </row>
    <row r="713" spans="3:4" x14ac:dyDescent="0.25">
      <c r="C713" s="37"/>
      <c r="D713" s="35"/>
    </row>
    <row r="714" spans="3:4" x14ac:dyDescent="0.25">
      <c r="C714" s="37"/>
      <c r="D714" s="35"/>
    </row>
    <row r="715" spans="3:4" x14ac:dyDescent="0.25">
      <c r="C715" s="37"/>
      <c r="D715" s="35"/>
    </row>
    <row r="716" spans="3:4" x14ac:dyDescent="0.25">
      <c r="C716" s="37"/>
      <c r="D716" s="35"/>
    </row>
    <row r="717" spans="3:4" x14ac:dyDescent="0.25">
      <c r="C717" s="37"/>
      <c r="D717" s="35"/>
    </row>
    <row r="718" spans="3:4" x14ac:dyDescent="0.25">
      <c r="C718" s="37"/>
      <c r="D718" s="35"/>
    </row>
    <row r="719" spans="3:4" x14ac:dyDescent="0.25">
      <c r="C719" s="37"/>
      <c r="D719" s="35"/>
    </row>
    <row r="720" spans="3:4" x14ac:dyDescent="0.25">
      <c r="C720" s="37"/>
      <c r="D720" s="35"/>
    </row>
    <row r="721" spans="3:4" x14ac:dyDescent="0.25">
      <c r="C721" s="37"/>
      <c r="D721" s="35"/>
    </row>
    <row r="722" spans="3:4" x14ac:dyDescent="0.25">
      <c r="C722" s="37"/>
      <c r="D722" s="35"/>
    </row>
    <row r="723" spans="3:4" x14ac:dyDescent="0.25">
      <c r="C723" s="37"/>
      <c r="D723" s="35"/>
    </row>
    <row r="724" spans="3:4" x14ac:dyDescent="0.25">
      <c r="C724" s="37"/>
      <c r="D724" s="35"/>
    </row>
    <row r="725" spans="3:4" x14ac:dyDescent="0.25">
      <c r="C725" s="37"/>
      <c r="D725" s="35"/>
    </row>
    <row r="726" spans="3:4" x14ac:dyDescent="0.25">
      <c r="C726" s="37"/>
      <c r="D726" s="35"/>
    </row>
    <row r="727" spans="3:4" x14ac:dyDescent="0.25">
      <c r="C727" s="37"/>
      <c r="D727" s="35"/>
    </row>
    <row r="728" spans="3:4" x14ac:dyDescent="0.25">
      <c r="C728" s="37"/>
      <c r="D728" s="35"/>
    </row>
    <row r="729" spans="3:4" x14ac:dyDescent="0.25">
      <c r="C729" s="37"/>
      <c r="D729" s="35"/>
    </row>
    <row r="730" spans="3:4" x14ac:dyDescent="0.25">
      <c r="C730" s="37"/>
      <c r="D730" s="35"/>
    </row>
    <row r="731" spans="3:4" x14ac:dyDescent="0.25">
      <c r="C731" s="37"/>
      <c r="D731" s="35"/>
    </row>
    <row r="732" spans="3:4" x14ac:dyDescent="0.25">
      <c r="C732" s="37"/>
      <c r="D732" s="35"/>
    </row>
    <row r="733" spans="3:4" x14ac:dyDescent="0.25">
      <c r="C733" s="37"/>
      <c r="D733" s="35"/>
    </row>
    <row r="734" spans="3:4" x14ac:dyDescent="0.25">
      <c r="C734" s="37"/>
      <c r="D734" s="35"/>
    </row>
    <row r="735" spans="3:4" x14ac:dyDescent="0.25">
      <c r="C735" s="37"/>
      <c r="D735" s="35"/>
    </row>
    <row r="736" spans="3:4" x14ac:dyDescent="0.25">
      <c r="C736" s="37"/>
      <c r="D736" s="35"/>
    </row>
    <row r="737" spans="3:4" x14ac:dyDescent="0.25">
      <c r="C737" s="37"/>
      <c r="D737" s="35"/>
    </row>
    <row r="738" spans="3:4" x14ac:dyDescent="0.25">
      <c r="C738" s="37"/>
      <c r="D738" s="35"/>
    </row>
    <row r="739" spans="3:4" x14ac:dyDescent="0.25">
      <c r="C739" s="37"/>
      <c r="D739" s="35"/>
    </row>
    <row r="740" spans="3:4" x14ac:dyDescent="0.25">
      <c r="C740" s="37"/>
      <c r="D740" s="35"/>
    </row>
    <row r="741" spans="3:4" x14ac:dyDescent="0.25">
      <c r="C741" s="37"/>
      <c r="D741" s="35"/>
    </row>
    <row r="742" spans="3:4" x14ac:dyDescent="0.25">
      <c r="C742" s="37"/>
      <c r="D742" s="35"/>
    </row>
    <row r="743" spans="3:4" x14ac:dyDescent="0.25">
      <c r="C743" s="37"/>
      <c r="D743" s="35"/>
    </row>
    <row r="744" spans="3:4" x14ac:dyDescent="0.25">
      <c r="C744" s="37"/>
      <c r="D744" s="35"/>
    </row>
    <row r="745" spans="3:4" x14ac:dyDescent="0.25">
      <c r="C745" s="37"/>
      <c r="D745" s="35"/>
    </row>
    <row r="746" spans="3:4" x14ac:dyDescent="0.25">
      <c r="C746" s="37"/>
      <c r="D746" s="35"/>
    </row>
    <row r="747" spans="3:4" x14ac:dyDescent="0.25">
      <c r="C747" s="37"/>
      <c r="D747" s="35"/>
    </row>
    <row r="748" spans="3:4" x14ac:dyDescent="0.25">
      <c r="C748" s="37"/>
      <c r="D748" s="35"/>
    </row>
    <row r="749" spans="3:4" x14ac:dyDescent="0.25">
      <c r="C749" s="37"/>
      <c r="D749" s="35"/>
    </row>
    <row r="750" spans="3:4" x14ac:dyDescent="0.25">
      <c r="C750" s="37"/>
      <c r="D750" s="35"/>
    </row>
    <row r="751" spans="3:4" x14ac:dyDescent="0.25">
      <c r="C751" s="37"/>
      <c r="D751" s="35"/>
    </row>
    <row r="752" spans="3:4" x14ac:dyDescent="0.25">
      <c r="C752" s="37"/>
      <c r="D752" s="35"/>
    </row>
    <row r="753" spans="3:4" x14ac:dyDescent="0.25">
      <c r="C753" s="37"/>
      <c r="D753" s="35"/>
    </row>
    <row r="754" spans="3:4" x14ac:dyDescent="0.25">
      <c r="C754" s="37"/>
      <c r="D754" s="35"/>
    </row>
    <row r="755" spans="3:4" x14ac:dyDescent="0.25">
      <c r="C755" s="37"/>
      <c r="D755" s="35"/>
    </row>
    <row r="756" spans="3:4" x14ac:dyDescent="0.25">
      <c r="C756" s="37"/>
      <c r="D756" s="35"/>
    </row>
    <row r="757" spans="3:4" x14ac:dyDescent="0.25">
      <c r="C757" s="37"/>
      <c r="D757" s="35"/>
    </row>
    <row r="758" spans="3:4" x14ac:dyDescent="0.25">
      <c r="C758" s="37"/>
      <c r="D758" s="35"/>
    </row>
    <row r="759" spans="3:4" x14ac:dyDescent="0.25">
      <c r="C759" s="37"/>
      <c r="D759" s="35"/>
    </row>
    <row r="760" spans="3:4" x14ac:dyDescent="0.25">
      <c r="C760" s="37"/>
      <c r="D760" s="35"/>
    </row>
    <row r="761" spans="3:4" x14ac:dyDescent="0.25">
      <c r="C761" s="37"/>
      <c r="D761" s="35"/>
    </row>
    <row r="762" spans="3:4" x14ac:dyDescent="0.25">
      <c r="C762" s="37"/>
      <c r="D762" s="35"/>
    </row>
    <row r="763" spans="3:4" x14ac:dyDescent="0.25">
      <c r="C763" s="37"/>
      <c r="D763" s="35"/>
    </row>
    <row r="764" spans="3:4" x14ac:dyDescent="0.25">
      <c r="C764" s="37"/>
      <c r="D764" s="35"/>
    </row>
    <row r="765" spans="3:4" x14ac:dyDescent="0.25">
      <c r="C765" s="37"/>
      <c r="D765" s="35"/>
    </row>
    <row r="766" spans="3:4" x14ac:dyDescent="0.25">
      <c r="C766" s="37"/>
      <c r="D766" s="35"/>
    </row>
    <row r="767" spans="3:4" x14ac:dyDescent="0.25">
      <c r="C767" s="37"/>
      <c r="D767" s="35"/>
    </row>
    <row r="768" spans="3:4" x14ac:dyDescent="0.25">
      <c r="C768" s="37"/>
      <c r="D768" s="35"/>
    </row>
    <row r="769" spans="3:4" x14ac:dyDescent="0.25">
      <c r="C769" s="37"/>
      <c r="D769" s="35"/>
    </row>
    <row r="770" spans="3:4" x14ac:dyDescent="0.25">
      <c r="C770" s="37"/>
      <c r="D770" s="35"/>
    </row>
    <row r="771" spans="3:4" x14ac:dyDescent="0.25">
      <c r="C771" s="37"/>
      <c r="D771" s="35"/>
    </row>
    <row r="772" spans="3:4" x14ac:dyDescent="0.25">
      <c r="C772" s="37"/>
      <c r="D772" s="35"/>
    </row>
    <row r="773" spans="3:4" x14ac:dyDescent="0.25">
      <c r="C773" s="37"/>
      <c r="D773" s="35"/>
    </row>
    <row r="774" spans="3:4" x14ac:dyDescent="0.25">
      <c r="C774" s="37"/>
      <c r="D774" s="35"/>
    </row>
    <row r="775" spans="3:4" x14ac:dyDescent="0.25">
      <c r="C775" s="37"/>
      <c r="D775" s="35"/>
    </row>
    <row r="776" spans="3:4" x14ac:dyDescent="0.25">
      <c r="C776" s="37"/>
      <c r="D776" s="35"/>
    </row>
    <row r="777" spans="3:4" x14ac:dyDescent="0.25">
      <c r="C777" s="37"/>
      <c r="D777" s="35"/>
    </row>
    <row r="778" spans="3:4" x14ac:dyDescent="0.25">
      <c r="C778" s="37"/>
      <c r="D778" s="35"/>
    </row>
    <row r="779" spans="3:4" x14ac:dyDescent="0.25">
      <c r="C779" s="37"/>
      <c r="D779" s="35"/>
    </row>
    <row r="780" spans="3:4" x14ac:dyDescent="0.25">
      <c r="C780" s="37"/>
      <c r="D780" s="35"/>
    </row>
    <row r="781" spans="3:4" x14ac:dyDescent="0.25">
      <c r="C781" s="37"/>
      <c r="D781" s="35"/>
    </row>
    <row r="782" spans="3:4" x14ac:dyDescent="0.25">
      <c r="C782" s="37"/>
      <c r="D782" s="35"/>
    </row>
    <row r="783" spans="3:4" x14ac:dyDescent="0.25">
      <c r="C783" s="37"/>
      <c r="D783" s="35"/>
    </row>
    <row r="784" spans="3:4" x14ac:dyDescent="0.25">
      <c r="C784" s="37"/>
      <c r="D784" s="35"/>
    </row>
    <row r="785" spans="3:4" x14ac:dyDescent="0.25">
      <c r="C785" s="37"/>
      <c r="D785" s="35"/>
    </row>
    <row r="786" spans="3:4" x14ac:dyDescent="0.25">
      <c r="C786" s="37"/>
      <c r="D786" s="35"/>
    </row>
    <row r="787" spans="3:4" x14ac:dyDescent="0.25">
      <c r="C787" s="37"/>
      <c r="D787" s="35"/>
    </row>
    <row r="788" spans="3:4" x14ac:dyDescent="0.25">
      <c r="C788" s="37"/>
      <c r="D788" s="35"/>
    </row>
    <row r="789" spans="3:4" x14ac:dyDescent="0.25">
      <c r="C789" s="37"/>
      <c r="D789" s="35"/>
    </row>
    <row r="790" spans="3:4" x14ac:dyDescent="0.25">
      <c r="C790" s="37"/>
      <c r="D790" s="35"/>
    </row>
    <row r="791" spans="3:4" x14ac:dyDescent="0.25">
      <c r="C791" s="37"/>
      <c r="D791" s="35"/>
    </row>
    <row r="792" spans="3:4" x14ac:dyDescent="0.25">
      <c r="C792" s="37"/>
      <c r="D792" s="35"/>
    </row>
    <row r="793" spans="3:4" x14ac:dyDescent="0.25">
      <c r="C793" s="37"/>
      <c r="D793" s="35"/>
    </row>
    <row r="794" spans="3:4" x14ac:dyDescent="0.25">
      <c r="C794" s="37"/>
      <c r="D794" s="35"/>
    </row>
    <row r="795" spans="3:4" x14ac:dyDescent="0.25">
      <c r="C795" s="37"/>
      <c r="D795" s="35"/>
    </row>
    <row r="796" spans="3:4" x14ac:dyDescent="0.25">
      <c r="C796" s="37"/>
      <c r="D796" s="35"/>
    </row>
    <row r="797" spans="3:4" x14ac:dyDescent="0.25">
      <c r="C797" s="37"/>
      <c r="D797" s="35"/>
    </row>
    <row r="798" spans="3:4" x14ac:dyDescent="0.25">
      <c r="C798" s="37"/>
      <c r="D798" s="35"/>
    </row>
    <row r="799" spans="3:4" x14ac:dyDescent="0.25">
      <c r="C799" s="37"/>
      <c r="D799" s="35"/>
    </row>
    <row r="800" spans="3:4" x14ac:dyDescent="0.25">
      <c r="C800" s="37"/>
      <c r="D800" s="35"/>
    </row>
    <row r="801" spans="3:4" x14ac:dyDescent="0.25">
      <c r="C801" s="37"/>
      <c r="D801" s="35"/>
    </row>
    <row r="802" spans="3:4" x14ac:dyDescent="0.25">
      <c r="C802" s="37"/>
      <c r="D802" s="35"/>
    </row>
    <row r="803" spans="3:4" x14ac:dyDescent="0.25">
      <c r="C803" s="37"/>
      <c r="D803" s="35"/>
    </row>
    <row r="804" spans="3:4" x14ac:dyDescent="0.25">
      <c r="C804" s="37"/>
      <c r="D804" s="35"/>
    </row>
    <row r="805" spans="3:4" x14ac:dyDescent="0.25">
      <c r="C805" s="37"/>
      <c r="D805" s="35"/>
    </row>
    <row r="806" spans="3:4" x14ac:dyDescent="0.25">
      <c r="C806" s="37"/>
      <c r="D806" s="35"/>
    </row>
    <row r="807" spans="3:4" x14ac:dyDescent="0.25">
      <c r="C807" s="37"/>
      <c r="D807" s="35"/>
    </row>
    <row r="808" spans="3:4" x14ac:dyDescent="0.25">
      <c r="C808" s="37"/>
      <c r="D808" s="35"/>
    </row>
    <row r="809" spans="3:4" x14ac:dyDescent="0.25">
      <c r="C809" s="37"/>
      <c r="D809" s="35"/>
    </row>
    <row r="810" spans="3:4" x14ac:dyDescent="0.25">
      <c r="C810" s="37"/>
      <c r="D810" s="35"/>
    </row>
    <row r="811" spans="3:4" x14ac:dyDescent="0.25">
      <c r="C811" s="37"/>
      <c r="D811" s="35"/>
    </row>
    <row r="812" spans="3:4" x14ac:dyDescent="0.25">
      <c r="C812" s="37"/>
      <c r="D812" s="35"/>
    </row>
    <row r="813" spans="3:4" x14ac:dyDescent="0.25">
      <c r="C813" s="37"/>
      <c r="D813" s="35"/>
    </row>
    <row r="814" spans="3:4" x14ac:dyDescent="0.25">
      <c r="C814" s="37"/>
      <c r="D814" s="35"/>
    </row>
    <row r="815" spans="3:4" x14ac:dyDescent="0.25">
      <c r="C815" s="37"/>
      <c r="D815" s="35"/>
    </row>
    <row r="816" spans="3:4" x14ac:dyDescent="0.25">
      <c r="C816" s="37"/>
      <c r="D816" s="35"/>
    </row>
    <row r="817" spans="3:4" x14ac:dyDescent="0.25">
      <c r="C817" s="37"/>
      <c r="D817" s="35"/>
    </row>
    <row r="818" spans="3:4" x14ac:dyDescent="0.25">
      <c r="C818" s="37"/>
      <c r="D818" s="35"/>
    </row>
    <row r="819" spans="3:4" x14ac:dyDescent="0.25">
      <c r="C819" s="37"/>
      <c r="D819" s="35"/>
    </row>
    <row r="820" spans="3:4" x14ac:dyDescent="0.25">
      <c r="C820" s="37"/>
      <c r="D820" s="35"/>
    </row>
    <row r="821" spans="3:4" x14ac:dyDescent="0.25">
      <c r="C821" s="37"/>
      <c r="D821" s="35"/>
    </row>
    <row r="822" spans="3:4" x14ac:dyDescent="0.25">
      <c r="C822" s="37"/>
      <c r="D822" s="35"/>
    </row>
    <row r="823" spans="3:4" x14ac:dyDescent="0.25">
      <c r="C823" s="37"/>
      <c r="D823" s="35"/>
    </row>
    <row r="824" spans="3:4" x14ac:dyDescent="0.25">
      <c r="C824" s="37"/>
      <c r="D824" s="35"/>
    </row>
    <row r="825" spans="3:4" x14ac:dyDescent="0.25">
      <c r="C825" s="37"/>
      <c r="D825" s="35"/>
    </row>
    <row r="826" spans="3:4" x14ac:dyDescent="0.25">
      <c r="C826" s="37"/>
      <c r="D826" s="35"/>
    </row>
    <row r="827" spans="3:4" x14ac:dyDescent="0.25">
      <c r="C827" s="37"/>
      <c r="D827" s="35"/>
    </row>
    <row r="828" spans="3:4" x14ac:dyDescent="0.25">
      <c r="C828" s="37"/>
      <c r="D828" s="35"/>
    </row>
    <row r="829" spans="3:4" x14ac:dyDescent="0.25">
      <c r="C829" s="37"/>
      <c r="D829" s="35"/>
    </row>
    <row r="830" spans="3:4" x14ac:dyDescent="0.25">
      <c r="C830" s="37"/>
      <c r="D830" s="35"/>
    </row>
    <row r="831" spans="3:4" x14ac:dyDescent="0.25">
      <c r="C831" s="37"/>
      <c r="D831" s="35"/>
    </row>
    <row r="832" spans="3:4" x14ac:dyDescent="0.25">
      <c r="C832" s="37"/>
      <c r="D832" s="35"/>
    </row>
    <row r="833" spans="3:4" x14ac:dyDescent="0.25">
      <c r="C833" s="37"/>
      <c r="D833" s="35"/>
    </row>
    <row r="834" spans="3:4" x14ac:dyDescent="0.25">
      <c r="C834" s="37"/>
      <c r="D834" s="35"/>
    </row>
    <row r="835" spans="3:4" x14ac:dyDescent="0.25">
      <c r="C835" s="37"/>
      <c r="D835" s="35"/>
    </row>
    <row r="836" spans="3:4" x14ac:dyDescent="0.25">
      <c r="C836" s="37"/>
      <c r="D836" s="35"/>
    </row>
    <row r="837" spans="3:4" x14ac:dyDescent="0.25">
      <c r="C837" s="37"/>
      <c r="D837" s="35"/>
    </row>
    <row r="838" spans="3:4" x14ac:dyDescent="0.25">
      <c r="C838" s="37"/>
      <c r="D838" s="35"/>
    </row>
    <row r="839" spans="3:4" x14ac:dyDescent="0.25">
      <c r="C839" s="37"/>
      <c r="D839" s="35"/>
    </row>
    <row r="840" spans="3:4" x14ac:dyDescent="0.25">
      <c r="C840" s="37"/>
      <c r="D840" s="35"/>
    </row>
    <row r="841" spans="3:4" x14ac:dyDescent="0.25">
      <c r="C841" s="37"/>
      <c r="D841" s="35"/>
    </row>
    <row r="842" spans="3:4" x14ac:dyDescent="0.25">
      <c r="C842" s="37"/>
      <c r="D842" s="35"/>
    </row>
    <row r="843" spans="3:4" x14ac:dyDescent="0.25">
      <c r="C843" s="37"/>
      <c r="D843" s="35"/>
    </row>
    <row r="844" spans="3:4" x14ac:dyDescent="0.25">
      <c r="C844" s="37"/>
      <c r="D844" s="35"/>
    </row>
    <row r="845" spans="3:4" x14ac:dyDescent="0.25">
      <c r="C845" s="37"/>
      <c r="D845" s="35"/>
    </row>
    <row r="846" spans="3:4" x14ac:dyDescent="0.25">
      <c r="C846" s="37"/>
      <c r="D846" s="35"/>
    </row>
    <row r="847" spans="3:4" x14ac:dyDescent="0.25">
      <c r="C847" s="37"/>
      <c r="D847" s="35"/>
    </row>
    <row r="848" spans="3:4" x14ac:dyDescent="0.25">
      <c r="C848" s="37"/>
      <c r="D848" s="35"/>
    </row>
    <row r="849" spans="3:4" x14ac:dyDescent="0.25">
      <c r="C849" s="37"/>
      <c r="D849" s="35"/>
    </row>
    <row r="850" spans="3:4" x14ac:dyDescent="0.25">
      <c r="C850" s="37"/>
      <c r="D850" s="35"/>
    </row>
    <row r="851" spans="3:4" x14ac:dyDescent="0.25">
      <c r="C851" s="37"/>
      <c r="D851" s="35"/>
    </row>
    <row r="852" spans="3:4" x14ac:dyDescent="0.25">
      <c r="C852" s="37"/>
      <c r="D852" s="35"/>
    </row>
    <row r="853" spans="3:4" x14ac:dyDescent="0.25">
      <c r="C853" s="37"/>
      <c r="D853" s="35"/>
    </row>
    <row r="854" spans="3:4" x14ac:dyDescent="0.25">
      <c r="C854" s="37"/>
      <c r="D854" s="35"/>
    </row>
    <row r="855" spans="3:4" x14ac:dyDescent="0.25">
      <c r="C855" s="37"/>
      <c r="D855" s="35"/>
    </row>
    <row r="856" spans="3:4" x14ac:dyDescent="0.25">
      <c r="C856" s="37"/>
      <c r="D856" s="35"/>
    </row>
    <row r="857" spans="3:4" x14ac:dyDescent="0.25">
      <c r="C857" s="37"/>
      <c r="D857" s="35"/>
    </row>
    <row r="858" spans="3:4" x14ac:dyDescent="0.25">
      <c r="C858" s="37"/>
      <c r="D858" s="35"/>
    </row>
    <row r="859" spans="3:4" x14ac:dyDescent="0.25">
      <c r="C859" s="37"/>
      <c r="D859" s="35"/>
    </row>
    <row r="860" spans="3:4" x14ac:dyDescent="0.25">
      <c r="C860" s="37"/>
      <c r="D860" s="35"/>
    </row>
    <row r="861" spans="3:4" x14ac:dyDescent="0.25">
      <c r="C861" s="37"/>
      <c r="D861" s="35"/>
    </row>
    <row r="862" spans="3:4" x14ac:dyDescent="0.25">
      <c r="C862" s="37"/>
      <c r="D862" s="35"/>
    </row>
    <row r="863" spans="3:4" x14ac:dyDescent="0.25">
      <c r="C863" s="37"/>
      <c r="D863" s="35"/>
    </row>
    <row r="864" spans="3:4" x14ac:dyDescent="0.25">
      <c r="C864" s="37"/>
      <c r="D864" s="35"/>
    </row>
    <row r="865" spans="3:4" x14ac:dyDescent="0.25">
      <c r="C865" s="37"/>
      <c r="D865" s="35"/>
    </row>
    <row r="866" spans="3:4" x14ac:dyDescent="0.25">
      <c r="C866" s="37"/>
      <c r="D866" s="35"/>
    </row>
    <row r="867" spans="3:4" x14ac:dyDescent="0.25">
      <c r="C867" s="37"/>
      <c r="D867" s="35"/>
    </row>
    <row r="868" spans="3:4" x14ac:dyDescent="0.25">
      <c r="C868" s="37"/>
      <c r="D868" s="35"/>
    </row>
    <row r="869" spans="3:4" x14ac:dyDescent="0.25">
      <c r="C869" s="37"/>
      <c r="D869" s="35"/>
    </row>
    <row r="870" spans="3:4" x14ac:dyDescent="0.25">
      <c r="C870" s="37"/>
      <c r="D870" s="35"/>
    </row>
    <row r="871" spans="3:4" x14ac:dyDescent="0.25">
      <c r="C871" s="37"/>
      <c r="D871" s="35"/>
    </row>
    <row r="872" spans="3:4" x14ac:dyDescent="0.25">
      <c r="C872" s="37"/>
      <c r="D872" s="35"/>
    </row>
    <row r="873" spans="3:4" x14ac:dyDescent="0.25">
      <c r="C873" s="37"/>
      <c r="D873" s="35"/>
    </row>
    <row r="874" spans="3:4" x14ac:dyDescent="0.25">
      <c r="C874" s="37"/>
      <c r="D874" s="35"/>
    </row>
    <row r="875" spans="3:4" x14ac:dyDescent="0.25">
      <c r="C875" s="37"/>
      <c r="D875" s="35"/>
    </row>
    <row r="876" spans="3:4" x14ac:dyDescent="0.25">
      <c r="C876" s="37"/>
      <c r="D876" s="35"/>
    </row>
    <row r="877" spans="3:4" x14ac:dyDescent="0.25">
      <c r="C877" s="37"/>
      <c r="D877" s="35"/>
    </row>
    <row r="878" spans="3:4" x14ac:dyDescent="0.25">
      <c r="C878" s="37"/>
      <c r="D878" s="35"/>
    </row>
    <row r="879" spans="3:4" x14ac:dyDescent="0.25">
      <c r="C879" s="37"/>
      <c r="D879" s="35"/>
    </row>
    <row r="880" spans="3:4" x14ac:dyDescent="0.25">
      <c r="C880" s="37"/>
      <c r="D880" s="35"/>
    </row>
    <row r="881" spans="3:4" x14ac:dyDescent="0.25">
      <c r="C881" s="37"/>
      <c r="D881" s="35"/>
    </row>
    <row r="882" spans="3:4" x14ac:dyDescent="0.25">
      <c r="C882" s="37"/>
      <c r="D882" s="35"/>
    </row>
    <row r="883" spans="3:4" x14ac:dyDescent="0.25">
      <c r="C883" s="37"/>
      <c r="D883" s="35"/>
    </row>
    <row r="884" spans="3:4" x14ac:dyDescent="0.25">
      <c r="C884" s="37"/>
      <c r="D884" s="35"/>
    </row>
    <row r="885" spans="3:4" x14ac:dyDescent="0.25">
      <c r="C885" s="37"/>
      <c r="D885" s="35"/>
    </row>
    <row r="886" spans="3:4" x14ac:dyDescent="0.25">
      <c r="C886" s="37"/>
      <c r="D886" s="35"/>
    </row>
    <row r="887" spans="3:4" x14ac:dyDescent="0.25">
      <c r="C887" s="37"/>
      <c r="D887" s="35"/>
    </row>
    <row r="888" spans="3:4" x14ac:dyDescent="0.25">
      <c r="C888" s="37"/>
      <c r="D888" s="35"/>
    </row>
    <row r="889" spans="3:4" x14ac:dyDescent="0.25">
      <c r="C889" s="37"/>
      <c r="D889" s="35"/>
    </row>
    <row r="890" spans="3:4" x14ac:dyDescent="0.25">
      <c r="C890" s="37"/>
      <c r="D890" s="35"/>
    </row>
    <row r="891" spans="3:4" x14ac:dyDescent="0.25">
      <c r="C891" s="37"/>
      <c r="D891" s="35"/>
    </row>
    <row r="892" spans="3:4" x14ac:dyDescent="0.25">
      <c r="C892" s="37"/>
      <c r="D892" s="35"/>
    </row>
    <row r="893" spans="3:4" x14ac:dyDescent="0.25">
      <c r="C893" s="37"/>
      <c r="D893" s="35"/>
    </row>
    <row r="894" spans="3:4" x14ac:dyDescent="0.25">
      <c r="C894" s="37"/>
      <c r="D894" s="35"/>
    </row>
    <row r="895" spans="3:4" x14ac:dyDescent="0.25">
      <c r="C895" s="37"/>
      <c r="D895" s="35"/>
    </row>
    <row r="896" spans="3:4" x14ac:dyDescent="0.25">
      <c r="C896" s="37"/>
      <c r="D896" s="35"/>
    </row>
    <row r="897" spans="3:4" x14ac:dyDescent="0.25">
      <c r="C897" s="37"/>
      <c r="D897" s="35"/>
    </row>
    <row r="898" spans="3:4" x14ac:dyDescent="0.25">
      <c r="C898" s="37"/>
      <c r="D898" s="35"/>
    </row>
    <row r="899" spans="3:4" x14ac:dyDescent="0.25">
      <c r="C899" s="37"/>
      <c r="D899" s="35"/>
    </row>
    <row r="900" spans="3:4" x14ac:dyDescent="0.25">
      <c r="C900" s="37"/>
      <c r="D900" s="35"/>
    </row>
    <row r="901" spans="3:4" x14ac:dyDescent="0.25">
      <c r="C901" s="37"/>
      <c r="D901" s="35"/>
    </row>
    <row r="902" spans="3:4" x14ac:dyDescent="0.25">
      <c r="C902" s="37"/>
      <c r="D902" s="35"/>
    </row>
    <row r="903" spans="3:4" x14ac:dyDescent="0.25">
      <c r="C903" s="37"/>
      <c r="D903" s="35"/>
    </row>
    <row r="904" spans="3:4" x14ac:dyDescent="0.25">
      <c r="C904" s="37"/>
      <c r="D904" s="35"/>
    </row>
    <row r="905" spans="3:4" x14ac:dyDescent="0.25">
      <c r="C905" s="37"/>
      <c r="D905" s="35"/>
    </row>
    <row r="906" spans="3:4" x14ac:dyDescent="0.25">
      <c r="C906" s="37"/>
      <c r="D906" s="35"/>
    </row>
    <row r="907" spans="3:4" x14ac:dyDescent="0.25">
      <c r="C907" s="37"/>
      <c r="D907" s="35"/>
    </row>
    <row r="908" spans="3:4" x14ac:dyDescent="0.25">
      <c r="C908" s="37"/>
      <c r="D908" s="35"/>
    </row>
    <row r="909" spans="3:4" x14ac:dyDescent="0.25">
      <c r="C909" s="37"/>
      <c r="D909" s="35"/>
    </row>
    <row r="910" spans="3:4" x14ac:dyDescent="0.25">
      <c r="C910" s="37"/>
      <c r="D910" s="35"/>
    </row>
    <row r="911" spans="3:4" x14ac:dyDescent="0.25">
      <c r="C911" s="37"/>
      <c r="D911" s="35"/>
    </row>
    <row r="912" spans="3:4" x14ac:dyDescent="0.25">
      <c r="C912" s="37"/>
      <c r="D912" s="35"/>
    </row>
    <row r="913" spans="3:4" x14ac:dyDescent="0.25">
      <c r="C913" s="37"/>
      <c r="D913" s="35"/>
    </row>
    <row r="914" spans="3:4" x14ac:dyDescent="0.25">
      <c r="C914" s="37"/>
      <c r="D914" s="35"/>
    </row>
    <row r="915" spans="3:4" x14ac:dyDescent="0.25">
      <c r="C915" s="37"/>
      <c r="D915" s="35"/>
    </row>
    <row r="916" spans="3:4" x14ac:dyDescent="0.25">
      <c r="C916" s="37"/>
      <c r="D916" s="35"/>
    </row>
    <row r="917" spans="3:4" x14ac:dyDescent="0.25">
      <c r="C917" s="37"/>
      <c r="D917" s="35"/>
    </row>
    <row r="918" spans="3:4" x14ac:dyDescent="0.25">
      <c r="C918" s="37"/>
      <c r="D918" s="35"/>
    </row>
    <row r="919" spans="3:4" x14ac:dyDescent="0.25">
      <c r="C919" s="37"/>
      <c r="D919" s="35"/>
    </row>
    <row r="920" spans="3:4" x14ac:dyDescent="0.25">
      <c r="C920" s="37"/>
      <c r="D920" s="35"/>
    </row>
    <row r="921" spans="3:4" x14ac:dyDescent="0.25">
      <c r="C921" s="37"/>
      <c r="D921" s="35"/>
    </row>
    <row r="922" spans="3:4" x14ac:dyDescent="0.25">
      <c r="C922" s="37"/>
      <c r="D922" s="35"/>
    </row>
    <row r="923" spans="3:4" x14ac:dyDescent="0.25">
      <c r="C923" s="37"/>
      <c r="D923" s="35"/>
    </row>
    <row r="924" spans="3:4" x14ac:dyDescent="0.25">
      <c r="C924" s="37"/>
      <c r="D924" s="35"/>
    </row>
    <row r="925" spans="3:4" x14ac:dyDescent="0.25">
      <c r="C925" s="37"/>
      <c r="D925" s="35"/>
    </row>
    <row r="926" spans="3:4" x14ac:dyDescent="0.25">
      <c r="C926" s="37"/>
      <c r="D926" s="35"/>
    </row>
    <row r="927" spans="3:4" x14ac:dyDescent="0.25">
      <c r="C927" s="37"/>
      <c r="D927" s="35"/>
    </row>
    <row r="928" spans="3:4" x14ac:dyDescent="0.25">
      <c r="C928" s="37"/>
      <c r="D928" s="35"/>
    </row>
    <row r="929" spans="3:4" x14ac:dyDescent="0.25">
      <c r="C929" s="37"/>
      <c r="D929" s="35"/>
    </row>
    <row r="930" spans="3:4" x14ac:dyDescent="0.25">
      <c r="C930" s="37"/>
      <c r="D930" s="35"/>
    </row>
    <row r="931" spans="3:4" x14ac:dyDescent="0.25">
      <c r="C931" s="37"/>
      <c r="D931" s="35"/>
    </row>
    <row r="932" spans="3:4" x14ac:dyDescent="0.25">
      <c r="C932" s="37"/>
      <c r="D932" s="35"/>
    </row>
    <row r="933" spans="3:4" x14ac:dyDescent="0.25">
      <c r="C933" s="37"/>
      <c r="D933" s="35"/>
    </row>
    <row r="934" spans="3:4" x14ac:dyDescent="0.25">
      <c r="C934" s="37"/>
      <c r="D934" s="35"/>
    </row>
    <row r="935" spans="3:4" x14ac:dyDescent="0.25">
      <c r="C935" s="37"/>
      <c r="D935" s="35"/>
    </row>
    <row r="936" spans="3:4" x14ac:dyDescent="0.25">
      <c r="C936" s="37"/>
      <c r="D936" s="35"/>
    </row>
    <row r="937" spans="3:4" x14ac:dyDescent="0.25">
      <c r="C937" s="37"/>
      <c r="D937" s="35"/>
    </row>
    <row r="938" spans="3:4" x14ac:dyDescent="0.25">
      <c r="C938" s="37"/>
      <c r="D938" s="35"/>
    </row>
    <row r="939" spans="3:4" x14ac:dyDescent="0.25">
      <c r="C939" s="37"/>
      <c r="D939" s="35"/>
    </row>
    <row r="940" spans="3:4" x14ac:dyDescent="0.25">
      <c r="C940" s="37"/>
      <c r="D940" s="35"/>
    </row>
    <row r="941" spans="3:4" x14ac:dyDescent="0.25">
      <c r="C941" s="37"/>
      <c r="D941" s="35"/>
    </row>
    <row r="942" spans="3:4" x14ac:dyDescent="0.25">
      <c r="C942" s="37"/>
      <c r="D942" s="35"/>
    </row>
    <row r="943" spans="3:4" x14ac:dyDescent="0.25">
      <c r="C943" s="37"/>
      <c r="D943" s="35"/>
    </row>
    <row r="944" spans="3:4" x14ac:dyDescent="0.25">
      <c r="C944" s="37"/>
      <c r="D944" s="35"/>
    </row>
    <row r="945" spans="3:4" x14ac:dyDescent="0.25">
      <c r="C945" s="37"/>
      <c r="D945" s="35"/>
    </row>
    <row r="946" spans="3:4" x14ac:dyDescent="0.25">
      <c r="C946" s="37"/>
      <c r="D946" s="35"/>
    </row>
    <row r="947" spans="3:4" x14ac:dyDescent="0.25">
      <c r="C947" s="37"/>
      <c r="D947" s="35"/>
    </row>
    <row r="948" spans="3:4" x14ac:dyDescent="0.25">
      <c r="C948" s="37"/>
      <c r="D948" s="35"/>
    </row>
    <row r="949" spans="3:4" x14ac:dyDescent="0.25">
      <c r="C949" s="37"/>
      <c r="D949" s="35"/>
    </row>
    <row r="950" spans="3:4" x14ac:dyDescent="0.25">
      <c r="C950" s="37"/>
      <c r="D950" s="35"/>
    </row>
    <row r="951" spans="3:4" x14ac:dyDescent="0.25">
      <c r="C951" s="37"/>
      <c r="D951" s="35"/>
    </row>
    <row r="952" spans="3:4" x14ac:dyDescent="0.25">
      <c r="C952" s="37"/>
      <c r="D952" s="35"/>
    </row>
    <row r="953" spans="3:4" x14ac:dyDescent="0.25">
      <c r="C953" s="37"/>
      <c r="D953" s="35"/>
    </row>
    <row r="954" spans="3:4" x14ac:dyDescent="0.25">
      <c r="C954" s="37"/>
      <c r="D954" s="35"/>
    </row>
    <row r="955" spans="3:4" x14ac:dyDescent="0.25">
      <c r="C955" s="37"/>
      <c r="D955" s="35"/>
    </row>
    <row r="956" spans="3:4" x14ac:dyDescent="0.25">
      <c r="C956" s="37"/>
      <c r="D956" s="35"/>
    </row>
    <row r="957" spans="3:4" x14ac:dyDescent="0.25">
      <c r="C957" s="37"/>
      <c r="D957" s="35"/>
    </row>
    <row r="958" spans="3:4" x14ac:dyDescent="0.25">
      <c r="C958" s="37"/>
      <c r="D958" s="35"/>
    </row>
    <row r="959" spans="3:4" x14ac:dyDescent="0.25">
      <c r="C959" s="37"/>
      <c r="D959" s="35"/>
    </row>
    <row r="960" spans="3:4" x14ac:dyDescent="0.25">
      <c r="C960" s="37"/>
      <c r="D960" s="35"/>
    </row>
    <row r="961" spans="3:4" x14ac:dyDescent="0.25">
      <c r="C961" s="37"/>
      <c r="D961" s="35"/>
    </row>
    <row r="962" spans="3:4" x14ac:dyDescent="0.25">
      <c r="C962" s="37"/>
      <c r="D962" s="35"/>
    </row>
    <row r="963" spans="3:4" x14ac:dyDescent="0.25">
      <c r="C963" s="37"/>
      <c r="D963" s="35"/>
    </row>
    <row r="964" spans="3:4" x14ac:dyDescent="0.25">
      <c r="C964" s="37"/>
      <c r="D964" s="35"/>
    </row>
    <row r="965" spans="3:4" x14ac:dyDescent="0.25">
      <c r="C965" s="37"/>
      <c r="D965" s="35"/>
    </row>
    <row r="966" spans="3:4" x14ac:dyDescent="0.25">
      <c r="C966" s="37"/>
      <c r="D966" s="35"/>
    </row>
    <row r="967" spans="3:4" x14ac:dyDescent="0.25">
      <c r="C967" s="37"/>
      <c r="D967" s="35"/>
    </row>
    <row r="968" spans="3:4" x14ac:dyDescent="0.25">
      <c r="C968" s="37"/>
      <c r="D968" s="35"/>
    </row>
    <row r="969" spans="3:4" x14ac:dyDescent="0.25">
      <c r="C969" s="37"/>
      <c r="D969" s="35"/>
    </row>
    <row r="970" spans="3:4" x14ac:dyDescent="0.25">
      <c r="C970" s="37"/>
      <c r="D970" s="35"/>
    </row>
    <row r="971" spans="3:4" x14ac:dyDescent="0.25">
      <c r="C971" s="37"/>
      <c r="D971" s="35"/>
    </row>
    <row r="972" spans="3:4" x14ac:dyDescent="0.25">
      <c r="C972" s="37"/>
      <c r="D972" s="35"/>
    </row>
    <row r="973" spans="3:4" x14ac:dyDescent="0.25">
      <c r="C973" s="37"/>
      <c r="D973" s="35"/>
    </row>
    <row r="974" spans="3:4" x14ac:dyDescent="0.25">
      <c r="C974" s="37"/>
      <c r="D974" s="35"/>
    </row>
    <row r="975" spans="3:4" x14ac:dyDescent="0.25">
      <c r="C975" s="37"/>
      <c r="D975" s="35"/>
    </row>
    <row r="976" spans="3:4" x14ac:dyDescent="0.25">
      <c r="C976" s="37"/>
      <c r="D976" s="35"/>
    </row>
    <row r="977" spans="3:4" x14ac:dyDescent="0.25">
      <c r="C977" s="37"/>
      <c r="D977" s="35"/>
    </row>
    <row r="978" spans="3:4" x14ac:dyDescent="0.25">
      <c r="C978" s="37"/>
      <c r="D978" s="35"/>
    </row>
    <row r="979" spans="3:4" x14ac:dyDescent="0.25">
      <c r="C979" s="37"/>
      <c r="D979" s="35"/>
    </row>
    <row r="980" spans="3:4" x14ac:dyDescent="0.25">
      <c r="C980" s="37"/>
      <c r="D980" s="35"/>
    </row>
    <row r="981" spans="3:4" x14ac:dyDescent="0.25">
      <c r="C981" s="37"/>
      <c r="D981" s="35"/>
    </row>
    <row r="982" spans="3:4" x14ac:dyDescent="0.25">
      <c r="C982" s="37"/>
      <c r="D982" s="35"/>
    </row>
    <row r="983" spans="3:4" x14ac:dyDescent="0.25">
      <c r="C983" s="37"/>
      <c r="D983" s="35"/>
    </row>
    <row r="984" spans="3:4" x14ac:dyDescent="0.25">
      <c r="C984" s="37"/>
      <c r="D984" s="35"/>
    </row>
    <row r="985" spans="3:4" x14ac:dyDescent="0.25">
      <c r="C985" s="37"/>
      <c r="D985" s="35"/>
    </row>
    <row r="986" spans="3:4" x14ac:dyDescent="0.25">
      <c r="C986" s="37"/>
      <c r="D986" s="35"/>
    </row>
    <row r="987" spans="3:4" x14ac:dyDescent="0.25">
      <c r="C987" s="37"/>
      <c r="D987" s="35"/>
    </row>
    <row r="988" spans="3:4" x14ac:dyDescent="0.25">
      <c r="C988" s="37"/>
      <c r="D988" s="35"/>
    </row>
    <row r="989" spans="3:4" x14ac:dyDescent="0.25">
      <c r="C989" s="37"/>
      <c r="D989" s="35"/>
    </row>
    <row r="990" spans="3:4" x14ac:dyDescent="0.25">
      <c r="C990" s="37"/>
      <c r="D990" s="35"/>
    </row>
    <row r="991" spans="3:4" x14ac:dyDescent="0.25">
      <c r="C991" s="37"/>
      <c r="D991" s="35"/>
    </row>
    <row r="992" spans="3:4" x14ac:dyDescent="0.25">
      <c r="C992" s="37"/>
      <c r="D992" s="35"/>
    </row>
    <row r="993" spans="3:4" x14ac:dyDescent="0.25">
      <c r="C993" s="37"/>
      <c r="D993" s="35"/>
    </row>
    <row r="994" spans="3:4" x14ac:dyDescent="0.25">
      <c r="C994" s="37"/>
      <c r="D994" s="35"/>
    </row>
    <row r="995" spans="3:4" x14ac:dyDescent="0.25">
      <c r="C995" s="37"/>
      <c r="D995" s="35"/>
    </row>
    <row r="996" spans="3:4" x14ac:dyDescent="0.25">
      <c r="C996" s="37"/>
      <c r="D996" s="35"/>
    </row>
    <row r="997" spans="3:4" x14ac:dyDescent="0.25">
      <c r="C997" s="37"/>
      <c r="D997" s="35"/>
    </row>
    <row r="998" spans="3:4" x14ac:dyDescent="0.25">
      <c r="C998" s="37"/>
      <c r="D998" s="35"/>
    </row>
    <row r="999" spans="3:4" x14ac:dyDescent="0.25">
      <c r="C999" s="37"/>
      <c r="D999" s="35"/>
    </row>
    <row r="1000" spans="3:4" x14ac:dyDescent="0.25">
      <c r="C1000" s="37"/>
      <c r="D1000" s="35"/>
    </row>
    <row r="1001" spans="3:4" x14ac:dyDescent="0.25">
      <c r="C1001" s="37"/>
      <c r="D1001" s="35"/>
    </row>
    <row r="1002" spans="3:4" x14ac:dyDescent="0.25">
      <c r="C1002" s="37"/>
      <c r="D1002" s="35"/>
    </row>
    <row r="1003" spans="3:4" x14ac:dyDescent="0.25">
      <c r="C1003" s="37"/>
      <c r="D1003" s="35"/>
    </row>
    <row r="1004" spans="3:4" x14ac:dyDescent="0.25">
      <c r="C1004" s="37"/>
      <c r="D1004" s="35"/>
    </row>
    <row r="1005" spans="3:4" x14ac:dyDescent="0.25">
      <c r="C1005" s="37"/>
      <c r="D1005" s="35"/>
    </row>
    <row r="1006" spans="3:4" x14ac:dyDescent="0.25">
      <c r="C1006" s="37"/>
      <c r="D1006" s="35"/>
    </row>
    <row r="1007" spans="3:4" x14ac:dyDescent="0.25">
      <c r="C1007" s="37"/>
      <c r="D1007" s="35"/>
    </row>
    <row r="1008" spans="3:4" x14ac:dyDescent="0.25">
      <c r="C1008" s="37"/>
      <c r="D1008" s="35"/>
    </row>
    <row r="1009" spans="3:4" x14ac:dyDescent="0.25">
      <c r="C1009" s="37"/>
      <c r="D1009" s="35"/>
    </row>
    <row r="1010" spans="3:4" x14ac:dyDescent="0.25">
      <c r="C1010" s="37"/>
      <c r="D1010" s="35"/>
    </row>
    <row r="1011" spans="3:4" x14ac:dyDescent="0.25">
      <c r="C1011" s="37"/>
      <c r="D1011" s="35"/>
    </row>
    <row r="1012" spans="3:4" x14ac:dyDescent="0.25">
      <c r="C1012" s="37"/>
      <c r="D1012" s="35"/>
    </row>
    <row r="1013" spans="3:4" x14ac:dyDescent="0.25">
      <c r="C1013" s="37"/>
      <c r="D1013" s="35"/>
    </row>
    <row r="1014" spans="3:4" x14ac:dyDescent="0.25">
      <c r="C1014" s="37"/>
      <c r="D1014" s="35"/>
    </row>
    <row r="1015" spans="3:4" x14ac:dyDescent="0.25">
      <c r="C1015" s="37"/>
      <c r="D1015" s="35"/>
    </row>
    <row r="1016" spans="3:4" x14ac:dyDescent="0.25">
      <c r="C1016" s="37"/>
      <c r="D1016" s="35"/>
    </row>
    <row r="1017" spans="3:4" x14ac:dyDescent="0.25">
      <c r="C1017" s="37"/>
      <c r="D1017" s="35"/>
    </row>
    <row r="1018" spans="3:4" x14ac:dyDescent="0.25">
      <c r="C1018" s="37"/>
      <c r="D1018" s="35"/>
    </row>
    <row r="1019" spans="3:4" x14ac:dyDescent="0.25">
      <c r="C1019" s="37"/>
      <c r="D1019" s="35"/>
    </row>
    <row r="1020" spans="3:4" x14ac:dyDescent="0.25">
      <c r="C1020" s="37"/>
      <c r="D1020" s="35"/>
    </row>
    <row r="1021" spans="3:4" x14ac:dyDescent="0.25">
      <c r="C1021" s="37"/>
      <c r="D1021" s="35"/>
    </row>
    <row r="1022" spans="3:4" x14ac:dyDescent="0.25">
      <c r="C1022" s="37"/>
      <c r="D1022" s="35"/>
    </row>
    <row r="1023" spans="3:4" x14ac:dyDescent="0.25">
      <c r="C1023" s="37"/>
      <c r="D1023" s="35"/>
    </row>
    <row r="1024" spans="3:4" x14ac:dyDescent="0.25">
      <c r="C1024" s="37"/>
      <c r="D1024" s="35"/>
    </row>
    <row r="1025" spans="3:4" x14ac:dyDescent="0.25">
      <c r="C1025" s="37"/>
      <c r="D1025" s="35"/>
    </row>
    <row r="1026" spans="3:4" x14ac:dyDescent="0.25">
      <c r="C1026" s="37"/>
      <c r="D1026" s="35"/>
    </row>
    <row r="1027" spans="3:4" x14ac:dyDescent="0.25">
      <c r="C1027" s="37"/>
      <c r="D1027" s="35"/>
    </row>
    <row r="1028" spans="3:4" x14ac:dyDescent="0.25">
      <c r="C1028" s="37"/>
      <c r="D1028" s="35"/>
    </row>
    <row r="1029" spans="3:4" x14ac:dyDescent="0.25">
      <c r="C1029" s="37"/>
      <c r="D1029" s="35"/>
    </row>
    <row r="1030" spans="3:4" x14ac:dyDescent="0.25">
      <c r="C1030" s="37"/>
      <c r="D1030" s="35"/>
    </row>
    <row r="1031" spans="3:4" x14ac:dyDescent="0.25">
      <c r="C1031" s="37"/>
      <c r="D1031" s="35"/>
    </row>
    <row r="1032" spans="3:4" x14ac:dyDescent="0.25">
      <c r="C1032" s="37"/>
      <c r="D1032" s="35"/>
    </row>
    <row r="1033" spans="3:4" x14ac:dyDescent="0.25">
      <c r="C1033" s="37"/>
      <c r="D1033" s="35"/>
    </row>
    <row r="1034" spans="3:4" x14ac:dyDescent="0.25">
      <c r="C1034" s="37"/>
      <c r="D1034" s="35"/>
    </row>
    <row r="1035" spans="3:4" x14ac:dyDescent="0.25">
      <c r="C1035" s="37"/>
      <c r="D1035" s="35"/>
    </row>
    <row r="1036" spans="3:4" x14ac:dyDescent="0.25">
      <c r="C1036" s="37"/>
      <c r="D1036" s="35"/>
    </row>
    <row r="1037" spans="3:4" x14ac:dyDescent="0.25">
      <c r="C1037" s="37"/>
      <c r="D1037" s="35"/>
    </row>
    <row r="1038" spans="3:4" x14ac:dyDescent="0.25">
      <c r="C1038" s="37"/>
      <c r="D1038" s="35"/>
    </row>
    <row r="1039" spans="3:4" x14ac:dyDescent="0.25">
      <c r="C1039" s="37"/>
      <c r="D1039" s="35"/>
    </row>
    <row r="1040" spans="3:4" x14ac:dyDescent="0.25">
      <c r="C1040" s="37"/>
      <c r="D1040" s="35"/>
    </row>
    <row r="1041" spans="3:4" x14ac:dyDescent="0.25">
      <c r="C1041" s="37"/>
      <c r="D1041" s="35"/>
    </row>
    <row r="1042" spans="3:4" x14ac:dyDescent="0.25">
      <c r="C1042" s="37"/>
      <c r="D1042" s="35"/>
    </row>
    <row r="1043" spans="3:4" x14ac:dyDescent="0.25">
      <c r="C1043" s="37"/>
      <c r="D1043" s="35"/>
    </row>
    <row r="1044" spans="3:4" x14ac:dyDescent="0.25">
      <c r="C1044" s="37"/>
      <c r="D1044" s="35"/>
    </row>
    <row r="1045" spans="3:4" x14ac:dyDescent="0.25">
      <c r="C1045" s="37"/>
      <c r="D1045" s="35"/>
    </row>
    <row r="1046" spans="3:4" x14ac:dyDescent="0.25">
      <c r="C1046" s="37"/>
      <c r="D1046" s="35"/>
    </row>
    <row r="1047" spans="3:4" x14ac:dyDescent="0.25">
      <c r="C1047" s="37"/>
      <c r="D1047" s="35"/>
    </row>
    <row r="1048" spans="3:4" x14ac:dyDescent="0.25">
      <c r="C1048" s="37"/>
      <c r="D1048" s="35"/>
    </row>
    <row r="1049" spans="3:4" x14ac:dyDescent="0.25">
      <c r="C1049" s="37"/>
      <c r="D1049" s="35"/>
    </row>
    <row r="1050" spans="3:4" x14ac:dyDescent="0.25">
      <c r="C1050" s="37"/>
      <c r="D1050" s="35"/>
    </row>
    <row r="1051" spans="3:4" x14ac:dyDescent="0.25">
      <c r="C1051" s="37"/>
      <c r="D1051" s="35"/>
    </row>
    <row r="1052" spans="3:4" x14ac:dyDescent="0.25">
      <c r="C1052" s="37"/>
      <c r="D1052" s="35"/>
    </row>
    <row r="1053" spans="3:4" x14ac:dyDescent="0.25">
      <c r="C1053" s="37"/>
      <c r="D1053" s="35"/>
    </row>
    <row r="1054" spans="3:4" x14ac:dyDescent="0.25">
      <c r="C1054" s="37"/>
      <c r="D1054" s="35"/>
    </row>
    <row r="1055" spans="3:4" x14ac:dyDescent="0.25">
      <c r="C1055" s="37"/>
      <c r="D1055" s="35"/>
    </row>
    <row r="1056" spans="3:4" x14ac:dyDescent="0.25">
      <c r="C1056" s="37"/>
      <c r="D1056" s="35"/>
    </row>
    <row r="1057" spans="3:4" x14ac:dyDescent="0.25">
      <c r="C1057" s="37"/>
      <c r="D1057" s="35"/>
    </row>
    <row r="1058" spans="3:4" x14ac:dyDescent="0.25">
      <c r="C1058" s="37"/>
      <c r="D1058" s="35"/>
    </row>
    <row r="1059" spans="3:4" x14ac:dyDescent="0.25">
      <c r="C1059" s="37"/>
      <c r="D1059" s="35"/>
    </row>
    <row r="1060" spans="3:4" x14ac:dyDescent="0.25">
      <c r="C1060" s="37"/>
      <c r="D1060" s="35"/>
    </row>
    <row r="1061" spans="3:4" x14ac:dyDescent="0.25">
      <c r="C1061" s="37"/>
      <c r="D1061" s="35"/>
    </row>
    <row r="1062" spans="3:4" x14ac:dyDescent="0.25">
      <c r="C1062" s="37"/>
      <c r="D1062" s="35"/>
    </row>
    <row r="1063" spans="3:4" x14ac:dyDescent="0.25">
      <c r="C1063" s="37"/>
      <c r="D1063" s="35"/>
    </row>
    <row r="1064" spans="3:4" x14ac:dyDescent="0.25">
      <c r="C1064" s="37"/>
      <c r="D1064" s="35"/>
    </row>
    <row r="1065" spans="3:4" x14ac:dyDescent="0.25">
      <c r="C1065" s="37"/>
      <c r="D1065" s="35"/>
    </row>
    <row r="1066" spans="3:4" x14ac:dyDescent="0.25">
      <c r="C1066" s="37"/>
      <c r="D1066" s="35"/>
    </row>
    <row r="1067" spans="3:4" x14ac:dyDescent="0.25">
      <c r="C1067" s="37"/>
      <c r="D1067" s="35"/>
    </row>
    <row r="1068" spans="3:4" x14ac:dyDescent="0.25">
      <c r="C1068" s="37"/>
      <c r="D1068" s="35"/>
    </row>
    <row r="1069" spans="3:4" x14ac:dyDescent="0.25">
      <c r="C1069" s="37"/>
      <c r="D1069" s="35"/>
    </row>
    <row r="1070" spans="3:4" x14ac:dyDescent="0.25">
      <c r="C1070" s="37"/>
      <c r="D1070" s="35"/>
    </row>
    <row r="1071" spans="3:4" x14ac:dyDescent="0.25">
      <c r="C1071" s="37"/>
      <c r="D1071" s="35"/>
    </row>
    <row r="1072" spans="3:4" x14ac:dyDescent="0.25">
      <c r="C1072" s="37"/>
      <c r="D1072" s="35"/>
    </row>
    <row r="1073" spans="3:4" x14ac:dyDescent="0.25">
      <c r="C1073" s="37"/>
      <c r="D1073" s="35"/>
    </row>
    <row r="1074" spans="3:4" x14ac:dyDescent="0.25">
      <c r="C1074" s="37"/>
      <c r="D1074" s="35"/>
    </row>
    <row r="1075" spans="3:4" x14ac:dyDescent="0.25">
      <c r="C1075" s="37"/>
      <c r="D1075" s="35"/>
    </row>
    <row r="1076" spans="3:4" x14ac:dyDescent="0.25">
      <c r="C1076" s="37"/>
      <c r="D1076" s="35"/>
    </row>
    <row r="1077" spans="3:4" x14ac:dyDescent="0.25">
      <c r="C1077" s="37"/>
      <c r="D1077" s="35"/>
    </row>
    <row r="1078" spans="3:4" x14ac:dyDescent="0.25">
      <c r="C1078" s="37"/>
      <c r="D1078" s="35"/>
    </row>
    <row r="1079" spans="3:4" x14ac:dyDescent="0.25">
      <c r="C1079" s="37"/>
      <c r="D1079" s="35"/>
    </row>
    <row r="1080" spans="3:4" x14ac:dyDescent="0.25">
      <c r="C1080" s="37"/>
      <c r="D1080" s="35"/>
    </row>
    <row r="1081" spans="3:4" x14ac:dyDescent="0.25">
      <c r="C1081" s="37"/>
      <c r="D1081" s="35"/>
    </row>
    <row r="1082" spans="3:4" x14ac:dyDescent="0.25">
      <c r="C1082" s="37"/>
      <c r="D1082" s="35"/>
    </row>
    <row r="1083" spans="3:4" x14ac:dyDescent="0.25">
      <c r="C1083" s="37"/>
      <c r="D1083" s="35"/>
    </row>
    <row r="1084" spans="3:4" x14ac:dyDescent="0.25">
      <c r="C1084" s="37"/>
      <c r="D1084" s="35"/>
    </row>
    <row r="1085" spans="3:4" x14ac:dyDescent="0.25">
      <c r="C1085" s="37"/>
      <c r="D1085" s="35"/>
    </row>
    <row r="1086" spans="3:4" x14ac:dyDescent="0.25">
      <c r="C1086" s="37"/>
      <c r="D1086" s="35"/>
    </row>
    <row r="1087" spans="3:4" x14ac:dyDescent="0.25">
      <c r="C1087" s="37"/>
      <c r="D1087" s="35"/>
    </row>
    <row r="1088" spans="3:4" x14ac:dyDescent="0.25">
      <c r="C1088" s="37"/>
      <c r="D1088" s="35"/>
    </row>
    <row r="1089" spans="3:4" x14ac:dyDescent="0.25">
      <c r="C1089" s="37"/>
      <c r="D1089" s="35"/>
    </row>
    <row r="1090" spans="3:4" x14ac:dyDescent="0.25">
      <c r="C1090" s="37"/>
      <c r="D1090" s="35"/>
    </row>
    <row r="1091" spans="3:4" x14ac:dyDescent="0.25">
      <c r="C1091" s="37"/>
      <c r="D1091" s="35"/>
    </row>
    <row r="1092" spans="3:4" x14ac:dyDescent="0.25">
      <c r="C1092" s="37"/>
      <c r="D1092" s="35"/>
    </row>
    <row r="1093" spans="3:4" x14ac:dyDescent="0.25">
      <c r="C1093" s="37"/>
      <c r="D1093" s="35"/>
    </row>
    <row r="1094" spans="3:4" x14ac:dyDescent="0.25">
      <c r="C1094" s="37"/>
      <c r="D1094" s="35"/>
    </row>
    <row r="1095" spans="3:4" x14ac:dyDescent="0.25">
      <c r="C1095" s="37"/>
      <c r="D1095" s="35"/>
    </row>
    <row r="1096" spans="3:4" x14ac:dyDescent="0.25">
      <c r="C1096" s="37"/>
      <c r="D1096" s="35"/>
    </row>
    <row r="1097" spans="3:4" x14ac:dyDescent="0.25">
      <c r="C1097" s="37"/>
      <c r="D1097" s="35"/>
    </row>
    <row r="1098" spans="3:4" x14ac:dyDescent="0.25">
      <c r="C1098" s="37"/>
      <c r="D1098" s="35"/>
    </row>
    <row r="1099" spans="3:4" x14ac:dyDescent="0.25">
      <c r="C1099" s="37"/>
      <c r="D1099" s="35"/>
    </row>
    <row r="1100" spans="3:4" x14ac:dyDescent="0.25">
      <c r="C1100" s="37"/>
      <c r="D1100" s="35"/>
    </row>
    <row r="1101" spans="3:4" x14ac:dyDescent="0.25">
      <c r="C1101" s="37"/>
      <c r="D1101" s="35"/>
    </row>
    <row r="1102" spans="3:4" x14ac:dyDescent="0.25">
      <c r="C1102" s="37"/>
      <c r="D1102" s="35"/>
    </row>
    <row r="1103" spans="3:4" x14ac:dyDescent="0.25">
      <c r="C1103" s="37"/>
      <c r="D1103" s="35"/>
    </row>
    <row r="1104" spans="3:4" x14ac:dyDescent="0.25">
      <c r="C1104" s="37"/>
      <c r="D1104" s="35"/>
    </row>
    <row r="1105" spans="3:4" x14ac:dyDescent="0.25">
      <c r="C1105" s="37"/>
      <c r="D1105" s="35"/>
    </row>
    <row r="1106" spans="3:4" x14ac:dyDescent="0.25">
      <c r="C1106" s="37"/>
      <c r="D1106" s="35"/>
    </row>
    <row r="1107" spans="3:4" x14ac:dyDescent="0.25">
      <c r="C1107" s="37"/>
      <c r="D1107" s="35"/>
    </row>
    <row r="1108" spans="3:4" x14ac:dyDescent="0.25">
      <c r="C1108" s="37"/>
      <c r="D1108" s="35"/>
    </row>
    <row r="1109" spans="3:4" x14ac:dyDescent="0.25">
      <c r="C1109" s="37"/>
      <c r="D1109" s="35"/>
    </row>
    <row r="1110" spans="3:4" x14ac:dyDescent="0.25">
      <c r="C1110" s="37"/>
      <c r="D1110" s="35"/>
    </row>
    <row r="1111" spans="3:4" x14ac:dyDescent="0.25">
      <c r="C1111" s="37"/>
      <c r="D1111" s="35"/>
    </row>
    <row r="1112" spans="3:4" x14ac:dyDescent="0.25">
      <c r="C1112" s="37"/>
      <c r="D1112" s="35"/>
    </row>
    <row r="1113" spans="3:4" x14ac:dyDescent="0.25">
      <c r="C1113" s="37"/>
      <c r="D1113" s="35"/>
    </row>
    <row r="1114" spans="3:4" x14ac:dyDescent="0.25">
      <c r="C1114" s="37"/>
      <c r="D1114" s="35"/>
    </row>
    <row r="1115" spans="3:4" x14ac:dyDescent="0.25">
      <c r="C1115" s="37"/>
      <c r="D1115" s="35"/>
    </row>
    <row r="1116" spans="3:4" x14ac:dyDescent="0.25">
      <c r="C1116" s="37"/>
      <c r="D1116" s="35"/>
    </row>
    <row r="1117" spans="3:4" x14ac:dyDescent="0.25">
      <c r="C1117" s="37"/>
      <c r="D1117" s="35"/>
    </row>
    <row r="1118" spans="3:4" x14ac:dyDescent="0.25">
      <c r="C1118" s="37"/>
      <c r="D1118" s="35"/>
    </row>
    <row r="1119" spans="3:4" x14ac:dyDescent="0.25">
      <c r="C1119" s="37"/>
      <c r="D1119" s="35"/>
    </row>
    <row r="1120" spans="3:4" x14ac:dyDescent="0.25">
      <c r="C1120" s="37"/>
      <c r="D1120" s="35"/>
    </row>
    <row r="1121" spans="3:4" x14ac:dyDescent="0.25">
      <c r="C1121" s="37"/>
      <c r="D1121" s="35"/>
    </row>
    <row r="1122" spans="3:4" x14ac:dyDescent="0.25">
      <c r="C1122" s="37"/>
      <c r="D1122" s="35"/>
    </row>
    <row r="1123" spans="3:4" x14ac:dyDescent="0.25">
      <c r="C1123" s="37"/>
      <c r="D1123" s="35"/>
    </row>
    <row r="1124" spans="3:4" x14ac:dyDescent="0.25">
      <c r="C1124" s="37"/>
      <c r="D1124" s="35"/>
    </row>
    <row r="1125" spans="3:4" x14ac:dyDescent="0.25">
      <c r="C1125" s="37"/>
      <c r="D1125" s="35"/>
    </row>
    <row r="1126" spans="3:4" x14ac:dyDescent="0.25">
      <c r="C1126" s="37"/>
      <c r="D1126" s="35"/>
    </row>
    <row r="1127" spans="3:4" x14ac:dyDescent="0.25">
      <c r="C1127" s="37"/>
      <c r="D1127" s="35"/>
    </row>
    <row r="1128" spans="3:4" x14ac:dyDescent="0.25">
      <c r="C1128" s="37"/>
      <c r="D1128" s="35"/>
    </row>
    <row r="1129" spans="3:4" x14ac:dyDescent="0.25">
      <c r="C1129" s="37"/>
      <c r="D1129" s="35"/>
    </row>
    <row r="1130" spans="3:4" x14ac:dyDescent="0.25">
      <c r="C1130" s="37"/>
      <c r="D1130" s="35"/>
    </row>
    <row r="1131" spans="3:4" x14ac:dyDescent="0.25">
      <c r="C1131" s="37"/>
      <c r="D1131" s="35"/>
    </row>
    <row r="1132" spans="3:4" x14ac:dyDescent="0.25">
      <c r="C1132" s="37"/>
      <c r="D1132" s="35"/>
    </row>
    <row r="1133" spans="3:4" x14ac:dyDescent="0.25">
      <c r="C1133" s="37"/>
      <c r="D1133" s="35"/>
    </row>
    <row r="1134" spans="3:4" x14ac:dyDescent="0.25">
      <c r="C1134" s="37"/>
      <c r="D1134" s="35"/>
    </row>
    <row r="1135" spans="3:4" x14ac:dyDescent="0.25">
      <c r="C1135" s="37"/>
      <c r="D1135" s="35"/>
    </row>
    <row r="1136" spans="3:4" x14ac:dyDescent="0.25">
      <c r="C1136" s="37"/>
      <c r="D1136" s="35"/>
    </row>
    <row r="1137" spans="3:4" x14ac:dyDescent="0.25">
      <c r="C1137" s="37"/>
      <c r="D1137" s="35"/>
    </row>
    <row r="1138" spans="3:4" x14ac:dyDescent="0.25">
      <c r="C1138" s="37"/>
      <c r="D1138" s="35"/>
    </row>
    <row r="1139" spans="3:4" x14ac:dyDescent="0.25">
      <c r="C1139" s="37"/>
      <c r="D1139" s="35"/>
    </row>
    <row r="1140" spans="3:4" x14ac:dyDescent="0.25">
      <c r="C1140" s="37"/>
      <c r="D1140" s="35"/>
    </row>
    <row r="1141" spans="3:4" x14ac:dyDescent="0.25">
      <c r="C1141" s="37"/>
      <c r="D1141" s="35"/>
    </row>
    <row r="1142" spans="3:4" x14ac:dyDescent="0.25">
      <c r="C1142" s="37"/>
      <c r="D1142" s="35"/>
    </row>
    <row r="1143" spans="3:4" x14ac:dyDescent="0.25">
      <c r="C1143" s="37"/>
      <c r="D1143" s="35"/>
    </row>
    <row r="1144" spans="3:4" x14ac:dyDescent="0.25">
      <c r="C1144" s="37"/>
      <c r="D1144" s="35"/>
    </row>
    <row r="1145" spans="3:4" x14ac:dyDescent="0.25">
      <c r="C1145" s="37"/>
      <c r="D1145" s="35"/>
    </row>
    <row r="1146" spans="3:4" x14ac:dyDescent="0.25">
      <c r="C1146" s="37"/>
      <c r="D1146" s="35"/>
    </row>
    <row r="1147" spans="3:4" x14ac:dyDescent="0.25">
      <c r="C1147" s="37"/>
      <c r="D1147" s="35"/>
    </row>
    <row r="1148" spans="3:4" x14ac:dyDescent="0.25">
      <c r="C1148" s="37"/>
      <c r="D1148" s="35"/>
    </row>
    <row r="1149" spans="3:4" x14ac:dyDescent="0.25">
      <c r="C1149" s="37"/>
      <c r="D1149" s="35"/>
    </row>
    <row r="1150" spans="3:4" x14ac:dyDescent="0.25">
      <c r="C1150" s="37"/>
      <c r="D1150" s="35"/>
    </row>
    <row r="1151" spans="3:4" x14ac:dyDescent="0.25">
      <c r="C1151" s="37"/>
      <c r="D1151" s="35"/>
    </row>
    <row r="1152" spans="3:4" x14ac:dyDescent="0.25">
      <c r="C1152" s="37"/>
      <c r="D1152" s="35"/>
    </row>
    <row r="1153" spans="3:4" x14ac:dyDescent="0.25">
      <c r="C1153" s="37"/>
      <c r="D1153" s="35"/>
    </row>
    <row r="1154" spans="3:4" x14ac:dyDescent="0.25">
      <c r="C1154" s="37"/>
      <c r="D1154" s="35"/>
    </row>
    <row r="1155" spans="3:4" x14ac:dyDescent="0.25">
      <c r="C1155" s="37"/>
      <c r="D1155" s="35"/>
    </row>
    <row r="1156" spans="3:4" x14ac:dyDescent="0.25">
      <c r="C1156" s="37"/>
      <c r="D1156" s="35"/>
    </row>
    <row r="1157" spans="3:4" x14ac:dyDescent="0.25">
      <c r="C1157" s="37"/>
      <c r="D1157" s="35"/>
    </row>
    <row r="1158" spans="3:4" x14ac:dyDescent="0.25">
      <c r="C1158" s="37"/>
      <c r="D1158" s="35"/>
    </row>
    <row r="1159" spans="3:4" x14ac:dyDescent="0.25">
      <c r="C1159" s="37"/>
      <c r="D1159" s="35"/>
    </row>
    <row r="1160" spans="3:4" x14ac:dyDescent="0.25">
      <c r="C1160" s="37"/>
      <c r="D1160" s="35"/>
    </row>
    <row r="1161" spans="3:4" x14ac:dyDescent="0.25">
      <c r="C1161" s="37"/>
      <c r="D1161" s="35"/>
    </row>
    <row r="1162" spans="3:4" x14ac:dyDescent="0.25">
      <c r="C1162" s="37"/>
      <c r="D1162" s="35"/>
    </row>
    <row r="1163" spans="3:4" x14ac:dyDescent="0.25">
      <c r="C1163" s="37"/>
      <c r="D1163" s="35"/>
    </row>
    <row r="1164" spans="3:4" x14ac:dyDescent="0.25">
      <c r="C1164" s="37"/>
      <c r="D1164" s="35"/>
    </row>
    <row r="1165" spans="3:4" x14ac:dyDescent="0.25">
      <c r="C1165" s="37"/>
      <c r="D1165" s="35"/>
    </row>
    <row r="1166" spans="3:4" x14ac:dyDescent="0.25">
      <c r="C1166" s="37"/>
      <c r="D1166" s="35"/>
    </row>
    <row r="1167" spans="3:4" x14ac:dyDescent="0.25">
      <c r="C1167" s="37"/>
      <c r="D1167" s="35"/>
    </row>
    <row r="1168" spans="3:4" x14ac:dyDescent="0.25">
      <c r="C1168" s="37"/>
      <c r="D1168" s="35"/>
    </row>
    <row r="1169" spans="3:4" x14ac:dyDescent="0.25">
      <c r="C1169" s="37"/>
      <c r="D1169" s="35"/>
    </row>
    <row r="1170" spans="3:4" x14ac:dyDescent="0.25">
      <c r="C1170" s="37"/>
      <c r="D1170" s="35"/>
    </row>
    <row r="1171" spans="3:4" x14ac:dyDescent="0.25">
      <c r="C1171" s="37"/>
      <c r="D1171" s="35"/>
    </row>
    <row r="1172" spans="3:4" x14ac:dyDescent="0.25">
      <c r="C1172" s="37"/>
      <c r="D1172" s="35"/>
    </row>
    <row r="1173" spans="3:4" x14ac:dyDescent="0.25">
      <c r="C1173" s="37"/>
      <c r="D1173" s="35"/>
    </row>
    <row r="1174" spans="3:4" x14ac:dyDescent="0.25">
      <c r="C1174" s="37"/>
      <c r="D1174" s="35"/>
    </row>
    <row r="1175" spans="3:4" x14ac:dyDescent="0.25">
      <c r="C1175" s="37"/>
      <c r="D1175" s="35"/>
    </row>
    <row r="1176" spans="3:4" x14ac:dyDescent="0.25">
      <c r="C1176" s="37"/>
      <c r="D1176" s="35"/>
    </row>
    <row r="1177" spans="3:4" x14ac:dyDescent="0.25">
      <c r="C1177" s="37"/>
      <c r="D1177" s="35"/>
    </row>
    <row r="1178" spans="3:4" x14ac:dyDescent="0.25">
      <c r="C1178" s="37"/>
      <c r="D1178" s="35"/>
    </row>
    <row r="1179" spans="3:4" x14ac:dyDescent="0.25">
      <c r="C1179" s="37"/>
      <c r="D1179" s="35"/>
    </row>
    <row r="1180" spans="3:4" x14ac:dyDescent="0.25">
      <c r="C1180" s="37"/>
      <c r="D1180" s="35"/>
    </row>
    <row r="1181" spans="3:4" x14ac:dyDescent="0.25">
      <c r="C1181" s="37"/>
      <c r="D1181" s="35"/>
    </row>
    <row r="1182" spans="3:4" x14ac:dyDescent="0.25">
      <c r="C1182" s="37"/>
      <c r="D1182" s="35"/>
    </row>
    <row r="1183" spans="3:4" x14ac:dyDescent="0.25">
      <c r="C1183" s="37"/>
      <c r="D1183" s="35"/>
    </row>
    <row r="1184" spans="3:4" x14ac:dyDescent="0.25">
      <c r="C1184" s="37"/>
      <c r="D1184" s="35"/>
    </row>
    <row r="1185" spans="3:4" x14ac:dyDescent="0.25">
      <c r="C1185" s="37"/>
      <c r="D1185" s="35"/>
    </row>
    <row r="1186" spans="3:4" x14ac:dyDescent="0.25">
      <c r="C1186" s="37"/>
      <c r="D1186" s="35"/>
    </row>
    <row r="1187" spans="3:4" x14ac:dyDescent="0.25">
      <c r="C1187" s="37"/>
      <c r="D1187" s="35"/>
    </row>
    <row r="1188" spans="3:4" x14ac:dyDescent="0.25">
      <c r="C1188" s="37"/>
      <c r="D1188" s="35"/>
    </row>
    <row r="1189" spans="3:4" x14ac:dyDescent="0.25">
      <c r="C1189" s="37"/>
      <c r="D1189" s="35"/>
    </row>
    <row r="1190" spans="3:4" x14ac:dyDescent="0.25">
      <c r="C1190" s="37"/>
      <c r="D1190" s="35"/>
    </row>
    <row r="1191" spans="3:4" x14ac:dyDescent="0.25">
      <c r="C1191" s="37"/>
      <c r="D1191" s="35"/>
    </row>
    <row r="1192" spans="3:4" x14ac:dyDescent="0.25">
      <c r="C1192" s="37"/>
      <c r="D1192" s="35"/>
    </row>
    <row r="1193" spans="3:4" x14ac:dyDescent="0.25">
      <c r="C1193" s="37"/>
      <c r="D1193" s="35"/>
    </row>
    <row r="1194" spans="3:4" x14ac:dyDescent="0.25">
      <c r="C1194" s="37"/>
      <c r="D1194" s="35"/>
    </row>
    <row r="1195" spans="3:4" x14ac:dyDescent="0.25">
      <c r="C1195" s="37"/>
      <c r="D1195" s="35"/>
    </row>
    <row r="1196" spans="3:4" x14ac:dyDescent="0.25">
      <c r="C1196" s="37"/>
      <c r="D1196" s="35"/>
    </row>
    <row r="1197" spans="3:4" x14ac:dyDescent="0.25">
      <c r="C1197" s="37"/>
      <c r="D1197" s="35"/>
    </row>
    <row r="1198" spans="3:4" x14ac:dyDescent="0.25">
      <c r="C1198" s="37"/>
      <c r="D1198" s="35"/>
    </row>
    <row r="1199" spans="3:4" x14ac:dyDescent="0.25">
      <c r="C1199" s="37"/>
      <c r="D1199" s="35"/>
    </row>
    <row r="1200" spans="3:4" x14ac:dyDescent="0.25">
      <c r="C1200" s="37"/>
      <c r="D1200" s="35"/>
    </row>
    <row r="1201" spans="3:4" x14ac:dyDescent="0.25">
      <c r="C1201" s="37"/>
      <c r="D1201" s="35"/>
    </row>
    <row r="1202" spans="3:4" x14ac:dyDescent="0.25">
      <c r="C1202" s="37"/>
      <c r="D1202" s="35"/>
    </row>
    <row r="1203" spans="3:4" x14ac:dyDescent="0.25">
      <c r="C1203" s="37"/>
      <c r="D1203" s="35"/>
    </row>
    <row r="1204" spans="3:4" x14ac:dyDescent="0.25">
      <c r="C1204" s="37"/>
      <c r="D1204" s="35"/>
    </row>
    <row r="1205" spans="3:4" x14ac:dyDescent="0.25">
      <c r="C1205" s="37"/>
      <c r="D1205" s="35"/>
    </row>
    <row r="1206" spans="3:4" x14ac:dyDescent="0.25">
      <c r="C1206" s="37"/>
      <c r="D1206" s="35"/>
    </row>
    <row r="1207" spans="3:4" x14ac:dyDescent="0.25">
      <c r="C1207" s="37"/>
      <c r="D1207" s="35"/>
    </row>
    <row r="1208" spans="3:4" x14ac:dyDescent="0.25">
      <c r="C1208" s="37"/>
      <c r="D1208" s="35"/>
    </row>
    <row r="1209" spans="3:4" x14ac:dyDescent="0.25">
      <c r="C1209" s="37"/>
      <c r="D1209" s="35"/>
    </row>
    <row r="1210" spans="3:4" x14ac:dyDescent="0.25">
      <c r="C1210" s="37"/>
      <c r="D1210" s="35"/>
    </row>
    <row r="1211" spans="3:4" x14ac:dyDescent="0.25">
      <c r="C1211" s="37"/>
      <c r="D1211" s="35"/>
    </row>
    <row r="1212" spans="3:4" x14ac:dyDescent="0.25">
      <c r="C1212" s="37"/>
      <c r="D1212" s="35"/>
    </row>
    <row r="1213" spans="3:4" x14ac:dyDescent="0.25">
      <c r="C1213" s="37"/>
      <c r="D1213" s="35"/>
    </row>
    <row r="1214" spans="3:4" x14ac:dyDescent="0.25">
      <c r="C1214" s="37"/>
      <c r="D1214" s="35"/>
    </row>
    <row r="1215" spans="3:4" x14ac:dyDescent="0.25">
      <c r="C1215" s="37"/>
      <c r="D1215" s="35"/>
    </row>
    <row r="1216" spans="3:4" x14ac:dyDescent="0.25">
      <c r="C1216" s="37"/>
      <c r="D1216" s="35"/>
    </row>
    <row r="1217" spans="3:4" x14ac:dyDescent="0.25">
      <c r="C1217" s="37"/>
      <c r="D1217" s="35"/>
    </row>
    <row r="1218" spans="3:4" x14ac:dyDescent="0.25">
      <c r="C1218" s="37"/>
      <c r="D1218" s="35"/>
    </row>
    <row r="1219" spans="3:4" x14ac:dyDescent="0.25">
      <c r="C1219" s="37"/>
      <c r="D1219" s="35"/>
    </row>
    <row r="1220" spans="3:4" x14ac:dyDescent="0.25">
      <c r="C1220" s="37"/>
      <c r="D1220" s="35"/>
    </row>
    <row r="1221" spans="3:4" x14ac:dyDescent="0.25">
      <c r="C1221" s="37"/>
      <c r="D1221" s="35"/>
    </row>
    <row r="1222" spans="3:4" x14ac:dyDescent="0.25">
      <c r="C1222" s="37"/>
      <c r="D1222" s="35"/>
    </row>
    <row r="1223" spans="3:4" x14ac:dyDescent="0.25">
      <c r="C1223" s="37"/>
      <c r="D1223" s="35"/>
    </row>
    <row r="1224" spans="3:4" x14ac:dyDescent="0.25">
      <c r="C1224" s="37"/>
      <c r="D1224" s="35"/>
    </row>
    <row r="1225" spans="3:4" x14ac:dyDescent="0.25">
      <c r="C1225" s="37"/>
      <c r="D1225" s="35"/>
    </row>
    <row r="1226" spans="3:4" x14ac:dyDescent="0.25">
      <c r="C1226" s="37"/>
      <c r="D1226" s="35"/>
    </row>
    <row r="1227" spans="3:4" x14ac:dyDescent="0.25">
      <c r="C1227" s="37"/>
      <c r="D1227" s="35"/>
    </row>
    <row r="1228" spans="3:4" x14ac:dyDescent="0.25">
      <c r="C1228" s="37"/>
      <c r="D1228" s="35"/>
    </row>
    <row r="1229" spans="3:4" x14ac:dyDescent="0.25">
      <c r="C1229" s="37"/>
      <c r="D1229" s="35"/>
    </row>
    <row r="1230" spans="3:4" x14ac:dyDescent="0.25">
      <c r="C1230" s="37"/>
      <c r="D1230" s="35"/>
    </row>
    <row r="1231" spans="3:4" x14ac:dyDescent="0.25">
      <c r="C1231" s="37"/>
      <c r="D1231" s="35"/>
    </row>
    <row r="1232" spans="3:4" x14ac:dyDescent="0.25">
      <c r="C1232" s="37"/>
      <c r="D1232" s="35"/>
    </row>
    <row r="1233" spans="3:4" x14ac:dyDescent="0.25">
      <c r="C1233" s="37"/>
      <c r="D1233" s="35"/>
    </row>
    <row r="1234" spans="3:4" x14ac:dyDescent="0.25">
      <c r="C1234" s="37"/>
      <c r="D1234" s="35"/>
    </row>
    <row r="1235" spans="3:4" x14ac:dyDescent="0.25">
      <c r="C1235" s="37"/>
      <c r="D1235" s="35"/>
    </row>
    <row r="1236" spans="3:4" x14ac:dyDescent="0.25">
      <c r="C1236" s="37"/>
      <c r="D1236" s="35"/>
    </row>
    <row r="1237" spans="3:4" x14ac:dyDescent="0.25">
      <c r="C1237" s="37"/>
      <c r="D1237" s="35"/>
    </row>
    <row r="1238" spans="3:4" x14ac:dyDescent="0.25">
      <c r="C1238" s="37"/>
      <c r="D1238" s="35"/>
    </row>
    <row r="1239" spans="3:4" x14ac:dyDescent="0.25">
      <c r="C1239" s="37"/>
      <c r="D1239" s="35"/>
    </row>
    <row r="1240" spans="3:4" x14ac:dyDescent="0.25">
      <c r="C1240" s="37"/>
      <c r="D1240" s="35"/>
    </row>
    <row r="1241" spans="3:4" x14ac:dyDescent="0.25">
      <c r="C1241" s="37"/>
      <c r="D1241" s="35"/>
    </row>
    <row r="1242" spans="3:4" x14ac:dyDescent="0.25">
      <c r="C1242" s="37"/>
      <c r="D1242" s="35"/>
    </row>
    <row r="1243" spans="3:4" x14ac:dyDescent="0.25">
      <c r="C1243" s="37"/>
      <c r="D1243" s="35"/>
    </row>
    <row r="1244" spans="3:4" x14ac:dyDescent="0.25">
      <c r="C1244" s="37"/>
      <c r="D1244" s="35"/>
    </row>
    <row r="1245" spans="3:4" x14ac:dyDescent="0.25">
      <c r="C1245" s="37"/>
      <c r="D1245" s="35"/>
    </row>
    <row r="1246" spans="3:4" x14ac:dyDescent="0.25">
      <c r="C1246" s="37"/>
      <c r="D1246" s="35"/>
    </row>
    <row r="1247" spans="3:4" x14ac:dyDescent="0.25">
      <c r="C1247" s="37"/>
      <c r="D1247" s="35"/>
    </row>
    <row r="1248" spans="3:4" x14ac:dyDescent="0.25">
      <c r="C1248" s="37"/>
      <c r="D1248" s="35"/>
    </row>
    <row r="1249" spans="3:4" x14ac:dyDescent="0.25">
      <c r="C1249" s="37"/>
      <c r="D1249" s="35"/>
    </row>
    <row r="1250" spans="3:4" x14ac:dyDescent="0.25">
      <c r="C1250" s="37"/>
      <c r="D1250" s="35"/>
    </row>
    <row r="1251" spans="3:4" x14ac:dyDescent="0.25">
      <c r="C1251" s="37"/>
      <c r="D1251" s="35"/>
    </row>
    <row r="1252" spans="3:4" x14ac:dyDescent="0.25">
      <c r="C1252" s="37"/>
      <c r="D1252" s="35"/>
    </row>
    <row r="1253" spans="3:4" x14ac:dyDescent="0.25">
      <c r="C1253" s="37"/>
      <c r="D1253" s="35"/>
    </row>
    <row r="1254" spans="3:4" x14ac:dyDescent="0.25">
      <c r="C1254" s="37"/>
      <c r="D1254" s="35"/>
    </row>
    <row r="1255" spans="3:4" x14ac:dyDescent="0.25">
      <c r="C1255" s="37"/>
      <c r="D1255" s="35"/>
    </row>
    <row r="1256" spans="3:4" x14ac:dyDescent="0.25">
      <c r="C1256" s="37"/>
      <c r="D1256" s="35"/>
    </row>
    <row r="1257" spans="3:4" x14ac:dyDescent="0.25">
      <c r="C1257" s="37"/>
      <c r="D1257" s="35"/>
    </row>
    <row r="1258" spans="3:4" x14ac:dyDescent="0.25">
      <c r="C1258" s="37"/>
      <c r="D1258" s="35"/>
    </row>
    <row r="1259" spans="3:4" x14ac:dyDescent="0.25">
      <c r="C1259" s="37"/>
      <c r="D1259" s="35"/>
    </row>
    <row r="1260" spans="3:4" x14ac:dyDescent="0.25">
      <c r="C1260" s="37"/>
      <c r="D1260" s="35"/>
    </row>
    <row r="1261" spans="3:4" x14ac:dyDescent="0.25">
      <c r="C1261" s="37"/>
      <c r="D1261" s="35"/>
    </row>
    <row r="1262" spans="3:4" x14ac:dyDescent="0.25">
      <c r="C1262" s="37"/>
      <c r="D1262" s="35"/>
    </row>
    <row r="1263" spans="3:4" x14ac:dyDescent="0.25">
      <c r="C1263" s="37"/>
      <c r="D1263" s="35"/>
    </row>
    <row r="1264" spans="3:4" x14ac:dyDescent="0.25">
      <c r="C1264" s="37"/>
      <c r="D1264" s="35"/>
    </row>
    <row r="1265" spans="3:4" x14ac:dyDescent="0.25">
      <c r="C1265" s="37"/>
      <c r="D1265" s="35"/>
    </row>
    <row r="1266" spans="3:4" x14ac:dyDescent="0.25">
      <c r="C1266" s="37"/>
      <c r="D1266" s="35"/>
    </row>
    <row r="1267" spans="3:4" x14ac:dyDescent="0.25">
      <c r="C1267" s="37"/>
      <c r="D1267" s="35"/>
    </row>
    <row r="1268" spans="3:4" x14ac:dyDescent="0.25">
      <c r="C1268" s="37"/>
      <c r="D1268" s="35"/>
    </row>
    <row r="1269" spans="3:4" x14ac:dyDescent="0.25">
      <c r="C1269" s="37"/>
      <c r="D1269" s="35"/>
    </row>
    <row r="1270" spans="3:4" x14ac:dyDescent="0.25">
      <c r="C1270" s="37"/>
      <c r="D1270" s="35"/>
    </row>
    <row r="1271" spans="3:4" x14ac:dyDescent="0.25">
      <c r="C1271" s="37"/>
      <c r="D1271" s="35"/>
    </row>
    <row r="1272" spans="3:4" x14ac:dyDescent="0.25">
      <c r="C1272" s="37"/>
      <c r="D1272" s="35"/>
    </row>
    <row r="1273" spans="3:4" x14ac:dyDescent="0.25">
      <c r="C1273" s="37"/>
      <c r="D1273" s="35"/>
    </row>
    <row r="1274" spans="3:4" x14ac:dyDescent="0.25">
      <c r="C1274" s="37"/>
      <c r="D1274" s="35"/>
    </row>
    <row r="1275" spans="3:4" x14ac:dyDescent="0.25">
      <c r="C1275" s="37"/>
      <c r="D1275" s="35"/>
    </row>
    <row r="1276" spans="3:4" x14ac:dyDescent="0.25">
      <c r="C1276" s="37"/>
      <c r="D1276" s="35"/>
    </row>
    <row r="1277" spans="3:4" x14ac:dyDescent="0.25">
      <c r="C1277" s="37"/>
      <c r="D1277" s="35"/>
    </row>
    <row r="1278" spans="3:4" x14ac:dyDescent="0.25">
      <c r="C1278" s="37"/>
      <c r="D1278" s="35"/>
    </row>
    <row r="1279" spans="3:4" x14ac:dyDescent="0.25">
      <c r="C1279" s="37"/>
      <c r="D1279" s="35"/>
    </row>
    <row r="1280" spans="3:4" x14ac:dyDescent="0.25">
      <c r="C1280" s="37"/>
      <c r="D1280" s="35"/>
    </row>
    <row r="1281" spans="3:4" x14ac:dyDescent="0.25">
      <c r="C1281" s="37"/>
      <c r="D1281" s="35"/>
    </row>
    <row r="1282" spans="3:4" x14ac:dyDescent="0.25">
      <c r="C1282" s="37"/>
      <c r="D1282" s="35"/>
    </row>
    <row r="1283" spans="3:4" x14ac:dyDescent="0.25">
      <c r="C1283" s="37"/>
      <c r="D1283" s="35"/>
    </row>
    <row r="1284" spans="3:4" x14ac:dyDescent="0.25">
      <c r="C1284" s="37"/>
      <c r="D1284" s="35"/>
    </row>
    <row r="1285" spans="3:4" x14ac:dyDescent="0.25">
      <c r="C1285" s="37"/>
      <c r="D1285" s="35"/>
    </row>
    <row r="1286" spans="3:4" x14ac:dyDescent="0.25">
      <c r="C1286" s="37"/>
      <c r="D1286" s="35"/>
    </row>
    <row r="1287" spans="3:4" x14ac:dyDescent="0.25">
      <c r="C1287" s="37"/>
      <c r="D1287" s="35"/>
    </row>
    <row r="1288" spans="3:4" x14ac:dyDescent="0.25">
      <c r="C1288" s="37"/>
      <c r="D1288" s="35"/>
    </row>
    <row r="1289" spans="3:4" x14ac:dyDescent="0.25">
      <c r="C1289" s="37"/>
      <c r="D1289" s="35"/>
    </row>
    <row r="1290" spans="3:4" x14ac:dyDescent="0.25">
      <c r="C1290" s="37"/>
      <c r="D1290" s="35"/>
    </row>
    <row r="1291" spans="3:4" x14ac:dyDescent="0.25">
      <c r="C1291" s="37"/>
      <c r="D1291" s="35"/>
    </row>
    <row r="1292" spans="3:4" x14ac:dyDescent="0.25">
      <c r="C1292" s="37"/>
      <c r="D1292" s="35"/>
    </row>
    <row r="1293" spans="3:4" x14ac:dyDescent="0.25">
      <c r="C1293" s="37"/>
      <c r="D1293" s="35"/>
    </row>
    <row r="1294" spans="3:4" x14ac:dyDescent="0.25">
      <c r="C1294" s="37"/>
      <c r="D1294" s="35"/>
    </row>
    <row r="1295" spans="3:4" x14ac:dyDescent="0.25">
      <c r="C1295" s="37"/>
      <c r="D1295" s="35"/>
    </row>
    <row r="1296" spans="3:4" x14ac:dyDescent="0.25">
      <c r="C1296" s="37"/>
      <c r="D1296" s="35"/>
    </row>
    <row r="1297" spans="3:4" x14ac:dyDescent="0.25">
      <c r="C1297" s="37"/>
      <c r="D1297" s="35"/>
    </row>
    <row r="1298" spans="3:4" x14ac:dyDescent="0.25">
      <c r="C1298" s="37"/>
      <c r="D1298" s="35"/>
    </row>
    <row r="1299" spans="3:4" x14ac:dyDescent="0.25">
      <c r="C1299" s="37"/>
      <c r="D1299" s="35"/>
    </row>
    <row r="1300" spans="3:4" x14ac:dyDescent="0.25">
      <c r="C1300" s="37"/>
      <c r="D1300" s="35"/>
    </row>
    <row r="1301" spans="3:4" x14ac:dyDescent="0.25">
      <c r="C1301" s="37"/>
      <c r="D1301" s="35"/>
    </row>
    <row r="1302" spans="3:4" x14ac:dyDescent="0.25">
      <c r="C1302" s="37"/>
      <c r="D1302" s="35"/>
    </row>
    <row r="1303" spans="3:4" x14ac:dyDescent="0.25">
      <c r="C1303" s="37"/>
      <c r="D1303" s="35"/>
    </row>
    <row r="1304" spans="3:4" x14ac:dyDescent="0.25">
      <c r="C1304" s="37"/>
      <c r="D1304" s="35"/>
    </row>
    <row r="1305" spans="3:4" x14ac:dyDescent="0.25">
      <c r="C1305" s="37"/>
      <c r="D1305" s="35"/>
    </row>
    <row r="1306" spans="3:4" x14ac:dyDescent="0.25">
      <c r="C1306" s="37"/>
      <c r="D1306" s="35"/>
    </row>
    <row r="1307" spans="3:4" x14ac:dyDescent="0.25">
      <c r="C1307" s="37"/>
      <c r="D1307" s="35"/>
    </row>
    <row r="1308" spans="3:4" x14ac:dyDescent="0.25">
      <c r="C1308" s="37"/>
      <c r="D1308" s="35"/>
    </row>
    <row r="1309" spans="3:4" x14ac:dyDescent="0.25">
      <c r="C1309" s="37"/>
      <c r="D1309" s="35"/>
    </row>
    <row r="1310" spans="3:4" x14ac:dyDescent="0.25">
      <c r="C1310" s="37"/>
      <c r="D1310" s="35"/>
    </row>
    <row r="1311" spans="3:4" x14ac:dyDescent="0.25">
      <c r="C1311" s="37"/>
      <c r="D1311" s="35"/>
    </row>
    <row r="1312" spans="3:4" x14ac:dyDescent="0.25">
      <c r="C1312" s="37"/>
      <c r="D1312" s="35"/>
    </row>
    <row r="1313" spans="3:4" x14ac:dyDescent="0.25">
      <c r="C1313" s="37"/>
      <c r="D1313" s="35"/>
    </row>
    <row r="1314" spans="3:4" x14ac:dyDescent="0.25">
      <c r="C1314" s="37"/>
      <c r="D1314" s="35"/>
    </row>
    <row r="1315" spans="3:4" x14ac:dyDescent="0.25">
      <c r="C1315" s="37"/>
      <c r="D1315" s="35"/>
    </row>
    <row r="1316" spans="3:4" x14ac:dyDescent="0.25">
      <c r="C1316" s="37"/>
      <c r="D1316" s="35"/>
    </row>
    <row r="1317" spans="3:4" x14ac:dyDescent="0.25">
      <c r="C1317" s="37"/>
      <c r="D1317" s="35"/>
    </row>
    <row r="1318" spans="3:4" x14ac:dyDescent="0.25">
      <c r="C1318" s="37"/>
      <c r="D1318" s="35"/>
    </row>
    <row r="1319" spans="3:4" x14ac:dyDescent="0.25">
      <c r="C1319" s="37"/>
      <c r="D1319" s="35"/>
    </row>
    <row r="1320" spans="3:4" x14ac:dyDescent="0.25">
      <c r="C1320" s="37"/>
      <c r="D1320" s="35"/>
    </row>
    <row r="1321" spans="3:4" x14ac:dyDescent="0.25">
      <c r="C1321" s="37"/>
      <c r="D1321" s="35"/>
    </row>
    <row r="1322" spans="3:4" x14ac:dyDescent="0.25">
      <c r="C1322" s="37"/>
      <c r="D1322" s="35"/>
    </row>
    <row r="1323" spans="3:4" x14ac:dyDescent="0.25">
      <c r="C1323" s="37"/>
      <c r="D1323" s="35"/>
    </row>
    <row r="1324" spans="3:4" x14ac:dyDescent="0.25">
      <c r="C1324" s="37"/>
      <c r="D1324" s="35"/>
    </row>
    <row r="1325" spans="3:4" x14ac:dyDescent="0.25">
      <c r="C1325" s="37"/>
      <c r="D1325" s="35"/>
    </row>
    <row r="1326" spans="3:4" x14ac:dyDescent="0.25">
      <c r="C1326" s="37"/>
      <c r="D1326" s="35"/>
    </row>
    <row r="1327" spans="3:4" x14ac:dyDescent="0.25">
      <c r="C1327" s="37"/>
      <c r="D1327" s="35"/>
    </row>
    <row r="1328" spans="3:4" x14ac:dyDescent="0.25">
      <c r="C1328" s="37"/>
      <c r="D1328" s="35"/>
    </row>
    <row r="1329" spans="3:4" x14ac:dyDescent="0.25">
      <c r="C1329" s="37"/>
      <c r="D1329" s="35"/>
    </row>
    <row r="1330" spans="3:4" x14ac:dyDescent="0.25">
      <c r="C1330" s="37"/>
      <c r="D1330" s="35"/>
    </row>
    <row r="1331" spans="3:4" x14ac:dyDescent="0.25">
      <c r="C1331" s="37"/>
      <c r="D1331" s="35"/>
    </row>
    <row r="1332" spans="3:4" x14ac:dyDescent="0.25">
      <c r="C1332" s="37"/>
      <c r="D1332" s="35"/>
    </row>
    <row r="1333" spans="3:4" x14ac:dyDescent="0.25">
      <c r="C1333" s="37"/>
      <c r="D1333" s="35"/>
    </row>
  </sheetData>
  <mergeCells count="18">
    <mergeCell ref="N29:O29"/>
    <mergeCell ref="D17:E17"/>
    <mergeCell ref="F17:G17"/>
    <mergeCell ref="H17:I17"/>
    <mergeCell ref="J17:K17"/>
    <mergeCell ref="L17:M17"/>
    <mergeCell ref="N17:O17"/>
    <mergeCell ref="D29:E29"/>
    <mergeCell ref="F29:G29"/>
    <mergeCell ref="H29:I29"/>
    <mergeCell ref="J29:K29"/>
    <mergeCell ref="L29:M29"/>
    <mergeCell ref="N2:O2"/>
    <mergeCell ref="D2:E2"/>
    <mergeCell ref="F2:G2"/>
    <mergeCell ref="H2:I2"/>
    <mergeCell ref="J2:K2"/>
    <mergeCell ref="L2:M2"/>
  </mergeCells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2E87E-F977-469E-9F53-68B488B83EFD}">
  <dimension ref="A1:AC1333"/>
  <sheetViews>
    <sheetView workbookViewId="0"/>
  </sheetViews>
  <sheetFormatPr defaultRowHeight="15" outlineLevelCol="1" x14ac:dyDescent="0.25"/>
  <cols>
    <col min="1" max="1" width="9.42578125" customWidth="1"/>
    <col min="2" max="2" width="25.140625" bestFit="1" customWidth="1"/>
    <col min="3" max="3" width="24.28515625" style="11" bestFit="1" customWidth="1"/>
    <col min="4" max="4" width="15.85546875" style="6" bestFit="1" customWidth="1"/>
    <col min="5" max="5" width="19.5703125" style="11" bestFit="1" customWidth="1"/>
    <col min="6" max="6" width="7.140625" style="6" bestFit="1" customWidth="1"/>
    <col min="7" max="7" width="19.5703125" style="11" bestFit="1" customWidth="1"/>
    <col min="8" max="8" width="9.140625" style="6"/>
    <col min="9" max="9" width="19.5703125" style="11" bestFit="1" customWidth="1"/>
    <col min="10" max="10" width="7.140625" style="6" bestFit="1" customWidth="1"/>
    <col min="11" max="11" width="18" style="11" bestFit="1" customWidth="1"/>
    <col min="12" max="12" width="7.140625" style="5" bestFit="1" customWidth="1"/>
    <col min="13" max="13" width="19.5703125" style="10" bestFit="1" customWidth="1"/>
    <col min="14" max="14" width="8.140625" style="10" bestFit="1" customWidth="1"/>
    <col min="15" max="15" width="19.5703125" style="10" customWidth="1"/>
    <col min="16" max="16" width="7.140625" bestFit="1" customWidth="1"/>
    <col min="17" max="18" width="7.140625" hidden="1" customWidth="1" outlineLevel="1"/>
    <col min="19" max="19" width="18" bestFit="1" customWidth="1" collapsed="1"/>
    <col min="20" max="20" width="16.85546875" bestFit="1" customWidth="1"/>
    <col min="21" max="21" width="18" bestFit="1" customWidth="1"/>
    <col min="22" max="22" width="16.85546875" bestFit="1" customWidth="1"/>
    <col min="23" max="23" width="15.28515625" bestFit="1" customWidth="1"/>
    <col min="25" max="25" width="7.85546875" bestFit="1" customWidth="1"/>
    <col min="26" max="26" width="11.140625" bestFit="1" customWidth="1"/>
    <col min="27" max="27" width="13.28515625" bestFit="1" customWidth="1"/>
    <col min="28" max="28" width="7.85546875" bestFit="1" customWidth="1"/>
    <col min="29" max="29" width="8.140625" bestFit="1" customWidth="1"/>
  </cols>
  <sheetData>
    <row r="1" spans="1:29" ht="9" customHeight="1" x14ac:dyDescent="0.25"/>
    <row r="2" spans="1:29" x14ac:dyDescent="0.25">
      <c r="B2" s="4" t="s">
        <v>1</v>
      </c>
      <c r="C2" s="9" t="s">
        <v>4</v>
      </c>
      <c r="D2" s="112" t="s">
        <v>7</v>
      </c>
      <c r="E2" s="112"/>
      <c r="F2" s="112" t="s">
        <v>8</v>
      </c>
      <c r="G2" s="112"/>
      <c r="H2" s="112" t="s">
        <v>10</v>
      </c>
      <c r="I2" s="112"/>
      <c r="J2" s="112" t="s">
        <v>9</v>
      </c>
      <c r="K2" s="112"/>
      <c r="L2" s="112" t="s">
        <v>21</v>
      </c>
      <c r="M2" s="112"/>
      <c r="N2" s="112" t="s">
        <v>55</v>
      </c>
      <c r="O2" s="112"/>
      <c r="Q2" s="1" t="s">
        <v>46</v>
      </c>
      <c r="S2" s="27" t="s">
        <v>49</v>
      </c>
      <c r="T2" s="27" t="s">
        <v>50</v>
      </c>
      <c r="U2" s="27" t="s">
        <v>51</v>
      </c>
      <c r="V2" s="27" t="s">
        <v>52</v>
      </c>
      <c r="W2" s="27" t="s">
        <v>53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</row>
    <row r="3" spans="1:29" x14ac:dyDescent="0.25">
      <c r="B3" s="21" t="s">
        <v>5</v>
      </c>
      <c r="C3" s="23"/>
      <c r="D3" s="26"/>
      <c r="E3" s="23">
        <f>D3*C3</f>
        <v>0</v>
      </c>
      <c r="F3" s="26"/>
      <c r="G3" s="22">
        <f>F3*C3</f>
        <v>0</v>
      </c>
      <c r="H3" s="26"/>
      <c r="I3" s="23">
        <f>H3*C3</f>
        <v>0</v>
      </c>
      <c r="J3" s="26"/>
      <c r="K3" s="23">
        <f>J3*C3</f>
        <v>0</v>
      </c>
      <c r="L3" s="24"/>
      <c r="M3" s="25">
        <f>L3*C3</f>
        <v>0</v>
      </c>
      <c r="N3" s="14"/>
      <c r="O3" s="12">
        <f>N3*C3</f>
        <v>0</v>
      </c>
      <c r="S3" s="12">
        <f>C3-'Mai23'!C3</f>
        <v>0</v>
      </c>
      <c r="T3" s="12">
        <f>E3-'Mai23'!E3</f>
        <v>0</v>
      </c>
      <c r="U3" s="12">
        <f>I3-'Mai23'!I3</f>
        <v>0</v>
      </c>
      <c r="V3" s="12">
        <f>K3-'Mai23'!K3</f>
        <v>0</v>
      </c>
      <c r="W3" s="12">
        <f>+M3-'Mai23'!M3</f>
        <v>0</v>
      </c>
      <c r="Y3" s="28">
        <f>D3-'Mai23'!D3</f>
        <v>0</v>
      </c>
      <c r="Z3" s="28">
        <f>F3-'Mai23'!F3</f>
        <v>0</v>
      </c>
      <c r="AA3" s="28">
        <f>H3-'Mai23'!H3</f>
        <v>0</v>
      </c>
      <c r="AB3" s="28">
        <f>J3-'Mai23'!J3</f>
        <v>0</v>
      </c>
      <c r="AC3" s="28">
        <f>L3-'Mai23'!L3</f>
        <v>0</v>
      </c>
    </row>
    <row r="4" spans="1:29" x14ac:dyDescent="0.25">
      <c r="B4" s="3" t="s">
        <v>0</v>
      </c>
      <c r="C4" s="12">
        <v>417938428</v>
      </c>
      <c r="D4" s="14">
        <v>0.39</v>
      </c>
      <c r="E4" s="12">
        <f t="shared" ref="E4:E11" si="0">D4*C4</f>
        <v>162995986.92000002</v>
      </c>
      <c r="F4" s="14">
        <v>0.08</v>
      </c>
      <c r="G4" s="12">
        <f t="shared" ref="G4:G12" si="1">F4*C4</f>
        <v>33435074.240000002</v>
      </c>
      <c r="H4" s="14">
        <f>0.42+0.03+0.02</f>
        <v>0.47</v>
      </c>
      <c r="I4" s="12">
        <f t="shared" ref="I4:I12" si="2">H4*C4</f>
        <v>196431061.16</v>
      </c>
      <c r="J4" s="14">
        <v>0.06</v>
      </c>
      <c r="K4" s="12">
        <f>J4*C4</f>
        <v>25076305.68</v>
      </c>
      <c r="L4" s="14"/>
      <c r="M4" s="12">
        <f>L4*C4</f>
        <v>0</v>
      </c>
      <c r="N4" s="14"/>
      <c r="O4" s="12">
        <f t="shared" ref="O4:O13" si="3">N4*C4</f>
        <v>0</v>
      </c>
      <c r="S4" s="12">
        <f>C4-'Mai23'!C4</f>
        <v>-912886136</v>
      </c>
      <c r="T4" s="12">
        <f>E4-'Mai23'!E4</f>
        <v>-276176119.19999999</v>
      </c>
      <c r="U4" s="12">
        <f>I4-'Mai23'!I4</f>
        <v>-495597712.12</v>
      </c>
      <c r="V4" s="12">
        <f>K4-'Mai23'!K4</f>
        <v>-54773168.160000004</v>
      </c>
      <c r="W4" s="12">
        <f>+M4-'Mai23'!M4</f>
        <v>0</v>
      </c>
      <c r="Y4" s="28">
        <f>D4-'Mai23'!D4</f>
        <v>0.06</v>
      </c>
      <c r="Z4" s="28">
        <f>F4-'Mai23'!F4</f>
        <v>-9.999999999999995E-3</v>
      </c>
      <c r="AA4" s="28">
        <f>H4-'Mai23'!H4</f>
        <v>-5.0000000000000044E-2</v>
      </c>
      <c r="AB4" s="28">
        <f>J4-'Mai23'!J4</f>
        <v>0</v>
      </c>
      <c r="AC4" s="28">
        <f>L4-'Mai23'!L4</f>
        <v>0</v>
      </c>
    </row>
    <row r="5" spans="1:29" x14ac:dyDescent="0.25">
      <c r="B5" s="3" t="s">
        <v>3</v>
      </c>
      <c r="C5" s="12">
        <v>1419065843.54</v>
      </c>
      <c r="D5" s="14">
        <v>0.36</v>
      </c>
      <c r="E5" s="12">
        <f t="shared" si="0"/>
        <v>510863703.67439997</v>
      </c>
      <c r="F5" s="14"/>
      <c r="G5" s="12">
        <f t="shared" si="1"/>
        <v>0</v>
      </c>
      <c r="H5" s="14">
        <f>0.36+0.11+0.02</f>
        <v>0.49</v>
      </c>
      <c r="I5" s="12">
        <f t="shared" si="2"/>
        <v>695342263.33459997</v>
      </c>
      <c r="J5" s="14">
        <v>0.06</v>
      </c>
      <c r="K5" s="12">
        <f t="shared" ref="K5:K7" si="4">J5*C5</f>
        <v>85143950.612399995</v>
      </c>
      <c r="L5" s="14">
        <v>0.08</v>
      </c>
      <c r="M5" s="12">
        <f>L5*C5</f>
        <v>113525267.4832</v>
      </c>
      <c r="N5" s="14">
        <v>0.01</v>
      </c>
      <c r="O5" s="12">
        <f t="shared" si="3"/>
        <v>14190658.4354</v>
      </c>
      <c r="S5" s="12">
        <f>C5-'Mai23'!C5</f>
        <v>-35539870.640000105</v>
      </c>
      <c r="T5" s="12">
        <f>E5-'Mai23'!E5</f>
        <v>-27340410.57220006</v>
      </c>
      <c r="U5" s="12">
        <f>I5-'Mai23'!I5</f>
        <v>-2868479.4718000889</v>
      </c>
      <c r="V5" s="12">
        <f>K5-'Mai23'!K5</f>
        <v>12413664.903399989</v>
      </c>
      <c r="W5" s="12">
        <f>+M5-'Mai23'!M5</f>
        <v>-17389246.792999998</v>
      </c>
      <c r="Y5" s="28">
        <f>D5-'Mai23'!D5</f>
        <v>-1.0000000000000009E-2</v>
      </c>
      <c r="Z5" s="28">
        <f>F5-'Mai23'!F5</f>
        <v>0</v>
      </c>
      <c r="AA5" s="28">
        <f>H5-'Mai23'!H5</f>
        <v>1.0000000000000009E-2</v>
      </c>
      <c r="AB5" s="28">
        <f>J5-'Mai23'!J5</f>
        <v>9.999999999999995E-3</v>
      </c>
      <c r="AC5" s="28">
        <f>L5-'Mai23'!L5</f>
        <v>-9.999999999999995E-3</v>
      </c>
    </row>
    <row r="6" spans="1:29" x14ac:dyDescent="0.25">
      <c r="B6" s="3" t="s">
        <v>37</v>
      </c>
      <c r="C6" s="12">
        <v>3127570704</v>
      </c>
      <c r="D6" s="14">
        <v>0.28189999999999998</v>
      </c>
      <c r="E6" s="12">
        <f t="shared" si="0"/>
        <v>881662181.4576</v>
      </c>
      <c r="F6" s="14">
        <v>0.19189999999999999</v>
      </c>
      <c r="G6" s="12">
        <f t="shared" si="1"/>
        <v>600180818.09759998</v>
      </c>
      <c r="H6" s="14">
        <f>0.4514+0.0311+0.0216</f>
        <v>0.50409999999999999</v>
      </c>
      <c r="I6" s="12">
        <f t="shared" si="2"/>
        <v>1576608391.8864</v>
      </c>
      <c r="J6" s="14"/>
      <c r="K6" s="12">
        <f t="shared" si="4"/>
        <v>0</v>
      </c>
      <c r="L6" s="14"/>
      <c r="M6" s="12">
        <f>L6*C6</f>
        <v>0</v>
      </c>
      <c r="N6" s="14">
        <v>2.1600000000000001E-2</v>
      </c>
      <c r="O6" s="12">
        <f t="shared" si="3"/>
        <v>67555527.206400007</v>
      </c>
      <c r="S6" s="12">
        <f>C6-'Mai23'!C6</f>
        <v>-419793887</v>
      </c>
      <c r="T6" s="12">
        <f>E6-'Mai23'!E6</f>
        <v>-218020841.75240004</v>
      </c>
      <c r="U6" s="12">
        <f>I6-'Mai23'!I6</f>
        <v>-37797233.477699995</v>
      </c>
      <c r="V6" s="12">
        <f>K6-'Mai23'!K6</f>
        <v>-89748324.1523</v>
      </c>
      <c r="W6" s="12">
        <f>+M6-'Mai23'!M6</f>
        <v>0</v>
      </c>
      <c r="Y6" s="28">
        <f>D6-'Mai23'!D6</f>
        <v>-2.8100000000000014E-2</v>
      </c>
      <c r="Z6" s="28">
        <f>F6-'Mai23'!F6</f>
        <v>1.3499999999999984E-2</v>
      </c>
      <c r="AA6" s="28">
        <f>H6-'Mai23'!H6</f>
        <v>4.8999999999999988E-2</v>
      </c>
      <c r="AB6" s="28">
        <f>J6-'Mai23'!J6</f>
        <v>-2.53E-2</v>
      </c>
      <c r="AC6" s="28">
        <f>L6-'Mai23'!L6</f>
        <v>0</v>
      </c>
    </row>
    <row r="7" spans="1:29" x14ac:dyDescent="0.25">
      <c r="B7" s="3" t="s">
        <v>22</v>
      </c>
      <c r="C7" s="12">
        <v>1126530000</v>
      </c>
      <c r="D7" s="14">
        <v>0.32800000000000001</v>
      </c>
      <c r="E7" s="12">
        <f t="shared" si="0"/>
        <v>369501840</v>
      </c>
      <c r="F7" s="14">
        <v>6.4000000000000001E-2</v>
      </c>
      <c r="G7" s="12">
        <f t="shared" si="1"/>
        <v>72097920</v>
      </c>
      <c r="H7" s="14">
        <v>0.54100000000000004</v>
      </c>
      <c r="I7" s="12">
        <f t="shared" si="2"/>
        <v>609452730</v>
      </c>
      <c r="J7" s="14">
        <v>6.8000000000000005E-2</v>
      </c>
      <c r="K7" s="12">
        <f t="shared" si="4"/>
        <v>76604040</v>
      </c>
      <c r="L7" s="16"/>
      <c r="M7" s="12">
        <f t="shared" ref="M7:M13" si="5">L7*C7</f>
        <v>0</v>
      </c>
      <c r="N7" s="14"/>
      <c r="O7" s="12">
        <f t="shared" si="3"/>
        <v>0</v>
      </c>
      <c r="S7" s="12">
        <f>C7-'Mai23'!C7</f>
        <v>-75850000</v>
      </c>
      <c r="T7" s="12">
        <f>E7-'Mai23'!E7</f>
        <v>-48926400</v>
      </c>
      <c r="U7" s="12">
        <f>I7-'Mai23'!I7</f>
        <v>-26606290</v>
      </c>
      <c r="V7" s="12">
        <f>K7-'Mai23'!K7</f>
        <v>-6360180</v>
      </c>
      <c r="W7" s="12">
        <f>+M7-'Mai23'!M7</f>
        <v>0</v>
      </c>
      <c r="Y7" s="28">
        <f>D7-'Mai23'!D7</f>
        <v>-1.9999999999999962E-2</v>
      </c>
      <c r="Z7" s="28">
        <f>F7-'Mai23'!F7</f>
        <v>9.0000000000000011E-3</v>
      </c>
      <c r="AA7" s="28">
        <f>H7-'Mai23'!H7</f>
        <v>1.2000000000000011E-2</v>
      </c>
      <c r="AB7" s="28">
        <f>J7-'Mai23'!J7</f>
        <v>-1.0000000000000009E-3</v>
      </c>
      <c r="AC7" s="28">
        <f>L7-'Mai23'!L7</f>
        <v>0</v>
      </c>
    </row>
    <row r="8" spans="1:29" x14ac:dyDescent="0.25">
      <c r="B8" s="3" t="s">
        <v>23</v>
      </c>
      <c r="C8" s="12">
        <v>1266257133.0999999</v>
      </c>
      <c r="D8" s="14">
        <v>0.14000000000000001</v>
      </c>
      <c r="E8" s="12">
        <f t="shared" si="0"/>
        <v>177275998.634</v>
      </c>
      <c r="F8" s="14">
        <v>0.3</v>
      </c>
      <c r="G8" s="12">
        <f t="shared" si="1"/>
        <v>379877139.92999995</v>
      </c>
      <c r="H8" s="14">
        <v>0.45500000000000002</v>
      </c>
      <c r="I8" s="12">
        <f t="shared" si="2"/>
        <v>576146995.56050003</v>
      </c>
      <c r="J8" s="14">
        <v>7.4999999999999997E-2</v>
      </c>
      <c r="K8" s="12">
        <f>J8*C8</f>
        <v>94969284.982499987</v>
      </c>
      <c r="L8" s="16"/>
      <c r="M8" s="12">
        <f t="shared" si="5"/>
        <v>0</v>
      </c>
      <c r="N8" s="14">
        <v>0.03</v>
      </c>
      <c r="O8" s="12">
        <f t="shared" si="3"/>
        <v>37987713.992999993</v>
      </c>
      <c r="S8" s="12">
        <f>C8-'Mai23'!C8</f>
        <v>-65350325.2900002</v>
      </c>
      <c r="T8" s="12">
        <f>E8-'Mai23'!E8</f>
        <v>-35781194.708400011</v>
      </c>
      <c r="U8" s="12">
        <f>I8-'Mai23'!I8</f>
        <v>-36392435.298900008</v>
      </c>
      <c r="V8" s="12">
        <f>K8-'Mai23'!K8</f>
        <v>-11559311.68870002</v>
      </c>
      <c r="W8" s="12">
        <f>+M8-'Mai23'!M8</f>
        <v>0</v>
      </c>
      <c r="Y8" s="28">
        <f>D8-'Mai23'!D8</f>
        <v>-1.999999999999999E-2</v>
      </c>
      <c r="Z8" s="28">
        <f>F8-'Mai23'!F8</f>
        <v>0</v>
      </c>
      <c r="AA8" s="28">
        <f>H8-'Mai23'!H8</f>
        <v>-5.0000000000000044E-3</v>
      </c>
      <c r="AB8" s="28">
        <f>J8-'Mai23'!J8</f>
        <v>-5.0000000000000044E-3</v>
      </c>
      <c r="AC8" s="28">
        <f>L8-'Mai23'!L8</f>
        <v>0</v>
      </c>
    </row>
    <row r="9" spans="1:29" x14ac:dyDescent="0.25">
      <c r="B9" s="3" t="s">
        <v>24</v>
      </c>
      <c r="C9" s="12">
        <v>2321573228</v>
      </c>
      <c r="D9" s="14">
        <v>0.29820000000000002</v>
      </c>
      <c r="E9" s="12">
        <f t="shared" si="0"/>
        <v>692293136.58960009</v>
      </c>
      <c r="F9" s="14">
        <v>0.17860000000000001</v>
      </c>
      <c r="G9" s="12">
        <f t="shared" si="1"/>
        <v>414632978.52079999</v>
      </c>
      <c r="H9" s="14">
        <v>0.46750000000000003</v>
      </c>
      <c r="I9" s="12">
        <f t="shared" si="2"/>
        <v>1085335484.0900002</v>
      </c>
      <c r="J9" s="14">
        <v>4.1500000000000002E-2</v>
      </c>
      <c r="K9" s="12">
        <f>J9*C9</f>
        <v>96345288.962000012</v>
      </c>
      <c r="L9" s="14"/>
      <c r="M9" s="12">
        <f t="shared" si="5"/>
        <v>0</v>
      </c>
      <c r="N9" s="14">
        <v>1.4200000000000001E-2</v>
      </c>
      <c r="O9" s="12">
        <f t="shared" si="3"/>
        <v>32966339.8376</v>
      </c>
      <c r="S9" s="12">
        <f>C9-'Mai23'!C9</f>
        <v>-156808294</v>
      </c>
      <c r="T9" s="12">
        <f>E9-'Mai23'!E9</f>
        <v>576853.79940009117</v>
      </c>
      <c r="U9" s="12">
        <f>I9-'Mai23'!I9</f>
        <v>-127832270.9289999</v>
      </c>
      <c r="V9" s="12">
        <f>K9-'Mai23'!K9</f>
        <v>-1302943.0047999769</v>
      </c>
      <c r="W9" s="12">
        <f>+M9-'Mai23'!M9</f>
        <v>-34945179.460199997</v>
      </c>
      <c r="Y9" s="28">
        <f>D9-'Mai23'!D9</f>
        <v>1.9100000000000006E-2</v>
      </c>
      <c r="Z9" s="28">
        <f>F9-'Mai23'!F9</f>
        <v>7.0000000000000617E-4</v>
      </c>
      <c r="AA9" s="28">
        <f>H9-'Mai23'!H9</f>
        <v>-2.1999999999999964E-2</v>
      </c>
      <c r="AB9" s="28">
        <f>J9-'Mai23'!J9</f>
        <v>2.1000000000000046E-3</v>
      </c>
      <c r="AC9" s="28">
        <f>L9-'Mai23'!L9</f>
        <v>-1.41E-2</v>
      </c>
    </row>
    <row r="10" spans="1:29" x14ac:dyDescent="0.25">
      <c r="B10" s="3" t="s">
        <v>25</v>
      </c>
      <c r="C10" s="12">
        <v>474782938</v>
      </c>
      <c r="D10" s="14">
        <v>0.31</v>
      </c>
      <c r="E10" s="12">
        <f t="shared" si="0"/>
        <v>147182710.78</v>
      </c>
      <c r="F10" s="14">
        <v>0.18</v>
      </c>
      <c r="G10" s="12">
        <f t="shared" si="1"/>
        <v>85460928.840000004</v>
      </c>
      <c r="H10" s="14">
        <v>0.43</v>
      </c>
      <c r="I10" s="12">
        <f t="shared" si="2"/>
        <v>204156663.34</v>
      </c>
      <c r="J10" s="14">
        <v>0.08</v>
      </c>
      <c r="K10" s="12">
        <f>J10*C10</f>
        <v>37982635.039999999</v>
      </c>
      <c r="L10" s="16"/>
      <c r="M10" s="12">
        <f t="shared" si="5"/>
        <v>0</v>
      </c>
      <c r="N10" s="14"/>
      <c r="O10" s="12">
        <f t="shared" si="3"/>
        <v>0</v>
      </c>
      <c r="S10" s="12">
        <f>C10-'Mai23'!C10</f>
        <v>-75219558</v>
      </c>
      <c r="T10" s="12">
        <f>E10-'Mai23'!E10</f>
        <v>-45318162.819999993</v>
      </c>
      <c r="U10" s="12">
        <f>I10-'Mai23'!I10</f>
        <v>-26844384.979999989</v>
      </c>
      <c r="V10" s="12">
        <f>K10-'Mai23'!K10</f>
        <v>-517539.68000000715</v>
      </c>
      <c r="W10" s="12">
        <f>+M10-'Mai23'!M10</f>
        <v>0</v>
      </c>
      <c r="Y10" s="28">
        <f>D10-'Mai23'!D10</f>
        <v>-3.999999999999998E-2</v>
      </c>
      <c r="Z10" s="28">
        <f>F10-'Mai23'!F10</f>
        <v>1.999999999999999E-2</v>
      </c>
      <c r="AA10" s="28">
        <f>H10-'Mai23'!H10</f>
        <v>1.0000000000000009E-2</v>
      </c>
      <c r="AB10" s="28">
        <f>J10-'Mai23'!J10</f>
        <v>9.999999999999995E-3</v>
      </c>
      <c r="AC10" s="28">
        <f>L10-'Mai23'!L10</f>
        <v>0</v>
      </c>
    </row>
    <row r="11" spans="1:29" x14ac:dyDescent="0.25">
      <c r="B11" s="3" t="s">
        <v>29</v>
      </c>
      <c r="C11" s="12">
        <v>3056181444</v>
      </c>
      <c r="D11" s="14">
        <v>0.25700000000000001</v>
      </c>
      <c r="E11" s="12">
        <f t="shared" si="0"/>
        <v>785438631.10800004</v>
      </c>
      <c r="F11" s="14">
        <v>0.249</v>
      </c>
      <c r="G11" s="12">
        <f t="shared" si="1"/>
        <v>760989179.55599999</v>
      </c>
      <c r="H11" s="14">
        <f>0.434+0.014</f>
        <v>0.44800000000000001</v>
      </c>
      <c r="I11" s="12">
        <f t="shared" si="2"/>
        <v>1369169286.9119999</v>
      </c>
      <c r="J11" s="14">
        <v>4.5999999999999999E-2</v>
      </c>
      <c r="K11" s="12">
        <f>J11*C11</f>
        <v>140584346.42399999</v>
      </c>
      <c r="L11" s="16"/>
      <c r="M11" s="12">
        <f t="shared" si="5"/>
        <v>0</v>
      </c>
      <c r="N11" s="14"/>
      <c r="O11" s="12">
        <f t="shared" si="3"/>
        <v>0</v>
      </c>
      <c r="S11" s="12">
        <f>C11-'Mai23'!C11</f>
        <v>-52562941</v>
      </c>
      <c r="T11" s="12">
        <f>E11-'Mai23'!E11</f>
        <v>-109879751.77199984</v>
      </c>
      <c r="U11" s="12">
        <f>I11-'Mai23'!I11</f>
        <v>107019066.60199976</v>
      </c>
      <c r="V11" s="12">
        <f>K11-'Mai23'!K11</f>
        <v>6908337.8690000027</v>
      </c>
      <c r="W11" s="12">
        <f>+M11-'Mai23'!M11</f>
        <v>0</v>
      </c>
      <c r="Y11" s="28">
        <f>D11-'Mai23'!D11</f>
        <v>-3.0999999999999972E-2</v>
      </c>
      <c r="Z11" s="28">
        <f>F11-'Mai23'!F11</f>
        <v>-1.4000000000000012E-2</v>
      </c>
      <c r="AA11" s="28">
        <f>H11-'Mai23'!H11</f>
        <v>4.1999999999999982E-2</v>
      </c>
      <c r="AB11" s="28">
        <f>J11-'Mai23'!J11</f>
        <v>3.0000000000000027E-3</v>
      </c>
      <c r="AC11" s="28">
        <f>L11-'Mai23'!L11</f>
        <v>0</v>
      </c>
    </row>
    <row r="12" spans="1:29" x14ac:dyDescent="0.25">
      <c r="B12" s="3" t="s">
        <v>47</v>
      </c>
      <c r="C12" s="12">
        <v>1213562119.01</v>
      </c>
      <c r="D12" s="14">
        <v>0.67</v>
      </c>
      <c r="E12" s="12">
        <f>D12*C12</f>
        <v>813086619.73670006</v>
      </c>
      <c r="F12" s="14">
        <v>5.7000000000000002E-2</v>
      </c>
      <c r="G12" s="12">
        <f t="shared" si="1"/>
        <v>69173040.783570006</v>
      </c>
      <c r="H12" s="14">
        <f>1-0.67-0.057</f>
        <v>0.27299999999999996</v>
      </c>
      <c r="I12" s="12">
        <f t="shared" si="2"/>
        <v>331302458.48972994</v>
      </c>
      <c r="J12" s="14"/>
      <c r="K12" s="12"/>
      <c r="L12" s="16"/>
      <c r="M12" s="12">
        <f>L12*C12</f>
        <v>0</v>
      </c>
      <c r="N12" s="14"/>
      <c r="O12" s="12">
        <f>N12*C12</f>
        <v>0</v>
      </c>
      <c r="Q12" t="s">
        <v>48</v>
      </c>
      <c r="S12" s="12">
        <f>C12-'Mai23'!C12</f>
        <v>1213562119.01</v>
      </c>
      <c r="T12" s="12">
        <f>E12-'Mai23'!E12</f>
        <v>813086619.73670006</v>
      </c>
      <c r="U12" s="12">
        <f>I12-'Mai23'!I12</f>
        <v>331302458.48972994</v>
      </c>
      <c r="V12" s="12">
        <f>K12-'Mai23'!K12</f>
        <v>0</v>
      </c>
      <c r="W12" s="12">
        <f>+M12-'Mai23'!M12</f>
        <v>0</v>
      </c>
      <c r="Y12" s="28">
        <f>D12-'Mai23'!D12</f>
        <v>0.67</v>
      </c>
      <c r="Z12" s="28">
        <f>F12-'Mai23'!F12</f>
        <v>5.7000000000000002E-2</v>
      </c>
      <c r="AA12" s="28">
        <f>H12-'Mai23'!H12</f>
        <v>0.27299999999999996</v>
      </c>
      <c r="AB12" s="28">
        <f>J12-'Mai23'!J12</f>
        <v>0</v>
      </c>
      <c r="AC12" s="28">
        <f>L12-'Mai23'!L12</f>
        <v>0</v>
      </c>
    </row>
    <row r="13" spans="1:29" x14ac:dyDescent="0.25">
      <c r="B13" s="3" t="s">
        <v>30</v>
      </c>
      <c r="C13" s="12">
        <v>1420030000</v>
      </c>
      <c r="D13" s="14">
        <v>0.28000000000000003</v>
      </c>
      <c r="E13" s="12">
        <f t="shared" ref="E13" si="6">D13*C13</f>
        <v>397608400.00000006</v>
      </c>
      <c r="F13" s="14">
        <v>0.22</v>
      </c>
      <c r="G13" s="12">
        <f t="shared" ref="G13" si="7">F13*C13</f>
        <v>312406600</v>
      </c>
      <c r="H13" s="14">
        <v>0.49</v>
      </c>
      <c r="I13" s="12">
        <f t="shared" ref="I13" si="8">H13*C13</f>
        <v>695814700</v>
      </c>
      <c r="J13" s="14">
        <v>0.01</v>
      </c>
      <c r="K13" s="12">
        <f t="shared" ref="K13" si="9">J13*C13</f>
        <v>14200300</v>
      </c>
      <c r="L13" s="16"/>
      <c r="M13" s="12">
        <f t="shared" si="5"/>
        <v>0</v>
      </c>
      <c r="N13" s="14"/>
      <c r="O13" s="12">
        <f t="shared" si="3"/>
        <v>0</v>
      </c>
      <c r="S13" s="12">
        <f>C13-'Mai23'!C13</f>
        <v>237380000</v>
      </c>
      <c r="T13" s="12">
        <f>E13-'Mai23'!E13</f>
        <v>101945900.00000006</v>
      </c>
      <c r="U13" s="12">
        <f>I13-'Mai23'!I13</f>
        <v>139969200</v>
      </c>
      <c r="V13" s="12">
        <f>K13-'Mai23'!K13</f>
        <v>2373800</v>
      </c>
      <c r="W13" s="12">
        <f>+M13-'Mai23'!M13</f>
        <v>0</v>
      </c>
      <c r="Y13" s="28">
        <f>D13-'Mai23'!D13</f>
        <v>3.0000000000000027E-2</v>
      </c>
      <c r="Z13" s="28">
        <f>F13-'Mai23'!F13</f>
        <v>-5.0000000000000017E-2</v>
      </c>
      <c r="AA13" s="28">
        <f>H13-'Mai23'!H13</f>
        <v>2.0000000000000018E-2</v>
      </c>
      <c r="AB13" s="28">
        <f>J13-'Mai23'!J13</f>
        <v>0</v>
      </c>
      <c r="AC13" s="28">
        <f>L13-'Mai23'!L13</f>
        <v>0</v>
      </c>
    </row>
    <row r="14" spans="1:29" x14ac:dyDescent="0.25">
      <c r="B14" s="3" t="s">
        <v>31</v>
      </c>
      <c r="C14" s="12">
        <v>37255317.710000001</v>
      </c>
      <c r="D14" s="14">
        <v>0.35799999999999998</v>
      </c>
      <c r="E14" s="18">
        <f>D14*C14</f>
        <v>13337403.740180001</v>
      </c>
      <c r="F14" s="14">
        <v>0.13800000000000001</v>
      </c>
      <c r="G14" s="12">
        <f>F14*C14</f>
        <v>5141233.8439800004</v>
      </c>
      <c r="H14" s="19">
        <v>0.45900000000000002</v>
      </c>
      <c r="I14" s="18">
        <f>H14*C14</f>
        <v>17100190.82889</v>
      </c>
      <c r="J14" s="14">
        <v>4.5999999999999999E-2</v>
      </c>
      <c r="K14" s="12">
        <f>J14*C14</f>
        <v>1713744.61466</v>
      </c>
      <c r="L14" s="16"/>
      <c r="M14" s="12">
        <f>L14*C14</f>
        <v>0</v>
      </c>
      <c r="N14" s="14"/>
      <c r="O14" s="12">
        <f>N14*C14</f>
        <v>0</v>
      </c>
      <c r="S14" s="12">
        <f>C14-'Mai23'!C14</f>
        <v>-1497388.8299999982</v>
      </c>
      <c r="T14" s="12">
        <f>E14-'Mai23'!E14</f>
        <v>-1853657.2235000003</v>
      </c>
      <c r="U14" s="12">
        <f>I14-'Mai23'!I14</f>
        <v>591537.84284999967</v>
      </c>
      <c r="V14" s="12">
        <f>K14-'Mai23'!K14</f>
        <v>-185138.00580000016</v>
      </c>
      <c r="W14" s="12">
        <f>+M14-'Mai23'!M14</f>
        <v>0</v>
      </c>
      <c r="Y14" s="28">
        <f>D14-'Mai23'!D14</f>
        <v>-3.400000000000003E-2</v>
      </c>
      <c r="Z14" s="28">
        <f>F14-'Mai23'!F14</f>
        <v>5.0000000000000044E-3</v>
      </c>
      <c r="AA14" s="28">
        <f>H14-'Mai23'!H14</f>
        <v>3.3000000000000029E-2</v>
      </c>
      <c r="AB14" s="28">
        <f>J14-'Mai23'!J14</f>
        <v>-3.0000000000000027E-3</v>
      </c>
      <c r="AC14" s="28">
        <f>L14-'Mai23'!L14</f>
        <v>0</v>
      </c>
    </row>
    <row r="15" spans="1:29" s="8" customFormat="1" x14ac:dyDescent="0.25">
      <c r="A15"/>
      <c r="B15" s="21" t="s">
        <v>45</v>
      </c>
      <c r="C15" s="20">
        <f>SUM(C3:C14)</f>
        <v>15880747155.359999</v>
      </c>
      <c r="D15" s="15">
        <f>+E15/$C15</f>
        <v>0.31177667928359143</v>
      </c>
      <c r="E15" s="17">
        <f>SUM(E3:E14)</f>
        <v>4951246612.640481</v>
      </c>
      <c r="F15" s="15">
        <f>+G15/$C15</f>
        <v>0.17212004492429606</v>
      </c>
      <c r="G15" s="20">
        <f>SUM(G3:G14)</f>
        <v>2733394913.8119497</v>
      </c>
      <c r="H15" s="15">
        <f>+I15/$C15</f>
        <v>0.46325655547755917</v>
      </c>
      <c r="I15" s="17">
        <f>SUM(I3:I14)</f>
        <v>7356860225.6021194</v>
      </c>
      <c r="J15" s="15">
        <f>+K15/$C15</f>
        <v>3.6057490917377394E-2</v>
      </c>
      <c r="K15" s="17">
        <f>SUM(K3:K14)</f>
        <v>572619896.31555998</v>
      </c>
      <c r="L15" s="15">
        <f>+M15/$C15</f>
        <v>7.1486099723515502E-3</v>
      </c>
      <c r="M15" s="17">
        <f>SUM(M3:M14)</f>
        <v>113525267.4832</v>
      </c>
      <c r="N15" s="15">
        <f>+O15/$C15</f>
        <v>9.615431690873642E-3</v>
      </c>
      <c r="O15" s="17">
        <f>SUM(O3:O14)</f>
        <v>152700239.47239998</v>
      </c>
      <c r="S15" s="12">
        <f>C15-'Mai23'!C15</f>
        <v>-344566281.75000191</v>
      </c>
      <c r="T15" s="12">
        <f>E15-'Mai23'!E15</f>
        <v>152312835.48760128</v>
      </c>
      <c r="U15" s="12">
        <f>I15-'Mai23'!I15</f>
        <v>-175056543.34282112</v>
      </c>
      <c r="V15" s="12">
        <f>K15-'Mai23'!K15</f>
        <v>-142750801.91920006</v>
      </c>
      <c r="W15" s="12">
        <f>+M15-'Mai23'!M15</f>
        <v>-52334426.253200009</v>
      </c>
      <c r="Y15" s="28">
        <f>D15-'Mai23'!D15</f>
        <v>1.6008354329269336E-2</v>
      </c>
      <c r="Z15" s="28">
        <f>F15-'Mai23'!F15</f>
        <v>-5.9480742438620116E-3</v>
      </c>
      <c r="AA15" s="28">
        <f>H15-'Mai23'!H15</f>
        <v>-9.5122689527249449E-4</v>
      </c>
      <c r="AB15" s="28">
        <f>J15-'Mai23'!J15</f>
        <v>-8.0323013080589312E-3</v>
      </c>
      <c r="AC15" s="28">
        <f>L15-'Mai23'!L15</f>
        <v>-3.0736698239235225E-3</v>
      </c>
    </row>
    <row r="16" spans="1:29" x14ac:dyDescent="0.25">
      <c r="C16" s="10"/>
      <c r="D16" s="10"/>
      <c r="E16" s="10"/>
      <c r="F16" s="5"/>
      <c r="G16" s="10"/>
      <c r="H16" s="10"/>
      <c r="I16" s="10"/>
      <c r="J16" s="5"/>
      <c r="K16" s="10"/>
    </row>
    <row r="17" spans="1:29" x14ac:dyDescent="0.25">
      <c r="B17" s="4" t="s">
        <v>2</v>
      </c>
      <c r="C17" s="9" t="s">
        <v>4</v>
      </c>
      <c r="D17" s="112" t="s">
        <v>7</v>
      </c>
      <c r="E17" s="112"/>
      <c r="F17" s="112" t="s">
        <v>8</v>
      </c>
      <c r="G17" s="112"/>
      <c r="H17" s="112" t="s">
        <v>10</v>
      </c>
      <c r="I17" s="112"/>
      <c r="J17" s="112" t="s">
        <v>9</v>
      </c>
      <c r="K17" s="112"/>
      <c r="L17" s="112" t="s">
        <v>21</v>
      </c>
      <c r="M17" s="112"/>
      <c r="N17" s="112" t="s">
        <v>55</v>
      </c>
      <c r="O17" s="112"/>
      <c r="S17" s="27" t="s">
        <v>49</v>
      </c>
      <c r="T17" s="27" t="s">
        <v>50</v>
      </c>
      <c r="U17" s="27" t="s">
        <v>51</v>
      </c>
      <c r="V17" s="27" t="s">
        <v>52</v>
      </c>
      <c r="W17" s="27" t="s">
        <v>53</v>
      </c>
      <c r="Y17" s="27" t="s">
        <v>49</v>
      </c>
      <c r="Z17" s="27" t="s">
        <v>50</v>
      </c>
      <c r="AA17" s="27" t="s">
        <v>51</v>
      </c>
      <c r="AB17" s="27" t="s">
        <v>52</v>
      </c>
      <c r="AC17" s="27" t="s">
        <v>53</v>
      </c>
    </row>
    <row r="18" spans="1:29" x14ac:dyDescent="0.25">
      <c r="B18" s="21" t="s">
        <v>6</v>
      </c>
      <c r="C18" s="22"/>
      <c r="D18" s="26"/>
      <c r="E18" s="23">
        <f t="shared" ref="E18:E26" si="10">D18*C18</f>
        <v>0</v>
      </c>
      <c r="F18" s="26"/>
      <c r="G18" s="22">
        <f>C18*F18</f>
        <v>0</v>
      </c>
      <c r="H18" s="26"/>
      <c r="I18" s="23">
        <f t="shared" ref="I18:I26" si="11">H18*C18</f>
        <v>0</v>
      </c>
      <c r="J18" s="26"/>
      <c r="K18" s="23">
        <f>J18*C18</f>
        <v>0</v>
      </c>
      <c r="L18" s="24"/>
      <c r="M18" s="23">
        <f>L18*E18</f>
        <v>0</v>
      </c>
      <c r="N18" s="26"/>
      <c r="O18" s="23">
        <f>N18*G18</f>
        <v>0</v>
      </c>
      <c r="S18" s="12">
        <f>C18-'Mai23'!C18</f>
        <v>0</v>
      </c>
      <c r="T18" s="12">
        <f>E18-'Mai23'!E18</f>
        <v>0</v>
      </c>
      <c r="U18" s="12">
        <f>I18-'Mai23'!I18</f>
        <v>0</v>
      </c>
      <c r="V18" s="12">
        <f>K18-'Mai23'!K18</f>
        <v>0</v>
      </c>
      <c r="W18" s="12">
        <f>+M18-'Mai23'!M18</f>
        <v>0</v>
      </c>
      <c r="Y18" s="28">
        <f>D18-'Mai23'!D18</f>
        <v>0</v>
      </c>
      <c r="Z18" s="28">
        <f>F18-'Mai23'!F18</f>
        <v>0</v>
      </c>
      <c r="AA18" s="28">
        <f>H18-'Mai23'!H18</f>
        <v>0</v>
      </c>
      <c r="AB18" s="28">
        <f>J18-'Mai23'!J18</f>
        <v>0</v>
      </c>
      <c r="AC18" s="28">
        <f>L18-'Mai23'!L18</f>
        <v>0</v>
      </c>
    </row>
    <row r="19" spans="1:29" x14ac:dyDescent="0.25">
      <c r="B19" s="3" t="s">
        <v>26</v>
      </c>
      <c r="C19" s="12">
        <v>408195982</v>
      </c>
      <c r="D19" s="14">
        <v>0.16</v>
      </c>
      <c r="E19" s="12">
        <f t="shared" si="10"/>
        <v>65311357.120000005</v>
      </c>
      <c r="F19" s="14">
        <v>0.14000000000000001</v>
      </c>
      <c r="G19" s="12">
        <f t="shared" ref="G19:G26" si="12">C19*F19</f>
        <v>57147437.480000004</v>
      </c>
      <c r="H19" s="14">
        <v>0.54</v>
      </c>
      <c r="I19" s="12">
        <f t="shared" si="11"/>
        <v>220425830.28</v>
      </c>
      <c r="J19" s="14">
        <v>0.14000000000000001</v>
      </c>
      <c r="K19" s="12">
        <f t="shared" ref="K19:O26" si="13">J19*C19</f>
        <v>57147437.480000004</v>
      </c>
      <c r="L19" s="16"/>
      <c r="M19" s="12">
        <f t="shared" si="13"/>
        <v>0</v>
      </c>
      <c r="N19" s="26">
        <v>0.02</v>
      </c>
      <c r="O19" s="12">
        <f t="shared" si="13"/>
        <v>1142948.7496000002</v>
      </c>
      <c r="S19" s="12">
        <f>C19-'Mai23'!C19</f>
        <v>-9686474.1200000048</v>
      </c>
      <c r="T19" s="12">
        <f>E19-'Mai23'!E19</f>
        <v>-9907484.9815999866</v>
      </c>
      <c r="U19" s="12">
        <f>I19-'Mai23'!I19</f>
        <v>7305777.6588000059</v>
      </c>
      <c r="V19" s="12">
        <f>K19-'Mai23'!K19</f>
        <v>-5534930.9379999936</v>
      </c>
      <c r="W19" s="12">
        <f>+M19-'Mai23'!M19</f>
        <v>0</v>
      </c>
      <c r="Y19" s="28">
        <f>D19-'Mai23'!D19</f>
        <v>-1.999999999999999E-2</v>
      </c>
      <c r="Z19" s="28">
        <f>F19-'Mai23'!F19</f>
        <v>-1.999999999999999E-2</v>
      </c>
      <c r="AA19" s="28">
        <f>H19-'Mai23'!H19</f>
        <v>3.0000000000000027E-2</v>
      </c>
      <c r="AB19" s="28">
        <f>J19-'Mai23'!J19</f>
        <v>-9.9999999999999811E-3</v>
      </c>
      <c r="AC19" s="28">
        <f>L19-'Mai23'!L19</f>
        <v>0</v>
      </c>
    </row>
    <row r="20" spans="1:29" x14ac:dyDescent="0.25">
      <c r="B20" s="3" t="s">
        <v>27</v>
      </c>
      <c r="C20" s="12">
        <v>643582172</v>
      </c>
      <c r="D20" s="14">
        <v>0.16650000000000001</v>
      </c>
      <c r="E20" s="12">
        <f t="shared" si="10"/>
        <v>107156431.63800001</v>
      </c>
      <c r="F20" s="14">
        <v>0.2127</v>
      </c>
      <c r="G20" s="12">
        <f t="shared" si="12"/>
        <v>136889927.9844</v>
      </c>
      <c r="H20" s="14">
        <f>0.4719+0.0853</f>
        <v>0.55720000000000003</v>
      </c>
      <c r="I20" s="12">
        <f t="shared" si="11"/>
        <v>358603986.23840004</v>
      </c>
      <c r="J20" s="14">
        <v>5.74E-2</v>
      </c>
      <c r="K20" s="12">
        <f t="shared" si="13"/>
        <v>36941616.672799997</v>
      </c>
      <c r="L20" s="16"/>
      <c r="M20" s="12">
        <f t="shared" si="13"/>
        <v>0</v>
      </c>
      <c r="N20" s="26">
        <v>6.1999999999999998E-3</v>
      </c>
      <c r="O20" s="12">
        <f t="shared" si="13"/>
        <v>848717.55350328004</v>
      </c>
      <c r="S20" s="12">
        <f>C20-'Mai23'!C20</f>
        <v>-182322179</v>
      </c>
      <c r="T20" s="12">
        <f>E20-'Mai23'!E20</f>
        <v>-86683319.541699976</v>
      </c>
      <c r="U20" s="12">
        <f>I20-'Mai23'!I20</f>
        <v>-78051644.135299921</v>
      </c>
      <c r="V20" s="12">
        <f>K20-'Mai23'!K20</f>
        <v>-6996494.8004000038</v>
      </c>
      <c r="W20" s="12">
        <f>+M20-'Mai23'!M20</f>
        <v>0</v>
      </c>
      <c r="Y20" s="28">
        <f>D20-'Mai23'!D20</f>
        <v>-6.8199999999999983E-2</v>
      </c>
      <c r="Z20" s="28">
        <f>F20-'Mai23'!F20</f>
        <v>3.4899999999999987E-2</v>
      </c>
      <c r="AA20" s="28">
        <f>H20-'Mai23'!H20</f>
        <v>2.8500000000000081E-2</v>
      </c>
      <c r="AB20" s="28">
        <f>J20-'Mai23'!J20</f>
        <v>4.2000000000000023E-3</v>
      </c>
      <c r="AC20" s="28">
        <f>L20-'Mai23'!L20</f>
        <v>0</v>
      </c>
    </row>
    <row r="21" spans="1:29" x14ac:dyDescent="0.25">
      <c r="B21" s="3" t="s">
        <v>28</v>
      </c>
      <c r="C21" s="12">
        <v>545956138</v>
      </c>
      <c r="D21" s="14">
        <v>0.15</v>
      </c>
      <c r="E21" s="12">
        <f t="shared" si="10"/>
        <v>81893420.700000003</v>
      </c>
      <c r="F21" s="14">
        <f>0.08+0.03</f>
        <v>0.11</v>
      </c>
      <c r="G21" s="12">
        <f t="shared" si="12"/>
        <v>60055175.18</v>
      </c>
      <c r="H21" s="14">
        <v>0.6</v>
      </c>
      <c r="I21" s="12">
        <f t="shared" si="11"/>
        <v>327573682.80000001</v>
      </c>
      <c r="J21" s="14">
        <v>0.14000000000000001</v>
      </c>
      <c r="K21" s="12">
        <f t="shared" si="13"/>
        <v>76433859.320000008</v>
      </c>
      <c r="L21" s="16"/>
      <c r="M21" s="12">
        <f t="shared" si="13"/>
        <v>0</v>
      </c>
      <c r="N21" s="26"/>
      <c r="O21" s="12">
        <f t="shared" si="13"/>
        <v>0</v>
      </c>
      <c r="S21" s="12">
        <f>C21-'Mai23'!C21</f>
        <v>-621963339</v>
      </c>
      <c r="T21" s="12">
        <f>E21-'Mai23'!E21</f>
        <v>-81615306.079999998</v>
      </c>
      <c r="U21" s="12">
        <f>I21-'Mai23'!I21</f>
        <v>-303102834.78000003</v>
      </c>
      <c r="V21" s="12">
        <f>K21-'Mai23'!K21</f>
        <v>-87074867.459999993</v>
      </c>
      <c r="W21" s="12">
        <f>+M21-'Mai23'!M21</f>
        <v>0</v>
      </c>
      <c r="Y21" s="28">
        <f>D21-'Mai23'!D21</f>
        <v>9.9999999999999811E-3</v>
      </c>
      <c r="Z21" s="28">
        <f>F21-'Mai23'!F21</f>
        <v>-6.9999999999999993E-2</v>
      </c>
      <c r="AA21" s="28">
        <f>H21-'Mai23'!H21</f>
        <v>5.9999999999999942E-2</v>
      </c>
      <c r="AB21" s="28">
        <f>J21-'Mai23'!J21</f>
        <v>0</v>
      </c>
      <c r="AC21" s="28">
        <f>L21-'Mai23'!L21</f>
        <v>0</v>
      </c>
    </row>
    <row r="22" spans="1:29" x14ac:dyDescent="0.25">
      <c r="B22" s="3" t="s">
        <v>32</v>
      </c>
      <c r="C22" s="12">
        <v>370800000</v>
      </c>
      <c r="D22" s="14">
        <v>7.0000000000000007E-2</v>
      </c>
      <c r="E22" s="12">
        <f t="shared" si="10"/>
        <v>25956000.000000004</v>
      </c>
      <c r="F22" s="14">
        <f>0.1</f>
        <v>0.1</v>
      </c>
      <c r="G22" s="12">
        <f t="shared" si="12"/>
        <v>37080000</v>
      </c>
      <c r="H22" s="14">
        <f>0.68+0.03</f>
        <v>0.71000000000000008</v>
      </c>
      <c r="I22" s="12">
        <f t="shared" si="11"/>
        <v>263268000.00000003</v>
      </c>
      <c r="J22" s="14">
        <v>0.12</v>
      </c>
      <c r="K22" s="12">
        <f t="shared" si="13"/>
        <v>44496000</v>
      </c>
      <c r="L22" s="16"/>
      <c r="M22" s="12">
        <f t="shared" si="13"/>
        <v>0</v>
      </c>
      <c r="N22" s="26"/>
      <c r="O22" s="12">
        <f t="shared" si="13"/>
        <v>0</v>
      </c>
      <c r="S22" s="12">
        <f>C22-'Mai23'!C22</f>
        <v>-1200000</v>
      </c>
      <c r="T22" s="12">
        <f>E22-'Mai23'!E22</f>
        <v>-3803999.9999999963</v>
      </c>
      <c r="U22" s="12">
        <f>I22-'Mai23'!I22</f>
        <v>2868000.0000000596</v>
      </c>
      <c r="V22" s="12">
        <f>K22-'Mai23'!K22</f>
        <v>-144000</v>
      </c>
      <c r="W22" s="12">
        <f>+M22-'Mai23'!M22</f>
        <v>0</v>
      </c>
      <c r="Y22" s="28">
        <f>D22-'Mai23'!D22</f>
        <v>-9.999999999999995E-3</v>
      </c>
      <c r="Z22" s="28">
        <f>F22-'Mai23'!F22</f>
        <v>-9.999999999999995E-3</v>
      </c>
      <c r="AA22" s="28">
        <f>H22-'Mai23'!H22</f>
        <v>1.000000000000012E-2</v>
      </c>
      <c r="AB22" s="28">
        <f>J22-'Mai23'!J22</f>
        <v>0</v>
      </c>
      <c r="AC22" s="28">
        <f>L22-'Mai23'!L22</f>
        <v>0</v>
      </c>
    </row>
    <row r="23" spans="1:29" x14ac:dyDescent="0.25">
      <c r="B23" s="3" t="s">
        <v>33</v>
      </c>
      <c r="C23" s="12">
        <v>640200000</v>
      </c>
      <c r="D23" s="14">
        <v>0.21</v>
      </c>
      <c r="E23" s="12">
        <f t="shared" si="10"/>
        <v>134442000</v>
      </c>
      <c r="F23" s="14">
        <v>0.14000000000000001</v>
      </c>
      <c r="G23" s="12">
        <f t="shared" si="12"/>
        <v>89628000.000000015</v>
      </c>
      <c r="H23" s="14">
        <v>0.6</v>
      </c>
      <c r="I23" s="12">
        <f t="shared" si="11"/>
        <v>384120000</v>
      </c>
      <c r="J23" s="14">
        <v>0.05</v>
      </c>
      <c r="K23" s="12">
        <f t="shared" si="13"/>
        <v>32010000</v>
      </c>
      <c r="L23" s="16"/>
      <c r="M23" s="12">
        <f t="shared" si="13"/>
        <v>0</v>
      </c>
      <c r="N23" s="26"/>
      <c r="O23" s="12">
        <f t="shared" si="13"/>
        <v>0</v>
      </c>
      <c r="S23" s="12">
        <f>C23-'Mai23'!C23</f>
        <v>-30100000</v>
      </c>
      <c r="T23" s="12">
        <f>E23-'Mai23'!E23</f>
        <v>382000</v>
      </c>
      <c r="U23" s="12">
        <f>I23-'Mai23'!I23</f>
        <v>-24763000</v>
      </c>
      <c r="V23" s="12">
        <f>K23-'Mai23'!K23</f>
        <v>-1505000</v>
      </c>
      <c r="W23" s="12">
        <f>+M23-'Mai23'!M23</f>
        <v>0</v>
      </c>
      <c r="Y23" s="28">
        <f>D23-'Mai23'!D23</f>
        <v>9.9999999999999811E-3</v>
      </c>
      <c r="Z23" s="28">
        <f>F23-'Mai23'!F23</f>
        <v>0</v>
      </c>
      <c r="AA23" s="28">
        <f>H23-'Mai23'!H23</f>
        <v>-1.0000000000000009E-2</v>
      </c>
      <c r="AB23" s="28">
        <f>J23-'Mai23'!J23</f>
        <v>0</v>
      </c>
      <c r="AC23" s="28">
        <f>L23-'Mai23'!L23</f>
        <v>0</v>
      </c>
    </row>
    <row r="24" spans="1:29" x14ac:dyDescent="0.25">
      <c r="B24" s="3" t="s">
        <v>34</v>
      </c>
      <c r="C24" s="12">
        <v>301912128</v>
      </c>
      <c r="D24" s="14">
        <v>0.2092</v>
      </c>
      <c r="E24" s="12">
        <f t="shared" si="10"/>
        <v>63160017.177599996</v>
      </c>
      <c r="F24" s="14">
        <v>0.15770000000000001</v>
      </c>
      <c r="G24" s="12">
        <f t="shared" si="12"/>
        <v>47611542.585600004</v>
      </c>
      <c r="H24" s="14">
        <v>0.54730000000000001</v>
      </c>
      <c r="I24" s="12">
        <f t="shared" si="11"/>
        <v>165236507.65439999</v>
      </c>
      <c r="J24" s="14">
        <v>7.85E-2</v>
      </c>
      <c r="K24" s="12">
        <f t="shared" si="13"/>
        <v>23700102.048</v>
      </c>
      <c r="L24" s="14"/>
      <c r="M24" s="12">
        <f t="shared" si="13"/>
        <v>0</v>
      </c>
      <c r="N24" s="26">
        <v>7.3000000000000001E-3</v>
      </c>
      <c r="O24" s="12">
        <f t="shared" si="13"/>
        <v>347564.26087488001</v>
      </c>
      <c r="S24" s="12">
        <f>C24-'Mai23'!C24</f>
        <v>-18430913</v>
      </c>
      <c r="T24" s="12">
        <f>E24-'Mai23'!E24</f>
        <v>-1517242.8003000021</v>
      </c>
      <c r="U24" s="12">
        <f>I24-'Mai23'!I24</f>
        <v>-12233537.059600025</v>
      </c>
      <c r="V24" s="12">
        <f>K24-'Mai23'!K24</f>
        <v>-485797.5474999994</v>
      </c>
      <c r="W24" s="12">
        <f>+M24-'Mai23'!M24</f>
        <v>-498014.90182983002</v>
      </c>
      <c r="Y24" s="28">
        <f>D24-'Mai23'!D24</f>
        <v>7.3000000000000009E-3</v>
      </c>
      <c r="Z24" s="28">
        <f>F24-'Mai23'!F24</f>
        <v>-3.1999999999999806E-3</v>
      </c>
      <c r="AA24" s="28">
        <f>H24-'Mai23'!H24</f>
        <v>-6.7000000000000393E-3</v>
      </c>
      <c r="AB24" s="28">
        <f>J24-'Mai23'!J24</f>
        <v>3.0000000000000027E-3</v>
      </c>
      <c r="AC24" s="28">
        <f>L24-'Mai23'!L24</f>
        <v>-7.7000000000000002E-3</v>
      </c>
    </row>
    <row r="25" spans="1:29" x14ac:dyDescent="0.25">
      <c r="B25" s="3" t="s">
        <v>35</v>
      </c>
      <c r="C25" s="12">
        <v>205512300</v>
      </c>
      <c r="D25" s="14">
        <v>6.2E-2</v>
      </c>
      <c r="E25" s="12">
        <f t="shared" si="10"/>
        <v>12741762.6</v>
      </c>
      <c r="F25" s="14">
        <f>0.293+0.043</f>
        <v>0.33599999999999997</v>
      </c>
      <c r="G25" s="12">
        <f t="shared" si="12"/>
        <v>69052132.799999997</v>
      </c>
      <c r="H25" s="14">
        <f>0.546+0.012</f>
        <v>0.55800000000000005</v>
      </c>
      <c r="I25" s="12">
        <f t="shared" si="11"/>
        <v>114675863.40000001</v>
      </c>
      <c r="J25" s="14">
        <v>5.2999999999999999E-2</v>
      </c>
      <c r="K25" s="12">
        <f t="shared" si="13"/>
        <v>10892151.9</v>
      </c>
      <c r="L25" s="16"/>
      <c r="M25" s="12">
        <f t="shared" si="13"/>
        <v>0</v>
      </c>
      <c r="N25" s="26"/>
      <c r="O25" s="12">
        <f t="shared" si="13"/>
        <v>0</v>
      </c>
      <c r="S25" s="12">
        <f>C25-'Mai23'!C25</f>
        <v>1843700</v>
      </c>
      <c r="T25" s="12">
        <f>E25-'Mai23'!E25</f>
        <v>-5792079.9999999981</v>
      </c>
      <c r="U25" s="12">
        <f>I25-'Mai23'!I25</f>
        <v>6935174</v>
      </c>
      <c r="V25" s="12">
        <f>K25-'Mai23'!K25</f>
        <v>97716.10000000149</v>
      </c>
      <c r="W25" s="12">
        <f>+M25-'Mai23'!M25</f>
        <v>0</v>
      </c>
      <c r="Y25" s="28">
        <f>D25-'Mai23'!D25</f>
        <v>-2.8999999999999998E-2</v>
      </c>
      <c r="Z25" s="28">
        <f>F25-'Mai23'!F25</f>
        <v>8.9999999999999525E-3</v>
      </c>
      <c r="AA25" s="28">
        <f>H25-'Mai23'!H25</f>
        <v>2.9000000000000026E-2</v>
      </c>
      <c r="AB25" s="28">
        <f>J25-'Mai23'!J25</f>
        <v>0</v>
      </c>
      <c r="AC25" s="28">
        <f>L25-'Mai23'!L25</f>
        <v>0</v>
      </c>
    </row>
    <row r="26" spans="1:29" x14ac:dyDescent="0.25">
      <c r="B26" s="3" t="s">
        <v>36</v>
      </c>
      <c r="C26" s="12">
        <v>1938000000</v>
      </c>
      <c r="D26" s="19">
        <v>7.0000000000000007E-2</v>
      </c>
      <c r="E26" s="18">
        <f t="shared" si="10"/>
        <v>135660000</v>
      </c>
      <c r="F26" s="14">
        <v>0.12</v>
      </c>
      <c r="G26" s="12">
        <f t="shared" si="12"/>
        <v>232560000</v>
      </c>
      <c r="H26" s="19">
        <f>0.66+0.03</f>
        <v>0.69000000000000006</v>
      </c>
      <c r="I26" s="18">
        <f t="shared" si="11"/>
        <v>1337220000</v>
      </c>
      <c r="J26" s="14">
        <v>0.12</v>
      </c>
      <c r="K26" s="12">
        <f t="shared" si="13"/>
        <v>232560000</v>
      </c>
      <c r="L26" s="16"/>
      <c r="M26" s="12">
        <f t="shared" si="13"/>
        <v>0</v>
      </c>
      <c r="N26" s="26"/>
      <c r="O26" s="12">
        <f t="shared" si="13"/>
        <v>0</v>
      </c>
      <c r="S26" s="12">
        <f>C26-'Mai23'!C26</f>
        <v>1630390000</v>
      </c>
      <c r="T26" s="12">
        <f>E26-'Mai23'!E26</f>
        <v>104899000</v>
      </c>
      <c r="U26" s="12">
        <f>I26-'Mai23'!I26</f>
        <v>1121893000</v>
      </c>
      <c r="V26" s="12">
        <f>K26-'Mai23'!K26</f>
        <v>207951200</v>
      </c>
      <c r="W26" s="12">
        <f>+M26-'Mai23'!M26</f>
        <v>0</v>
      </c>
      <c r="Y26" s="28">
        <f>D26-'Mai23'!D26</f>
        <v>-0.03</v>
      </c>
      <c r="Z26" s="28">
        <f>F26-'Mai23'!F26</f>
        <v>0</v>
      </c>
      <c r="AA26" s="28">
        <f>H26-'Mai23'!H26</f>
        <v>-9.9999999999998979E-3</v>
      </c>
      <c r="AB26" s="28">
        <f>J26-'Mai23'!J26</f>
        <v>3.9999999999999994E-2</v>
      </c>
      <c r="AC26" s="28">
        <f>L26-'Mai23'!L26</f>
        <v>0</v>
      </c>
    </row>
    <row r="27" spans="1:29" s="8" customFormat="1" x14ac:dyDescent="0.25">
      <c r="A27"/>
      <c r="B27" s="21" t="s">
        <v>45</v>
      </c>
      <c r="C27" s="20">
        <f>SUM(C18:C26)</f>
        <v>5054158720</v>
      </c>
      <c r="D27" s="15">
        <f>+E27/$C27</f>
        <v>0.12392190746941956</v>
      </c>
      <c r="E27" s="17">
        <f>SUM(E18:E26)</f>
        <v>626320989.23559999</v>
      </c>
      <c r="F27" s="15">
        <f>+G27/$C27</f>
        <v>0.14444030282254372</v>
      </c>
      <c r="G27" s="20">
        <f>SUM(G18:G26)</f>
        <v>730024216.02999997</v>
      </c>
      <c r="H27" s="15">
        <f>+I27/$C27</f>
        <v>0.62742862779995967</v>
      </c>
      <c r="I27" s="17">
        <f>SUM(I18:I26)</f>
        <v>3171123870.3728004</v>
      </c>
      <c r="J27" s="15">
        <f>+K27/$C27</f>
        <v>0.10173427387353597</v>
      </c>
      <c r="K27" s="17">
        <f>SUM(K18:K26)</f>
        <v>514181167.42079997</v>
      </c>
      <c r="L27" s="15">
        <f>+M27/$C27</f>
        <v>0</v>
      </c>
      <c r="M27" s="17">
        <f>SUM(M18:M26)</f>
        <v>0</v>
      </c>
      <c r="N27" s="15">
        <f>+O27/$C27</f>
        <v>4.6283282610842905E-4</v>
      </c>
      <c r="O27" s="17">
        <f>SUM(O18:O26)</f>
        <v>2339230.5639781603</v>
      </c>
      <c r="S27" s="12">
        <f>C27-'Mai23'!C27</f>
        <v>768530794.88000011</v>
      </c>
      <c r="T27" s="12">
        <f>E27-'Mai23'!E27</f>
        <v>-84038433.403599977</v>
      </c>
      <c r="U27" s="12">
        <f>I27-'Mai23'!I27</f>
        <v>720850935.68390036</v>
      </c>
      <c r="V27" s="12">
        <f>K27-'Mai23'!K27</f>
        <v>106307825.35409993</v>
      </c>
      <c r="W27" s="12">
        <f>+M27-'Mai23'!M27</f>
        <v>-498014.90182983002</v>
      </c>
      <c r="Y27" s="28">
        <f>D27-'Mai23'!D27</f>
        <v>-4.1831964553735501E-2</v>
      </c>
      <c r="Z27" s="28">
        <f>F27-'Mai23'!F27</f>
        <v>-2.2104841183142376E-2</v>
      </c>
      <c r="AA27" s="28">
        <f>H27-'Mai23'!H27</f>
        <v>5.5686755313376302E-2</v>
      </c>
      <c r="AB27" s="28">
        <f>J27-'Mai23'!J27</f>
        <v>6.5619095915201986E-3</v>
      </c>
      <c r="AC27" s="28">
        <f>L27-'Mai23'!L27</f>
        <v>-1.1620581873445892E-4</v>
      </c>
    </row>
    <row r="28" spans="1:29" x14ac:dyDescent="0.25">
      <c r="C28" s="10"/>
      <c r="D28" s="10"/>
      <c r="E28" s="10"/>
      <c r="F28" s="5"/>
      <c r="G28" s="10"/>
      <c r="H28" s="10"/>
      <c r="I28" s="10"/>
      <c r="J28" s="5"/>
      <c r="K28" s="10"/>
    </row>
    <row r="29" spans="1:29" x14ac:dyDescent="0.25">
      <c r="B29" s="4" t="s">
        <v>38</v>
      </c>
      <c r="C29" s="9" t="s">
        <v>4</v>
      </c>
      <c r="D29" s="113" t="s">
        <v>7</v>
      </c>
      <c r="E29" s="113"/>
      <c r="F29" s="112" t="s">
        <v>8</v>
      </c>
      <c r="G29" s="112"/>
      <c r="H29" s="112" t="s">
        <v>10</v>
      </c>
      <c r="I29" s="112"/>
      <c r="J29" s="112" t="s">
        <v>9</v>
      </c>
      <c r="K29" s="112"/>
      <c r="L29" s="112" t="s">
        <v>40</v>
      </c>
      <c r="M29" s="112"/>
      <c r="N29" s="112" t="s">
        <v>55</v>
      </c>
      <c r="O29" s="112"/>
      <c r="S29" s="27" t="s">
        <v>49</v>
      </c>
      <c r="T29" s="27" t="s">
        <v>50</v>
      </c>
      <c r="U29" s="27" t="s">
        <v>51</v>
      </c>
      <c r="V29" s="27" t="s">
        <v>52</v>
      </c>
      <c r="W29" s="27" t="s">
        <v>54</v>
      </c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</row>
    <row r="30" spans="1:29" x14ac:dyDescent="0.25">
      <c r="B30" s="21" t="s">
        <v>39</v>
      </c>
      <c r="C30" s="22"/>
      <c r="D30" s="26"/>
      <c r="E30" s="23">
        <f>D30*C30</f>
        <v>0</v>
      </c>
      <c r="F30" s="26"/>
      <c r="G30" s="22">
        <f>F30*C30</f>
        <v>0</v>
      </c>
      <c r="H30" s="26"/>
      <c r="I30" s="23">
        <f>H30*C30</f>
        <v>0</v>
      </c>
      <c r="J30" s="26"/>
      <c r="K30" s="23">
        <f>J30*C30</f>
        <v>0</v>
      </c>
      <c r="L30" s="24"/>
      <c r="M30" s="23">
        <f>L30*C30</f>
        <v>0</v>
      </c>
      <c r="N30" s="26"/>
      <c r="O30" s="23">
        <f>N30*E30</f>
        <v>0</v>
      </c>
      <c r="S30" s="12">
        <f>C30-'Mai23'!C30</f>
        <v>0</v>
      </c>
      <c r="T30" s="12">
        <f>E30-'Mai23'!E30</f>
        <v>0</v>
      </c>
      <c r="U30" s="12">
        <f>I30-'Mai23'!I30</f>
        <v>0</v>
      </c>
      <c r="V30" s="12">
        <f>K30-'Mai23'!K30</f>
        <v>0</v>
      </c>
      <c r="W30" s="12">
        <f>+M30-'Mai23'!M30</f>
        <v>0</v>
      </c>
      <c r="Y30" s="28">
        <f>D30-'Mai23'!D30</f>
        <v>0</v>
      </c>
      <c r="Z30" s="28">
        <f>F30-'Mai23'!F30</f>
        <v>0</v>
      </c>
      <c r="AA30" s="28">
        <f>H30-'Mai23'!H30</f>
        <v>0</v>
      </c>
      <c r="AB30" s="28">
        <f>J30-'Mai23'!J30</f>
        <v>0</v>
      </c>
      <c r="AC30" s="28">
        <f>L30-'Mai23'!L30</f>
        <v>0</v>
      </c>
    </row>
    <row r="31" spans="1:29" x14ac:dyDescent="0.25">
      <c r="B31" s="3" t="s">
        <v>56</v>
      </c>
      <c r="C31" s="12"/>
      <c r="D31" s="14"/>
      <c r="E31" s="12">
        <f>D31*C31</f>
        <v>0</v>
      </c>
      <c r="F31" s="14"/>
      <c r="G31" s="12">
        <f>F31*C31</f>
        <v>0</v>
      </c>
      <c r="H31" s="14"/>
      <c r="I31" s="12">
        <f>H31*C31</f>
        <v>0</v>
      </c>
      <c r="J31" s="14"/>
      <c r="K31" s="12">
        <f>J31*C31</f>
        <v>0</v>
      </c>
      <c r="L31" s="14"/>
      <c r="M31" s="12">
        <f>L31*C31</f>
        <v>0</v>
      </c>
      <c r="N31" s="14"/>
      <c r="O31" s="12">
        <f>N31*E31</f>
        <v>0</v>
      </c>
      <c r="S31" s="12">
        <f>C31-'Mai23'!C31</f>
        <v>0</v>
      </c>
      <c r="T31" s="12">
        <f>E31-'Mai23'!E31</f>
        <v>0</v>
      </c>
      <c r="U31" s="12">
        <f>I31-'Mai23'!I31</f>
        <v>0</v>
      </c>
      <c r="V31" s="12">
        <f>K31-'Mai23'!K31</f>
        <v>0</v>
      </c>
      <c r="W31" s="12">
        <f>+M31-'Mai23'!M31</f>
        <v>0</v>
      </c>
      <c r="Y31" s="28">
        <f>D31-'Mai23'!D31</f>
        <v>0</v>
      </c>
      <c r="Z31" s="28">
        <f>F31-'Mai23'!F31</f>
        <v>0</v>
      </c>
      <c r="AA31" s="28">
        <f>H31-'Mai23'!H31</f>
        <v>0</v>
      </c>
      <c r="AB31" s="28">
        <f>J31-'Mai23'!J31</f>
        <v>0</v>
      </c>
      <c r="AC31" s="28">
        <f>L31-'Mai23'!L31</f>
        <v>0</v>
      </c>
    </row>
    <row r="32" spans="1:29" x14ac:dyDescent="0.25">
      <c r="B32" s="3" t="s">
        <v>42</v>
      </c>
      <c r="C32" s="12">
        <v>221996350</v>
      </c>
      <c r="D32" s="14">
        <v>0.06</v>
      </c>
      <c r="E32" s="12">
        <f>D32*C32</f>
        <v>13319781</v>
      </c>
      <c r="F32" s="14">
        <v>0.14000000000000001</v>
      </c>
      <c r="G32" s="12">
        <f>F32*C32</f>
        <v>31079489.000000004</v>
      </c>
      <c r="H32" s="14">
        <v>0.67</v>
      </c>
      <c r="I32" s="12">
        <f>H32*C32</f>
        <v>148737554.5</v>
      </c>
      <c r="J32" s="14">
        <v>0.05</v>
      </c>
      <c r="K32" s="12">
        <f>J32*C32</f>
        <v>11099817.5</v>
      </c>
      <c r="L32" s="14">
        <v>0.08</v>
      </c>
      <c r="M32" s="12">
        <f>L32*C32</f>
        <v>17759708</v>
      </c>
      <c r="N32" s="14"/>
      <c r="O32" s="12">
        <f>N32*E32</f>
        <v>0</v>
      </c>
      <c r="S32" s="12">
        <f>C32-'Mai23'!C32</f>
        <v>-4349490</v>
      </c>
      <c r="T32" s="12">
        <f>E32-'Mai23'!E32</f>
        <v>-7051344.5999999978</v>
      </c>
      <c r="U32" s="12">
        <f>I32-'Mai23'!I32</f>
        <v>1612758.5</v>
      </c>
      <c r="V32" s="12">
        <f>K32-'Mai23'!K32</f>
        <v>-217474.5</v>
      </c>
      <c r="W32" s="12">
        <f>+M32-'Mai23'!M32</f>
        <v>-2611417.5999999978</v>
      </c>
      <c r="Y32" s="28">
        <f>D32-'Mai23'!D32</f>
        <v>-0.03</v>
      </c>
      <c r="Z32" s="28">
        <f>F32-'Mai23'!F32</f>
        <v>2.0000000000000018E-2</v>
      </c>
      <c r="AA32" s="28">
        <f>H32-'Mai23'!H32</f>
        <v>2.0000000000000018E-2</v>
      </c>
      <c r="AB32" s="28">
        <f>J32-'Mai23'!J32</f>
        <v>0</v>
      </c>
      <c r="AC32" s="28">
        <f>L32-'Mai23'!L32</f>
        <v>-9.999999999999995E-3</v>
      </c>
    </row>
    <row r="33" spans="1:29" x14ac:dyDescent="0.25">
      <c r="B33" s="3" t="s">
        <v>43</v>
      </c>
      <c r="C33" s="12">
        <v>366741240</v>
      </c>
      <c r="D33" s="14">
        <v>0.09</v>
      </c>
      <c r="E33" s="12">
        <f>D33*C33</f>
        <v>33006711.599999998</v>
      </c>
      <c r="F33" s="14">
        <v>0.11</v>
      </c>
      <c r="G33" s="12">
        <f>F33*C33</f>
        <v>40341536.399999999</v>
      </c>
      <c r="H33" s="14">
        <v>0.66</v>
      </c>
      <c r="I33" s="12">
        <f>H33*C33</f>
        <v>242049218.40000001</v>
      </c>
      <c r="J33" s="14">
        <v>0.14000000000000001</v>
      </c>
      <c r="K33" s="12">
        <f>J33*C33</f>
        <v>51343773.600000001</v>
      </c>
      <c r="L33" s="14"/>
      <c r="M33" s="12">
        <f>L33*C33</f>
        <v>0</v>
      </c>
      <c r="N33" s="14"/>
      <c r="O33" s="12">
        <f>N33*E33</f>
        <v>0</v>
      </c>
      <c r="S33" s="12">
        <f>C33-'Mai23'!C33</f>
        <v>-459486566</v>
      </c>
      <c r="T33" s="12">
        <f>E33-'Mai23'!E33</f>
        <v>-49616069.000000015</v>
      </c>
      <c r="U33" s="12">
        <f>I33-'Mai23'!I33</f>
        <v>-286736577.44000006</v>
      </c>
      <c r="V33" s="12">
        <f>K33-'Mai23'!K33</f>
        <v>-56065841.18</v>
      </c>
      <c r="W33" s="12">
        <f>+M33-'Mai23'!M33</f>
        <v>0</v>
      </c>
      <c r="Y33" s="28">
        <f>D33-'Mai23'!D33</f>
        <v>-1.0000000000000009E-2</v>
      </c>
      <c r="Z33" s="28">
        <f>F33-'Mai23'!F33</f>
        <v>-2.0000000000000004E-2</v>
      </c>
      <c r="AA33" s="28">
        <f>H33-'Mai23'!H33</f>
        <v>2.0000000000000018E-2</v>
      </c>
      <c r="AB33" s="28">
        <f>J33-'Mai23'!J33</f>
        <v>1.0000000000000009E-2</v>
      </c>
      <c r="AC33" s="28">
        <f>L33-'Mai23'!L33</f>
        <v>0</v>
      </c>
    </row>
    <row r="34" spans="1:29" x14ac:dyDescent="0.25">
      <c r="B34" s="3" t="s">
        <v>44</v>
      </c>
      <c r="C34" s="12">
        <v>21200000</v>
      </c>
      <c r="D34" s="14">
        <v>0.35</v>
      </c>
      <c r="E34" s="12">
        <f>D34*C34</f>
        <v>7419999.9999999991</v>
      </c>
      <c r="F34" s="14"/>
      <c r="G34" s="12">
        <f>F34*C34</f>
        <v>0</v>
      </c>
      <c r="H34" s="14">
        <v>0.43</v>
      </c>
      <c r="I34" s="12">
        <f>H34*C34</f>
        <v>9116000</v>
      </c>
      <c r="J34" s="14"/>
      <c r="K34" s="12">
        <f>J34*C34</f>
        <v>0</v>
      </c>
      <c r="L34" s="14">
        <v>0.22</v>
      </c>
      <c r="M34" s="12">
        <f>L34*C34</f>
        <v>4664000</v>
      </c>
      <c r="N34" s="14"/>
      <c r="O34" s="12">
        <f>N34*E34</f>
        <v>0</v>
      </c>
      <c r="S34" s="12">
        <f>C34-'Mai23'!C34</f>
        <v>-1700000</v>
      </c>
      <c r="T34" s="12">
        <f>E34-'Mai23'!E34</f>
        <v>-1511000.0000000009</v>
      </c>
      <c r="U34" s="12">
        <f>I34-'Mai23'!I34</f>
        <v>185000</v>
      </c>
      <c r="V34" s="12">
        <f>K34-'Mai23'!K34</f>
        <v>0</v>
      </c>
      <c r="W34" s="12">
        <f>+M34-'Mai23'!M34</f>
        <v>-603000</v>
      </c>
      <c r="Y34" s="28">
        <f>D34-'Mai23'!D34</f>
        <v>-4.0000000000000036E-2</v>
      </c>
      <c r="Z34" s="28">
        <f>F34-'Mai23'!F34</f>
        <v>0</v>
      </c>
      <c r="AA34" s="28">
        <f>H34-'Mai23'!H34</f>
        <v>3.999999999999998E-2</v>
      </c>
      <c r="AB34" s="28">
        <f>J34-'Mai23'!J34</f>
        <v>0</v>
      </c>
      <c r="AC34" s="28">
        <f>L34-'Mai23'!L34</f>
        <v>-1.0000000000000009E-2</v>
      </c>
    </row>
    <row r="35" spans="1:29" s="8" customFormat="1" x14ac:dyDescent="0.25">
      <c r="A35"/>
      <c r="B35" s="3" t="s">
        <v>45</v>
      </c>
      <c r="C35" s="17">
        <f>SUM(C30:C34)</f>
        <v>609937590</v>
      </c>
      <c r="D35" s="15">
        <f>+E35/$C35</f>
        <v>8.8118019746905571E-2</v>
      </c>
      <c r="E35" s="17">
        <f>SUM(E30:E34)</f>
        <v>53746492.599999994</v>
      </c>
      <c r="F35" s="15">
        <f>+G35/$C35</f>
        <v>0.11709562842322935</v>
      </c>
      <c r="G35" s="17">
        <f>SUM(G30:G34)</f>
        <v>71421025.400000006</v>
      </c>
      <c r="H35" s="15">
        <f>+I35/$C35</f>
        <v>0.65564539627734697</v>
      </c>
      <c r="I35" s="17">
        <f>SUM(I30:I34)</f>
        <v>399902772.89999998</v>
      </c>
      <c r="J35" s="15">
        <f>+K35/$C35</f>
        <v>0.10237701713055593</v>
      </c>
      <c r="K35" s="17">
        <f>SUM(K30:K34)</f>
        <v>62443591.100000001</v>
      </c>
      <c r="L35" s="15">
        <f>+M35/$C35</f>
        <v>3.6763938421962156E-2</v>
      </c>
      <c r="M35" s="17">
        <f>SUM(M30:M34)</f>
        <v>22423708</v>
      </c>
      <c r="N35" s="15">
        <f>+O35/$C35</f>
        <v>0</v>
      </c>
      <c r="O35" s="17">
        <f>SUM(O30:O34)</f>
        <v>0</v>
      </c>
      <c r="S35" s="12">
        <f>C35-'Mai23'!C35</f>
        <v>-465536056</v>
      </c>
      <c r="T35" s="12">
        <f>E35-'Mai23'!E35</f>
        <v>-58178413.600000009</v>
      </c>
      <c r="U35" s="12">
        <f>I35-'Mai23'!I35</f>
        <v>-284938818.94000006</v>
      </c>
      <c r="V35" s="12">
        <f>K35-'Mai23'!K35</f>
        <v>-56283315.68</v>
      </c>
      <c r="W35" s="12">
        <f>+M35-'Mai23'!M35</f>
        <v>-3214417.5999999978</v>
      </c>
      <c r="Y35" s="28">
        <f>D35-'Mai23'!D35</f>
        <v>-1.5952318579171829E-2</v>
      </c>
      <c r="Z35" s="28">
        <f>F35-'Mai23'!F35</f>
        <v>-8.0316734688339608E-3</v>
      </c>
      <c r="AA35" s="28">
        <f>H35-'Mai23'!H35</f>
        <v>1.8864016847803922E-2</v>
      </c>
      <c r="AB35" s="28">
        <f>J35-'Mai23'!J35</f>
        <v>-8.017976946314273E-3</v>
      </c>
      <c r="AC35" s="28">
        <f>L35-'Mai23'!L35</f>
        <v>1.292502270761094E-2</v>
      </c>
    </row>
    <row r="37" spans="1:29" x14ac:dyDescent="0.25">
      <c r="E37"/>
    </row>
    <row r="38" spans="1:29" x14ac:dyDescent="0.25">
      <c r="D38" s="38"/>
    </row>
    <row r="39" spans="1:29" x14ac:dyDescent="0.25">
      <c r="C39" s="30"/>
      <c r="D39" s="35"/>
    </row>
    <row r="40" spans="1:29" x14ac:dyDescent="0.25">
      <c r="C40" s="37"/>
      <c r="D40" s="35"/>
    </row>
    <row r="41" spans="1:29" x14ac:dyDescent="0.25">
      <c r="C41" s="37"/>
      <c r="D41" s="35"/>
    </row>
    <row r="42" spans="1:29" x14ac:dyDescent="0.25">
      <c r="C42" s="37"/>
      <c r="D42" s="35"/>
    </row>
    <row r="43" spans="1:29" x14ac:dyDescent="0.25">
      <c r="C43" s="37"/>
      <c r="D43" s="35"/>
    </row>
    <row r="44" spans="1:29" x14ac:dyDescent="0.25">
      <c r="C44" s="37"/>
      <c r="D44" s="35"/>
      <c r="E44" s="37"/>
    </row>
    <row r="45" spans="1:29" x14ac:dyDescent="0.25">
      <c r="C45" s="37"/>
      <c r="D45" s="35"/>
    </row>
    <row r="46" spans="1:29" x14ac:dyDescent="0.25">
      <c r="C46" s="37"/>
      <c r="D46" s="35"/>
    </row>
    <row r="47" spans="1:29" x14ac:dyDescent="0.25">
      <c r="C47" s="37"/>
      <c r="D47" s="35"/>
    </row>
    <row r="48" spans="1:29" x14ac:dyDescent="0.25">
      <c r="C48" s="37"/>
      <c r="D48" s="35"/>
    </row>
    <row r="49" spans="3:4" x14ac:dyDescent="0.25">
      <c r="C49" s="37"/>
      <c r="D49" s="35"/>
    </row>
    <row r="50" spans="3:4" x14ac:dyDescent="0.25">
      <c r="C50" s="37"/>
      <c r="D50" s="35"/>
    </row>
    <row r="51" spans="3:4" x14ac:dyDescent="0.25">
      <c r="C51" s="37"/>
      <c r="D51" s="35"/>
    </row>
    <row r="52" spans="3:4" x14ac:dyDescent="0.25">
      <c r="C52" s="37"/>
      <c r="D52" s="35"/>
    </row>
    <row r="53" spans="3:4" x14ac:dyDescent="0.25">
      <c r="C53" s="37"/>
      <c r="D53" s="35"/>
    </row>
    <row r="54" spans="3:4" x14ac:dyDescent="0.25">
      <c r="C54" s="37"/>
      <c r="D54" s="35"/>
    </row>
    <row r="55" spans="3:4" x14ac:dyDescent="0.25">
      <c r="C55" s="37"/>
      <c r="D55" s="35"/>
    </row>
    <row r="56" spans="3:4" x14ac:dyDescent="0.25">
      <c r="C56" s="37"/>
      <c r="D56" s="35"/>
    </row>
    <row r="57" spans="3:4" x14ac:dyDescent="0.25">
      <c r="C57" s="37"/>
      <c r="D57" s="35"/>
    </row>
    <row r="58" spans="3:4" x14ac:dyDescent="0.25">
      <c r="C58" s="37"/>
      <c r="D58" s="35"/>
    </row>
    <row r="59" spans="3:4" x14ac:dyDescent="0.25">
      <c r="C59" s="37"/>
      <c r="D59" s="35"/>
    </row>
    <row r="60" spans="3:4" x14ac:dyDescent="0.25">
      <c r="C60" s="37"/>
      <c r="D60" s="35"/>
    </row>
    <row r="61" spans="3:4" x14ac:dyDescent="0.25">
      <c r="C61" s="37"/>
      <c r="D61" s="35"/>
    </row>
    <row r="62" spans="3:4" x14ac:dyDescent="0.25">
      <c r="C62" s="37"/>
      <c r="D62" s="35"/>
    </row>
    <row r="63" spans="3:4" x14ac:dyDescent="0.25">
      <c r="C63" s="37"/>
      <c r="D63" s="35"/>
    </row>
    <row r="64" spans="3:4" x14ac:dyDescent="0.25">
      <c r="C64" s="37"/>
      <c r="D64" s="35"/>
    </row>
    <row r="65" spans="3:4" x14ac:dyDescent="0.25">
      <c r="C65" s="37"/>
      <c r="D65" s="35"/>
    </row>
    <row r="66" spans="3:4" x14ac:dyDescent="0.25">
      <c r="C66" s="37"/>
      <c r="D66" s="35"/>
    </row>
    <row r="67" spans="3:4" x14ac:dyDescent="0.25">
      <c r="C67" s="37"/>
      <c r="D67" s="35"/>
    </row>
    <row r="68" spans="3:4" x14ac:dyDescent="0.25">
      <c r="C68" s="37"/>
      <c r="D68" s="35"/>
    </row>
    <row r="69" spans="3:4" x14ac:dyDescent="0.25">
      <c r="C69" s="37"/>
      <c r="D69" s="35"/>
    </row>
    <row r="70" spans="3:4" x14ac:dyDescent="0.25">
      <c r="C70" s="37"/>
      <c r="D70" s="35"/>
    </row>
    <row r="71" spans="3:4" x14ac:dyDescent="0.25">
      <c r="C71" s="37"/>
      <c r="D71" s="35"/>
    </row>
    <row r="72" spans="3:4" x14ac:dyDescent="0.25">
      <c r="C72" s="37"/>
      <c r="D72" s="35"/>
    </row>
    <row r="73" spans="3:4" x14ac:dyDescent="0.25">
      <c r="C73" s="37"/>
      <c r="D73" s="35"/>
    </row>
    <row r="74" spans="3:4" x14ac:dyDescent="0.25">
      <c r="C74" s="37"/>
      <c r="D74" s="35"/>
    </row>
    <row r="75" spans="3:4" x14ac:dyDescent="0.25">
      <c r="C75" s="37"/>
      <c r="D75" s="35"/>
    </row>
    <row r="76" spans="3:4" x14ac:dyDescent="0.25">
      <c r="C76" s="37"/>
      <c r="D76" s="35"/>
    </row>
    <row r="77" spans="3:4" x14ac:dyDescent="0.25">
      <c r="C77" s="37"/>
      <c r="D77" s="35"/>
    </row>
    <row r="78" spans="3:4" x14ac:dyDescent="0.25">
      <c r="C78" s="37"/>
      <c r="D78" s="35"/>
    </row>
    <row r="79" spans="3:4" x14ac:dyDescent="0.25">
      <c r="C79" s="37"/>
      <c r="D79" s="35"/>
    </row>
    <row r="80" spans="3:4" x14ac:dyDescent="0.25">
      <c r="C80" s="37"/>
      <c r="D80" s="35"/>
    </row>
    <row r="81" spans="3:4" x14ac:dyDescent="0.25">
      <c r="C81" s="37"/>
      <c r="D81" s="35"/>
    </row>
    <row r="82" spans="3:4" x14ac:dyDescent="0.25">
      <c r="C82" s="37"/>
      <c r="D82" s="35"/>
    </row>
    <row r="83" spans="3:4" x14ac:dyDescent="0.25">
      <c r="C83" s="37"/>
      <c r="D83" s="35"/>
    </row>
    <row r="84" spans="3:4" x14ac:dyDescent="0.25">
      <c r="C84" s="37"/>
      <c r="D84" s="35"/>
    </row>
    <row r="85" spans="3:4" x14ac:dyDescent="0.25">
      <c r="C85" s="37"/>
      <c r="D85" s="35"/>
    </row>
    <row r="86" spans="3:4" x14ac:dyDescent="0.25">
      <c r="C86" s="37"/>
      <c r="D86" s="35"/>
    </row>
    <row r="87" spans="3:4" x14ac:dyDescent="0.25">
      <c r="C87" s="37"/>
      <c r="D87" s="35"/>
    </row>
    <row r="88" spans="3:4" x14ac:dyDescent="0.25">
      <c r="C88" s="37"/>
      <c r="D88" s="35"/>
    </row>
    <row r="89" spans="3:4" x14ac:dyDescent="0.25">
      <c r="C89" s="37"/>
      <c r="D89" s="35"/>
    </row>
    <row r="90" spans="3:4" x14ac:dyDescent="0.25">
      <c r="C90" s="37"/>
      <c r="D90" s="35"/>
    </row>
    <row r="91" spans="3:4" x14ac:dyDescent="0.25">
      <c r="C91" s="37"/>
      <c r="D91" s="35"/>
    </row>
    <row r="92" spans="3:4" x14ac:dyDescent="0.25">
      <c r="C92" s="37"/>
      <c r="D92" s="35"/>
    </row>
    <row r="93" spans="3:4" x14ac:dyDescent="0.25">
      <c r="C93" s="37"/>
      <c r="D93" s="35"/>
    </row>
    <row r="94" spans="3:4" x14ac:dyDescent="0.25">
      <c r="C94" s="37"/>
      <c r="D94" s="35"/>
    </row>
    <row r="95" spans="3:4" x14ac:dyDescent="0.25">
      <c r="C95" s="37"/>
      <c r="D95" s="35"/>
    </row>
    <row r="96" spans="3:4" x14ac:dyDescent="0.25">
      <c r="C96" s="37"/>
      <c r="D96" s="35"/>
    </row>
    <row r="97" spans="3:4" x14ac:dyDescent="0.25">
      <c r="C97" s="37"/>
      <c r="D97" s="35"/>
    </row>
    <row r="98" spans="3:4" x14ac:dyDescent="0.25">
      <c r="C98" s="37"/>
      <c r="D98" s="35"/>
    </row>
    <row r="99" spans="3:4" x14ac:dyDescent="0.25">
      <c r="C99" s="37"/>
      <c r="D99" s="35"/>
    </row>
    <row r="100" spans="3:4" x14ac:dyDescent="0.25">
      <c r="C100" s="37"/>
      <c r="D100" s="35"/>
    </row>
    <row r="101" spans="3:4" x14ac:dyDescent="0.25">
      <c r="C101" s="37"/>
      <c r="D101" s="35"/>
    </row>
    <row r="102" spans="3:4" x14ac:dyDescent="0.25">
      <c r="C102" s="37"/>
      <c r="D102" s="35"/>
    </row>
    <row r="103" spans="3:4" x14ac:dyDescent="0.25">
      <c r="C103" s="37"/>
      <c r="D103" s="35"/>
    </row>
    <row r="104" spans="3:4" x14ac:dyDescent="0.25">
      <c r="C104" s="37"/>
      <c r="D104" s="35"/>
    </row>
    <row r="105" spans="3:4" x14ac:dyDescent="0.25">
      <c r="C105" s="37"/>
      <c r="D105" s="35"/>
    </row>
    <row r="106" spans="3:4" x14ac:dyDescent="0.25">
      <c r="C106" s="37"/>
      <c r="D106" s="35"/>
    </row>
    <row r="107" spans="3:4" x14ac:dyDescent="0.25">
      <c r="C107" s="37"/>
      <c r="D107" s="35"/>
    </row>
    <row r="108" spans="3:4" x14ac:dyDescent="0.25">
      <c r="C108" s="37"/>
      <c r="D108" s="35"/>
    </row>
    <row r="109" spans="3:4" x14ac:dyDescent="0.25">
      <c r="C109" s="37"/>
      <c r="D109" s="35"/>
    </row>
    <row r="110" spans="3:4" x14ac:dyDescent="0.25">
      <c r="C110" s="37"/>
      <c r="D110" s="35"/>
    </row>
    <row r="111" spans="3:4" x14ac:dyDescent="0.25">
      <c r="C111" s="37"/>
      <c r="D111" s="35"/>
    </row>
    <row r="112" spans="3:4" x14ac:dyDescent="0.25">
      <c r="C112" s="37"/>
      <c r="D112" s="35"/>
    </row>
    <row r="113" spans="3:4" x14ac:dyDescent="0.25">
      <c r="C113" s="37"/>
      <c r="D113" s="35"/>
    </row>
    <row r="114" spans="3:4" x14ac:dyDescent="0.25">
      <c r="C114" s="37"/>
      <c r="D114" s="35"/>
    </row>
    <row r="115" spans="3:4" x14ac:dyDescent="0.25">
      <c r="C115" s="37"/>
      <c r="D115" s="35"/>
    </row>
    <row r="116" spans="3:4" x14ac:dyDescent="0.25">
      <c r="C116" s="37"/>
      <c r="D116" s="35"/>
    </row>
    <row r="117" spans="3:4" x14ac:dyDescent="0.25">
      <c r="C117" s="37"/>
      <c r="D117" s="35"/>
    </row>
    <row r="118" spans="3:4" x14ac:dyDescent="0.25">
      <c r="C118" s="37"/>
      <c r="D118" s="35"/>
    </row>
    <row r="119" spans="3:4" x14ac:dyDescent="0.25">
      <c r="C119" s="37"/>
      <c r="D119" s="35"/>
    </row>
    <row r="120" spans="3:4" x14ac:dyDescent="0.25">
      <c r="C120" s="37"/>
      <c r="D120" s="35"/>
    </row>
    <row r="121" spans="3:4" x14ac:dyDescent="0.25">
      <c r="C121" s="37"/>
      <c r="D121" s="35"/>
    </row>
    <row r="122" spans="3:4" x14ac:dyDescent="0.25">
      <c r="C122" s="37"/>
      <c r="D122" s="35"/>
    </row>
    <row r="123" spans="3:4" x14ac:dyDescent="0.25">
      <c r="C123" s="37"/>
      <c r="D123" s="35"/>
    </row>
    <row r="124" spans="3:4" x14ac:dyDescent="0.25">
      <c r="C124" s="37"/>
      <c r="D124" s="35"/>
    </row>
    <row r="125" spans="3:4" x14ac:dyDescent="0.25">
      <c r="C125" s="37"/>
      <c r="D125" s="35"/>
    </row>
    <row r="126" spans="3:4" x14ac:dyDescent="0.25">
      <c r="C126" s="37"/>
      <c r="D126" s="35"/>
    </row>
    <row r="127" spans="3:4" x14ac:dyDescent="0.25">
      <c r="C127" s="37"/>
      <c r="D127" s="35"/>
    </row>
    <row r="128" spans="3:4" x14ac:dyDescent="0.25">
      <c r="C128" s="37"/>
      <c r="D128" s="35"/>
    </row>
    <row r="129" spans="3:4" x14ac:dyDescent="0.25">
      <c r="C129" s="37"/>
      <c r="D129" s="35"/>
    </row>
    <row r="130" spans="3:4" x14ac:dyDescent="0.25">
      <c r="C130" s="37"/>
      <c r="D130" s="35"/>
    </row>
    <row r="131" spans="3:4" x14ac:dyDescent="0.25">
      <c r="C131" s="37"/>
      <c r="D131" s="35"/>
    </row>
    <row r="132" spans="3:4" x14ac:dyDescent="0.25">
      <c r="C132" s="37"/>
      <c r="D132" s="35"/>
    </row>
    <row r="133" spans="3:4" x14ac:dyDescent="0.25">
      <c r="C133" s="37"/>
      <c r="D133" s="35"/>
    </row>
    <row r="134" spans="3:4" x14ac:dyDescent="0.25">
      <c r="C134" s="37"/>
      <c r="D134" s="35"/>
    </row>
    <row r="135" spans="3:4" x14ac:dyDescent="0.25">
      <c r="C135" s="37"/>
      <c r="D135" s="35"/>
    </row>
    <row r="136" spans="3:4" x14ac:dyDescent="0.25">
      <c r="C136" s="37"/>
      <c r="D136" s="35"/>
    </row>
    <row r="137" spans="3:4" x14ac:dyDescent="0.25">
      <c r="C137" s="37"/>
      <c r="D137" s="35"/>
    </row>
    <row r="138" spans="3:4" x14ac:dyDescent="0.25">
      <c r="C138" s="37"/>
      <c r="D138" s="35"/>
    </row>
    <row r="139" spans="3:4" x14ac:dyDescent="0.25">
      <c r="C139" s="37"/>
      <c r="D139" s="35"/>
    </row>
    <row r="140" spans="3:4" x14ac:dyDescent="0.25">
      <c r="C140" s="37"/>
      <c r="D140" s="35"/>
    </row>
    <row r="141" spans="3:4" x14ac:dyDescent="0.25">
      <c r="C141" s="37"/>
      <c r="D141" s="35"/>
    </row>
    <row r="142" spans="3:4" x14ac:dyDescent="0.25">
      <c r="C142" s="37"/>
      <c r="D142" s="35"/>
    </row>
    <row r="143" spans="3:4" x14ac:dyDescent="0.25">
      <c r="C143" s="37"/>
      <c r="D143" s="35"/>
    </row>
    <row r="144" spans="3:4" x14ac:dyDescent="0.25">
      <c r="C144" s="37"/>
      <c r="D144" s="35"/>
    </row>
    <row r="145" spans="3:4" x14ac:dyDescent="0.25">
      <c r="C145" s="37"/>
      <c r="D145" s="35"/>
    </row>
    <row r="146" spans="3:4" x14ac:dyDescent="0.25">
      <c r="C146" s="37"/>
      <c r="D146" s="35"/>
    </row>
    <row r="147" spans="3:4" x14ac:dyDescent="0.25">
      <c r="C147" s="37"/>
      <c r="D147" s="35"/>
    </row>
    <row r="148" spans="3:4" x14ac:dyDescent="0.25">
      <c r="C148" s="37"/>
      <c r="D148" s="35"/>
    </row>
    <row r="149" spans="3:4" x14ac:dyDescent="0.25">
      <c r="C149" s="37"/>
      <c r="D149" s="35"/>
    </row>
    <row r="150" spans="3:4" x14ac:dyDescent="0.25">
      <c r="C150" s="37"/>
      <c r="D150" s="35"/>
    </row>
    <row r="151" spans="3:4" x14ac:dyDescent="0.25">
      <c r="C151" s="37"/>
      <c r="D151" s="35"/>
    </row>
    <row r="152" spans="3:4" x14ac:dyDescent="0.25">
      <c r="C152" s="37"/>
      <c r="D152" s="35"/>
    </row>
    <row r="153" spans="3:4" x14ac:dyDescent="0.25">
      <c r="C153" s="37"/>
      <c r="D153" s="35"/>
    </row>
    <row r="154" spans="3:4" x14ac:dyDescent="0.25">
      <c r="C154" s="37"/>
      <c r="D154" s="35"/>
    </row>
    <row r="155" spans="3:4" x14ac:dyDescent="0.25">
      <c r="C155" s="37"/>
      <c r="D155" s="35"/>
    </row>
    <row r="156" spans="3:4" x14ac:dyDescent="0.25">
      <c r="C156" s="37"/>
      <c r="D156" s="35"/>
    </row>
    <row r="157" spans="3:4" x14ac:dyDescent="0.25">
      <c r="C157" s="37"/>
      <c r="D157" s="35"/>
    </row>
    <row r="158" spans="3:4" x14ac:dyDescent="0.25">
      <c r="C158" s="37"/>
      <c r="D158" s="35"/>
    </row>
    <row r="159" spans="3:4" x14ac:dyDescent="0.25">
      <c r="C159" s="37"/>
      <c r="D159" s="35"/>
    </row>
    <row r="160" spans="3:4" x14ac:dyDescent="0.25">
      <c r="C160" s="37"/>
      <c r="D160" s="35"/>
    </row>
    <row r="161" spans="3:4" x14ac:dyDescent="0.25">
      <c r="C161" s="37"/>
      <c r="D161" s="35"/>
    </row>
    <row r="162" spans="3:4" x14ac:dyDescent="0.25">
      <c r="C162" s="37"/>
      <c r="D162" s="35"/>
    </row>
    <row r="163" spans="3:4" x14ac:dyDescent="0.25">
      <c r="C163" s="37"/>
      <c r="D163" s="35"/>
    </row>
    <row r="164" spans="3:4" x14ac:dyDescent="0.25">
      <c r="C164" s="37"/>
      <c r="D164" s="35"/>
    </row>
    <row r="165" spans="3:4" x14ac:dyDescent="0.25">
      <c r="C165" s="37"/>
      <c r="D165" s="35"/>
    </row>
    <row r="166" spans="3:4" x14ac:dyDescent="0.25">
      <c r="C166" s="37"/>
      <c r="D166" s="35"/>
    </row>
    <row r="167" spans="3:4" x14ac:dyDescent="0.25">
      <c r="C167" s="37"/>
      <c r="D167" s="35"/>
    </row>
    <row r="168" spans="3:4" x14ac:dyDescent="0.25">
      <c r="C168" s="37"/>
      <c r="D168" s="35"/>
    </row>
    <row r="169" spans="3:4" x14ac:dyDescent="0.25">
      <c r="C169" s="37"/>
      <c r="D169" s="35"/>
    </row>
    <row r="170" spans="3:4" x14ac:dyDescent="0.25">
      <c r="C170" s="37"/>
      <c r="D170" s="35"/>
    </row>
    <row r="171" spans="3:4" x14ac:dyDescent="0.25">
      <c r="C171" s="37"/>
      <c r="D171" s="35"/>
    </row>
    <row r="172" spans="3:4" x14ac:dyDescent="0.25">
      <c r="C172" s="37"/>
      <c r="D172" s="35"/>
    </row>
    <row r="173" spans="3:4" x14ac:dyDescent="0.25">
      <c r="C173" s="37"/>
      <c r="D173" s="35"/>
    </row>
    <row r="174" spans="3:4" x14ac:dyDescent="0.25">
      <c r="C174" s="37"/>
      <c r="D174" s="35"/>
    </row>
    <row r="175" spans="3:4" x14ac:dyDescent="0.25">
      <c r="C175" s="37"/>
      <c r="D175" s="35"/>
    </row>
    <row r="176" spans="3:4" x14ac:dyDescent="0.25">
      <c r="C176" s="37"/>
      <c r="D176" s="35"/>
    </row>
    <row r="177" spans="3:4" x14ac:dyDescent="0.25">
      <c r="C177" s="37"/>
      <c r="D177" s="35"/>
    </row>
    <row r="178" spans="3:4" x14ac:dyDescent="0.25">
      <c r="C178" s="37"/>
      <c r="D178" s="35"/>
    </row>
    <row r="179" spans="3:4" x14ac:dyDescent="0.25">
      <c r="C179" s="37"/>
      <c r="D179" s="35"/>
    </row>
    <row r="180" spans="3:4" x14ac:dyDescent="0.25">
      <c r="C180" s="37"/>
      <c r="D180" s="35"/>
    </row>
    <row r="181" spans="3:4" x14ac:dyDescent="0.25">
      <c r="C181" s="37"/>
      <c r="D181" s="35"/>
    </row>
    <row r="182" spans="3:4" x14ac:dyDescent="0.25">
      <c r="C182" s="37"/>
      <c r="D182" s="35"/>
    </row>
    <row r="183" spans="3:4" x14ac:dyDescent="0.25">
      <c r="C183" s="37"/>
      <c r="D183" s="35"/>
    </row>
    <row r="184" spans="3:4" x14ac:dyDescent="0.25">
      <c r="C184" s="37"/>
      <c r="D184" s="35"/>
    </row>
    <row r="185" spans="3:4" x14ac:dyDescent="0.25">
      <c r="C185" s="37"/>
      <c r="D185" s="35"/>
    </row>
    <row r="186" spans="3:4" x14ac:dyDescent="0.25">
      <c r="C186" s="37"/>
      <c r="D186" s="35"/>
    </row>
    <row r="187" spans="3:4" x14ac:dyDescent="0.25">
      <c r="C187" s="37"/>
      <c r="D187" s="35"/>
    </row>
    <row r="188" spans="3:4" x14ac:dyDescent="0.25">
      <c r="C188" s="37"/>
      <c r="D188" s="35"/>
    </row>
    <row r="189" spans="3:4" x14ac:dyDescent="0.25">
      <c r="C189" s="37"/>
      <c r="D189" s="35"/>
    </row>
    <row r="190" spans="3:4" x14ac:dyDescent="0.25">
      <c r="C190" s="37"/>
      <c r="D190" s="35"/>
    </row>
    <row r="191" spans="3:4" x14ac:dyDescent="0.25">
      <c r="C191" s="37"/>
      <c r="D191" s="35"/>
    </row>
    <row r="192" spans="3:4" x14ac:dyDescent="0.25">
      <c r="C192" s="37"/>
      <c r="D192" s="35"/>
    </row>
    <row r="193" spans="3:4" x14ac:dyDescent="0.25">
      <c r="C193" s="37"/>
      <c r="D193" s="35"/>
    </row>
    <row r="194" spans="3:4" x14ac:dyDescent="0.25">
      <c r="C194" s="37"/>
      <c r="D194" s="35"/>
    </row>
    <row r="195" spans="3:4" x14ac:dyDescent="0.25">
      <c r="C195" s="37"/>
      <c r="D195" s="35"/>
    </row>
    <row r="196" spans="3:4" x14ac:dyDescent="0.25">
      <c r="C196" s="37"/>
      <c r="D196" s="35"/>
    </row>
    <row r="197" spans="3:4" x14ac:dyDescent="0.25">
      <c r="C197" s="37"/>
      <c r="D197" s="35"/>
    </row>
    <row r="198" spans="3:4" x14ac:dyDescent="0.25">
      <c r="C198" s="37"/>
      <c r="D198" s="35"/>
    </row>
    <row r="199" spans="3:4" x14ac:dyDescent="0.25">
      <c r="C199" s="37"/>
      <c r="D199" s="35"/>
    </row>
    <row r="200" spans="3:4" x14ac:dyDescent="0.25">
      <c r="C200" s="37"/>
      <c r="D200" s="35"/>
    </row>
    <row r="201" spans="3:4" x14ac:dyDescent="0.25">
      <c r="C201" s="37"/>
      <c r="D201" s="35"/>
    </row>
    <row r="202" spans="3:4" x14ac:dyDescent="0.25">
      <c r="C202" s="37"/>
      <c r="D202" s="35"/>
    </row>
    <row r="203" spans="3:4" x14ac:dyDescent="0.25">
      <c r="C203" s="37"/>
      <c r="D203" s="35"/>
    </row>
    <row r="204" spans="3:4" x14ac:dyDescent="0.25">
      <c r="C204" s="37"/>
      <c r="D204" s="35"/>
    </row>
    <row r="205" spans="3:4" x14ac:dyDescent="0.25">
      <c r="C205" s="37"/>
      <c r="D205" s="35"/>
    </row>
    <row r="206" spans="3:4" x14ac:dyDescent="0.25">
      <c r="C206" s="37"/>
      <c r="D206" s="35"/>
    </row>
    <row r="207" spans="3:4" x14ac:dyDescent="0.25">
      <c r="C207" s="37"/>
      <c r="D207" s="35"/>
    </row>
    <row r="208" spans="3:4" x14ac:dyDescent="0.25">
      <c r="C208" s="37"/>
      <c r="D208" s="35"/>
    </row>
    <row r="209" spans="3:4" x14ac:dyDescent="0.25">
      <c r="C209" s="37"/>
      <c r="D209" s="35"/>
    </row>
    <row r="210" spans="3:4" x14ac:dyDescent="0.25">
      <c r="C210" s="37"/>
      <c r="D210" s="35"/>
    </row>
    <row r="211" spans="3:4" x14ac:dyDescent="0.25">
      <c r="C211" s="37"/>
      <c r="D211" s="35"/>
    </row>
    <row r="212" spans="3:4" x14ac:dyDescent="0.25">
      <c r="C212" s="37"/>
      <c r="D212" s="35"/>
    </row>
    <row r="213" spans="3:4" x14ac:dyDescent="0.25">
      <c r="C213" s="37"/>
      <c r="D213" s="35"/>
    </row>
    <row r="214" spans="3:4" x14ac:dyDescent="0.25">
      <c r="C214" s="37"/>
      <c r="D214" s="35"/>
    </row>
    <row r="215" spans="3:4" x14ac:dyDescent="0.25">
      <c r="C215" s="37"/>
      <c r="D215" s="35"/>
    </row>
    <row r="216" spans="3:4" x14ac:dyDescent="0.25">
      <c r="C216" s="37"/>
      <c r="D216" s="35"/>
    </row>
    <row r="217" spans="3:4" x14ac:dyDescent="0.25">
      <c r="C217" s="37"/>
      <c r="D217" s="35"/>
    </row>
    <row r="218" spans="3:4" x14ac:dyDescent="0.25">
      <c r="C218" s="37"/>
      <c r="D218" s="35"/>
    </row>
    <row r="219" spans="3:4" x14ac:dyDescent="0.25">
      <c r="C219" s="37"/>
      <c r="D219" s="35"/>
    </row>
    <row r="220" spans="3:4" x14ac:dyDescent="0.25">
      <c r="C220" s="37"/>
      <c r="D220" s="35"/>
    </row>
    <row r="221" spans="3:4" x14ac:dyDescent="0.25">
      <c r="C221" s="37"/>
      <c r="D221" s="35"/>
    </row>
    <row r="222" spans="3:4" x14ac:dyDescent="0.25">
      <c r="C222" s="37"/>
      <c r="D222" s="35"/>
    </row>
    <row r="223" spans="3:4" x14ac:dyDescent="0.25">
      <c r="C223" s="37"/>
      <c r="D223" s="35"/>
    </row>
    <row r="224" spans="3:4" x14ac:dyDescent="0.25">
      <c r="C224" s="37"/>
      <c r="D224" s="35"/>
    </row>
    <row r="225" spans="3:4" x14ac:dyDescent="0.25">
      <c r="C225" s="37"/>
      <c r="D225" s="35"/>
    </row>
    <row r="226" spans="3:4" x14ac:dyDescent="0.25">
      <c r="C226" s="37"/>
      <c r="D226" s="35"/>
    </row>
    <row r="227" spans="3:4" x14ac:dyDescent="0.25">
      <c r="C227" s="37"/>
      <c r="D227" s="35"/>
    </row>
    <row r="228" spans="3:4" x14ac:dyDescent="0.25">
      <c r="C228" s="37"/>
      <c r="D228" s="35"/>
    </row>
    <row r="229" spans="3:4" x14ac:dyDescent="0.25">
      <c r="C229" s="37"/>
      <c r="D229" s="35"/>
    </row>
    <row r="230" spans="3:4" x14ac:dyDescent="0.25">
      <c r="C230" s="37"/>
      <c r="D230" s="35"/>
    </row>
    <row r="231" spans="3:4" x14ac:dyDescent="0.25">
      <c r="C231" s="37"/>
      <c r="D231" s="35"/>
    </row>
    <row r="232" spans="3:4" x14ac:dyDescent="0.25">
      <c r="C232" s="37"/>
      <c r="D232" s="35"/>
    </row>
    <row r="233" spans="3:4" x14ac:dyDescent="0.25">
      <c r="C233" s="37"/>
      <c r="D233" s="35"/>
    </row>
    <row r="234" spans="3:4" x14ac:dyDescent="0.25">
      <c r="C234" s="37"/>
      <c r="D234" s="35"/>
    </row>
    <row r="235" spans="3:4" x14ac:dyDescent="0.25">
      <c r="C235" s="37"/>
      <c r="D235" s="35"/>
    </row>
    <row r="236" spans="3:4" x14ac:dyDescent="0.25">
      <c r="C236" s="37"/>
      <c r="D236" s="35"/>
    </row>
    <row r="237" spans="3:4" x14ac:dyDescent="0.25">
      <c r="C237" s="37"/>
      <c r="D237" s="35"/>
    </row>
    <row r="238" spans="3:4" x14ac:dyDescent="0.25">
      <c r="C238" s="37"/>
      <c r="D238" s="35"/>
    </row>
    <row r="239" spans="3:4" x14ac:dyDescent="0.25">
      <c r="C239" s="37"/>
      <c r="D239" s="35"/>
    </row>
    <row r="240" spans="3:4" x14ac:dyDescent="0.25">
      <c r="C240" s="37"/>
      <c r="D240" s="35"/>
    </row>
    <row r="241" spans="3:4" x14ac:dyDescent="0.25">
      <c r="C241" s="37"/>
      <c r="D241" s="35"/>
    </row>
    <row r="242" spans="3:4" x14ac:dyDescent="0.25">
      <c r="C242" s="37"/>
      <c r="D242" s="35"/>
    </row>
    <row r="243" spans="3:4" x14ac:dyDescent="0.25">
      <c r="C243" s="37"/>
      <c r="D243" s="35"/>
    </row>
    <row r="244" spans="3:4" x14ac:dyDescent="0.25">
      <c r="C244" s="37"/>
      <c r="D244" s="35"/>
    </row>
    <row r="245" spans="3:4" x14ac:dyDescent="0.25">
      <c r="C245" s="37"/>
      <c r="D245" s="35"/>
    </row>
    <row r="246" spans="3:4" x14ac:dyDescent="0.25">
      <c r="C246" s="37"/>
      <c r="D246" s="35"/>
    </row>
    <row r="247" spans="3:4" x14ac:dyDescent="0.25">
      <c r="C247" s="37"/>
      <c r="D247" s="35"/>
    </row>
    <row r="248" spans="3:4" x14ac:dyDescent="0.25">
      <c r="C248" s="37"/>
      <c r="D248" s="35"/>
    </row>
    <row r="249" spans="3:4" x14ac:dyDescent="0.25">
      <c r="C249" s="37"/>
      <c r="D249" s="35"/>
    </row>
    <row r="250" spans="3:4" x14ac:dyDescent="0.25">
      <c r="C250" s="37"/>
      <c r="D250" s="35"/>
    </row>
    <row r="251" spans="3:4" x14ac:dyDescent="0.25">
      <c r="C251" s="37"/>
      <c r="D251" s="35"/>
    </row>
    <row r="252" spans="3:4" x14ac:dyDescent="0.25">
      <c r="C252" s="37"/>
      <c r="D252" s="35"/>
    </row>
    <row r="253" spans="3:4" x14ac:dyDescent="0.25">
      <c r="C253" s="37"/>
      <c r="D253" s="35"/>
    </row>
    <row r="254" spans="3:4" x14ac:dyDescent="0.25">
      <c r="C254" s="37"/>
      <c r="D254" s="35"/>
    </row>
    <row r="255" spans="3:4" x14ac:dyDescent="0.25">
      <c r="C255" s="37"/>
      <c r="D255" s="35"/>
    </row>
    <row r="256" spans="3:4" x14ac:dyDescent="0.25">
      <c r="C256" s="37"/>
      <c r="D256" s="35"/>
    </row>
    <row r="257" spans="3:4" x14ac:dyDescent="0.25">
      <c r="C257" s="37"/>
      <c r="D257" s="35"/>
    </row>
    <row r="258" spans="3:4" x14ac:dyDescent="0.25">
      <c r="C258" s="37"/>
      <c r="D258" s="35"/>
    </row>
    <row r="259" spans="3:4" x14ac:dyDescent="0.25">
      <c r="C259" s="37"/>
      <c r="D259" s="35"/>
    </row>
    <row r="260" spans="3:4" x14ac:dyDescent="0.25">
      <c r="C260" s="37"/>
      <c r="D260" s="35"/>
    </row>
    <row r="261" spans="3:4" x14ac:dyDescent="0.25">
      <c r="C261" s="37"/>
      <c r="D261" s="35"/>
    </row>
    <row r="262" spans="3:4" x14ac:dyDescent="0.25">
      <c r="C262" s="37"/>
      <c r="D262" s="35"/>
    </row>
    <row r="263" spans="3:4" x14ac:dyDescent="0.25">
      <c r="C263" s="37"/>
      <c r="D263" s="35"/>
    </row>
    <row r="264" spans="3:4" x14ac:dyDescent="0.25">
      <c r="C264" s="37"/>
      <c r="D264" s="35"/>
    </row>
    <row r="265" spans="3:4" x14ac:dyDescent="0.25">
      <c r="C265" s="37"/>
      <c r="D265" s="35"/>
    </row>
    <row r="266" spans="3:4" x14ac:dyDescent="0.25">
      <c r="C266" s="37"/>
      <c r="D266" s="35"/>
    </row>
    <row r="267" spans="3:4" x14ac:dyDescent="0.25">
      <c r="C267" s="37"/>
      <c r="D267" s="35"/>
    </row>
    <row r="268" spans="3:4" x14ac:dyDescent="0.25">
      <c r="C268" s="37"/>
      <c r="D268" s="35"/>
    </row>
    <row r="269" spans="3:4" x14ac:dyDescent="0.25">
      <c r="C269" s="37"/>
      <c r="D269" s="35"/>
    </row>
    <row r="270" spans="3:4" x14ac:dyDescent="0.25">
      <c r="C270" s="37"/>
      <c r="D270" s="35"/>
    </row>
    <row r="271" spans="3:4" x14ac:dyDescent="0.25">
      <c r="C271" s="37"/>
      <c r="D271" s="35"/>
    </row>
    <row r="272" spans="3:4" x14ac:dyDescent="0.25">
      <c r="C272" s="37"/>
      <c r="D272" s="35"/>
    </row>
    <row r="273" spans="3:4" x14ac:dyDescent="0.25">
      <c r="C273" s="37"/>
      <c r="D273" s="35"/>
    </row>
    <row r="274" spans="3:4" x14ac:dyDescent="0.25">
      <c r="C274" s="37"/>
      <c r="D274" s="35"/>
    </row>
    <row r="275" spans="3:4" x14ac:dyDescent="0.25">
      <c r="C275" s="37"/>
      <c r="D275" s="35"/>
    </row>
    <row r="276" spans="3:4" x14ac:dyDescent="0.25">
      <c r="C276" s="37"/>
      <c r="D276" s="35"/>
    </row>
    <row r="277" spans="3:4" x14ac:dyDescent="0.25">
      <c r="C277" s="37"/>
      <c r="D277" s="35"/>
    </row>
    <row r="278" spans="3:4" x14ac:dyDescent="0.25">
      <c r="C278" s="37"/>
      <c r="D278" s="35"/>
    </row>
    <row r="279" spans="3:4" x14ac:dyDescent="0.25">
      <c r="C279" s="37"/>
      <c r="D279" s="35"/>
    </row>
    <row r="280" spans="3:4" x14ac:dyDescent="0.25">
      <c r="C280" s="37"/>
      <c r="D280" s="35"/>
    </row>
    <row r="281" spans="3:4" x14ac:dyDescent="0.25">
      <c r="C281" s="37"/>
      <c r="D281" s="35"/>
    </row>
    <row r="282" spans="3:4" x14ac:dyDescent="0.25">
      <c r="C282" s="37"/>
      <c r="D282" s="35"/>
    </row>
    <row r="283" spans="3:4" x14ac:dyDescent="0.25">
      <c r="C283" s="37"/>
      <c r="D283" s="35"/>
    </row>
    <row r="284" spans="3:4" x14ac:dyDescent="0.25">
      <c r="C284" s="37"/>
      <c r="D284" s="35"/>
    </row>
    <row r="285" spans="3:4" x14ac:dyDescent="0.25">
      <c r="C285" s="37"/>
      <c r="D285" s="35"/>
    </row>
    <row r="286" spans="3:4" x14ac:dyDescent="0.25">
      <c r="C286" s="37"/>
      <c r="D286" s="35"/>
    </row>
    <row r="287" spans="3:4" x14ac:dyDescent="0.25">
      <c r="C287" s="37"/>
      <c r="D287" s="35"/>
    </row>
    <row r="288" spans="3:4" x14ac:dyDescent="0.25">
      <c r="C288" s="37"/>
      <c r="D288" s="35"/>
    </row>
    <row r="289" spans="3:4" x14ac:dyDescent="0.25">
      <c r="C289" s="37"/>
      <c r="D289" s="35"/>
    </row>
    <row r="290" spans="3:4" x14ac:dyDescent="0.25">
      <c r="C290" s="37"/>
      <c r="D290" s="35"/>
    </row>
    <row r="291" spans="3:4" x14ac:dyDescent="0.25">
      <c r="C291" s="37"/>
      <c r="D291" s="35"/>
    </row>
    <row r="292" spans="3:4" x14ac:dyDescent="0.25">
      <c r="C292" s="37"/>
      <c r="D292" s="35"/>
    </row>
    <row r="293" spans="3:4" x14ac:dyDescent="0.25">
      <c r="C293" s="37"/>
      <c r="D293" s="35"/>
    </row>
    <row r="294" spans="3:4" x14ac:dyDescent="0.25">
      <c r="C294" s="37"/>
      <c r="D294" s="35"/>
    </row>
    <row r="295" spans="3:4" x14ac:dyDescent="0.25">
      <c r="C295" s="37"/>
      <c r="D295" s="35"/>
    </row>
    <row r="296" spans="3:4" x14ac:dyDescent="0.25">
      <c r="C296" s="37"/>
      <c r="D296" s="35"/>
    </row>
    <row r="297" spans="3:4" x14ac:dyDescent="0.25">
      <c r="C297" s="37"/>
      <c r="D297" s="35"/>
    </row>
    <row r="298" spans="3:4" x14ac:dyDescent="0.25">
      <c r="C298" s="37"/>
      <c r="D298" s="35"/>
    </row>
    <row r="299" spans="3:4" x14ac:dyDescent="0.25">
      <c r="C299" s="37"/>
      <c r="D299" s="35"/>
    </row>
    <row r="300" spans="3:4" x14ac:dyDescent="0.25">
      <c r="C300" s="37"/>
      <c r="D300" s="35"/>
    </row>
    <row r="301" spans="3:4" x14ac:dyDescent="0.25">
      <c r="C301" s="37"/>
      <c r="D301" s="35"/>
    </row>
    <row r="302" spans="3:4" x14ac:dyDescent="0.25">
      <c r="C302" s="37"/>
      <c r="D302" s="35"/>
    </row>
    <row r="303" spans="3:4" x14ac:dyDescent="0.25">
      <c r="C303" s="37"/>
      <c r="D303" s="35"/>
    </row>
    <row r="304" spans="3:4" x14ac:dyDescent="0.25">
      <c r="C304" s="37"/>
      <c r="D304" s="35"/>
    </row>
    <row r="305" spans="3:6" x14ac:dyDescent="0.25">
      <c r="C305" s="37"/>
      <c r="D305" s="35"/>
    </row>
    <row r="306" spans="3:6" x14ac:dyDescent="0.25">
      <c r="C306" s="37"/>
      <c r="D306" s="35"/>
    </row>
    <row r="307" spans="3:6" x14ac:dyDescent="0.25">
      <c r="C307" s="37"/>
      <c r="D307" s="35"/>
    </row>
    <row r="308" spans="3:6" x14ac:dyDescent="0.25">
      <c r="C308" s="37"/>
      <c r="D308" s="35"/>
    </row>
    <row r="309" spans="3:6" x14ac:dyDescent="0.25">
      <c r="C309" s="37"/>
      <c r="D309" s="35"/>
    </row>
    <row r="310" spans="3:6" x14ac:dyDescent="0.25">
      <c r="C310" s="37"/>
      <c r="D310" s="35"/>
    </row>
    <row r="311" spans="3:6" x14ac:dyDescent="0.25">
      <c r="C311" s="37"/>
      <c r="D311" s="35"/>
      <c r="F311" s="36"/>
    </row>
    <row r="312" spans="3:6" x14ac:dyDescent="0.25">
      <c r="C312" s="37"/>
      <c r="D312" s="35"/>
    </row>
    <row r="313" spans="3:6" x14ac:dyDescent="0.25">
      <c r="C313" s="37"/>
      <c r="D313" s="35"/>
    </row>
    <row r="314" spans="3:6" x14ac:dyDescent="0.25">
      <c r="C314" s="37"/>
      <c r="D314" s="35"/>
    </row>
    <row r="315" spans="3:6" x14ac:dyDescent="0.25">
      <c r="C315" s="37"/>
      <c r="D315" s="35"/>
    </row>
    <row r="316" spans="3:6" x14ac:dyDescent="0.25">
      <c r="C316" s="37"/>
      <c r="D316" s="35"/>
    </row>
    <row r="317" spans="3:6" x14ac:dyDescent="0.25">
      <c r="C317" s="37"/>
      <c r="D317" s="35"/>
    </row>
    <row r="318" spans="3:6" x14ac:dyDescent="0.25">
      <c r="C318" s="37"/>
      <c r="D318" s="35"/>
    </row>
    <row r="319" spans="3:6" x14ac:dyDescent="0.25">
      <c r="C319" s="37"/>
      <c r="D319" s="35"/>
    </row>
    <row r="320" spans="3:6" x14ac:dyDescent="0.25">
      <c r="C320" s="37"/>
      <c r="D320" s="35"/>
    </row>
    <row r="321" spans="3:4" x14ac:dyDescent="0.25">
      <c r="C321" s="37"/>
      <c r="D321" s="35"/>
    </row>
    <row r="322" spans="3:4" x14ac:dyDescent="0.25">
      <c r="C322" s="37"/>
      <c r="D322" s="35"/>
    </row>
    <row r="323" spans="3:4" x14ac:dyDescent="0.25">
      <c r="C323" s="37"/>
      <c r="D323" s="35"/>
    </row>
    <row r="324" spans="3:4" x14ac:dyDescent="0.25">
      <c r="C324" s="37"/>
      <c r="D324" s="35"/>
    </row>
    <row r="325" spans="3:4" x14ac:dyDescent="0.25">
      <c r="C325" s="37"/>
      <c r="D325" s="35"/>
    </row>
    <row r="326" spans="3:4" x14ac:dyDescent="0.25">
      <c r="C326" s="37"/>
      <c r="D326" s="35"/>
    </row>
    <row r="327" spans="3:4" x14ac:dyDescent="0.25">
      <c r="C327" s="37"/>
      <c r="D327" s="35"/>
    </row>
    <row r="328" spans="3:4" x14ac:dyDescent="0.25">
      <c r="C328" s="37"/>
      <c r="D328" s="35"/>
    </row>
    <row r="329" spans="3:4" x14ac:dyDescent="0.25">
      <c r="C329" s="37"/>
      <c r="D329" s="35"/>
    </row>
    <row r="330" spans="3:4" x14ac:dyDescent="0.25">
      <c r="C330" s="37"/>
      <c r="D330" s="35"/>
    </row>
    <row r="331" spans="3:4" x14ac:dyDescent="0.25">
      <c r="C331" s="37"/>
      <c r="D331" s="35"/>
    </row>
    <row r="332" spans="3:4" x14ac:dyDescent="0.25">
      <c r="C332" s="37"/>
      <c r="D332" s="35"/>
    </row>
    <row r="333" spans="3:4" x14ac:dyDescent="0.25">
      <c r="C333" s="37"/>
      <c r="D333" s="35"/>
    </row>
    <row r="334" spans="3:4" x14ac:dyDescent="0.25">
      <c r="C334" s="37"/>
      <c r="D334" s="35"/>
    </row>
    <row r="335" spans="3:4" x14ac:dyDescent="0.25">
      <c r="C335" s="37"/>
      <c r="D335" s="35"/>
    </row>
    <row r="336" spans="3:4" x14ac:dyDescent="0.25">
      <c r="C336" s="37"/>
      <c r="D336" s="35"/>
    </row>
    <row r="337" spans="3:4" x14ac:dyDescent="0.25">
      <c r="C337" s="37"/>
      <c r="D337" s="35"/>
    </row>
    <row r="338" spans="3:4" x14ac:dyDescent="0.25">
      <c r="C338" s="37"/>
      <c r="D338" s="35"/>
    </row>
    <row r="339" spans="3:4" x14ac:dyDescent="0.25">
      <c r="C339" s="37"/>
      <c r="D339" s="35"/>
    </row>
    <row r="340" spans="3:4" x14ac:dyDescent="0.25">
      <c r="C340" s="37"/>
      <c r="D340" s="35"/>
    </row>
    <row r="341" spans="3:4" x14ac:dyDescent="0.25">
      <c r="C341" s="37"/>
      <c r="D341" s="35"/>
    </row>
    <row r="342" spans="3:4" x14ac:dyDescent="0.25">
      <c r="C342" s="37"/>
      <c r="D342" s="35"/>
    </row>
    <row r="343" spans="3:4" x14ac:dyDescent="0.25">
      <c r="C343" s="37"/>
      <c r="D343" s="35"/>
    </row>
    <row r="344" spans="3:4" x14ac:dyDescent="0.25">
      <c r="C344" s="37"/>
      <c r="D344" s="35"/>
    </row>
    <row r="345" spans="3:4" x14ac:dyDescent="0.25">
      <c r="C345" s="37"/>
      <c r="D345" s="35"/>
    </row>
    <row r="346" spans="3:4" x14ac:dyDescent="0.25">
      <c r="C346" s="37"/>
      <c r="D346" s="35"/>
    </row>
    <row r="347" spans="3:4" x14ac:dyDescent="0.25">
      <c r="C347" s="37"/>
      <c r="D347" s="35"/>
    </row>
    <row r="348" spans="3:4" x14ac:dyDescent="0.25">
      <c r="C348" s="37"/>
      <c r="D348" s="35"/>
    </row>
    <row r="349" spans="3:4" x14ac:dyDescent="0.25">
      <c r="C349" s="37"/>
      <c r="D349" s="35"/>
    </row>
    <row r="350" spans="3:4" x14ac:dyDescent="0.25">
      <c r="C350" s="37"/>
      <c r="D350" s="35"/>
    </row>
    <row r="351" spans="3:4" x14ac:dyDescent="0.25">
      <c r="C351" s="37"/>
      <c r="D351" s="35"/>
    </row>
    <row r="352" spans="3:4" x14ac:dyDescent="0.25">
      <c r="C352" s="37"/>
      <c r="D352" s="35"/>
    </row>
    <row r="353" spans="3:4" x14ac:dyDescent="0.25">
      <c r="C353" s="37"/>
      <c r="D353" s="35"/>
    </row>
    <row r="354" spans="3:4" x14ac:dyDescent="0.25">
      <c r="C354" s="37"/>
      <c r="D354" s="35"/>
    </row>
    <row r="355" spans="3:4" x14ac:dyDescent="0.25">
      <c r="C355" s="37"/>
      <c r="D355" s="35"/>
    </row>
    <row r="356" spans="3:4" x14ac:dyDescent="0.25">
      <c r="C356" s="37"/>
      <c r="D356" s="35"/>
    </row>
    <row r="357" spans="3:4" x14ac:dyDescent="0.25">
      <c r="C357" s="37"/>
      <c r="D357" s="35"/>
    </row>
    <row r="358" spans="3:4" x14ac:dyDescent="0.25">
      <c r="C358" s="37"/>
      <c r="D358" s="35"/>
    </row>
    <row r="359" spans="3:4" x14ac:dyDescent="0.25">
      <c r="C359" s="37"/>
      <c r="D359" s="35"/>
    </row>
    <row r="360" spans="3:4" x14ac:dyDescent="0.25">
      <c r="C360" s="37"/>
      <c r="D360" s="35"/>
    </row>
    <row r="361" spans="3:4" x14ac:dyDescent="0.25">
      <c r="C361" s="37"/>
      <c r="D361" s="35"/>
    </row>
    <row r="362" spans="3:4" x14ac:dyDescent="0.25">
      <c r="C362" s="37"/>
      <c r="D362" s="35"/>
    </row>
    <row r="363" spans="3:4" x14ac:dyDescent="0.25">
      <c r="C363" s="37"/>
      <c r="D363" s="35"/>
    </row>
    <row r="364" spans="3:4" x14ac:dyDescent="0.25">
      <c r="C364" s="37"/>
      <c r="D364" s="35"/>
    </row>
    <row r="365" spans="3:4" x14ac:dyDescent="0.25">
      <c r="C365" s="37"/>
      <c r="D365" s="35"/>
    </row>
    <row r="366" spans="3:4" x14ac:dyDescent="0.25">
      <c r="C366" s="37"/>
      <c r="D366" s="35"/>
    </row>
    <row r="367" spans="3:4" x14ac:dyDescent="0.25">
      <c r="C367" s="37"/>
      <c r="D367" s="35"/>
    </row>
    <row r="368" spans="3:4" x14ac:dyDescent="0.25">
      <c r="C368" s="37"/>
      <c r="D368" s="35"/>
    </row>
    <row r="369" spans="3:4" x14ac:dyDescent="0.25">
      <c r="C369" s="37"/>
      <c r="D369" s="35"/>
    </row>
    <row r="370" spans="3:4" x14ac:dyDescent="0.25">
      <c r="C370" s="37"/>
      <c r="D370" s="35"/>
    </row>
    <row r="371" spans="3:4" x14ac:dyDescent="0.25">
      <c r="C371" s="37"/>
      <c r="D371" s="35"/>
    </row>
    <row r="372" spans="3:4" x14ac:dyDescent="0.25">
      <c r="C372" s="37"/>
      <c r="D372" s="35"/>
    </row>
    <row r="373" spans="3:4" x14ac:dyDescent="0.25">
      <c r="C373" s="37"/>
      <c r="D373" s="35"/>
    </row>
    <row r="374" spans="3:4" x14ac:dyDescent="0.25">
      <c r="C374" s="37"/>
      <c r="D374" s="35"/>
    </row>
    <row r="375" spans="3:4" x14ac:dyDescent="0.25">
      <c r="C375" s="37"/>
      <c r="D375" s="35"/>
    </row>
    <row r="376" spans="3:4" x14ac:dyDescent="0.25">
      <c r="C376" s="37"/>
      <c r="D376" s="35"/>
    </row>
    <row r="377" spans="3:4" x14ac:dyDescent="0.25">
      <c r="C377" s="37"/>
      <c r="D377" s="35"/>
    </row>
    <row r="378" spans="3:4" x14ac:dyDescent="0.25">
      <c r="C378" s="37"/>
      <c r="D378" s="35"/>
    </row>
    <row r="379" spans="3:4" x14ac:dyDescent="0.25">
      <c r="C379" s="37"/>
      <c r="D379" s="35"/>
    </row>
    <row r="380" spans="3:4" x14ac:dyDescent="0.25">
      <c r="C380" s="37"/>
      <c r="D380" s="35"/>
    </row>
    <row r="381" spans="3:4" x14ac:dyDescent="0.25">
      <c r="C381" s="37"/>
      <c r="D381" s="35"/>
    </row>
    <row r="382" spans="3:4" x14ac:dyDescent="0.25">
      <c r="C382" s="37"/>
      <c r="D382" s="35"/>
    </row>
    <row r="383" spans="3:4" x14ac:dyDescent="0.25">
      <c r="C383" s="37"/>
      <c r="D383" s="35"/>
    </row>
    <row r="384" spans="3:4" x14ac:dyDescent="0.25">
      <c r="C384" s="37"/>
      <c r="D384" s="35"/>
    </row>
    <row r="385" spans="3:4" x14ac:dyDescent="0.25">
      <c r="C385" s="37"/>
      <c r="D385" s="35"/>
    </row>
    <row r="386" spans="3:4" x14ac:dyDescent="0.25">
      <c r="C386" s="37"/>
      <c r="D386" s="35"/>
    </row>
    <row r="387" spans="3:4" x14ac:dyDescent="0.25">
      <c r="C387" s="37"/>
      <c r="D387" s="35"/>
    </row>
    <row r="388" spans="3:4" x14ac:dyDescent="0.25">
      <c r="C388" s="37"/>
      <c r="D388" s="35"/>
    </row>
    <row r="389" spans="3:4" x14ac:dyDescent="0.25">
      <c r="C389" s="37"/>
      <c r="D389" s="35"/>
    </row>
    <row r="390" spans="3:4" x14ac:dyDescent="0.25">
      <c r="C390" s="37"/>
      <c r="D390" s="35"/>
    </row>
    <row r="391" spans="3:4" x14ac:dyDescent="0.25">
      <c r="C391" s="37"/>
      <c r="D391" s="35"/>
    </row>
    <row r="392" spans="3:4" x14ac:dyDescent="0.25">
      <c r="C392" s="37"/>
      <c r="D392" s="35"/>
    </row>
    <row r="393" spans="3:4" x14ac:dyDescent="0.25">
      <c r="C393" s="37"/>
      <c r="D393" s="35"/>
    </row>
    <row r="394" spans="3:4" x14ac:dyDescent="0.25">
      <c r="C394" s="37"/>
      <c r="D394" s="35"/>
    </row>
    <row r="395" spans="3:4" x14ac:dyDescent="0.25">
      <c r="C395" s="37"/>
      <c r="D395" s="35"/>
    </row>
    <row r="396" spans="3:4" x14ac:dyDescent="0.25">
      <c r="C396" s="37"/>
      <c r="D396" s="35"/>
    </row>
    <row r="397" spans="3:4" x14ac:dyDescent="0.25">
      <c r="C397" s="37"/>
      <c r="D397" s="35"/>
    </row>
    <row r="398" spans="3:4" x14ac:dyDescent="0.25">
      <c r="C398" s="37"/>
      <c r="D398" s="35"/>
    </row>
    <row r="399" spans="3:4" x14ac:dyDescent="0.25">
      <c r="C399" s="37"/>
      <c r="D399" s="35"/>
    </row>
    <row r="400" spans="3:4" x14ac:dyDescent="0.25">
      <c r="C400" s="37"/>
      <c r="D400" s="35"/>
    </row>
    <row r="401" spans="3:4" x14ac:dyDescent="0.25">
      <c r="C401" s="37"/>
      <c r="D401" s="35"/>
    </row>
    <row r="402" spans="3:4" x14ac:dyDescent="0.25">
      <c r="C402" s="37"/>
      <c r="D402" s="35"/>
    </row>
    <row r="403" spans="3:4" x14ac:dyDescent="0.25">
      <c r="C403" s="37"/>
      <c r="D403" s="35"/>
    </row>
    <row r="404" spans="3:4" x14ac:dyDescent="0.25">
      <c r="C404" s="37"/>
      <c r="D404" s="35"/>
    </row>
    <row r="405" spans="3:4" x14ac:dyDescent="0.25">
      <c r="C405" s="37"/>
      <c r="D405" s="35"/>
    </row>
    <row r="406" spans="3:4" x14ac:dyDescent="0.25">
      <c r="C406" s="37"/>
      <c r="D406" s="35"/>
    </row>
    <row r="407" spans="3:4" x14ac:dyDescent="0.25">
      <c r="C407" s="37"/>
      <c r="D407" s="35"/>
    </row>
    <row r="408" spans="3:4" x14ac:dyDescent="0.25">
      <c r="C408" s="37"/>
      <c r="D408" s="35"/>
    </row>
    <row r="409" spans="3:4" x14ac:dyDescent="0.25">
      <c r="C409" s="37"/>
      <c r="D409" s="35"/>
    </row>
    <row r="410" spans="3:4" x14ac:dyDescent="0.25">
      <c r="C410" s="37"/>
      <c r="D410" s="35"/>
    </row>
    <row r="411" spans="3:4" x14ac:dyDescent="0.25">
      <c r="C411" s="37"/>
      <c r="D411" s="35"/>
    </row>
    <row r="412" spans="3:4" x14ac:dyDescent="0.25">
      <c r="C412" s="37"/>
      <c r="D412" s="35"/>
    </row>
    <row r="413" spans="3:4" x14ac:dyDescent="0.25">
      <c r="C413" s="37"/>
      <c r="D413" s="35"/>
    </row>
    <row r="414" spans="3:4" x14ac:dyDescent="0.25">
      <c r="C414" s="37"/>
      <c r="D414" s="35"/>
    </row>
    <row r="415" spans="3:4" x14ac:dyDescent="0.25">
      <c r="C415" s="37"/>
      <c r="D415" s="35"/>
    </row>
    <row r="416" spans="3:4" x14ac:dyDescent="0.25">
      <c r="C416" s="37"/>
      <c r="D416" s="35"/>
    </row>
    <row r="417" spans="3:4" x14ac:dyDescent="0.25">
      <c r="C417" s="37"/>
      <c r="D417" s="35"/>
    </row>
    <row r="418" spans="3:4" x14ac:dyDescent="0.25">
      <c r="C418" s="37"/>
      <c r="D418" s="35"/>
    </row>
    <row r="419" spans="3:4" x14ac:dyDescent="0.25">
      <c r="C419" s="37"/>
      <c r="D419" s="35"/>
    </row>
    <row r="420" spans="3:4" x14ac:dyDescent="0.25">
      <c r="C420" s="37"/>
      <c r="D420" s="35"/>
    </row>
    <row r="421" spans="3:4" x14ac:dyDescent="0.25">
      <c r="C421" s="37"/>
      <c r="D421" s="35"/>
    </row>
    <row r="422" spans="3:4" x14ac:dyDescent="0.25">
      <c r="C422" s="37"/>
      <c r="D422" s="35"/>
    </row>
    <row r="423" spans="3:4" x14ac:dyDescent="0.25">
      <c r="C423" s="37"/>
      <c r="D423" s="35"/>
    </row>
    <row r="424" spans="3:4" x14ac:dyDescent="0.25">
      <c r="C424" s="37"/>
      <c r="D424" s="35"/>
    </row>
    <row r="425" spans="3:4" x14ac:dyDescent="0.25">
      <c r="C425" s="37"/>
      <c r="D425" s="35"/>
    </row>
    <row r="426" spans="3:4" x14ac:dyDescent="0.25">
      <c r="C426" s="37"/>
      <c r="D426" s="35"/>
    </row>
    <row r="427" spans="3:4" x14ac:dyDescent="0.25">
      <c r="C427" s="37"/>
      <c r="D427" s="35"/>
    </row>
    <row r="428" spans="3:4" x14ac:dyDescent="0.25">
      <c r="C428" s="37"/>
      <c r="D428" s="35"/>
    </row>
    <row r="429" spans="3:4" x14ac:dyDescent="0.25">
      <c r="C429" s="37"/>
      <c r="D429" s="35"/>
    </row>
    <row r="430" spans="3:4" x14ac:dyDescent="0.25">
      <c r="C430" s="37"/>
      <c r="D430" s="35"/>
    </row>
    <row r="431" spans="3:4" x14ac:dyDescent="0.25">
      <c r="C431" s="37"/>
      <c r="D431" s="35"/>
    </row>
    <row r="432" spans="3:4" x14ac:dyDescent="0.25">
      <c r="C432" s="37"/>
      <c r="D432" s="35"/>
    </row>
    <row r="433" spans="3:4" x14ac:dyDescent="0.25">
      <c r="C433" s="37"/>
      <c r="D433" s="35"/>
    </row>
    <row r="434" spans="3:4" x14ac:dyDescent="0.25">
      <c r="C434" s="37"/>
      <c r="D434" s="35"/>
    </row>
    <row r="435" spans="3:4" x14ac:dyDescent="0.25">
      <c r="C435" s="37"/>
      <c r="D435" s="35"/>
    </row>
    <row r="436" spans="3:4" x14ac:dyDescent="0.25">
      <c r="C436" s="37"/>
      <c r="D436" s="35"/>
    </row>
    <row r="437" spans="3:4" x14ac:dyDescent="0.25">
      <c r="C437" s="37"/>
      <c r="D437" s="35"/>
    </row>
    <row r="438" spans="3:4" x14ac:dyDescent="0.25">
      <c r="C438" s="37"/>
      <c r="D438" s="35"/>
    </row>
    <row r="439" spans="3:4" x14ac:dyDescent="0.25">
      <c r="C439" s="37"/>
      <c r="D439" s="35"/>
    </row>
    <row r="440" spans="3:4" x14ac:dyDescent="0.25">
      <c r="C440" s="37"/>
      <c r="D440" s="35"/>
    </row>
    <row r="441" spans="3:4" x14ac:dyDescent="0.25">
      <c r="C441" s="37"/>
      <c r="D441" s="35"/>
    </row>
    <row r="442" spans="3:4" x14ac:dyDescent="0.25">
      <c r="C442" s="37"/>
      <c r="D442" s="35"/>
    </row>
    <row r="443" spans="3:4" x14ac:dyDescent="0.25">
      <c r="C443" s="37"/>
      <c r="D443" s="35"/>
    </row>
    <row r="444" spans="3:4" x14ac:dyDescent="0.25">
      <c r="C444" s="37"/>
      <c r="D444" s="35"/>
    </row>
    <row r="445" spans="3:4" x14ac:dyDescent="0.25">
      <c r="C445" s="37"/>
      <c r="D445" s="35"/>
    </row>
    <row r="446" spans="3:4" x14ac:dyDescent="0.25">
      <c r="C446" s="37"/>
      <c r="D446" s="35"/>
    </row>
    <row r="447" spans="3:4" x14ac:dyDescent="0.25">
      <c r="C447" s="37"/>
      <c r="D447" s="35"/>
    </row>
    <row r="448" spans="3:4" x14ac:dyDescent="0.25">
      <c r="C448" s="37"/>
      <c r="D448" s="35"/>
    </row>
    <row r="449" spans="3:4" x14ac:dyDescent="0.25">
      <c r="C449" s="37"/>
      <c r="D449" s="35"/>
    </row>
    <row r="450" spans="3:4" x14ac:dyDescent="0.25">
      <c r="C450" s="37"/>
      <c r="D450" s="35"/>
    </row>
    <row r="451" spans="3:4" x14ac:dyDescent="0.25">
      <c r="C451" s="37"/>
      <c r="D451" s="35"/>
    </row>
    <row r="452" spans="3:4" x14ac:dyDescent="0.25">
      <c r="C452" s="37"/>
      <c r="D452" s="35"/>
    </row>
    <row r="453" spans="3:4" x14ac:dyDescent="0.25">
      <c r="C453" s="37"/>
      <c r="D453" s="35"/>
    </row>
    <row r="454" spans="3:4" x14ac:dyDescent="0.25">
      <c r="C454" s="37"/>
      <c r="D454" s="35"/>
    </row>
    <row r="455" spans="3:4" x14ac:dyDescent="0.25">
      <c r="C455" s="37"/>
      <c r="D455" s="35"/>
    </row>
    <row r="456" spans="3:4" x14ac:dyDescent="0.25">
      <c r="C456" s="37"/>
      <c r="D456" s="35"/>
    </row>
    <row r="457" spans="3:4" x14ac:dyDescent="0.25">
      <c r="C457" s="37"/>
      <c r="D457" s="35"/>
    </row>
    <row r="458" spans="3:4" x14ac:dyDescent="0.25">
      <c r="C458" s="37"/>
      <c r="D458" s="35"/>
    </row>
    <row r="459" spans="3:4" x14ac:dyDescent="0.25">
      <c r="C459" s="37"/>
      <c r="D459" s="35"/>
    </row>
    <row r="460" spans="3:4" x14ac:dyDescent="0.25">
      <c r="C460" s="37"/>
      <c r="D460" s="35"/>
    </row>
    <row r="461" spans="3:4" x14ac:dyDescent="0.25">
      <c r="C461" s="37"/>
      <c r="D461" s="35"/>
    </row>
    <row r="462" spans="3:4" x14ac:dyDescent="0.25">
      <c r="C462" s="37"/>
      <c r="D462" s="35"/>
    </row>
    <row r="463" spans="3:4" x14ac:dyDescent="0.25">
      <c r="C463" s="37"/>
      <c r="D463" s="35"/>
    </row>
    <row r="464" spans="3:4" x14ac:dyDescent="0.25">
      <c r="C464" s="37"/>
      <c r="D464" s="35"/>
    </row>
    <row r="465" spans="3:4" x14ac:dyDescent="0.25">
      <c r="C465" s="37"/>
      <c r="D465" s="35"/>
    </row>
    <row r="466" spans="3:4" x14ac:dyDescent="0.25">
      <c r="C466" s="37"/>
      <c r="D466" s="35"/>
    </row>
    <row r="467" spans="3:4" x14ac:dyDescent="0.25">
      <c r="C467" s="37"/>
      <c r="D467" s="35"/>
    </row>
    <row r="468" spans="3:4" x14ac:dyDescent="0.25">
      <c r="C468" s="37"/>
      <c r="D468" s="35"/>
    </row>
    <row r="469" spans="3:4" x14ac:dyDescent="0.25">
      <c r="C469" s="37"/>
      <c r="D469" s="35"/>
    </row>
    <row r="470" spans="3:4" x14ac:dyDescent="0.25">
      <c r="C470" s="37"/>
      <c r="D470" s="35"/>
    </row>
    <row r="471" spans="3:4" x14ac:dyDescent="0.25">
      <c r="C471" s="37"/>
      <c r="D471" s="35"/>
    </row>
    <row r="472" spans="3:4" x14ac:dyDescent="0.25">
      <c r="C472" s="37"/>
      <c r="D472" s="35"/>
    </row>
    <row r="473" spans="3:4" x14ac:dyDescent="0.25">
      <c r="C473" s="37"/>
      <c r="D473" s="35"/>
    </row>
    <row r="474" spans="3:4" x14ac:dyDescent="0.25">
      <c r="C474" s="37"/>
      <c r="D474" s="35"/>
    </row>
    <row r="475" spans="3:4" x14ac:dyDescent="0.25">
      <c r="C475" s="37"/>
      <c r="D475" s="35"/>
    </row>
    <row r="476" spans="3:4" x14ac:dyDescent="0.25">
      <c r="C476" s="37"/>
      <c r="D476" s="35"/>
    </row>
    <row r="477" spans="3:4" x14ac:dyDescent="0.25">
      <c r="C477" s="37"/>
      <c r="D477" s="35"/>
    </row>
    <row r="478" spans="3:4" x14ac:dyDescent="0.25">
      <c r="C478" s="37"/>
      <c r="D478" s="35"/>
    </row>
    <row r="479" spans="3:4" x14ac:dyDescent="0.25">
      <c r="C479" s="37"/>
      <c r="D479" s="35"/>
    </row>
    <row r="480" spans="3:4" x14ac:dyDescent="0.25">
      <c r="C480" s="37"/>
      <c r="D480" s="35"/>
    </row>
    <row r="481" spans="3:4" x14ac:dyDescent="0.25">
      <c r="C481" s="37"/>
      <c r="D481" s="35"/>
    </row>
    <row r="482" spans="3:4" x14ac:dyDescent="0.25">
      <c r="C482" s="37"/>
      <c r="D482" s="35"/>
    </row>
    <row r="483" spans="3:4" x14ac:dyDescent="0.25">
      <c r="C483" s="37"/>
      <c r="D483" s="35"/>
    </row>
    <row r="484" spans="3:4" x14ac:dyDescent="0.25">
      <c r="C484" s="37"/>
      <c r="D484" s="35"/>
    </row>
    <row r="485" spans="3:4" x14ac:dyDescent="0.25">
      <c r="C485" s="37"/>
      <c r="D485" s="35"/>
    </row>
    <row r="486" spans="3:4" x14ac:dyDescent="0.25">
      <c r="C486" s="37"/>
      <c r="D486" s="35"/>
    </row>
    <row r="487" spans="3:4" x14ac:dyDescent="0.25">
      <c r="C487" s="37"/>
      <c r="D487" s="35"/>
    </row>
    <row r="488" spans="3:4" x14ac:dyDescent="0.25">
      <c r="C488" s="37"/>
      <c r="D488" s="35"/>
    </row>
    <row r="489" spans="3:4" x14ac:dyDescent="0.25">
      <c r="C489" s="37"/>
      <c r="D489" s="35"/>
    </row>
    <row r="490" spans="3:4" x14ac:dyDescent="0.25">
      <c r="C490" s="37"/>
      <c r="D490" s="35"/>
    </row>
    <row r="491" spans="3:4" x14ac:dyDescent="0.25">
      <c r="C491" s="37"/>
      <c r="D491" s="35"/>
    </row>
    <row r="492" spans="3:4" x14ac:dyDescent="0.25">
      <c r="C492" s="37"/>
      <c r="D492" s="35"/>
    </row>
    <row r="493" spans="3:4" x14ac:dyDescent="0.25">
      <c r="C493" s="37"/>
      <c r="D493" s="35"/>
    </row>
    <row r="494" spans="3:4" x14ac:dyDescent="0.25">
      <c r="C494" s="37"/>
      <c r="D494" s="35"/>
    </row>
    <row r="495" spans="3:4" x14ac:dyDescent="0.25">
      <c r="C495" s="37"/>
      <c r="D495" s="35"/>
    </row>
    <row r="496" spans="3:4" x14ac:dyDescent="0.25">
      <c r="C496" s="37"/>
      <c r="D496" s="35"/>
    </row>
    <row r="497" spans="3:4" x14ac:dyDescent="0.25">
      <c r="C497" s="37"/>
      <c r="D497" s="35"/>
    </row>
    <row r="498" spans="3:4" x14ac:dyDescent="0.25">
      <c r="C498" s="37"/>
      <c r="D498" s="35"/>
    </row>
    <row r="499" spans="3:4" x14ac:dyDescent="0.25">
      <c r="C499" s="37"/>
      <c r="D499" s="35"/>
    </row>
    <row r="500" spans="3:4" x14ac:dyDescent="0.25">
      <c r="C500" s="37"/>
      <c r="D500" s="35"/>
    </row>
    <row r="501" spans="3:4" x14ac:dyDescent="0.25">
      <c r="C501" s="37"/>
      <c r="D501" s="35"/>
    </row>
    <row r="502" spans="3:4" x14ac:dyDescent="0.25">
      <c r="C502" s="37"/>
      <c r="D502" s="35"/>
    </row>
    <row r="503" spans="3:4" x14ac:dyDescent="0.25">
      <c r="C503" s="37"/>
      <c r="D503" s="35"/>
    </row>
    <row r="504" spans="3:4" x14ac:dyDescent="0.25">
      <c r="C504" s="37"/>
      <c r="D504" s="35"/>
    </row>
    <row r="505" spans="3:4" x14ac:dyDescent="0.25">
      <c r="C505" s="37"/>
      <c r="D505" s="35"/>
    </row>
    <row r="506" spans="3:4" x14ac:dyDescent="0.25">
      <c r="C506" s="37"/>
      <c r="D506" s="35"/>
    </row>
    <row r="507" spans="3:4" x14ac:dyDescent="0.25">
      <c r="C507" s="37"/>
      <c r="D507" s="35"/>
    </row>
    <row r="508" spans="3:4" x14ac:dyDescent="0.25">
      <c r="C508" s="37"/>
      <c r="D508" s="35"/>
    </row>
    <row r="509" spans="3:4" x14ac:dyDescent="0.25">
      <c r="C509" s="37"/>
      <c r="D509" s="35"/>
    </row>
    <row r="510" spans="3:4" x14ac:dyDescent="0.25">
      <c r="C510" s="37"/>
      <c r="D510" s="35"/>
    </row>
    <row r="511" spans="3:4" x14ac:dyDescent="0.25">
      <c r="C511" s="37"/>
      <c r="D511" s="35"/>
    </row>
    <row r="512" spans="3:4" x14ac:dyDescent="0.25">
      <c r="C512" s="37"/>
      <c r="D512" s="35"/>
    </row>
    <row r="513" spans="3:4" x14ac:dyDescent="0.25">
      <c r="C513" s="37"/>
      <c r="D513" s="35"/>
    </row>
    <row r="514" spans="3:4" x14ac:dyDescent="0.25">
      <c r="C514" s="37"/>
      <c r="D514" s="35"/>
    </row>
    <row r="515" spans="3:4" x14ac:dyDescent="0.25">
      <c r="C515" s="37"/>
      <c r="D515" s="35"/>
    </row>
    <row r="516" spans="3:4" x14ac:dyDescent="0.25">
      <c r="C516" s="37"/>
      <c r="D516" s="35"/>
    </row>
    <row r="517" spans="3:4" x14ac:dyDescent="0.25">
      <c r="C517" s="37"/>
      <c r="D517" s="35"/>
    </row>
    <row r="518" spans="3:4" x14ac:dyDescent="0.25">
      <c r="C518" s="37"/>
      <c r="D518" s="35"/>
    </row>
    <row r="519" spans="3:4" x14ac:dyDescent="0.25">
      <c r="C519" s="37"/>
      <c r="D519" s="35"/>
    </row>
    <row r="520" spans="3:4" x14ac:dyDescent="0.25">
      <c r="C520" s="37"/>
      <c r="D520" s="35"/>
    </row>
    <row r="521" spans="3:4" x14ac:dyDescent="0.25">
      <c r="C521" s="37"/>
      <c r="D521" s="35"/>
    </row>
    <row r="522" spans="3:4" x14ac:dyDescent="0.25">
      <c r="C522" s="37"/>
      <c r="D522" s="35"/>
    </row>
    <row r="523" spans="3:4" x14ac:dyDescent="0.25">
      <c r="C523" s="37"/>
      <c r="D523" s="35"/>
    </row>
    <row r="524" spans="3:4" x14ac:dyDescent="0.25">
      <c r="C524" s="37"/>
      <c r="D524" s="35"/>
    </row>
    <row r="525" spans="3:4" x14ac:dyDescent="0.25">
      <c r="C525" s="37"/>
      <c r="D525" s="35"/>
    </row>
    <row r="526" spans="3:4" x14ac:dyDescent="0.25">
      <c r="C526" s="37"/>
      <c r="D526" s="35"/>
    </row>
    <row r="527" spans="3:4" x14ac:dyDescent="0.25">
      <c r="C527" s="37"/>
      <c r="D527" s="35"/>
    </row>
    <row r="528" spans="3:4" x14ac:dyDescent="0.25">
      <c r="C528" s="37"/>
      <c r="D528" s="35"/>
    </row>
    <row r="529" spans="3:4" x14ac:dyDescent="0.25">
      <c r="C529" s="37"/>
      <c r="D529" s="35"/>
    </row>
    <row r="530" spans="3:4" x14ac:dyDescent="0.25">
      <c r="C530" s="37"/>
      <c r="D530" s="35"/>
    </row>
    <row r="531" spans="3:4" x14ac:dyDescent="0.25">
      <c r="C531" s="37"/>
      <c r="D531" s="35"/>
    </row>
    <row r="532" spans="3:4" x14ac:dyDescent="0.25">
      <c r="C532" s="37"/>
      <c r="D532" s="35"/>
    </row>
    <row r="533" spans="3:4" x14ac:dyDescent="0.25">
      <c r="C533" s="37"/>
      <c r="D533" s="35"/>
    </row>
    <row r="534" spans="3:4" x14ac:dyDescent="0.25">
      <c r="C534" s="37"/>
      <c r="D534" s="35"/>
    </row>
    <row r="535" spans="3:4" x14ac:dyDescent="0.25">
      <c r="C535" s="37"/>
      <c r="D535" s="35"/>
    </row>
    <row r="536" spans="3:4" x14ac:dyDescent="0.25">
      <c r="C536" s="37"/>
      <c r="D536" s="35"/>
    </row>
    <row r="537" spans="3:4" x14ac:dyDescent="0.25">
      <c r="C537" s="37"/>
      <c r="D537" s="35"/>
    </row>
    <row r="538" spans="3:4" x14ac:dyDescent="0.25">
      <c r="C538" s="37"/>
      <c r="D538" s="35"/>
    </row>
    <row r="539" spans="3:4" x14ac:dyDescent="0.25">
      <c r="C539" s="37"/>
      <c r="D539" s="35"/>
    </row>
    <row r="540" spans="3:4" x14ac:dyDescent="0.25">
      <c r="C540" s="37"/>
      <c r="D540" s="35"/>
    </row>
    <row r="541" spans="3:4" x14ac:dyDescent="0.25">
      <c r="C541" s="37"/>
      <c r="D541" s="35"/>
    </row>
    <row r="542" spans="3:4" x14ac:dyDescent="0.25">
      <c r="C542" s="37"/>
      <c r="D542" s="35"/>
    </row>
    <row r="543" spans="3:4" x14ac:dyDescent="0.25">
      <c r="C543" s="37"/>
      <c r="D543" s="35"/>
    </row>
    <row r="544" spans="3:4" x14ac:dyDescent="0.25">
      <c r="C544" s="37"/>
      <c r="D544" s="35"/>
    </row>
    <row r="545" spans="3:4" x14ac:dyDescent="0.25">
      <c r="C545" s="37"/>
      <c r="D545" s="35"/>
    </row>
    <row r="546" spans="3:4" x14ac:dyDescent="0.25">
      <c r="C546" s="37"/>
      <c r="D546" s="35"/>
    </row>
    <row r="547" spans="3:4" x14ac:dyDescent="0.25">
      <c r="C547" s="37"/>
      <c r="D547" s="35"/>
    </row>
    <row r="548" spans="3:4" x14ac:dyDescent="0.25">
      <c r="C548" s="37"/>
      <c r="D548" s="35"/>
    </row>
    <row r="549" spans="3:4" x14ac:dyDescent="0.25">
      <c r="C549" s="37"/>
      <c r="D549" s="35"/>
    </row>
    <row r="550" spans="3:4" x14ac:dyDescent="0.25">
      <c r="C550" s="37"/>
      <c r="D550" s="35"/>
    </row>
    <row r="551" spans="3:4" x14ac:dyDescent="0.25">
      <c r="C551" s="37"/>
      <c r="D551" s="35"/>
    </row>
    <row r="552" spans="3:4" x14ac:dyDescent="0.25">
      <c r="C552" s="37"/>
      <c r="D552" s="35"/>
    </row>
    <row r="553" spans="3:4" x14ac:dyDescent="0.25">
      <c r="C553" s="37"/>
      <c r="D553" s="35"/>
    </row>
    <row r="554" spans="3:4" x14ac:dyDescent="0.25">
      <c r="C554" s="37"/>
      <c r="D554" s="35"/>
    </row>
    <row r="555" spans="3:4" x14ac:dyDescent="0.25">
      <c r="C555" s="37"/>
      <c r="D555" s="35"/>
    </row>
    <row r="556" spans="3:4" x14ac:dyDescent="0.25">
      <c r="C556" s="37"/>
      <c r="D556" s="35"/>
    </row>
    <row r="557" spans="3:4" x14ac:dyDescent="0.25">
      <c r="C557" s="37"/>
      <c r="D557" s="35"/>
    </row>
    <row r="558" spans="3:4" x14ac:dyDescent="0.25">
      <c r="C558" s="37"/>
      <c r="D558" s="35"/>
    </row>
    <row r="559" spans="3:4" x14ac:dyDescent="0.25">
      <c r="C559" s="37"/>
      <c r="D559" s="35"/>
    </row>
    <row r="560" spans="3:4" x14ac:dyDescent="0.25">
      <c r="C560" s="37"/>
      <c r="D560" s="35"/>
    </row>
    <row r="561" spans="3:4" x14ac:dyDescent="0.25">
      <c r="C561" s="37"/>
      <c r="D561" s="35"/>
    </row>
    <row r="562" spans="3:4" x14ac:dyDescent="0.25">
      <c r="C562" s="37"/>
      <c r="D562" s="35"/>
    </row>
    <row r="563" spans="3:4" x14ac:dyDescent="0.25">
      <c r="C563" s="37"/>
      <c r="D563" s="35"/>
    </row>
    <row r="564" spans="3:4" x14ac:dyDescent="0.25">
      <c r="C564" s="37"/>
      <c r="D564" s="35"/>
    </row>
    <row r="565" spans="3:4" x14ac:dyDescent="0.25">
      <c r="C565" s="37"/>
      <c r="D565" s="35"/>
    </row>
    <row r="566" spans="3:4" x14ac:dyDescent="0.25">
      <c r="C566" s="37"/>
      <c r="D566" s="35"/>
    </row>
    <row r="567" spans="3:4" x14ac:dyDescent="0.25">
      <c r="C567" s="37"/>
      <c r="D567" s="35"/>
    </row>
    <row r="568" spans="3:4" x14ac:dyDescent="0.25">
      <c r="C568" s="37"/>
      <c r="D568" s="35"/>
    </row>
    <row r="569" spans="3:4" x14ac:dyDescent="0.25">
      <c r="C569" s="37"/>
      <c r="D569" s="35"/>
    </row>
    <row r="570" spans="3:4" x14ac:dyDescent="0.25">
      <c r="C570" s="37"/>
      <c r="D570" s="35"/>
    </row>
    <row r="571" spans="3:4" x14ac:dyDescent="0.25">
      <c r="C571" s="37"/>
      <c r="D571" s="35"/>
    </row>
    <row r="572" spans="3:4" x14ac:dyDescent="0.25">
      <c r="C572" s="37"/>
      <c r="D572" s="35"/>
    </row>
    <row r="573" spans="3:4" x14ac:dyDescent="0.25">
      <c r="C573" s="37"/>
      <c r="D573" s="35"/>
    </row>
    <row r="574" spans="3:4" x14ac:dyDescent="0.25">
      <c r="C574" s="37"/>
      <c r="D574" s="35"/>
    </row>
    <row r="575" spans="3:4" x14ac:dyDescent="0.25">
      <c r="C575" s="37"/>
      <c r="D575" s="35"/>
    </row>
    <row r="576" spans="3:4" x14ac:dyDescent="0.25">
      <c r="C576" s="37"/>
      <c r="D576" s="35"/>
    </row>
    <row r="577" spans="3:4" x14ac:dyDescent="0.25">
      <c r="C577" s="37"/>
      <c r="D577" s="35"/>
    </row>
    <row r="578" spans="3:4" x14ac:dyDescent="0.25">
      <c r="C578" s="37"/>
      <c r="D578" s="35"/>
    </row>
    <row r="579" spans="3:4" x14ac:dyDescent="0.25">
      <c r="C579" s="37"/>
      <c r="D579" s="35"/>
    </row>
    <row r="580" spans="3:4" x14ac:dyDescent="0.25">
      <c r="C580" s="37"/>
      <c r="D580" s="35"/>
    </row>
    <row r="581" spans="3:4" x14ac:dyDescent="0.25">
      <c r="C581" s="37"/>
      <c r="D581" s="35"/>
    </row>
    <row r="582" spans="3:4" x14ac:dyDescent="0.25">
      <c r="C582" s="37"/>
      <c r="D582" s="35"/>
    </row>
    <row r="583" spans="3:4" x14ac:dyDescent="0.25">
      <c r="C583" s="37"/>
      <c r="D583" s="35"/>
    </row>
    <row r="584" spans="3:4" x14ac:dyDescent="0.25">
      <c r="C584" s="37"/>
      <c r="D584" s="35"/>
    </row>
    <row r="585" spans="3:4" x14ac:dyDescent="0.25">
      <c r="C585" s="37"/>
      <c r="D585" s="35"/>
    </row>
    <row r="586" spans="3:4" x14ac:dyDescent="0.25">
      <c r="C586" s="37"/>
      <c r="D586" s="35"/>
    </row>
    <row r="587" spans="3:4" x14ac:dyDescent="0.25">
      <c r="C587" s="37"/>
      <c r="D587" s="35"/>
    </row>
    <row r="588" spans="3:4" x14ac:dyDescent="0.25">
      <c r="C588" s="37"/>
      <c r="D588" s="35"/>
    </row>
    <row r="589" spans="3:4" x14ac:dyDescent="0.25">
      <c r="C589" s="37"/>
      <c r="D589" s="35"/>
    </row>
    <row r="590" spans="3:4" x14ac:dyDescent="0.25">
      <c r="C590" s="37"/>
      <c r="D590" s="35"/>
    </row>
    <row r="591" spans="3:4" x14ac:dyDescent="0.25">
      <c r="C591" s="37"/>
      <c r="D591" s="35"/>
    </row>
    <row r="592" spans="3:4" x14ac:dyDescent="0.25">
      <c r="C592" s="37"/>
      <c r="D592" s="35"/>
    </row>
    <row r="593" spans="3:4" x14ac:dyDescent="0.25">
      <c r="C593" s="37"/>
      <c r="D593" s="35"/>
    </row>
    <row r="594" spans="3:4" x14ac:dyDescent="0.25">
      <c r="C594" s="37"/>
      <c r="D594" s="35"/>
    </row>
    <row r="595" spans="3:4" x14ac:dyDescent="0.25">
      <c r="C595" s="37"/>
      <c r="D595" s="35"/>
    </row>
    <row r="596" spans="3:4" x14ac:dyDescent="0.25">
      <c r="C596" s="37"/>
      <c r="D596" s="35"/>
    </row>
    <row r="597" spans="3:4" x14ac:dyDescent="0.25">
      <c r="C597" s="37"/>
      <c r="D597" s="35"/>
    </row>
    <row r="598" spans="3:4" x14ac:dyDescent="0.25">
      <c r="C598" s="37"/>
      <c r="D598" s="35"/>
    </row>
    <row r="599" spans="3:4" x14ac:dyDescent="0.25">
      <c r="C599" s="37"/>
      <c r="D599" s="35"/>
    </row>
    <row r="600" spans="3:4" x14ac:dyDescent="0.25">
      <c r="C600" s="37"/>
      <c r="D600" s="35"/>
    </row>
    <row r="601" spans="3:4" x14ac:dyDescent="0.25">
      <c r="C601" s="37"/>
      <c r="D601" s="35"/>
    </row>
    <row r="602" spans="3:4" x14ac:dyDescent="0.25">
      <c r="C602" s="37"/>
      <c r="D602" s="35"/>
    </row>
    <row r="603" spans="3:4" x14ac:dyDescent="0.25">
      <c r="C603" s="37"/>
      <c r="D603" s="35"/>
    </row>
    <row r="604" spans="3:4" x14ac:dyDescent="0.25">
      <c r="C604" s="37"/>
      <c r="D604" s="35"/>
    </row>
    <row r="605" spans="3:4" x14ac:dyDescent="0.25">
      <c r="C605" s="37"/>
      <c r="D605" s="35"/>
    </row>
    <row r="606" spans="3:4" x14ac:dyDescent="0.25">
      <c r="C606" s="37"/>
      <c r="D606" s="35"/>
    </row>
    <row r="607" spans="3:4" x14ac:dyDescent="0.25">
      <c r="C607" s="37"/>
      <c r="D607" s="35"/>
    </row>
    <row r="608" spans="3:4" x14ac:dyDescent="0.25">
      <c r="C608" s="37"/>
      <c r="D608" s="35"/>
    </row>
    <row r="609" spans="3:4" x14ac:dyDescent="0.25">
      <c r="C609" s="37"/>
      <c r="D609" s="35"/>
    </row>
    <row r="610" spans="3:4" x14ac:dyDescent="0.25">
      <c r="C610" s="37"/>
      <c r="D610" s="35"/>
    </row>
    <row r="611" spans="3:4" x14ac:dyDescent="0.25">
      <c r="C611" s="37"/>
      <c r="D611" s="35"/>
    </row>
    <row r="612" spans="3:4" x14ac:dyDescent="0.25">
      <c r="C612" s="37"/>
      <c r="D612" s="35"/>
    </row>
    <row r="613" spans="3:4" x14ac:dyDescent="0.25">
      <c r="C613" s="37"/>
      <c r="D613" s="35"/>
    </row>
    <row r="614" spans="3:4" x14ac:dyDescent="0.25">
      <c r="C614" s="37"/>
      <c r="D614" s="35"/>
    </row>
    <row r="615" spans="3:4" x14ac:dyDescent="0.25">
      <c r="C615" s="37"/>
      <c r="D615" s="35"/>
    </row>
    <row r="616" spans="3:4" x14ac:dyDescent="0.25">
      <c r="C616" s="37"/>
      <c r="D616" s="35"/>
    </row>
    <row r="617" spans="3:4" x14ac:dyDescent="0.25">
      <c r="C617" s="37"/>
      <c r="D617" s="35"/>
    </row>
    <row r="618" spans="3:4" x14ac:dyDescent="0.25">
      <c r="C618" s="37"/>
      <c r="D618" s="35"/>
    </row>
    <row r="619" spans="3:4" x14ac:dyDescent="0.25">
      <c r="C619" s="37"/>
      <c r="D619" s="35"/>
    </row>
    <row r="620" spans="3:4" x14ac:dyDescent="0.25">
      <c r="C620" s="37"/>
      <c r="D620" s="35"/>
    </row>
    <row r="621" spans="3:4" x14ac:dyDescent="0.25">
      <c r="C621" s="37"/>
      <c r="D621" s="35"/>
    </row>
    <row r="622" spans="3:4" x14ac:dyDescent="0.25">
      <c r="C622" s="37"/>
      <c r="D622" s="35"/>
    </row>
    <row r="623" spans="3:4" x14ac:dyDescent="0.25">
      <c r="C623" s="37"/>
      <c r="D623" s="35"/>
    </row>
    <row r="624" spans="3:4" x14ac:dyDescent="0.25">
      <c r="C624" s="37"/>
      <c r="D624" s="35"/>
    </row>
    <row r="625" spans="3:4" x14ac:dyDescent="0.25">
      <c r="C625" s="37"/>
      <c r="D625" s="35"/>
    </row>
    <row r="626" spans="3:4" x14ac:dyDescent="0.25">
      <c r="C626" s="37"/>
      <c r="D626" s="35"/>
    </row>
    <row r="627" spans="3:4" x14ac:dyDescent="0.25">
      <c r="C627" s="37"/>
      <c r="D627" s="35"/>
    </row>
    <row r="628" spans="3:4" x14ac:dyDescent="0.25">
      <c r="C628" s="37"/>
      <c r="D628" s="35"/>
    </row>
    <row r="629" spans="3:4" x14ac:dyDescent="0.25">
      <c r="C629" s="37"/>
      <c r="D629" s="35"/>
    </row>
    <row r="630" spans="3:4" x14ac:dyDescent="0.25">
      <c r="C630" s="37"/>
      <c r="D630" s="35"/>
    </row>
    <row r="631" spans="3:4" x14ac:dyDescent="0.25">
      <c r="C631" s="37"/>
      <c r="D631" s="35"/>
    </row>
    <row r="632" spans="3:4" x14ac:dyDescent="0.25">
      <c r="C632" s="37"/>
      <c r="D632" s="35"/>
    </row>
    <row r="633" spans="3:4" x14ac:dyDescent="0.25">
      <c r="C633" s="37"/>
      <c r="D633" s="35"/>
    </row>
    <row r="634" spans="3:4" x14ac:dyDescent="0.25">
      <c r="C634" s="37"/>
      <c r="D634" s="35"/>
    </row>
    <row r="635" spans="3:4" x14ac:dyDescent="0.25">
      <c r="C635" s="37"/>
      <c r="D635" s="35"/>
    </row>
    <row r="636" spans="3:4" x14ac:dyDescent="0.25">
      <c r="C636" s="37"/>
      <c r="D636" s="35"/>
    </row>
    <row r="637" spans="3:4" x14ac:dyDescent="0.25">
      <c r="C637" s="37"/>
      <c r="D637" s="35"/>
    </row>
    <row r="638" spans="3:4" x14ac:dyDescent="0.25">
      <c r="C638" s="37"/>
      <c r="D638" s="35"/>
    </row>
    <row r="639" spans="3:4" x14ac:dyDescent="0.25">
      <c r="C639" s="37"/>
      <c r="D639" s="35"/>
    </row>
    <row r="640" spans="3:4" x14ac:dyDescent="0.25">
      <c r="C640" s="37"/>
      <c r="D640" s="35"/>
    </row>
    <row r="641" spans="3:4" x14ac:dyDescent="0.25">
      <c r="C641" s="37"/>
      <c r="D641" s="35"/>
    </row>
    <row r="642" spans="3:4" x14ac:dyDescent="0.25">
      <c r="C642" s="37"/>
      <c r="D642" s="35"/>
    </row>
    <row r="643" spans="3:4" x14ac:dyDescent="0.25">
      <c r="C643" s="37"/>
      <c r="D643" s="35"/>
    </row>
    <row r="644" spans="3:4" x14ac:dyDescent="0.25">
      <c r="C644" s="37"/>
      <c r="D644" s="35"/>
    </row>
    <row r="645" spans="3:4" x14ac:dyDescent="0.25">
      <c r="C645" s="37"/>
      <c r="D645" s="35"/>
    </row>
    <row r="646" spans="3:4" x14ac:dyDescent="0.25">
      <c r="C646" s="37"/>
      <c r="D646" s="35"/>
    </row>
    <row r="647" spans="3:4" x14ac:dyDescent="0.25">
      <c r="C647" s="37"/>
      <c r="D647" s="35"/>
    </row>
    <row r="648" spans="3:4" x14ac:dyDescent="0.25">
      <c r="C648" s="37"/>
      <c r="D648" s="35"/>
    </row>
    <row r="649" spans="3:4" x14ac:dyDescent="0.25">
      <c r="C649" s="37"/>
      <c r="D649" s="35"/>
    </row>
    <row r="650" spans="3:4" x14ac:dyDescent="0.25">
      <c r="C650" s="37"/>
      <c r="D650" s="35"/>
    </row>
    <row r="651" spans="3:4" x14ac:dyDescent="0.25">
      <c r="C651" s="37"/>
      <c r="D651" s="35"/>
    </row>
    <row r="652" spans="3:4" x14ac:dyDescent="0.25">
      <c r="C652" s="37"/>
      <c r="D652" s="35"/>
    </row>
    <row r="653" spans="3:4" x14ac:dyDescent="0.25">
      <c r="C653" s="37"/>
      <c r="D653" s="35"/>
    </row>
    <row r="654" spans="3:4" x14ac:dyDescent="0.25">
      <c r="C654" s="37"/>
      <c r="D654" s="35"/>
    </row>
    <row r="655" spans="3:4" x14ac:dyDescent="0.25">
      <c r="C655" s="37"/>
      <c r="D655" s="35"/>
    </row>
    <row r="656" spans="3:4" x14ac:dyDescent="0.25">
      <c r="C656" s="37"/>
      <c r="D656" s="35"/>
    </row>
    <row r="657" spans="3:4" x14ac:dyDescent="0.25">
      <c r="C657" s="37"/>
      <c r="D657" s="35"/>
    </row>
    <row r="658" spans="3:4" x14ac:dyDescent="0.25">
      <c r="C658" s="37"/>
      <c r="D658" s="35"/>
    </row>
    <row r="659" spans="3:4" x14ac:dyDescent="0.25">
      <c r="C659" s="37"/>
      <c r="D659" s="35"/>
    </row>
    <row r="660" spans="3:4" x14ac:dyDescent="0.25">
      <c r="C660" s="37"/>
      <c r="D660" s="35"/>
    </row>
    <row r="661" spans="3:4" x14ac:dyDescent="0.25">
      <c r="C661" s="37"/>
      <c r="D661" s="35"/>
    </row>
    <row r="662" spans="3:4" x14ac:dyDescent="0.25">
      <c r="C662" s="37"/>
      <c r="D662" s="35"/>
    </row>
    <row r="663" spans="3:4" x14ac:dyDescent="0.25">
      <c r="C663" s="37"/>
      <c r="D663" s="35"/>
    </row>
    <row r="664" spans="3:4" x14ac:dyDescent="0.25">
      <c r="C664" s="37"/>
      <c r="D664" s="35"/>
    </row>
    <row r="665" spans="3:4" x14ac:dyDescent="0.25">
      <c r="C665" s="37"/>
      <c r="D665" s="35"/>
    </row>
    <row r="666" spans="3:4" x14ac:dyDescent="0.25">
      <c r="C666" s="37"/>
      <c r="D666" s="35"/>
    </row>
    <row r="667" spans="3:4" x14ac:dyDescent="0.25">
      <c r="C667" s="37"/>
      <c r="D667" s="35"/>
    </row>
    <row r="668" spans="3:4" x14ac:dyDescent="0.25">
      <c r="C668" s="37"/>
      <c r="D668" s="35"/>
    </row>
    <row r="669" spans="3:4" x14ac:dyDescent="0.25">
      <c r="C669" s="37"/>
      <c r="D669" s="35"/>
    </row>
    <row r="670" spans="3:4" x14ac:dyDescent="0.25">
      <c r="C670" s="37"/>
      <c r="D670" s="35"/>
    </row>
    <row r="671" spans="3:4" x14ac:dyDescent="0.25">
      <c r="C671" s="37"/>
      <c r="D671" s="35"/>
    </row>
    <row r="672" spans="3:4" x14ac:dyDescent="0.25">
      <c r="C672" s="37"/>
      <c r="D672" s="35"/>
    </row>
    <row r="673" spans="3:4" x14ac:dyDescent="0.25">
      <c r="C673" s="37"/>
      <c r="D673" s="35"/>
    </row>
    <row r="674" spans="3:4" x14ac:dyDescent="0.25">
      <c r="C674" s="37"/>
      <c r="D674" s="35"/>
    </row>
    <row r="675" spans="3:4" x14ac:dyDescent="0.25">
      <c r="C675" s="37"/>
      <c r="D675" s="35"/>
    </row>
    <row r="676" spans="3:4" x14ac:dyDescent="0.25">
      <c r="C676" s="37"/>
      <c r="D676" s="35"/>
    </row>
    <row r="677" spans="3:4" x14ac:dyDescent="0.25">
      <c r="C677" s="37"/>
      <c r="D677" s="35"/>
    </row>
    <row r="678" spans="3:4" x14ac:dyDescent="0.25">
      <c r="C678" s="37"/>
      <c r="D678" s="35"/>
    </row>
    <row r="679" spans="3:4" x14ac:dyDescent="0.25">
      <c r="C679" s="37"/>
      <c r="D679" s="35"/>
    </row>
    <row r="680" spans="3:4" x14ac:dyDescent="0.25">
      <c r="C680" s="37"/>
      <c r="D680" s="35"/>
    </row>
    <row r="681" spans="3:4" x14ac:dyDescent="0.25">
      <c r="C681" s="37"/>
      <c r="D681" s="35"/>
    </row>
    <row r="682" spans="3:4" x14ac:dyDescent="0.25">
      <c r="C682" s="37"/>
      <c r="D682" s="35"/>
    </row>
    <row r="683" spans="3:4" x14ac:dyDescent="0.25">
      <c r="C683" s="37"/>
      <c r="D683" s="35"/>
    </row>
    <row r="684" spans="3:4" x14ac:dyDescent="0.25">
      <c r="C684" s="37"/>
      <c r="D684" s="35"/>
    </row>
    <row r="685" spans="3:4" x14ac:dyDescent="0.25">
      <c r="C685" s="37"/>
      <c r="D685" s="35"/>
    </row>
    <row r="686" spans="3:4" x14ac:dyDescent="0.25">
      <c r="C686" s="37"/>
      <c r="D686" s="35"/>
    </row>
    <row r="687" spans="3:4" x14ac:dyDescent="0.25">
      <c r="C687" s="37"/>
      <c r="D687" s="35"/>
    </row>
    <row r="688" spans="3:4" x14ac:dyDescent="0.25">
      <c r="C688" s="37"/>
      <c r="D688" s="35"/>
    </row>
    <row r="689" spans="3:4" x14ac:dyDescent="0.25">
      <c r="C689" s="37"/>
      <c r="D689" s="35"/>
    </row>
    <row r="690" spans="3:4" x14ac:dyDescent="0.25">
      <c r="C690" s="37"/>
      <c r="D690" s="35"/>
    </row>
    <row r="691" spans="3:4" x14ac:dyDescent="0.25">
      <c r="C691" s="37"/>
      <c r="D691" s="35"/>
    </row>
    <row r="692" spans="3:4" x14ac:dyDescent="0.25">
      <c r="C692" s="37"/>
      <c r="D692" s="35"/>
    </row>
    <row r="693" spans="3:4" x14ac:dyDescent="0.25">
      <c r="C693" s="37"/>
      <c r="D693" s="35"/>
    </row>
    <row r="694" spans="3:4" x14ac:dyDescent="0.25">
      <c r="C694" s="37"/>
      <c r="D694" s="35"/>
    </row>
    <row r="695" spans="3:4" x14ac:dyDescent="0.25">
      <c r="C695" s="37"/>
      <c r="D695" s="35"/>
    </row>
    <row r="696" spans="3:4" x14ac:dyDescent="0.25">
      <c r="C696" s="37"/>
      <c r="D696" s="35"/>
    </row>
    <row r="697" spans="3:4" x14ac:dyDescent="0.25">
      <c r="C697" s="37"/>
      <c r="D697" s="35"/>
    </row>
    <row r="698" spans="3:4" x14ac:dyDescent="0.25">
      <c r="C698" s="37"/>
      <c r="D698" s="35"/>
    </row>
    <row r="699" spans="3:4" x14ac:dyDescent="0.25">
      <c r="C699" s="37"/>
      <c r="D699" s="35"/>
    </row>
    <row r="700" spans="3:4" x14ac:dyDescent="0.25">
      <c r="C700" s="37"/>
      <c r="D700" s="35"/>
    </row>
    <row r="701" spans="3:4" x14ac:dyDescent="0.25">
      <c r="C701" s="37"/>
      <c r="D701" s="35"/>
    </row>
    <row r="702" spans="3:4" x14ac:dyDescent="0.25">
      <c r="C702" s="37"/>
      <c r="D702" s="35"/>
    </row>
    <row r="703" spans="3:4" x14ac:dyDescent="0.25">
      <c r="C703" s="37"/>
      <c r="D703" s="35"/>
    </row>
    <row r="704" spans="3:4" x14ac:dyDescent="0.25">
      <c r="C704" s="37"/>
      <c r="D704" s="35"/>
    </row>
    <row r="705" spans="3:4" x14ac:dyDescent="0.25">
      <c r="C705" s="37"/>
      <c r="D705" s="35"/>
    </row>
    <row r="706" spans="3:4" x14ac:dyDescent="0.25">
      <c r="C706" s="37"/>
      <c r="D706" s="35"/>
    </row>
    <row r="707" spans="3:4" x14ac:dyDescent="0.25">
      <c r="C707" s="37"/>
      <c r="D707" s="35"/>
    </row>
    <row r="708" spans="3:4" x14ac:dyDescent="0.25">
      <c r="C708" s="37"/>
      <c r="D708" s="35"/>
    </row>
    <row r="709" spans="3:4" x14ac:dyDescent="0.25">
      <c r="C709" s="37"/>
      <c r="D709" s="35"/>
    </row>
    <row r="710" spans="3:4" x14ac:dyDescent="0.25">
      <c r="C710" s="37"/>
      <c r="D710" s="35"/>
    </row>
    <row r="711" spans="3:4" x14ac:dyDescent="0.25">
      <c r="C711" s="37"/>
      <c r="D711" s="35"/>
    </row>
    <row r="712" spans="3:4" x14ac:dyDescent="0.25">
      <c r="C712" s="37"/>
      <c r="D712" s="35"/>
    </row>
    <row r="713" spans="3:4" x14ac:dyDescent="0.25">
      <c r="C713" s="37"/>
      <c r="D713" s="35"/>
    </row>
    <row r="714" spans="3:4" x14ac:dyDescent="0.25">
      <c r="C714" s="37"/>
      <c r="D714" s="35"/>
    </row>
    <row r="715" spans="3:4" x14ac:dyDescent="0.25">
      <c r="C715" s="37"/>
      <c r="D715" s="35"/>
    </row>
    <row r="716" spans="3:4" x14ac:dyDescent="0.25">
      <c r="C716" s="37"/>
      <c r="D716" s="35"/>
    </row>
    <row r="717" spans="3:4" x14ac:dyDescent="0.25">
      <c r="C717" s="37"/>
      <c r="D717" s="35"/>
    </row>
    <row r="718" spans="3:4" x14ac:dyDescent="0.25">
      <c r="C718" s="37"/>
      <c r="D718" s="35"/>
    </row>
    <row r="719" spans="3:4" x14ac:dyDescent="0.25">
      <c r="C719" s="37"/>
      <c r="D719" s="35"/>
    </row>
    <row r="720" spans="3:4" x14ac:dyDescent="0.25">
      <c r="C720" s="37"/>
      <c r="D720" s="35"/>
    </row>
    <row r="721" spans="3:4" x14ac:dyDescent="0.25">
      <c r="C721" s="37"/>
      <c r="D721" s="35"/>
    </row>
    <row r="722" spans="3:4" x14ac:dyDescent="0.25">
      <c r="C722" s="37"/>
      <c r="D722" s="35"/>
    </row>
    <row r="723" spans="3:4" x14ac:dyDescent="0.25">
      <c r="C723" s="37"/>
      <c r="D723" s="35"/>
    </row>
    <row r="724" spans="3:4" x14ac:dyDescent="0.25">
      <c r="C724" s="37"/>
      <c r="D724" s="35"/>
    </row>
    <row r="725" spans="3:4" x14ac:dyDescent="0.25">
      <c r="C725" s="37"/>
      <c r="D725" s="35"/>
    </row>
    <row r="726" spans="3:4" x14ac:dyDescent="0.25">
      <c r="C726" s="37"/>
      <c r="D726" s="35"/>
    </row>
    <row r="727" spans="3:4" x14ac:dyDescent="0.25">
      <c r="C727" s="37"/>
      <c r="D727" s="35"/>
    </row>
    <row r="728" spans="3:4" x14ac:dyDescent="0.25">
      <c r="C728" s="37"/>
      <c r="D728" s="35"/>
    </row>
    <row r="729" spans="3:4" x14ac:dyDescent="0.25">
      <c r="C729" s="37"/>
      <c r="D729" s="35"/>
    </row>
    <row r="730" spans="3:4" x14ac:dyDescent="0.25">
      <c r="C730" s="37"/>
      <c r="D730" s="35"/>
    </row>
    <row r="731" spans="3:4" x14ac:dyDescent="0.25">
      <c r="C731" s="37"/>
      <c r="D731" s="35"/>
    </row>
    <row r="732" spans="3:4" x14ac:dyDescent="0.25">
      <c r="C732" s="37"/>
      <c r="D732" s="35"/>
    </row>
    <row r="733" spans="3:4" x14ac:dyDescent="0.25">
      <c r="C733" s="37"/>
      <c r="D733" s="35"/>
    </row>
    <row r="734" spans="3:4" x14ac:dyDescent="0.25">
      <c r="C734" s="37"/>
      <c r="D734" s="35"/>
    </row>
    <row r="735" spans="3:4" x14ac:dyDescent="0.25">
      <c r="C735" s="37"/>
      <c r="D735" s="35"/>
    </row>
    <row r="736" spans="3:4" x14ac:dyDescent="0.25">
      <c r="C736" s="37"/>
      <c r="D736" s="35"/>
    </row>
    <row r="737" spans="3:4" x14ac:dyDescent="0.25">
      <c r="C737" s="37"/>
      <c r="D737" s="35"/>
    </row>
    <row r="738" spans="3:4" x14ac:dyDescent="0.25">
      <c r="C738" s="37"/>
      <c r="D738" s="35"/>
    </row>
    <row r="739" spans="3:4" x14ac:dyDescent="0.25">
      <c r="C739" s="37"/>
      <c r="D739" s="35"/>
    </row>
    <row r="740" spans="3:4" x14ac:dyDescent="0.25">
      <c r="C740" s="37"/>
      <c r="D740" s="35"/>
    </row>
    <row r="741" spans="3:4" x14ac:dyDescent="0.25">
      <c r="C741" s="37"/>
      <c r="D741" s="35"/>
    </row>
    <row r="742" spans="3:4" x14ac:dyDescent="0.25">
      <c r="C742" s="37"/>
      <c r="D742" s="35"/>
    </row>
    <row r="743" spans="3:4" x14ac:dyDescent="0.25">
      <c r="C743" s="37"/>
      <c r="D743" s="35"/>
    </row>
    <row r="744" spans="3:4" x14ac:dyDescent="0.25">
      <c r="C744" s="37"/>
      <c r="D744" s="35"/>
    </row>
    <row r="745" spans="3:4" x14ac:dyDescent="0.25">
      <c r="C745" s="37"/>
      <c r="D745" s="35"/>
    </row>
    <row r="746" spans="3:4" x14ac:dyDescent="0.25">
      <c r="C746" s="37"/>
      <c r="D746" s="35"/>
    </row>
    <row r="747" spans="3:4" x14ac:dyDescent="0.25">
      <c r="C747" s="37"/>
      <c r="D747" s="35"/>
    </row>
    <row r="748" spans="3:4" x14ac:dyDescent="0.25">
      <c r="C748" s="37"/>
      <c r="D748" s="35"/>
    </row>
    <row r="749" spans="3:4" x14ac:dyDescent="0.25">
      <c r="C749" s="37"/>
      <c r="D749" s="35"/>
    </row>
    <row r="750" spans="3:4" x14ac:dyDescent="0.25">
      <c r="C750" s="37"/>
      <c r="D750" s="35"/>
    </row>
    <row r="751" spans="3:4" x14ac:dyDescent="0.25">
      <c r="C751" s="37"/>
      <c r="D751" s="35"/>
    </row>
    <row r="752" spans="3:4" x14ac:dyDescent="0.25">
      <c r="C752" s="37"/>
      <c r="D752" s="35"/>
    </row>
    <row r="753" spans="3:4" x14ac:dyDescent="0.25">
      <c r="C753" s="37"/>
      <c r="D753" s="35"/>
    </row>
    <row r="754" spans="3:4" x14ac:dyDescent="0.25">
      <c r="C754" s="37"/>
      <c r="D754" s="35"/>
    </row>
    <row r="755" spans="3:4" x14ac:dyDescent="0.25">
      <c r="C755" s="37"/>
      <c r="D755" s="35"/>
    </row>
    <row r="756" spans="3:4" x14ac:dyDescent="0.25">
      <c r="C756" s="37"/>
      <c r="D756" s="35"/>
    </row>
    <row r="757" spans="3:4" x14ac:dyDescent="0.25">
      <c r="C757" s="37"/>
      <c r="D757" s="35"/>
    </row>
    <row r="758" spans="3:4" x14ac:dyDescent="0.25">
      <c r="C758" s="37"/>
      <c r="D758" s="35"/>
    </row>
    <row r="759" spans="3:4" x14ac:dyDescent="0.25">
      <c r="C759" s="37"/>
      <c r="D759" s="35"/>
    </row>
    <row r="760" spans="3:4" x14ac:dyDescent="0.25">
      <c r="C760" s="37"/>
      <c r="D760" s="35"/>
    </row>
    <row r="761" spans="3:4" x14ac:dyDescent="0.25">
      <c r="C761" s="37"/>
      <c r="D761" s="35"/>
    </row>
    <row r="762" spans="3:4" x14ac:dyDescent="0.25">
      <c r="C762" s="37"/>
      <c r="D762" s="35"/>
    </row>
    <row r="763" spans="3:4" x14ac:dyDescent="0.25">
      <c r="C763" s="37"/>
      <c r="D763" s="35"/>
    </row>
    <row r="764" spans="3:4" x14ac:dyDescent="0.25">
      <c r="C764" s="37"/>
      <c r="D764" s="35"/>
    </row>
    <row r="765" spans="3:4" x14ac:dyDescent="0.25">
      <c r="C765" s="37"/>
      <c r="D765" s="35"/>
    </row>
    <row r="766" spans="3:4" x14ac:dyDescent="0.25">
      <c r="C766" s="37"/>
      <c r="D766" s="35"/>
    </row>
    <row r="767" spans="3:4" x14ac:dyDescent="0.25">
      <c r="C767" s="37"/>
      <c r="D767" s="35"/>
    </row>
    <row r="768" spans="3:4" x14ac:dyDescent="0.25">
      <c r="C768" s="37"/>
      <c r="D768" s="35"/>
    </row>
    <row r="769" spans="3:4" x14ac:dyDescent="0.25">
      <c r="C769" s="37"/>
      <c r="D769" s="35"/>
    </row>
    <row r="770" spans="3:4" x14ac:dyDescent="0.25">
      <c r="C770" s="37"/>
      <c r="D770" s="35"/>
    </row>
    <row r="771" spans="3:4" x14ac:dyDescent="0.25">
      <c r="C771" s="37"/>
      <c r="D771" s="35"/>
    </row>
    <row r="772" spans="3:4" x14ac:dyDescent="0.25">
      <c r="C772" s="37"/>
      <c r="D772" s="35"/>
    </row>
    <row r="773" spans="3:4" x14ac:dyDescent="0.25">
      <c r="C773" s="37"/>
      <c r="D773" s="35"/>
    </row>
    <row r="774" spans="3:4" x14ac:dyDescent="0.25">
      <c r="C774" s="37"/>
      <c r="D774" s="35"/>
    </row>
    <row r="775" spans="3:4" x14ac:dyDescent="0.25">
      <c r="C775" s="37"/>
      <c r="D775" s="35"/>
    </row>
    <row r="776" spans="3:4" x14ac:dyDescent="0.25">
      <c r="C776" s="37"/>
      <c r="D776" s="35"/>
    </row>
    <row r="777" spans="3:4" x14ac:dyDescent="0.25">
      <c r="C777" s="37"/>
      <c r="D777" s="35"/>
    </row>
    <row r="778" spans="3:4" x14ac:dyDescent="0.25">
      <c r="C778" s="37"/>
      <c r="D778" s="35"/>
    </row>
    <row r="779" spans="3:4" x14ac:dyDescent="0.25">
      <c r="C779" s="37"/>
      <c r="D779" s="35"/>
    </row>
    <row r="780" spans="3:4" x14ac:dyDescent="0.25">
      <c r="C780" s="37"/>
      <c r="D780" s="35"/>
    </row>
    <row r="781" spans="3:4" x14ac:dyDescent="0.25">
      <c r="C781" s="37"/>
      <c r="D781" s="35"/>
    </row>
    <row r="782" spans="3:4" x14ac:dyDescent="0.25">
      <c r="C782" s="37"/>
      <c r="D782" s="35"/>
    </row>
    <row r="783" spans="3:4" x14ac:dyDescent="0.25">
      <c r="C783" s="37"/>
      <c r="D783" s="35"/>
    </row>
    <row r="784" spans="3:4" x14ac:dyDescent="0.25">
      <c r="C784" s="37"/>
      <c r="D784" s="35"/>
    </row>
    <row r="785" spans="3:4" x14ac:dyDescent="0.25">
      <c r="C785" s="37"/>
      <c r="D785" s="35"/>
    </row>
    <row r="786" spans="3:4" x14ac:dyDescent="0.25">
      <c r="C786" s="37"/>
      <c r="D786" s="35"/>
    </row>
    <row r="787" spans="3:4" x14ac:dyDescent="0.25">
      <c r="C787" s="37"/>
      <c r="D787" s="35"/>
    </row>
    <row r="788" spans="3:4" x14ac:dyDescent="0.25">
      <c r="C788" s="37"/>
      <c r="D788" s="35"/>
    </row>
    <row r="789" spans="3:4" x14ac:dyDescent="0.25">
      <c r="C789" s="37"/>
      <c r="D789" s="35"/>
    </row>
    <row r="790" spans="3:4" x14ac:dyDescent="0.25">
      <c r="C790" s="37"/>
      <c r="D790" s="35"/>
    </row>
    <row r="791" spans="3:4" x14ac:dyDescent="0.25">
      <c r="C791" s="37"/>
      <c r="D791" s="35"/>
    </row>
    <row r="792" spans="3:4" x14ac:dyDescent="0.25">
      <c r="C792" s="37"/>
      <c r="D792" s="35"/>
    </row>
    <row r="793" spans="3:4" x14ac:dyDescent="0.25">
      <c r="C793" s="37"/>
      <c r="D793" s="35"/>
    </row>
    <row r="794" spans="3:4" x14ac:dyDescent="0.25">
      <c r="C794" s="37"/>
      <c r="D794" s="35"/>
    </row>
    <row r="795" spans="3:4" x14ac:dyDescent="0.25">
      <c r="C795" s="37"/>
      <c r="D795" s="35"/>
    </row>
    <row r="796" spans="3:4" x14ac:dyDescent="0.25">
      <c r="C796" s="37"/>
      <c r="D796" s="35"/>
    </row>
    <row r="797" spans="3:4" x14ac:dyDescent="0.25">
      <c r="C797" s="37"/>
      <c r="D797" s="35"/>
    </row>
    <row r="798" spans="3:4" x14ac:dyDescent="0.25">
      <c r="C798" s="37"/>
      <c r="D798" s="35"/>
    </row>
    <row r="799" spans="3:4" x14ac:dyDescent="0.25">
      <c r="C799" s="37"/>
      <c r="D799" s="35"/>
    </row>
    <row r="800" spans="3:4" x14ac:dyDescent="0.25">
      <c r="C800" s="37"/>
      <c r="D800" s="35"/>
    </row>
    <row r="801" spans="3:4" x14ac:dyDescent="0.25">
      <c r="C801" s="37"/>
      <c r="D801" s="35"/>
    </row>
    <row r="802" spans="3:4" x14ac:dyDescent="0.25">
      <c r="C802" s="37"/>
      <c r="D802" s="35"/>
    </row>
    <row r="803" spans="3:4" x14ac:dyDescent="0.25">
      <c r="C803" s="37"/>
      <c r="D803" s="35"/>
    </row>
    <row r="804" spans="3:4" x14ac:dyDescent="0.25">
      <c r="C804" s="37"/>
      <c r="D804" s="35"/>
    </row>
    <row r="805" spans="3:4" x14ac:dyDescent="0.25">
      <c r="C805" s="37"/>
      <c r="D805" s="35"/>
    </row>
    <row r="806" spans="3:4" x14ac:dyDescent="0.25">
      <c r="C806" s="37"/>
      <c r="D806" s="35"/>
    </row>
    <row r="807" spans="3:4" x14ac:dyDescent="0.25">
      <c r="C807" s="37"/>
      <c r="D807" s="35"/>
    </row>
    <row r="808" spans="3:4" x14ac:dyDescent="0.25">
      <c r="C808" s="37"/>
      <c r="D808" s="35"/>
    </row>
    <row r="809" spans="3:4" x14ac:dyDescent="0.25">
      <c r="C809" s="37"/>
      <c r="D809" s="35"/>
    </row>
    <row r="810" spans="3:4" x14ac:dyDescent="0.25">
      <c r="C810" s="37"/>
      <c r="D810" s="35"/>
    </row>
    <row r="811" spans="3:4" x14ac:dyDescent="0.25">
      <c r="C811" s="37"/>
      <c r="D811" s="35"/>
    </row>
    <row r="812" spans="3:4" x14ac:dyDescent="0.25">
      <c r="C812" s="37"/>
      <c r="D812" s="35"/>
    </row>
    <row r="813" spans="3:4" x14ac:dyDescent="0.25">
      <c r="C813" s="37"/>
      <c r="D813" s="35"/>
    </row>
    <row r="814" spans="3:4" x14ac:dyDescent="0.25">
      <c r="C814" s="37"/>
      <c r="D814" s="35"/>
    </row>
    <row r="815" spans="3:4" x14ac:dyDescent="0.25">
      <c r="C815" s="37"/>
      <c r="D815" s="35"/>
    </row>
    <row r="816" spans="3:4" x14ac:dyDescent="0.25">
      <c r="C816" s="37"/>
      <c r="D816" s="35"/>
    </row>
    <row r="817" spans="3:4" x14ac:dyDescent="0.25">
      <c r="C817" s="37"/>
      <c r="D817" s="35"/>
    </row>
    <row r="818" spans="3:4" x14ac:dyDescent="0.25">
      <c r="C818" s="37"/>
      <c r="D818" s="35"/>
    </row>
    <row r="819" spans="3:4" x14ac:dyDescent="0.25">
      <c r="C819" s="37"/>
      <c r="D819" s="35"/>
    </row>
    <row r="820" spans="3:4" x14ac:dyDescent="0.25">
      <c r="C820" s="37"/>
      <c r="D820" s="35"/>
    </row>
    <row r="821" spans="3:4" x14ac:dyDescent="0.25">
      <c r="C821" s="37"/>
      <c r="D821" s="35"/>
    </row>
    <row r="822" spans="3:4" x14ac:dyDescent="0.25">
      <c r="C822" s="37"/>
      <c r="D822" s="35"/>
    </row>
    <row r="823" spans="3:4" x14ac:dyDescent="0.25">
      <c r="C823" s="37"/>
      <c r="D823" s="35"/>
    </row>
    <row r="824" spans="3:4" x14ac:dyDescent="0.25">
      <c r="C824" s="37"/>
      <c r="D824" s="35"/>
    </row>
    <row r="825" spans="3:4" x14ac:dyDescent="0.25">
      <c r="C825" s="37"/>
      <c r="D825" s="35"/>
    </row>
    <row r="826" spans="3:4" x14ac:dyDescent="0.25">
      <c r="C826" s="37"/>
      <c r="D826" s="35"/>
    </row>
    <row r="827" spans="3:4" x14ac:dyDescent="0.25">
      <c r="C827" s="37"/>
      <c r="D827" s="35"/>
    </row>
    <row r="828" spans="3:4" x14ac:dyDescent="0.25">
      <c r="C828" s="37"/>
      <c r="D828" s="35"/>
    </row>
    <row r="829" spans="3:4" x14ac:dyDescent="0.25">
      <c r="C829" s="37"/>
      <c r="D829" s="35"/>
    </row>
    <row r="830" spans="3:4" x14ac:dyDescent="0.25">
      <c r="C830" s="37"/>
      <c r="D830" s="35"/>
    </row>
    <row r="831" spans="3:4" x14ac:dyDescent="0.25">
      <c r="C831" s="37"/>
      <c r="D831" s="35"/>
    </row>
    <row r="832" spans="3:4" x14ac:dyDescent="0.25">
      <c r="C832" s="37"/>
      <c r="D832" s="35"/>
    </row>
    <row r="833" spans="3:4" x14ac:dyDescent="0.25">
      <c r="C833" s="37"/>
      <c r="D833" s="35"/>
    </row>
    <row r="834" spans="3:4" x14ac:dyDescent="0.25">
      <c r="C834" s="37"/>
      <c r="D834" s="35"/>
    </row>
    <row r="835" spans="3:4" x14ac:dyDescent="0.25">
      <c r="C835" s="37"/>
      <c r="D835" s="35"/>
    </row>
    <row r="836" spans="3:4" x14ac:dyDescent="0.25">
      <c r="C836" s="37"/>
      <c r="D836" s="35"/>
    </row>
    <row r="837" spans="3:4" x14ac:dyDescent="0.25">
      <c r="C837" s="37"/>
      <c r="D837" s="35"/>
    </row>
    <row r="838" spans="3:4" x14ac:dyDescent="0.25">
      <c r="C838" s="37"/>
      <c r="D838" s="35"/>
    </row>
    <row r="839" spans="3:4" x14ac:dyDescent="0.25">
      <c r="C839" s="37"/>
      <c r="D839" s="35"/>
    </row>
    <row r="840" spans="3:4" x14ac:dyDescent="0.25">
      <c r="C840" s="37"/>
      <c r="D840" s="35"/>
    </row>
    <row r="841" spans="3:4" x14ac:dyDescent="0.25">
      <c r="C841" s="37"/>
      <c r="D841" s="35"/>
    </row>
    <row r="842" spans="3:4" x14ac:dyDescent="0.25">
      <c r="C842" s="37"/>
      <c r="D842" s="35"/>
    </row>
    <row r="843" spans="3:4" x14ac:dyDescent="0.25">
      <c r="C843" s="37"/>
      <c r="D843" s="35"/>
    </row>
    <row r="844" spans="3:4" x14ac:dyDescent="0.25">
      <c r="C844" s="37"/>
      <c r="D844" s="35"/>
    </row>
    <row r="845" spans="3:4" x14ac:dyDescent="0.25">
      <c r="C845" s="37"/>
      <c r="D845" s="35"/>
    </row>
    <row r="846" spans="3:4" x14ac:dyDescent="0.25">
      <c r="C846" s="37"/>
      <c r="D846" s="35"/>
    </row>
    <row r="847" spans="3:4" x14ac:dyDescent="0.25">
      <c r="C847" s="37"/>
      <c r="D847" s="35"/>
    </row>
    <row r="848" spans="3:4" x14ac:dyDescent="0.25">
      <c r="C848" s="37"/>
      <c r="D848" s="35"/>
    </row>
    <row r="849" spans="3:4" x14ac:dyDescent="0.25">
      <c r="C849" s="37"/>
      <c r="D849" s="35"/>
    </row>
    <row r="850" spans="3:4" x14ac:dyDescent="0.25">
      <c r="C850" s="37"/>
      <c r="D850" s="35"/>
    </row>
    <row r="851" spans="3:4" x14ac:dyDescent="0.25">
      <c r="C851" s="37"/>
      <c r="D851" s="35"/>
    </row>
    <row r="852" spans="3:4" x14ac:dyDescent="0.25">
      <c r="C852" s="37"/>
      <c r="D852" s="35"/>
    </row>
    <row r="853" spans="3:4" x14ac:dyDescent="0.25">
      <c r="C853" s="37"/>
      <c r="D853" s="35"/>
    </row>
    <row r="854" spans="3:4" x14ac:dyDescent="0.25">
      <c r="C854" s="37"/>
      <c r="D854" s="35"/>
    </row>
    <row r="855" spans="3:4" x14ac:dyDescent="0.25">
      <c r="C855" s="37"/>
      <c r="D855" s="35"/>
    </row>
    <row r="856" spans="3:4" x14ac:dyDescent="0.25">
      <c r="C856" s="37"/>
      <c r="D856" s="35"/>
    </row>
    <row r="857" spans="3:4" x14ac:dyDescent="0.25">
      <c r="C857" s="37"/>
      <c r="D857" s="35"/>
    </row>
    <row r="858" spans="3:4" x14ac:dyDescent="0.25">
      <c r="C858" s="37"/>
      <c r="D858" s="35"/>
    </row>
    <row r="859" spans="3:4" x14ac:dyDescent="0.25">
      <c r="C859" s="37"/>
      <c r="D859" s="35"/>
    </row>
    <row r="860" spans="3:4" x14ac:dyDescent="0.25">
      <c r="C860" s="37"/>
      <c r="D860" s="35"/>
    </row>
    <row r="861" spans="3:4" x14ac:dyDescent="0.25">
      <c r="C861" s="37"/>
      <c r="D861" s="35"/>
    </row>
    <row r="862" spans="3:4" x14ac:dyDescent="0.25">
      <c r="C862" s="37"/>
      <c r="D862" s="35"/>
    </row>
    <row r="863" spans="3:4" x14ac:dyDescent="0.25">
      <c r="C863" s="37"/>
      <c r="D863" s="35"/>
    </row>
    <row r="864" spans="3:4" x14ac:dyDescent="0.25">
      <c r="C864" s="37"/>
      <c r="D864" s="35"/>
    </row>
    <row r="865" spans="3:4" x14ac:dyDescent="0.25">
      <c r="C865" s="37"/>
      <c r="D865" s="35"/>
    </row>
    <row r="866" spans="3:4" x14ac:dyDescent="0.25">
      <c r="C866" s="37"/>
      <c r="D866" s="35"/>
    </row>
    <row r="867" spans="3:4" x14ac:dyDescent="0.25">
      <c r="C867" s="37"/>
      <c r="D867" s="35"/>
    </row>
    <row r="868" spans="3:4" x14ac:dyDescent="0.25">
      <c r="C868" s="37"/>
      <c r="D868" s="35"/>
    </row>
    <row r="869" spans="3:4" x14ac:dyDescent="0.25">
      <c r="C869" s="37"/>
      <c r="D869" s="35"/>
    </row>
    <row r="870" spans="3:4" x14ac:dyDescent="0.25">
      <c r="C870" s="37"/>
      <c r="D870" s="35"/>
    </row>
    <row r="871" spans="3:4" x14ac:dyDescent="0.25">
      <c r="C871" s="37"/>
      <c r="D871" s="35"/>
    </row>
    <row r="872" spans="3:4" x14ac:dyDescent="0.25">
      <c r="C872" s="37"/>
      <c r="D872" s="35"/>
    </row>
    <row r="873" spans="3:4" x14ac:dyDescent="0.25">
      <c r="C873" s="37"/>
      <c r="D873" s="35"/>
    </row>
    <row r="874" spans="3:4" x14ac:dyDescent="0.25">
      <c r="C874" s="37"/>
      <c r="D874" s="35"/>
    </row>
    <row r="875" spans="3:4" x14ac:dyDescent="0.25">
      <c r="C875" s="37"/>
      <c r="D875" s="35"/>
    </row>
    <row r="876" spans="3:4" x14ac:dyDescent="0.25">
      <c r="C876" s="37"/>
      <c r="D876" s="35"/>
    </row>
    <row r="877" spans="3:4" x14ac:dyDescent="0.25">
      <c r="C877" s="37"/>
      <c r="D877" s="35"/>
    </row>
    <row r="878" spans="3:4" x14ac:dyDescent="0.25">
      <c r="C878" s="37"/>
      <c r="D878" s="35"/>
    </row>
    <row r="879" spans="3:4" x14ac:dyDescent="0.25">
      <c r="C879" s="37"/>
      <c r="D879" s="35"/>
    </row>
    <row r="880" spans="3:4" x14ac:dyDescent="0.25">
      <c r="C880" s="37"/>
      <c r="D880" s="35"/>
    </row>
    <row r="881" spans="3:4" x14ac:dyDescent="0.25">
      <c r="C881" s="37"/>
      <c r="D881" s="35"/>
    </row>
    <row r="882" spans="3:4" x14ac:dyDescent="0.25">
      <c r="C882" s="37"/>
      <c r="D882" s="35"/>
    </row>
    <row r="883" spans="3:4" x14ac:dyDescent="0.25">
      <c r="C883" s="37"/>
      <c r="D883" s="35"/>
    </row>
    <row r="884" spans="3:4" x14ac:dyDescent="0.25">
      <c r="C884" s="37"/>
      <c r="D884" s="35"/>
    </row>
    <row r="885" spans="3:4" x14ac:dyDescent="0.25">
      <c r="C885" s="37"/>
      <c r="D885" s="35"/>
    </row>
    <row r="886" spans="3:4" x14ac:dyDescent="0.25">
      <c r="C886" s="37"/>
      <c r="D886" s="35"/>
    </row>
    <row r="887" spans="3:4" x14ac:dyDescent="0.25">
      <c r="C887" s="37"/>
      <c r="D887" s="35"/>
    </row>
    <row r="888" spans="3:4" x14ac:dyDescent="0.25">
      <c r="C888" s="37"/>
      <c r="D888" s="35"/>
    </row>
    <row r="889" spans="3:4" x14ac:dyDescent="0.25">
      <c r="C889" s="37"/>
      <c r="D889" s="35"/>
    </row>
    <row r="890" spans="3:4" x14ac:dyDescent="0.25">
      <c r="C890" s="37"/>
      <c r="D890" s="35"/>
    </row>
    <row r="891" spans="3:4" x14ac:dyDescent="0.25">
      <c r="C891" s="37"/>
      <c r="D891" s="35"/>
    </row>
    <row r="892" spans="3:4" x14ac:dyDescent="0.25">
      <c r="C892" s="37"/>
      <c r="D892" s="35"/>
    </row>
    <row r="893" spans="3:4" x14ac:dyDescent="0.25">
      <c r="C893" s="37"/>
      <c r="D893" s="35"/>
    </row>
    <row r="894" spans="3:4" x14ac:dyDescent="0.25">
      <c r="C894" s="37"/>
      <c r="D894" s="35"/>
    </row>
    <row r="895" spans="3:4" x14ac:dyDescent="0.25">
      <c r="C895" s="37"/>
      <c r="D895" s="35"/>
    </row>
    <row r="896" spans="3:4" x14ac:dyDescent="0.25">
      <c r="C896" s="37"/>
      <c r="D896" s="35"/>
    </row>
    <row r="897" spans="3:4" x14ac:dyDescent="0.25">
      <c r="C897" s="37"/>
      <c r="D897" s="35"/>
    </row>
    <row r="898" spans="3:4" x14ac:dyDescent="0.25">
      <c r="C898" s="37"/>
      <c r="D898" s="35"/>
    </row>
    <row r="899" spans="3:4" x14ac:dyDescent="0.25">
      <c r="C899" s="37"/>
      <c r="D899" s="35"/>
    </row>
    <row r="900" spans="3:4" x14ac:dyDescent="0.25">
      <c r="C900" s="37"/>
      <c r="D900" s="35"/>
    </row>
    <row r="901" spans="3:4" x14ac:dyDescent="0.25">
      <c r="C901" s="37"/>
      <c r="D901" s="35"/>
    </row>
    <row r="902" spans="3:4" x14ac:dyDescent="0.25">
      <c r="C902" s="37"/>
      <c r="D902" s="35"/>
    </row>
    <row r="903" spans="3:4" x14ac:dyDescent="0.25">
      <c r="C903" s="37"/>
      <c r="D903" s="35"/>
    </row>
    <row r="904" spans="3:4" x14ac:dyDescent="0.25">
      <c r="C904" s="37"/>
      <c r="D904" s="35"/>
    </row>
    <row r="905" spans="3:4" x14ac:dyDescent="0.25">
      <c r="C905" s="37"/>
      <c r="D905" s="35"/>
    </row>
    <row r="906" spans="3:4" x14ac:dyDescent="0.25">
      <c r="C906" s="37"/>
      <c r="D906" s="35"/>
    </row>
    <row r="907" spans="3:4" x14ac:dyDescent="0.25">
      <c r="C907" s="37"/>
      <c r="D907" s="35"/>
    </row>
    <row r="908" spans="3:4" x14ac:dyDescent="0.25">
      <c r="C908" s="37"/>
      <c r="D908" s="35"/>
    </row>
    <row r="909" spans="3:4" x14ac:dyDescent="0.25">
      <c r="C909" s="37"/>
      <c r="D909" s="35"/>
    </row>
    <row r="910" spans="3:4" x14ac:dyDescent="0.25">
      <c r="C910" s="37"/>
      <c r="D910" s="35"/>
    </row>
    <row r="911" spans="3:4" x14ac:dyDescent="0.25">
      <c r="C911" s="37"/>
      <c r="D911" s="35"/>
    </row>
    <row r="912" spans="3:4" x14ac:dyDescent="0.25">
      <c r="C912" s="37"/>
      <c r="D912" s="35"/>
    </row>
    <row r="913" spans="3:4" x14ac:dyDescent="0.25">
      <c r="C913" s="37"/>
      <c r="D913" s="35"/>
    </row>
    <row r="914" spans="3:4" x14ac:dyDescent="0.25">
      <c r="C914" s="37"/>
      <c r="D914" s="35"/>
    </row>
    <row r="915" spans="3:4" x14ac:dyDescent="0.25">
      <c r="C915" s="37"/>
      <c r="D915" s="35"/>
    </row>
    <row r="916" spans="3:4" x14ac:dyDescent="0.25">
      <c r="C916" s="37"/>
      <c r="D916" s="35"/>
    </row>
    <row r="917" spans="3:4" x14ac:dyDescent="0.25">
      <c r="C917" s="37"/>
      <c r="D917" s="35"/>
    </row>
    <row r="918" spans="3:4" x14ac:dyDescent="0.25">
      <c r="C918" s="37"/>
      <c r="D918" s="35"/>
    </row>
    <row r="919" spans="3:4" x14ac:dyDescent="0.25">
      <c r="C919" s="37"/>
      <c r="D919" s="35"/>
    </row>
    <row r="920" spans="3:4" x14ac:dyDescent="0.25">
      <c r="C920" s="37"/>
      <c r="D920" s="35"/>
    </row>
    <row r="921" spans="3:4" x14ac:dyDescent="0.25">
      <c r="C921" s="37"/>
      <c r="D921" s="35"/>
    </row>
    <row r="922" spans="3:4" x14ac:dyDescent="0.25">
      <c r="C922" s="37"/>
      <c r="D922" s="35"/>
    </row>
    <row r="923" spans="3:4" x14ac:dyDescent="0.25">
      <c r="C923" s="37"/>
      <c r="D923" s="35"/>
    </row>
    <row r="924" spans="3:4" x14ac:dyDescent="0.25">
      <c r="C924" s="37"/>
      <c r="D924" s="35"/>
    </row>
    <row r="925" spans="3:4" x14ac:dyDescent="0.25">
      <c r="C925" s="37"/>
      <c r="D925" s="35"/>
    </row>
    <row r="926" spans="3:4" x14ac:dyDescent="0.25">
      <c r="C926" s="37"/>
      <c r="D926" s="35"/>
    </row>
    <row r="927" spans="3:4" x14ac:dyDescent="0.25">
      <c r="C927" s="37"/>
      <c r="D927" s="35"/>
    </row>
    <row r="928" spans="3:4" x14ac:dyDescent="0.25">
      <c r="C928" s="37"/>
      <c r="D928" s="35"/>
    </row>
    <row r="929" spans="3:4" x14ac:dyDescent="0.25">
      <c r="C929" s="37"/>
      <c r="D929" s="35"/>
    </row>
    <row r="930" spans="3:4" x14ac:dyDescent="0.25">
      <c r="C930" s="37"/>
      <c r="D930" s="35"/>
    </row>
    <row r="931" spans="3:4" x14ac:dyDescent="0.25">
      <c r="C931" s="37"/>
      <c r="D931" s="35"/>
    </row>
    <row r="932" spans="3:4" x14ac:dyDescent="0.25">
      <c r="C932" s="37"/>
      <c r="D932" s="35"/>
    </row>
    <row r="933" spans="3:4" x14ac:dyDescent="0.25">
      <c r="C933" s="37"/>
      <c r="D933" s="35"/>
    </row>
    <row r="934" spans="3:4" x14ac:dyDescent="0.25">
      <c r="C934" s="37"/>
      <c r="D934" s="35"/>
    </row>
    <row r="935" spans="3:4" x14ac:dyDescent="0.25">
      <c r="C935" s="37"/>
      <c r="D935" s="35"/>
    </row>
    <row r="936" spans="3:4" x14ac:dyDescent="0.25">
      <c r="C936" s="37"/>
      <c r="D936" s="35"/>
    </row>
    <row r="937" spans="3:4" x14ac:dyDescent="0.25">
      <c r="C937" s="37"/>
      <c r="D937" s="35"/>
    </row>
    <row r="938" spans="3:4" x14ac:dyDescent="0.25">
      <c r="C938" s="37"/>
      <c r="D938" s="35"/>
    </row>
    <row r="939" spans="3:4" x14ac:dyDescent="0.25">
      <c r="C939" s="37"/>
      <c r="D939" s="35"/>
    </row>
    <row r="940" spans="3:4" x14ac:dyDescent="0.25">
      <c r="C940" s="37"/>
      <c r="D940" s="35"/>
    </row>
    <row r="941" spans="3:4" x14ac:dyDescent="0.25">
      <c r="C941" s="37"/>
      <c r="D941" s="35"/>
    </row>
    <row r="942" spans="3:4" x14ac:dyDescent="0.25">
      <c r="C942" s="37"/>
      <c r="D942" s="35"/>
    </row>
    <row r="943" spans="3:4" x14ac:dyDescent="0.25">
      <c r="C943" s="37"/>
      <c r="D943" s="35"/>
    </row>
    <row r="944" spans="3:4" x14ac:dyDescent="0.25">
      <c r="C944" s="37"/>
      <c r="D944" s="35"/>
    </row>
    <row r="945" spans="3:4" x14ac:dyDescent="0.25">
      <c r="C945" s="37"/>
      <c r="D945" s="35"/>
    </row>
    <row r="946" spans="3:4" x14ac:dyDescent="0.25">
      <c r="C946" s="37"/>
      <c r="D946" s="35"/>
    </row>
    <row r="947" spans="3:4" x14ac:dyDescent="0.25">
      <c r="C947" s="37"/>
      <c r="D947" s="35"/>
    </row>
    <row r="948" spans="3:4" x14ac:dyDescent="0.25">
      <c r="C948" s="37"/>
      <c r="D948" s="35"/>
    </row>
    <row r="949" spans="3:4" x14ac:dyDescent="0.25">
      <c r="C949" s="37"/>
      <c r="D949" s="35"/>
    </row>
    <row r="950" spans="3:4" x14ac:dyDescent="0.25">
      <c r="C950" s="37"/>
      <c r="D950" s="35"/>
    </row>
    <row r="951" spans="3:4" x14ac:dyDescent="0.25">
      <c r="C951" s="37"/>
      <c r="D951" s="35"/>
    </row>
    <row r="952" spans="3:4" x14ac:dyDescent="0.25">
      <c r="C952" s="37"/>
      <c r="D952" s="35"/>
    </row>
    <row r="953" spans="3:4" x14ac:dyDescent="0.25">
      <c r="C953" s="37"/>
      <c r="D953" s="35"/>
    </row>
    <row r="954" spans="3:4" x14ac:dyDescent="0.25">
      <c r="C954" s="37"/>
      <c r="D954" s="35"/>
    </row>
    <row r="955" spans="3:4" x14ac:dyDescent="0.25">
      <c r="C955" s="37"/>
      <c r="D955" s="35"/>
    </row>
    <row r="956" spans="3:4" x14ac:dyDescent="0.25">
      <c r="C956" s="37"/>
      <c r="D956" s="35"/>
    </row>
    <row r="957" spans="3:4" x14ac:dyDescent="0.25">
      <c r="C957" s="37"/>
      <c r="D957" s="35"/>
    </row>
    <row r="958" spans="3:4" x14ac:dyDescent="0.25">
      <c r="C958" s="37"/>
      <c r="D958" s="35"/>
    </row>
    <row r="959" spans="3:4" x14ac:dyDescent="0.25">
      <c r="C959" s="37"/>
      <c r="D959" s="35"/>
    </row>
    <row r="960" spans="3:4" x14ac:dyDescent="0.25">
      <c r="C960" s="37"/>
      <c r="D960" s="35"/>
    </row>
    <row r="961" spans="3:4" x14ac:dyDescent="0.25">
      <c r="C961" s="37"/>
      <c r="D961" s="35"/>
    </row>
    <row r="962" spans="3:4" x14ac:dyDescent="0.25">
      <c r="C962" s="37"/>
      <c r="D962" s="35"/>
    </row>
    <row r="963" spans="3:4" x14ac:dyDescent="0.25">
      <c r="C963" s="37"/>
      <c r="D963" s="35"/>
    </row>
    <row r="964" spans="3:4" x14ac:dyDescent="0.25">
      <c r="C964" s="37"/>
      <c r="D964" s="35"/>
    </row>
    <row r="965" spans="3:4" x14ac:dyDescent="0.25">
      <c r="C965" s="37"/>
      <c r="D965" s="35"/>
    </row>
    <row r="966" spans="3:4" x14ac:dyDescent="0.25">
      <c r="C966" s="37"/>
      <c r="D966" s="35"/>
    </row>
    <row r="967" spans="3:4" x14ac:dyDescent="0.25">
      <c r="C967" s="37"/>
      <c r="D967" s="35"/>
    </row>
    <row r="968" spans="3:4" x14ac:dyDescent="0.25">
      <c r="C968" s="37"/>
      <c r="D968" s="35"/>
    </row>
    <row r="969" spans="3:4" x14ac:dyDescent="0.25">
      <c r="C969" s="37"/>
      <c r="D969" s="35"/>
    </row>
    <row r="970" spans="3:4" x14ac:dyDescent="0.25">
      <c r="C970" s="37"/>
      <c r="D970" s="35"/>
    </row>
    <row r="971" spans="3:4" x14ac:dyDescent="0.25">
      <c r="C971" s="37"/>
      <c r="D971" s="35"/>
    </row>
    <row r="972" spans="3:4" x14ac:dyDescent="0.25">
      <c r="C972" s="37"/>
      <c r="D972" s="35"/>
    </row>
    <row r="973" spans="3:4" x14ac:dyDescent="0.25">
      <c r="C973" s="37"/>
      <c r="D973" s="35"/>
    </row>
    <row r="974" spans="3:4" x14ac:dyDescent="0.25">
      <c r="C974" s="37"/>
      <c r="D974" s="35"/>
    </row>
    <row r="975" spans="3:4" x14ac:dyDescent="0.25">
      <c r="C975" s="37"/>
      <c r="D975" s="35"/>
    </row>
    <row r="976" spans="3:4" x14ac:dyDescent="0.25">
      <c r="C976" s="37"/>
      <c r="D976" s="35"/>
    </row>
    <row r="977" spans="3:4" x14ac:dyDescent="0.25">
      <c r="C977" s="37"/>
      <c r="D977" s="35"/>
    </row>
    <row r="978" spans="3:4" x14ac:dyDescent="0.25">
      <c r="C978" s="37"/>
      <c r="D978" s="35"/>
    </row>
    <row r="979" spans="3:4" x14ac:dyDescent="0.25">
      <c r="C979" s="37"/>
      <c r="D979" s="35"/>
    </row>
    <row r="980" spans="3:4" x14ac:dyDescent="0.25">
      <c r="C980" s="37"/>
      <c r="D980" s="35"/>
    </row>
    <row r="981" spans="3:4" x14ac:dyDescent="0.25">
      <c r="C981" s="37"/>
      <c r="D981" s="35"/>
    </row>
    <row r="982" spans="3:4" x14ac:dyDescent="0.25">
      <c r="C982" s="37"/>
      <c r="D982" s="35"/>
    </row>
    <row r="983" spans="3:4" x14ac:dyDescent="0.25">
      <c r="C983" s="37"/>
      <c r="D983" s="35"/>
    </row>
    <row r="984" spans="3:4" x14ac:dyDescent="0.25">
      <c r="C984" s="37"/>
      <c r="D984" s="35"/>
    </row>
    <row r="985" spans="3:4" x14ac:dyDescent="0.25">
      <c r="C985" s="37"/>
      <c r="D985" s="35"/>
    </row>
    <row r="986" spans="3:4" x14ac:dyDescent="0.25">
      <c r="C986" s="37"/>
      <c r="D986" s="35"/>
    </row>
    <row r="987" spans="3:4" x14ac:dyDescent="0.25">
      <c r="C987" s="37"/>
      <c r="D987" s="35"/>
    </row>
    <row r="988" spans="3:4" x14ac:dyDescent="0.25">
      <c r="C988" s="37"/>
      <c r="D988" s="35"/>
    </row>
    <row r="989" spans="3:4" x14ac:dyDescent="0.25">
      <c r="C989" s="37"/>
      <c r="D989" s="35"/>
    </row>
    <row r="990" spans="3:4" x14ac:dyDescent="0.25">
      <c r="C990" s="37"/>
      <c r="D990" s="35"/>
    </row>
    <row r="991" spans="3:4" x14ac:dyDescent="0.25">
      <c r="C991" s="37"/>
      <c r="D991" s="35"/>
    </row>
    <row r="992" spans="3:4" x14ac:dyDescent="0.25">
      <c r="C992" s="37"/>
      <c r="D992" s="35"/>
    </row>
    <row r="993" spans="3:4" x14ac:dyDescent="0.25">
      <c r="C993" s="37"/>
      <c r="D993" s="35"/>
    </row>
    <row r="994" spans="3:4" x14ac:dyDescent="0.25">
      <c r="C994" s="37"/>
      <c r="D994" s="35"/>
    </row>
    <row r="995" spans="3:4" x14ac:dyDescent="0.25">
      <c r="C995" s="37"/>
      <c r="D995" s="35"/>
    </row>
    <row r="996" spans="3:4" x14ac:dyDescent="0.25">
      <c r="C996" s="37"/>
      <c r="D996" s="35"/>
    </row>
    <row r="997" spans="3:4" x14ac:dyDescent="0.25">
      <c r="C997" s="37"/>
      <c r="D997" s="35"/>
    </row>
    <row r="998" spans="3:4" x14ac:dyDescent="0.25">
      <c r="C998" s="37"/>
      <c r="D998" s="35"/>
    </row>
    <row r="999" spans="3:4" x14ac:dyDescent="0.25">
      <c r="C999" s="37"/>
      <c r="D999" s="35"/>
    </row>
    <row r="1000" spans="3:4" x14ac:dyDescent="0.25">
      <c r="C1000" s="37"/>
      <c r="D1000" s="35"/>
    </row>
    <row r="1001" spans="3:4" x14ac:dyDescent="0.25">
      <c r="C1001" s="37"/>
      <c r="D1001" s="35"/>
    </row>
    <row r="1002" spans="3:4" x14ac:dyDescent="0.25">
      <c r="C1002" s="37"/>
      <c r="D1002" s="35"/>
    </row>
    <row r="1003" spans="3:4" x14ac:dyDescent="0.25">
      <c r="C1003" s="37"/>
      <c r="D1003" s="35"/>
    </row>
    <row r="1004" spans="3:4" x14ac:dyDescent="0.25">
      <c r="C1004" s="37"/>
      <c r="D1004" s="35"/>
    </row>
    <row r="1005" spans="3:4" x14ac:dyDescent="0.25">
      <c r="C1005" s="37"/>
      <c r="D1005" s="35"/>
    </row>
    <row r="1006" spans="3:4" x14ac:dyDescent="0.25">
      <c r="C1006" s="37"/>
      <c r="D1006" s="35"/>
    </row>
    <row r="1007" spans="3:4" x14ac:dyDescent="0.25">
      <c r="C1007" s="37"/>
      <c r="D1007" s="35"/>
    </row>
    <row r="1008" spans="3:4" x14ac:dyDescent="0.25">
      <c r="C1008" s="37"/>
      <c r="D1008" s="35"/>
    </row>
    <row r="1009" spans="3:4" x14ac:dyDescent="0.25">
      <c r="C1009" s="37"/>
      <c r="D1009" s="35"/>
    </row>
    <row r="1010" spans="3:4" x14ac:dyDescent="0.25">
      <c r="C1010" s="37"/>
      <c r="D1010" s="35"/>
    </row>
    <row r="1011" spans="3:4" x14ac:dyDescent="0.25">
      <c r="C1011" s="37"/>
      <c r="D1011" s="35"/>
    </row>
    <row r="1012" spans="3:4" x14ac:dyDescent="0.25">
      <c r="C1012" s="37"/>
      <c r="D1012" s="35"/>
    </row>
    <row r="1013" spans="3:4" x14ac:dyDescent="0.25">
      <c r="C1013" s="37"/>
      <c r="D1013" s="35"/>
    </row>
    <row r="1014" spans="3:4" x14ac:dyDescent="0.25">
      <c r="C1014" s="37"/>
      <c r="D1014" s="35"/>
    </row>
    <row r="1015" spans="3:4" x14ac:dyDescent="0.25">
      <c r="C1015" s="37"/>
      <c r="D1015" s="35"/>
    </row>
    <row r="1016" spans="3:4" x14ac:dyDescent="0.25">
      <c r="C1016" s="37"/>
      <c r="D1016" s="35"/>
    </row>
    <row r="1017" spans="3:4" x14ac:dyDescent="0.25">
      <c r="C1017" s="37"/>
      <c r="D1017" s="35"/>
    </row>
    <row r="1018" spans="3:4" x14ac:dyDescent="0.25">
      <c r="C1018" s="37"/>
      <c r="D1018" s="35"/>
    </row>
    <row r="1019" spans="3:4" x14ac:dyDescent="0.25">
      <c r="C1019" s="37"/>
      <c r="D1019" s="35"/>
    </row>
    <row r="1020" spans="3:4" x14ac:dyDescent="0.25">
      <c r="C1020" s="37"/>
      <c r="D1020" s="35"/>
    </row>
    <row r="1021" spans="3:4" x14ac:dyDescent="0.25">
      <c r="C1021" s="37"/>
      <c r="D1021" s="35"/>
    </row>
    <row r="1022" spans="3:4" x14ac:dyDescent="0.25">
      <c r="C1022" s="37"/>
      <c r="D1022" s="35"/>
    </row>
    <row r="1023" spans="3:4" x14ac:dyDescent="0.25">
      <c r="C1023" s="37"/>
      <c r="D1023" s="35"/>
    </row>
    <row r="1024" spans="3:4" x14ac:dyDescent="0.25">
      <c r="C1024" s="37"/>
      <c r="D1024" s="35"/>
    </row>
    <row r="1025" spans="3:4" x14ac:dyDescent="0.25">
      <c r="C1025" s="37"/>
      <c r="D1025" s="35"/>
    </row>
    <row r="1026" spans="3:4" x14ac:dyDescent="0.25">
      <c r="C1026" s="37"/>
      <c r="D1026" s="35"/>
    </row>
    <row r="1027" spans="3:4" x14ac:dyDescent="0.25">
      <c r="C1027" s="37"/>
      <c r="D1027" s="35"/>
    </row>
    <row r="1028" spans="3:4" x14ac:dyDescent="0.25">
      <c r="C1028" s="37"/>
      <c r="D1028" s="35"/>
    </row>
    <row r="1029" spans="3:4" x14ac:dyDescent="0.25">
      <c r="C1029" s="37"/>
      <c r="D1029" s="35"/>
    </row>
    <row r="1030" spans="3:4" x14ac:dyDescent="0.25">
      <c r="C1030" s="37"/>
      <c r="D1030" s="35"/>
    </row>
    <row r="1031" spans="3:4" x14ac:dyDescent="0.25">
      <c r="C1031" s="37"/>
      <c r="D1031" s="35"/>
    </row>
    <row r="1032" spans="3:4" x14ac:dyDescent="0.25">
      <c r="C1032" s="37"/>
      <c r="D1032" s="35"/>
    </row>
    <row r="1033" spans="3:4" x14ac:dyDescent="0.25">
      <c r="C1033" s="37"/>
      <c r="D1033" s="35"/>
    </row>
    <row r="1034" spans="3:4" x14ac:dyDescent="0.25">
      <c r="C1034" s="37"/>
      <c r="D1034" s="35"/>
    </row>
    <row r="1035" spans="3:4" x14ac:dyDescent="0.25">
      <c r="C1035" s="37"/>
      <c r="D1035" s="35"/>
    </row>
    <row r="1036" spans="3:4" x14ac:dyDescent="0.25">
      <c r="C1036" s="37"/>
      <c r="D1036" s="35"/>
    </row>
    <row r="1037" spans="3:4" x14ac:dyDescent="0.25">
      <c r="C1037" s="37"/>
      <c r="D1037" s="35"/>
    </row>
    <row r="1038" spans="3:4" x14ac:dyDescent="0.25">
      <c r="C1038" s="37"/>
      <c r="D1038" s="35"/>
    </row>
    <row r="1039" spans="3:4" x14ac:dyDescent="0.25">
      <c r="C1039" s="37"/>
      <c r="D1039" s="35"/>
    </row>
    <row r="1040" spans="3:4" x14ac:dyDescent="0.25">
      <c r="C1040" s="37"/>
      <c r="D1040" s="35"/>
    </row>
    <row r="1041" spans="3:4" x14ac:dyDescent="0.25">
      <c r="C1041" s="37"/>
      <c r="D1041" s="35"/>
    </row>
    <row r="1042" spans="3:4" x14ac:dyDescent="0.25">
      <c r="C1042" s="37"/>
      <c r="D1042" s="35"/>
    </row>
    <row r="1043" spans="3:4" x14ac:dyDescent="0.25">
      <c r="C1043" s="37"/>
      <c r="D1043" s="35"/>
    </row>
    <row r="1044" spans="3:4" x14ac:dyDescent="0.25">
      <c r="C1044" s="37"/>
      <c r="D1044" s="35"/>
    </row>
    <row r="1045" spans="3:4" x14ac:dyDescent="0.25">
      <c r="C1045" s="37"/>
      <c r="D1045" s="35"/>
    </row>
    <row r="1046" spans="3:4" x14ac:dyDescent="0.25">
      <c r="C1046" s="37"/>
      <c r="D1046" s="35"/>
    </row>
    <row r="1047" spans="3:4" x14ac:dyDescent="0.25">
      <c r="C1047" s="37"/>
      <c r="D1047" s="35"/>
    </row>
    <row r="1048" spans="3:4" x14ac:dyDescent="0.25">
      <c r="C1048" s="37"/>
      <c r="D1048" s="35"/>
    </row>
    <row r="1049" spans="3:4" x14ac:dyDescent="0.25">
      <c r="C1049" s="37"/>
      <c r="D1049" s="35"/>
    </row>
    <row r="1050" spans="3:4" x14ac:dyDescent="0.25">
      <c r="C1050" s="37"/>
      <c r="D1050" s="35"/>
    </row>
    <row r="1051" spans="3:4" x14ac:dyDescent="0.25">
      <c r="C1051" s="37"/>
      <c r="D1051" s="35"/>
    </row>
    <row r="1052" spans="3:4" x14ac:dyDescent="0.25">
      <c r="C1052" s="37"/>
      <c r="D1052" s="35"/>
    </row>
    <row r="1053" spans="3:4" x14ac:dyDescent="0.25">
      <c r="C1053" s="37"/>
      <c r="D1053" s="35"/>
    </row>
    <row r="1054" spans="3:4" x14ac:dyDescent="0.25">
      <c r="C1054" s="37"/>
      <c r="D1054" s="35"/>
    </row>
    <row r="1055" spans="3:4" x14ac:dyDescent="0.25">
      <c r="C1055" s="37"/>
      <c r="D1055" s="35"/>
    </row>
    <row r="1056" spans="3:4" x14ac:dyDescent="0.25">
      <c r="C1056" s="37"/>
      <c r="D1056" s="35"/>
    </row>
    <row r="1057" spans="3:4" x14ac:dyDescent="0.25">
      <c r="C1057" s="37"/>
      <c r="D1057" s="35"/>
    </row>
    <row r="1058" spans="3:4" x14ac:dyDescent="0.25">
      <c r="C1058" s="37"/>
      <c r="D1058" s="35"/>
    </row>
    <row r="1059" spans="3:4" x14ac:dyDescent="0.25">
      <c r="C1059" s="37"/>
      <c r="D1059" s="35"/>
    </row>
    <row r="1060" spans="3:4" x14ac:dyDescent="0.25">
      <c r="C1060" s="37"/>
      <c r="D1060" s="35"/>
    </row>
    <row r="1061" spans="3:4" x14ac:dyDescent="0.25">
      <c r="C1061" s="37"/>
      <c r="D1061" s="35"/>
    </row>
    <row r="1062" spans="3:4" x14ac:dyDescent="0.25">
      <c r="C1062" s="37"/>
      <c r="D1062" s="35"/>
    </row>
    <row r="1063" spans="3:4" x14ac:dyDescent="0.25">
      <c r="C1063" s="37"/>
      <c r="D1063" s="35"/>
    </row>
    <row r="1064" spans="3:4" x14ac:dyDescent="0.25">
      <c r="C1064" s="37"/>
      <c r="D1064" s="35"/>
    </row>
    <row r="1065" spans="3:4" x14ac:dyDescent="0.25">
      <c r="C1065" s="37"/>
      <c r="D1065" s="35"/>
    </row>
    <row r="1066" spans="3:4" x14ac:dyDescent="0.25">
      <c r="C1066" s="37"/>
      <c r="D1066" s="35"/>
    </row>
    <row r="1067" spans="3:4" x14ac:dyDescent="0.25">
      <c r="C1067" s="37"/>
      <c r="D1067" s="35"/>
    </row>
    <row r="1068" spans="3:4" x14ac:dyDescent="0.25">
      <c r="C1068" s="37"/>
      <c r="D1068" s="35"/>
    </row>
    <row r="1069" spans="3:4" x14ac:dyDescent="0.25">
      <c r="C1069" s="37"/>
      <c r="D1069" s="35"/>
    </row>
    <row r="1070" spans="3:4" x14ac:dyDescent="0.25">
      <c r="C1070" s="37"/>
      <c r="D1070" s="35"/>
    </row>
    <row r="1071" spans="3:4" x14ac:dyDescent="0.25">
      <c r="C1071" s="37"/>
      <c r="D1071" s="35"/>
    </row>
    <row r="1072" spans="3:4" x14ac:dyDescent="0.25">
      <c r="C1072" s="37"/>
      <c r="D1072" s="35"/>
    </row>
    <row r="1073" spans="3:4" x14ac:dyDescent="0.25">
      <c r="C1073" s="37"/>
      <c r="D1073" s="35"/>
    </row>
    <row r="1074" spans="3:4" x14ac:dyDescent="0.25">
      <c r="C1074" s="37"/>
      <c r="D1074" s="35"/>
    </row>
    <row r="1075" spans="3:4" x14ac:dyDescent="0.25">
      <c r="C1075" s="37"/>
      <c r="D1075" s="35"/>
    </row>
    <row r="1076" spans="3:4" x14ac:dyDescent="0.25">
      <c r="C1076" s="37"/>
      <c r="D1076" s="35"/>
    </row>
    <row r="1077" spans="3:4" x14ac:dyDescent="0.25">
      <c r="C1077" s="37"/>
      <c r="D1077" s="35"/>
    </row>
    <row r="1078" spans="3:4" x14ac:dyDescent="0.25">
      <c r="C1078" s="37"/>
      <c r="D1078" s="35"/>
    </row>
    <row r="1079" spans="3:4" x14ac:dyDescent="0.25">
      <c r="C1079" s="37"/>
      <c r="D1079" s="35"/>
    </row>
    <row r="1080" spans="3:4" x14ac:dyDescent="0.25">
      <c r="C1080" s="37"/>
      <c r="D1080" s="35"/>
    </row>
    <row r="1081" spans="3:4" x14ac:dyDescent="0.25">
      <c r="C1081" s="37"/>
      <c r="D1081" s="35"/>
    </row>
    <row r="1082" spans="3:4" x14ac:dyDescent="0.25">
      <c r="C1082" s="37"/>
      <c r="D1082" s="35"/>
    </row>
    <row r="1083" spans="3:4" x14ac:dyDescent="0.25">
      <c r="C1083" s="37"/>
      <c r="D1083" s="35"/>
    </row>
    <row r="1084" spans="3:4" x14ac:dyDescent="0.25">
      <c r="C1084" s="37"/>
      <c r="D1084" s="35"/>
    </row>
    <row r="1085" spans="3:4" x14ac:dyDescent="0.25">
      <c r="C1085" s="37"/>
      <c r="D1085" s="35"/>
    </row>
    <row r="1086" spans="3:4" x14ac:dyDescent="0.25">
      <c r="C1086" s="37"/>
      <c r="D1086" s="35"/>
    </row>
    <row r="1087" spans="3:4" x14ac:dyDescent="0.25">
      <c r="C1087" s="37"/>
      <c r="D1087" s="35"/>
    </row>
    <row r="1088" spans="3:4" x14ac:dyDescent="0.25">
      <c r="C1088" s="37"/>
      <c r="D1088" s="35"/>
    </row>
    <row r="1089" spans="3:4" x14ac:dyDescent="0.25">
      <c r="C1089" s="37"/>
      <c r="D1089" s="35"/>
    </row>
    <row r="1090" spans="3:4" x14ac:dyDescent="0.25">
      <c r="C1090" s="37"/>
      <c r="D1090" s="35"/>
    </row>
    <row r="1091" spans="3:4" x14ac:dyDescent="0.25">
      <c r="C1091" s="37"/>
      <c r="D1091" s="35"/>
    </row>
    <row r="1092" spans="3:4" x14ac:dyDescent="0.25">
      <c r="C1092" s="37"/>
      <c r="D1092" s="35"/>
    </row>
    <row r="1093" spans="3:4" x14ac:dyDescent="0.25">
      <c r="C1093" s="37"/>
      <c r="D1093" s="35"/>
    </row>
    <row r="1094" spans="3:4" x14ac:dyDescent="0.25">
      <c r="C1094" s="37"/>
      <c r="D1094" s="35"/>
    </row>
    <row r="1095" spans="3:4" x14ac:dyDescent="0.25">
      <c r="C1095" s="37"/>
      <c r="D1095" s="35"/>
    </row>
    <row r="1096" spans="3:4" x14ac:dyDescent="0.25">
      <c r="C1096" s="37"/>
      <c r="D1096" s="35"/>
    </row>
    <row r="1097" spans="3:4" x14ac:dyDescent="0.25">
      <c r="C1097" s="37"/>
      <c r="D1097" s="35"/>
    </row>
    <row r="1098" spans="3:4" x14ac:dyDescent="0.25">
      <c r="C1098" s="37"/>
      <c r="D1098" s="35"/>
    </row>
    <row r="1099" spans="3:4" x14ac:dyDescent="0.25">
      <c r="C1099" s="37"/>
      <c r="D1099" s="35"/>
    </row>
    <row r="1100" spans="3:4" x14ac:dyDescent="0.25">
      <c r="C1100" s="37"/>
      <c r="D1100" s="35"/>
    </row>
    <row r="1101" spans="3:4" x14ac:dyDescent="0.25">
      <c r="C1101" s="37"/>
      <c r="D1101" s="35"/>
    </row>
    <row r="1102" spans="3:4" x14ac:dyDescent="0.25">
      <c r="C1102" s="37"/>
      <c r="D1102" s="35"/>
    </row>
    <row r="1103" spans="3:4" x14ac:dyDescent="0.25">
      <c r="C1103" s="37"/>
      <c r="D1103" s="35"/>
    </row>
    <row r="1104" spans="3:4" x14ac:dyDescent="0.25">
      <c r="C1104" s="37"/>
      <c r="D1104" s="35"/>
    </row>
    <row r="1105" spans="3:4" x14ac:dyDescent="0.25">
      <c r="C1105" s="37"/>
      <c r="D1105" s="35"/>
    </row>
    <row r="1106" spans="3:4" x14ac:dyDescent="0.25">
      <c r="C1106" s="37"/>
      <c r="D1106" s="35"/>
    </row>
    <row r="1107" spans="3:4" x14ac:dyDescent="0.25">
      <c r="C1107" s="37"/>
      <c r="D1107" s="35"/>
    </row>
    <row r="1108" spans="3:4" x14ac:dyDescent="0.25">
      <c r="C1108" s="37"/>
      <c r="D1108" s="35"/>
    </row>
    <row r="1109" spans="3:4" x14ac:dyDescent="0.25">
      <c r="C1109" s="37"/>
      <c r="D1109" s="35"/>
    </row>
    <row r="1110" spans="3:4" x14ac:dyDescent="0.25">
      <c r="C1110" s="37"/>
      <c r="D1110" s="35"/>
    </row>
    <row r="1111" spans="3:4" x14ac:dyDescent="0.25">
      <c r="C1111" s="37"/>
      <c r="D1111" s="35"/>
    </row>
    <row r="1112" spans="3:4" x14ac:dyDescent="0.25">
      <c r="C1112" s="37"/>
      <c r="D1112" s="35"/>
    </row>
    <row r="1113" spans="3:4" x14ac:dyDescent="0.25">
      <c r="C1113" s="37"/>
      <c r="D1113" s="35"/>
    </row>
    <row r="1114" spans="3:4" x14ac:dyDescent="0.25">
      <c r="C1114" s="37"/>
      <c r="D1114" s="35"/>
    </row>
    <row r="1115" spans="3:4" x14ac:dyDescent="0.25">
      <c r="C1115" s="37"/>
      <c r="D1115" s="35"/>
    </row>
    <row r="1116" spans="3:4" x14ac:dyDescent="0.25">
      <c r="C1116" s="37"/>
      <c r="D1116" s="35"/>
    </row>
    <row r="1117" spans="3:4" x14ac:dyDescent="0.25">
      <c r="C1117" s="37"/>
      <c r="D1117" s="35"/>
    </row>
    <row r="1118" spans="3:4" x14ac:dyDescent="0.25">
      <c r="C1118" s="37"/>
      <c r="D1118" s="35"/>
    </row>
    <row r="1119" spans="3:4" x14ac:dyDescent="0.25">
      <c r="C1119" s="37"/>
      <c r="D1119" s="35"/>
    </row>
    <row r="1120" spans="3:4" x14ac:dyDescent="0.25">
      <c r="C1120" s="37"/>
      <c r="D1120" s="35"/>
    </row>
    <row r="1121" spans="3:4" x14ac:dyDescent="0.25">
      <c r="C1121" s="37"/>
      <c r="D1121" s="35"/>
    </row>
    <row r="1122" spans="3:4" x14ac:dyDescent="0.25">
      <c r="C1122" s="37"/>
      <c r="D1122" s="35"/>
    </row>
    <row r="1123" spans="3:4" x14ac:dyDescent="0.25">
      <c r="C1123" s="37"/>
      <c r="D1123" s="35"/>
    </row>
    <row r="1124" spans="3:4" x14ac:dyDescent="0.25">
      <c r="C1124" s="37"/>
      <c r="D1124" s="35"/>
    </row>
    <row r="1125" spans="3:4" x14ac:dyDescent="0.25">
      <c r="C1125" s="37"/>
      <c r="D1125" s="35"/>
    </row>
    <row r="1126" spans="3:4" x14ac:dyDescent="0.25">
      <c r="C1126" s="37"/>
      <c r="D1126" s="35"/>
    </row>
    <row r="1127" spans="3:4" x14ac:dyDescent="0.25">
      <c r="C1127" s="37"/>
      <c r="D1127" s="35"/>
    </row>
    <row r="1128" spans="3:4" x14ac:dyDescent="0.25">
      <c r="C1128" s="37"/>
      <c r="D1128" s="35"/>
    </row>
    <row r="1129" spans="3:4" x14ac:dyDescent="0.25">
      <c r="C1129" s="37"/>
      <c r="D1129" s="35"/>
    </row>
    <row r="1130" spans="3:4" x14ac:dyDescent="0.25">
      <c r="C1130" s="37"/>
      <c r="D1130" s="35"/>
    </row>
    <row r="1131" spans="3:4" x14ac:dyDescent="0.25">
      <c r="C1131" s="37"/>
      <c r="D1131" s="35"/>
    </row>
    <row r="1132" spans="3:4" x14ac:dyDescent="0.25">
      <c r="C1132" s="37"/>
      <c r="D1132" s="35"/>
    </row>
    <row r="1133" spans="3:4" x14ac:dyDescent="0.25">
      <c r="C1133" s="37"/>
      <c r="D1133" s="35"/>
    </row>
    <row r="1134" spans="3:4" x14ac:dyDescent="0.25">
      <c r="C1134" s="37"/>
      <c r="D1134" s="35"/>
    </row>
    <row r="1135" spans="3:4" x14ac:dyDescent="0.25">
      <c r="C1135" s="37"/>
      <c r="D1135" s="35"/>
    </row>
    <row r="1136" spans="3:4" x14ac:dyDescent="0.25">
      <c r="C1136" s="37"/>
      <c r="D1136" s="35"/>
    </row>
    <row r="1137" spans="3:4" x14ac:dyDescent="0.25">
      <c r="C1137" s="37"/>
      <c r="D1137" s="35"/>
    </row>
    <row r="1138" spans="3:4" x14ac:dyDescent="0.25">
      <c r="C1138" s="37"/>
      <c r="D1138" s="35"/>
    </row>
    <row r="1139" spans="3:4" x14ac:dyDescent="0.25">
      <c r="C1139" s="37"/>
      <c r="D1139" s="35"/>
    </row>
    <row r="1140" spans="3:4" x14ac:dyDescent="0.25">
      <c r="C1140" s="37"/>
      <c r="D1140" s="35"/>
    </row>
    <row r="1141" spans="3:4" x14ac:dyDescent="0.25">
      <c r="C1141" s="37"/>
      <c r="D1141" s="35"/>
    </row>
    <row r="1142" spans="3:4" x14ac:dyDescent="0.25">
      <c r="C1142" s="37"/>
      <c r="D1142" s="35"/>
    </row>
    <row r="1143" spans="3:4" x14ac:dyDescent="0.25">
      <c r="C1143" s="37"/>
      <c r="D1143" s="35"/>
    </row>
    <row r="1144" spans="3:4" x14ac:dyDescent="0.25">
      <c r="C1144" s="37"/>
      <c r="D1144" s="35"/>
    </row>
    <row r="1145" spans="3:4" x14ac:dyDescent="0.25">
      <c r="C1145" s="37"/>
      <c r="D1145" s="35"/>
    </row>
    <row r="1146" spans="3:4" x14ac:dyDescent="0.25">
      <c r="C1146" s="37"/>
      <c r="D1146" s="35"/>
    </row>
    <row r="1147" spans="3:4" x14ac:dyDescent="0.25">
      <c r="C1147" s="37"/>
      <c r="D1147" s="35"/>
    </row>
    <row r="1148" spans="3:4" x14ac:dyDescent="0.25">
      <c r="C1148" s="37"/>
      <c r="D1148" s="35"/>
    </row>
    <row r="1149" spans="3:4" x14ac:dyDescent="0.25">
      <c r="C1149" s="37"/>
      <c r="D1149" s="35"/>
    </row>
    <row r="1150" spans="3:4" x14ac:dyDescent="0.25">
      <c r="C1150" s="37"/>
      <c r="D1150" s="35"/>
    </row>
    <row r="1151" spans="3:4" x14ac:dyDescent="0.25">
      <c r="C1151" s="37"/>
      <c r="D1151" s="35"/>
    </row>
    <row r="1152" spans="3:4" x14ac:dyDescent="0.25">
      <c r="C1152" s="37"/>
      <c r="D1152" s="35"/>
    </row>
    <row r="1153" spans="3:4" x14ac:dyDescent="0.25">
      <c r="C1153" s="37"/>
      <c r="D1153" s="35"/>
    </row>
    <row r="1154" spans="3:4" x14ac:dyDescent="0.25">
      <c r="C1154" s="37"/>
      <c r="D1154" s="35"/>
    </row>
    <row r="1155" spans="3:4" x14ac:dyDescent="0.25">
      <c r="C1155" s="37"/>
      <c r="D1155" s="35"/>
    </row>
    <row r="1156" spans="3:4" x14ac:dyDescent="0.25">
      <c r="C1156" s="37"/>
      <c r="D1156" s="35"/>
    </row>
    <row r="1157" spans="3:4" x14ac:dyDescent="0.25">
      <c r="C1157" s="37"/>
      <c r="D1157" s="35"/>
    </row>
    <row r="1158" spans="3:4" x14ac:dyDescent="0.25">
      <c r="C1158" s="37"/>
      <c r="D1158" s="35"/>
    </row>
    <row r="1159" spans="3:4" x14ac:dyDescent="0.25">
      <c r="C1159" s="37"/>
      <c r="D1159" s="35"/>
    </row>
    <row r="1160" spans="3:4" x14ac:dyDescent="0.25">
      <c r="C1160" s="37"/>
      <c r="D1160" s="35"/>
    </row>
    <row r="1161" spans="3:4" x14ac:dyDescent="0.25">
      <c r="C1161" s="37"/>
      <c r="D1161" s="35"/>
    </row>
    <row r="1162" spans="3:4" x14ac:dyDescent="0.25">
      <c r="C1162" s="37"/>
      <c r="D1162" s="35"/>
    </row>
    <row r="1163" spans="3:4" x14ac:dyDescent="0.25">
      <c r="C1163" s="37"/>
      <c r="D1163" s="35"/>
    </row>
    <row r="1164" spans="3:4" x14ac:dyDescent="0.25">
      <c r="C1164" s="37"/>
      <c r="D1164" s="35"/>
    </row>
    <row r="1165" spans="3:4" x14ac:dyDescent="0.25">
      <c r="C1165" s="37"/>
      <c r="D1165" s="35"/>
    </row>
    <row r="1166" spans="3:4" x14ac:dyDescent="0.25">
      <c r="C1166" s="37"/>
      <c r="D1166" s="35"/>
    </row>
    <row r="1167" spans="3:4" x14ac:dyDescent="0.25">
      <c r="C1167" s="37"/>
      <c r="D1167" s="35"/>
    </row>
    <row r="1168" spans="3:4" x14ac:dyDescent="0.25">
      <c r="C1168" s="37"/>
      <c r="D1168" s="35"/>
    </row>
    <row r="1169" spans="3:4" x14ac:dyDescent="0.25">
      <c r="C1169" s="37"/>
      <c r="D1169" s="35"/>
    </row>
    <row r="1170" spans="3:4" x14ac:dyDescent="0.25">
      <c r="C1170" s="37"/>
      <c r="D1170" s="35"/>
    </row>
    <row r="1171" spans="3:4" x14ac:dyDescent="0.25">
      <c r="C1171" s="37"/>
      <c r="D1171" s="35"/>
    </row>
    <row r="1172" spans="3:4" x14ac:dyDescent="0.25">
      <c r="C1172" s="37"/>
      <c r="D1172" s="35"/>
    </row>
    <row r="1173" spans="3:4" x14ac:dyDescent="0.25">
      <c r="C1173" s="37"/>
      <c r="D1173" s="35"/>
    </row>
    <row r="1174" spans="3:4" x14ac:dyDescent="0.25">
      <c r="C1174" s="37"/>
      <c r="D1174" s="35"/>
    </row>
    <row r="1175" spans="3:4" x14ac:dyDescent="0.25">
      <c r="C1175" s="37"/>
      <c r="D1175" s="35"/>
    </row>
    <row r="1176" spans="3:4" x14ac:dyDescent="0.25">
      <c r="C1176" s="37"/>
      <c r="D1176" s="35"/>
    </row>
    <row r="1177" spans="3:4" x14ac:dyDescent="0.25">
      <c r="C1177" s="37"/>
      <c r="D1177" s="35"/>
    </row>
    <row r="1178" spans="3:4" x14ac:dyDescent="0.25">
      <c r="C1178" s="37"/>
      <c r="D1178" s="35"/>
    </row>
    <row r="1179" spans="3:4" x14ac:dyDescent="0.25">
      <c r="C1179" s="37"/>
      <c r="D1179" s="35"/>
    </row>
    <row r="1180" spans="3:4" x14ac:dyDescent="0.25">
      <c r="C1180" s="37"/>
      <c r="D1180" s="35"/>
    </row>
    <row r="1181" spans="3:4" x14ac:dyDescent="0.25">
      <c r="C1181" s="37"/>
      <c r="D1181" s="35"/>
    </row>
    <row r="1182" spans="3:4" x14ac:dyDescent="0.25">
      <c r="C1182" s="37"/>
      <c r="D1182" s="35"/>
    </row>
    <row r="1183" spans="3:4" x14ac:dyDescent="0.25">
      <c r="C1183" s="37"/>
      <c r="D1183" s="35"/>
    </row>
    <row r="1184" spans="3:4" x14ac:dyDescent="0.25">
      <c r="C1184" s="37"/>
      <c r="D1184" s="35"/>
    </row>
    <row r="1185" spans="3:4" x14ac:dyDescent="0.25">
      <c r="C1185" s="37"/>
      <c r="D1185" s="35"/>
    </row>
    <row r="1186" spans="3:4" x14ac:dyDescent="0.25">
      <c r="C1186" s="37"/>
      <c r="D1186" s="35"/>
    </row>
    <row r="1187" spans="3:4" x14ac:dyDescent="0.25">
      <c r="C1187" s="37"/>
      <c r="D1187" s="35"/>
    </row>
    <row r="1188" spans="3:4" x14ac:dyDescent="0.25">
      <c r="C1188" s="37"/>
      <c r="D1188" s="35"/>
    </row>
    <row r="1189" spans="3:4" x14ac:dyDescent="0.25">
      <c r="C1189" s="37"/>
      <c r="D1189" s="35"/>
    </row>
    <row r="1190" spans="3:4" x14ac:dyDescent="0.25">
      <c r="C1190" s="37"/>
      <c r="D1190" s="35"/>
    </row>
    <row r="1191" spans="3:4" x14ac:dyDescent="0.25">
      <c r="C1191" s="37"/>
      <c r="D1191" s="35"/>
    </row>
    <row r="1192" spans="3:4" x14ac:dyDescent="0.25">
      <c r="C1192" s="37"/>
      <c r="D1192" s="35"/>
    </row>
    <row r="1193" spans="3:4" x14ac:dyDescent="0.25">
      <c r="C1193" s="37"/>
      <c r="D1193" s="35"/>
    </row>
    <row r="1194" spans="3:4" x14ac:dyDescent="0.25">
      <c r="C1194" s="37"/>
      <c r="D1194" s="35"/>
    </row>
    <row r="1195" spans="3:4" x14ac:dyDescent="0.25">
      <c r="C1195" s="37"/>
      <c r="D1195" s="35"/>
    </row>
    <row r="1196" spans="3:4" x14ac:dyDescent="0.25">
      <c r="C1196" s="37"/>
      <c r="D1196" s="35"/>
    </row>
    <row r="1197" spans="3:4" x14ac:dyDescent="0.25">
      <c r="C1197" s="37"/>
      <c r="D1197" s="35"/>
    </row>
    <row r="1198" spans="3:4" x14ac:dyDescent="0.25">
      <c r="C1198" s="37"/>
      <c r="D1198" s="35"/>
    </row>
    <row r="1199" spans="3:4" x14ac:dyDescent="0.25">
      <c r="C1199" s="37"/>
      <c r="D1199" s="35"/>
    </row>
    <row r="1200" spans="3:4" x14ac:dyDescent="0.25">
      <c r="C1200" s="37"/>
      <c r="D1200" s="35"/>
    </row>
    <row r="1201" spans="3:4" x14ac:dyDescent="0.25">
      <c r="C1201" s="37"/>
      <c r="D1201" s="35"/>
    </row>
    <row r="1202" spans="3:4" x14ac:dyDescent="0.25">
      <c r="C1202" s="37"/>
      <c r="D1202" s="35"/>
    </row>
    <row r="1203" spans="3:4" x14ac:dyDescent="0.25">
      <c r="C1203" s="37"/>
      <c r="D1203" s="35"/>
    </row>
    <row r="1204" spans="3:4" x14ac:dyDescent="0.25">
      <c r="C1204" s="37"/>
      <c r="D1204" s="35"/>
    </row>
    <row r="1205" spans="3:4" x14ac:dyDescent="0.25">
      <c r="C1205" s="37"/>
      <c r="D1205" s="35"/>
    </row>
    <row r="1206" spans="3:4" x14ac:dyDescent="0.25">
      <c r="C1206" s="37"/>
      <c r="D1206" s="35"/>
    </row>
    <row r="1207" spans="3:4" x14ac:dyDescent="0.25">
      <c r="C1207" s="37"/>
      <c r="D1207" s="35"/>
    </row>
    <row r="1208" spans="3:4" x14ac:dyDescent="0.25">
      <c r="C1208" s="37"/>
      <c r="D1208" s="35"/>
    </row>
    <row r="1209" spans="3:4" x14ac:dyDescent="0.25">
      <c r="C1209" s="37"/>
      <c r="D1209" s="35"/>
    </row>
    <row r="1210" spans="3:4" x14ac:dyDescent="0.25">
      <c r="C1210" s="37"/>
      <c r="D1210" s="35"/>
    </row>
    <row r="1211" spans="3:4" x14ac:dyDescent="0.25">
      <c r="C1211" s="37"/>
      <c r="D1211" s="35"/>
    </row>
    <row r="1212" spans="3:4" x14ac:dyDescent="0.25">
      <c r="C1212" s="37"/>
      <c r="D1212" s="35"/>
    </row>
    <row r="1213" spans="3:4" x14ac:dyDescent="0.25">
      <c r="C1213" s="37"/>
      <c r="D1213" s="35"/>
    </row>
    <row r="1214" spans="3:4" x14ac:dyDescent="0.25">
      <c r="C1214" s="37"/>
      <c r="D1214" s="35"/>
    </row>
    <row r="1215" spans="3:4" x14ac:dyDescent="0.25">
      <c r="C1215" s="37"/>
      <c r="D1215" s="35"/>
    </row>
    <row r="1216" spans="3:4" x14ac:dyDescent="0.25">
      <c r="C1216" s="37"/>
      <c r="D1216" s="35"/>
    </row>
    <row r="1217" spans="3:4" x14ac:dyDescent="0.25">
      <c r="C1217" s="37"/>
      <c r="D1217" s="35"/>
    </row>
    <row r="1218" spans="3:4" x14ac:dyDescent="0.25">
      <c r="C1218" s="37"/>
      <c r="D1218" s="35"/>
    </row>
    <row r="1219" spans="3:4" x14ac:dyDescent="0.25">
      <c r="C1219" s="37"/>
      <c r="D1219" s="35"/>
    </row>
    <row r="1220" spans="3:4" x14ac:dyDescent="0.25">
      <c r="C1220" s="37"/>
      <c r="D1220" s="35"/>
    </row>
    <row r="1221" spans="3:4" x14ac:dyDescent="0.25">
      <c r="C1221" s="37"/>
      <c r="D1221" s="35"/>
    </row>
    <row r="1222" spans="3:4" x14ac:dyDescent="0.25">
      <c r="C1222" s="37"/>
      <c r="D1222" s="35"/>
    </row>
    <row r="1223" spans="3:4" x14ac:dyDescent="0.25">
      <c r="C1223" s="37"/>
      <c r="D1223" s="35"/>
    </row>
    <row r="1224" spans="3:4" x14ac:dyDescent="0.25">
      <c r="C1224" s="37"/>
      <c r="D1224" s="35"/>
    </row>
    <row r="1225" spans="3:4" x14ac:dyDescent="0.25">
      <c r="C1225" s="37"/>
      <c r="D1225" s="35"/>
    </row>
    <row r="1226" spans="3:4" x14ac:dyDescent="0.25">
      <c r="C1226" s="37"/>
      <c r="D1226" s="35"/>
    </row>
    <row r="1227" spans="3:4" x14ac:dyDescent="0.25">
      <c r="C1227" s="37"/>
      <c r="D1227" s="35"/>
    </row>
    <row r="1228" spans="3:4" x14ac:dyDescent="0.25">
      <c r="C1228" s="37"/>
      <c r="D1228" s="35"/>
    </row>
    <row r="1229" spans="3:4" x14ac:dyDescent="0.25">
      <c r="C1229" s="37"/>
      <c r="D1229" s="35"/>
    </row>
    <row r="1230" spans="3:4" x14ac:dyDescent="0.25">
      <c r="C1230" s="37"/>
      <c r="D1230" s="35"/>
    </row>
    <row r="1231" spans="3:4" x14ac:dyDescent="0.25">
      <c r="C1231" s="37"/>
      <c r="D1231" s="35"/>
    </row>
    <row r="1232" spans="3:4" x14ac:dyDescent="0.25">
      <c r="C1232" s="37"/>
      <c r="D1232" s="35"/>
    </row>
    <row r="1233" spans="3:4" x14ac:dyDescent="0.25">
      <c r="C1233" s="37"/>
      <c r="D1233" s="35"/>
    </row>
    <row r="1234" spans="3:4" x14ac:dyDescent="0.25">
      <c r="C1234" s="37"/>
      <c r="D1234" s="35"/>
    </row>
    <row r="1235" spans="3:4" x14ac:dyDescent="0.25">
      <c r="C1235" s="37"/>
      <c r="D1235" s="35"/>
    </row>
    <row r="1236" spans="3:4" x14ac:dyDescent="0.25">
      <c r="C1236" s="37"/>
      <c r="D1236" s="35"/>
    </row>
    <row r="1237" spans="3:4" x14ac:dyDescent="0.25">
      <c r="C1237" s="37"/>
      <c r="D1237" s="35"/>
    </row>
    <row r="1238" spans="3:4" x14ac:dyDescent="0.25">
      <c r="C1238" s="37"/>
      <c r="D1238" s="35"/>
    </row>
    <row r="1239" spans="3:4" x14ac:dyDescent="0.25">
      <c r="C1239" s="37"/>
      <c r="D1239" s="35"/>
    </row>
    <row r="1240" spans="3:4" x14ac:dyDescent="0.25">
      <c r="C1240" s="37"/>
      <c r="D1240" s="35"/>
    </row>
    <row r="1241" spans="3:4" x14ac:dyDescent="0.25">
      <c r="C1241" s="37"/>
      <c r="D1241" s="35"/>
    </row>
    <row r="1242" spans="3:4" x14ac:dyDescent="0.25">
      <c r="C1242" s="37"/>
      <c r="D1242" s="35"/>
    </row>
    <row r="1243" spans="3:4" x14ac:dyDescent="0.25">
      <c r="C1243" s="37"/>
      <c r="D1243" s="35"/>
    </row>
    <row r="1244" spans="3:4" x14ac:dyDescent="0.25">
      <c r="C1244" s="37"/>
      <c r="D1244" s="35"/>
    </row>
    <row r="1245" spans="3:4" x14ac:dyDescent="0.25">
      <c r="C1245" s="37"/>
      <c r="D1245" s="35"/>
    </row>
    <row r="1246" spans="3:4" x14ac:dyDescent="0.25">
      <c r="C1246" s="37"/>
      <c r="D1246" s="35"/>
    </row>
    <row r="1247" spans="3:4" x14ac:dyDescent="0.25">
      <c r="C1247" s="37"/>
      <c r="D1247" s="35"/>
    </row>
    <row r="1248" spans="3:4" x14ac:dyDescent="0.25">
      <c r="C1248" s="37"/>
      <c r="D1248" s="35"/>
    </row>
    <row r="1249" spans="3:4" x14ac:dyDescent="0.25">
      <c r="C1249" s="37"/>
      <c r="D1249" s="35"/>
    </row>
    <row r="1250" spans="3:4" x14ac:dyDescent="0.25">
      <c r="C1250" s="37"/>
      <c r="D1250" s="35"/>
    </row>
    <row r="1251" spans="3:4" x14ac:dyDescent="0.25">
      <c r="C1251" s="37"/>
      <c r="D1251" s="35"/>
    </row>
    <row r="1252" spans="3:4" x14ac:dyDescent="0.25">
      <c r="C1252" s="37"/>
      <c r="D1252" s="35"/>
    </row>
    <row r="1253" spans="3:4" x14ac:dyDescent="0.25">
      <c r="C1253" s="37"/>
      <c r="D1253" s="35"/>
    </row>
    <row r="1254" spans="3:4" x14ac:dyDescent="0.25">
      <c r="C1254" s="37"/>
      <c r="D1254" s="35"/>
    </row>
    <row r="1255" spans="3:4" x14ac:dyDescent="0.25">
      <c r="C1255" s="37"/>
      <c r="D1255" s="35"/>
    </row>
    <row r="1256" spans="3:4" x14ac:dyDescent="0.25">
      <c r="C1256" s="37"/>
      <c r="D1256" s="35"/>
    </row>
    <row r="1257" spans="3:4" x14ac:dyDescent="0.25">
      <c r="C1257" s="37"/>
      <c r="D1257" s="35"/>
    </row>
    <row r="1258" spans="3:4" x14ac:dyDescent="0.25">
      <c r="C1258" s="37"/>
      <c r="D1258" s="35"/>
    </row>
    <row r="1259" spans="3:4" x14ac:dyDescent="0.25">
      <c r="C1259" s="37"/>
      <c r="D1259" s="35"/>
    </row>
    <row r="1260" spans="3:4" x14ac:dyDescent="0.25">
      <c r="C1260" s="37"/>
      <c r="D1260" s="35"/>
    </row>
    <row r="1261" spans="3:4" x14ac:dyDescent="0.25">
      <c r="C1261" s="37"/>
      <c r="D1261" s="35"/>
    </row>
    <row r="1262" spans="3:4" x14ac:dyDescent="0.25">
      <c r="C1262" s="37"/>
      <c r="D1262" s="35"/>
    </row>
    <row r="1263" spans="3:4" x14ac:dyDescent="0.25">
      <c r="C1263" s="37"/>
      <c r="D1263" s="35"/>
    </row>
    <row r="1264" spans="3:4" x14ac:dyDescent="0.25">
      <c r="C1264" s="37"/>
      <c r="D1264" s="35"/>
    </row>
    <row r="1265" spans="3:4" x14ac:dyDescent="0.25">
      <c r="C1265" s="37"/>
      <c r="D1265" s="35"/>
    </row>
    <row r="1266" spans="3:4" x14ac:dyDescent="0.25">
      <c r="C1266" s="37"/>
      <c r="D1266" s="35"/>
    </row>
    <row r="1267" spans="3:4" x14ac:dyDescent="0.25">
      <c r="C1267" s="37"/>
      <c r="D1267" s="35"/>
    </row>
    <row r="1268" spans="3:4" x14ac:dyDescent="0.25">
      <c r="C1268" s="37"/>
      <c r="D1268" s="35"/>
    </row>
    <row r="1269" spans="3:4" x14ac:dyDescent="0.25">
      <c r="C1269" s="37"/>
      <c r="D1269" s="35"/>
    </row>
    <row r="1270" spans="3:4" x14ac:dyDescent="0.25">
      <c r="C1270" s="37"/>
      <c r="D1270" s="35"/>
    </row>
    <row r="1271" spans="3:4" x14ac:dyDescent="0.25">
      <c r="C1271" s="37"/>
      <c r="D1271" s="35"/>
    </row>
    <row r="1272" spans="3:4" x14ac:dyDescent="0.25">
      <c r="C1272" s="37"/>
      <c r="D1272" s="35"/>
    </row>
    <row r="1273" spans="3:4" x14ac:dyDescent="0.25">
      <c r="C1273" s="37"/>
      <c r="D1273" s="35"/>
    </row>
    <row r="1274" spans="3:4" x14ac:dyDescent="0.25">
      <c r="C1274" s="37"/>
      <c r="D1274" s="35"/>
    </row>
    <row r="1275" spans="3:4" x14ac:dyDescent="0.25">
      <c r="C1275" s="37"/>
      <c r="D1275" s="35"/>
    </row>
    <row r="1276" spans="3:4" x14ac:dyDescent="0.25">
      <c r="C1276" s="37"/>
      <c r="D1276" s="35"/>
    </row>
    <row r="1277" spans="3:4" x14ac:dyDescent="0.25">
      <c r="C1277" s="37"/>
      <c r="D1277" s="35"/>
    </row>
    <row r="1278" spans="3:4" x14ac:dyDescent="0.25">
      <c r="C1278" s="37"/>
      <c r="D1278" s="35"/>
    </row>
    <row r="1279" spans="3:4" x14ac:dyDescent="0.25">
      <c r="C1279" s="37"/>
      <c r="D1279" s="35"/>
    </row>
    <row r="1280" spans="3:4" x14ac:dyDescent="0.25">
      <c r="C1280" s="37"/>
      <c r="D1280" s="35"/>
    </row>
    <row r="1281" spans="3:4" x14ac:dyDescent="0.25">
      <c r="C1281" s="37"/>
      <c r="D1281" s="35"/>
    </row>
    <row r="1282" spans="3:4" x14ac:dyDescent="0.25">
      <c r="C1282" s="37"/>
      <c r="D1282" s="35"/>
    </row>
    <row r="1283" spans="3:4" x14ac:dyDescent="0.25">
      <c r="C1283" s="37"/>
      <c r="D1283" s="35"/>
    </row>
    <row r="1284" spans="3:4" x14ac:dyDescent="0.25">
      <c r="C1284" s="37"/>
      <c r="D1284" s="35"/>
    </row>
    <row r="1285" spans="3:4" x14ac:dyDescent="0.25">
      <c r="C1285" s="37"/>
      <c r="D1285" s="35"/>
    </row>
    <row r="1286" spans="3:4" x14ac:dyDescent="0.25">
      <c r="C1286" s="37"/>
      <c r="D1286" s="35"/>
    </row>
    <row r="1287" spans="3:4" x14ac:dyDescent="0.25">
      <c r="C1287" s="37"/>
      <c r="D1287" s="35"/>
    </row>
    <row r="1288" spans="3:4" x14ac:dyDescent="0.25">
      <c r="C1288" s="37"/>
      <c r="D1288" s="35"/>
    </row>
    <row r="1289" spans="3:4" x14ac:dyDescent="0.25">
      <c r="C1289" s="37"/>
      <c r="D1289" s="35"/>
    </row>
    <row r="1290" spans="3:4" x14ac:dyDescent="0.25">
      <c r="C1290" s="37"/>
      <c r="D1290" s="35"/>
    </row>
    <row r="1291" spans="3:4" x14ac:dyDescent="0.25">
      <c r="C1291" s="37"/>
      <c r="D1291" s="35"/>
    </row>
    <row r="1292" spans="3:4" x14ac:dyDescent="0.25">
      <c r="C1292" s="37"/>
      <c r="D1292" s="35"/>
    </row>
    <row r="1293" spans="3:4" x14ac:dyDescent="0.25">
      <c r="C1293" s="37"/>
      <c r="D1293" s="35"/>
    </row>
    <row r="1294" spans="3:4" x14ac:dyDescent="0.25">
      <c r="C1294" s="37"/>
      <c r="D1294" s="35"/>
    </row>
    <row r="1295" spans="3:4" x14ac:dyDescent="0.25">
      <c r="C1295" s="37"/>
      <c r="D1295" s="35"/>
    </row>
    <row r="1296" spans="3:4" x14ac:dyDescent="0.25">
      <c r="C1296" s="37"/>
      <c r="D1296" s="35"/>
    </row>
    <row r="1297" spans="3:4" x14ac:dyDescent="0.25">
      <c r="C1297" s="37"/>
      <c r="D1297" s="35"/>
    </row>
    <row r="1298" spans="3:4" x14ac:dyDescent="0.25">
      <c r="C1298" s="37"/>
      <c r="D1298" s="35"/>
    </row>
    <row r="1299" spans="3:4" x14ac:dyDescent="0.25">
      <c r="C1299" s="37"/>
      <c r="D1299" s="35"/>
    </row>
    <row r="1300" spans="3:4" x14ac:dyDescent="0.25">
      <c r="C1300" s="37"/>
      <c r="D1300" s="35"/>
    </row>
    <row r="1301" spans="3:4" x14ac:dyDescent="0.25">
      <c r="C1301" s="37"/>
      <c r="D1301" s="35"/>
    </row>
    <row r="1302" spans="3:4" x14ac:dyDescent="0.25">
      <c r="C1302" s="37"/>
      <c r="D1302" s="35"/>
    </row>
    <row r="1303" spans="3:4" x14ac:dyDescent="0.25">
      <c r="C1303" s="37"/>
      <c r="D1303" s="35"/>
    </row>
    <row r="1304" spans="3:4" x14ac:dyDescent="0.25">
      <c r="C1304" s="37"/>
      <c r="D1304" s="35"/>
    </row>
    <row r="1305" spans="3:4" x14ac:dyDescent="0.25">
      <c r="C1305" s="37"/>
      <c r="D1305" s="35"/>
    </row>
    <row r="1306" spans="3:4" x14ac:dyDescent="0.25">
      <c r="C1306" s="37"/>
      <c r="D1306" s="35"/>
    </row>
    <row r="1307" spans="3:4" x14ac:dyDescent="0.25">
      <c r="C1307" s="37"/>
      <c r="D1307" s="35"/>
    </row>
    <row r="1308" spans="3:4" x14ac:dyDescent="0.25">
      <c r="C1308" s="37"/>
      <c r="D1308" s="35"/>
    </row>
    <row r="1309" spans="3:4" x14ac:dyDescent="0.25">
      <c r="C1309" s="37"/>
      <c r="D1309" s="35"/>
    </row>
    <row r="1310" spans="3:4" x14ac:dyDescent="0.25">
      <c r="C1310" s="37"/>
      <c r="D1310" s="35"/>
    </row>
    <row r="1311" spans="3:4" x14ac:dyDescent="0.25">
      <c r="C1311" s="37"/>
      <c r="D1311" s="35"/>
    </row>
    <row r="1312" spans="3:4" x14ac:dyDescent="0.25">
      <c r="C1312" s="37"/>
      <c r="D1312" s="35"/>
    </row>
    <row r="1313" spans="3:4" x14ac:dyDescent="0.25">
      <c r="C1313" s="37"/>
      <c r="D1313" s="35"/>
    </row>
    <row r="1314" spans="3:4" x14ac:dyDescent="0.25">
      <c r="C1314" s="37"/>
      <c r="D1314" s="35"/>
    </row>
    <row r="1315" spans="3:4" x14ac:dyDescent="0.25">
      <c r="C1315" s="37"/>
      <c r="D1315" s="35"/>
    </row>
    <row r="1316" spans="3:4" x14ac:dyDescent="0.25">
      <c r="C1316" s="37"/>
      <c r="D1316" s="35"/>
    </row>
    <row r="1317" spans="3:4" x14ac:dyDescent="0.25">
      <c r="C1317" s="37"/>
      <c r="D1317" s="35"/>
    </row>
    <row r="1318" spans="3:4" x14ac:dyDescent="0.25">
      <c r="C1318" s="37"/>
      <c r="D1318" s="35"/>
    </row>
    <row r="1319" spans="3:4" x14ac:dyDescent="0.25">
      <c r="C1319" s="37"/>
      <c r="D1319" s="35"/>
    </row>
    <row r="1320" spans="3:4" x14ac:dyDescent="0.25">
      <c r="C1320" s="37"/>
      <c r="D1320" s="35"/>
    </row>
    <row r="1321" spans="3:4" x14ac:dyDescent="0.25">
      <c r="C1321" s="37"/>
      <c r="D1321" s="35"/>
    </row>
    <row r="1322" spans="3:4" x14ac:dyDescent="0.25">
      <c r="C1322" s="37"/>
      <c r="D1322" s="35"/>
    </row>
    <row r="1323" spans="3:4" x14ac:dyDescent="0.25">
      <c r="C1323" s="37"/>
      <c r="D1323" s="35"/>
    </row>
    <row r="1324" spans="3:4" x14ac:dyDescent="0.25">
      <c r="C1324" s="37"/>
      <c r="D1324" s="35"/>
    </row>
    <row r="1325" spans="3:4" x14ac:dyDescent="0.25">
      <c r="C1325" s="37"/>
      <c r="D1325" s="35"/>
    </row>
    <row r="1326" spans="3:4" x14ac:dyDescent="0.25">
      <c r="C1326" s="37"/>
      <c r="D1326" s="35"/>
    </row>
    <row r="1327" spans="3:4" x14ac:dyDescent="0.25">
      <c r="C1327" s="37"/>
      <c r="D1327" s="35"/>
    </row>
    <row r="1328" spans="3:4" x14ac:dyDescent="0.25">
      <c r="C1328" s="37"/>
      <c r="D1328" s="35"/>
    </row>
    <row r="1329" spans="3:4" x14ac:dyDescent="0.25">
      <c r="C1329" s="37"/>
      <c r="D1329" s="35"/>
    </row>
    <row r="1330" spans="3:4" x14ac:dyDescent="0.25">
      <c r="C1330" s="37"/>
      <c r="D1330" s="35"/>
    </row>
    <row r="1331" spans="3:4" x14ac:dyDescent="0.25">
      <c r="C1331" s="37"/>
      <c r="D1331" s="35"/>
    </row>
    <row r="1332" spans="3:4" x14ac:dyDescent="0.25">
      <c r="C1332" s="37"/>
      <c r="D1332" s="35"/>
    </row>
    <row r="1333" spans="3:4" x14ac:dyDescent="0.25">
      <c r="C1333" s="37"/>
      <c r="D1333" s="35"/>
    </row>
  </sheetData>
  <mergeCells count="18">
    <mergeCell ref="N29:O29"/>
    <mergeCell ref="D17:E17"/>
    <mergeCell ref="F17:G17"/>
    <mergeCell ref="H17:I17"/>
    <mergeCell ref="J17:K17"/>
    <mergeCell ref="L17:M17"/>
    <mergeCell ref="N17:O17"/>
    <mergeCell ref="D29:E29"/>
    <mergeCell ref="F29:G29"/>
    <mergeCell ref="H29:I29"/>
    <mergeCell ref="J29:K29"/>
    <mergeCell ref="L29:M29"/>
    <mergeCell ref="N2:O2"/>
    <mergeCell ref="D2:E2"/>
    <mergeCell ref="F2:G2"/>
    <mergeCell ref="H2:I2"/>
    <mergeCell ref="J2:K2"/>
    <mergeCell ref="L2:M2"/>
  </mergeCells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B91CD-D4FF-4698-9D9C-E9A454ACDF54}">
  <dimension ref="A1:AC1333"/>
  <sheetViews>
    <sheetView workbookViewId="0"/>
  </sheetViews>
  <sheetFormatPr defaultRowHeight="15" outlineLevelCol="1" x14ac:dyDescent="0.25"/>
  <cols>
    <col min="1" max="1" width="5.140625" customWidth="1"/>
    <col min="2" max="2" width="25.140625" bestFit="1" customWidth="1"/>
    <col min="3" max="3" width="24.28515625" style="11" bestFit="1" customWidth="1"/>
    <col min="4" max="4" width="15.85546875" style="6" bestFit="1" customWidth="1"/>
    <col min="5" max="5" width="19.5703125" style="11" bestFit="1" customWidth="1"/>
    <col min="6" max="6" width="7.140625" style="6" bestFit="1" customWidth="1"/>
    <col min="7" max="7" width="19.5703125" style="11" bestFit="1" customWidth="1"/>
    <col min="8" max="8" width="9.140625" style="6"/>
    <col min="9" max="9" width="19.5703125" style="11" bestFit="1" customWidth="1"/>
    <col min="10" max="10" width="7.140625" style="6" bestFit="1" customWidth="1"/>
    <col min="11" max="11" width="18" style="11" bestFit="1" customWidth="1"/>
    <col min="12" max="12" width="7.140625" style="5" bestFit="1" customWidth="1"/>
    <col min="13" max="13" width="19.5703125" style="10" bestFit="1" customWidth="1"/>
    <col min="14" max="14" width="8.140625" style="10" bestFit="1" customWidth="1"/>
    <col min="15" max="15" width="19.5703125" style="10" customWidth="1"/>
    <col min="16" max="16" width="7.140625" bestFit="1" customWidth="1"/>
    <col min="17" max="18" width="7.140625" hidden="1" customWidth="1" outlineLevel="1"/>
    <col min="19" max="19" width="18" bestFit="1" customWidth="1" collapsed="1"/>
    <col min="20" max="20" width="16.85546875" bestFit="1" customWidth="1"/>
    <col min="21" max="21" width="18" bestFit="1" customWidth="1"/>
    <col min="22" max="22" width="16.85546875" bestFit="1" customWidth="1"/>
    <col min="23" max="23" width="15.28515625" bestFit="1" customWidth="1"/>
    <col min="25" max="25" width="7.85546875" bestFit="1" customWidth="1"/>
    <col min="26" max="26" width="11.140625" bestFit="1" customWidth="1"/>
    <col min="27" max="27" width="13.28515625" bestFit="1" customWidth="1"/>
    <col min="28" max="28" width="7.85546875" bestFit="1" customWidth="1"/>
    <col min="29" max="29" width="8.140625" bestFit="1" customWidth="1"/>
  </cols>
  <sheetData>
    <row r="1" spans="1:29" ht="9" customHeight="1" x14ac:dyDescent="0.25"/>
    <row r="2" spans="1:29" x14ac:dyDescent="0.25">
      <c r="B2" s="4" t="s">
        <v>1</v>
      </c>
      <c r="C2" s="9" t="s">
        <v>4</v>
      </c>
      <c r="D2" s="112" t="s">
        <v>7</v>
      </c>
      <c r="E2" s="112"/>
      <c r="F2" s="112" t="s">
        <v>8</v>
      </c>
      <c r="G2" s="112"/>
      <c r="H2" s="112" t="s">
        <v>10</v>
      </c>
      <c r="I2" s="112"/>
      <c r="J2" s="112" t="s">
        <v>9</v>
      </c>
      <c r="K2" s="112"/>
      <c r="L2" s="112" t="s">
        <v>21</v>
      </c>
      <c r="M2" s="112"/>
      <c r="N2" s="112" t="s">
        <v>55</v>
      </c>
      <c r="O2" s="112"/>
      <c r="Q2" s="1" t="s">
        <v>46</v>
      </c>
      <c r="S2" s="27" t="s">
        <v>49</v>
      </c>
      <c r="T2" s="27" t="s">
        <v>50</v>
      </c>
      <c r="U2" s="27" t="s">
        <v>51</v>
      </c>
      <c r="V2" s="27" t="s">
        <v>52</v>
      </c>
      <c r="W2" s="27" t="s">
        <v>53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</row>
    <row r="3" spans="1:29" x14ac:dyDescent="0.25">
      <c r="B3" s="21" t="s">
        <v>5</v>
      </c>
      <c r="C3" s="23"/>
      <c r="D3" s="26"/>
      <c r="E3" s="23">
        <f>D3*C3</f>
        <v>0</v>
      </c>
      <c r="F3" s="26"/>
      <c r="G3" s="22">
        <f>F3*C3</f>
        <v>0</v>
      </c>
      <c r="H3" s="26"/>
      <c r="I3" s="23">
        <f>H3*C3</f>
        <v>0</v>
      </c>
      <c r="J3" s="26"/>
      <c r="K3" s="23">
        <f>J3*C3</f>
        <v>0</v>
      </c>
      <c r="L3" s="24"/>
      <c r="M3" s="25">
        <f>L3*C3</f>
        <v>0</v>
      </c>
      <c r="N3" s="14"/>
      <c r="O3" s="12">
        <f>N3*C3</f>
        <v>0</v>
      </c>
      <c r="S3" s="12">
        <f>C3-'Mar23'!C3</f>
        <v>-560796859.01999998</v>
      </c>
      <c r="T3" s="12">
        <f>E3-'Mar23'!E3</f>
        <v>-207494837.83739999</v>
      </c>
      <c r="U3" s="12">
        <f>I3-'Mar23'!I3</f>
        <v>-153097542.51245999</v>
      </c>
      <c r="V3" s="12">
        <f>K3-'Mar23'!K3</f>
        <v>-24114264.937859997</v>
      </c>
      <c r="W3" s="12">
        <f>+M3-'Jan23'!M3</f>
        <v>0</v>
      </c>
      <c r="Y3" s="28">
        <f>D3-'Abr23'!D3</f>
        <v>-0.35099999999999998</v>
      </c>
      <c r="Z3" s="28">
        <f>F3-'Abr23'!F3</f>
        <v>-0.26100000000000001</v>
      </c>
      <c r="AA3" s="28">
        <f>H3-'Abr23'!H3</f>
        <v>-0.30599999999999999</v>
      </c>
      <c r="AB3" s="28">
        <f>J3-'Abr23'!J3</f>
        <v>-4.2999999999999997E-2</v>
      </c>
      <c r="AC3" s="28">
        <f>L3-'Abr23'!L3</f>
        <v>0</v>
      </c>
    </row>
    <row r="4" spans="1:29" x14ac:dyDescent="0.25">
      <c r="B4" s="3" t="s">
        <v>0</v>
      </c>
      <c r="C4" s="12">
        <v>1330824564</v>
      </c>
      <c r="D4" s="14">
        <v>0.33</v>
      </c>
      <c r="E4" s="12">
        <f t="shared" ref="E4:E11" si="0">D4*C4</f>
        <v>439172106.12</v>
      </c>
      <c r="F4" s="14">
        <v>0.09</v>
      </c>
      <c r="G4" s="12">
        <f t="shared" ref="G4:G11" si="1">F4*C4</f>
        <v>119774210.75999999</v>
      </c>
      <c r="H4" s="14">
        <v>0.52</v>
      </c>
      <c r="I4" s="12">
        <f t="shared" ref="I4:I11" si="2">H4*C4</f>
        <v>692028773.27999997</v>
      </c>
      <c r="J4" s="14">
        <v>0.06</v>
      </c>
      <c r="K4" s="12">
        <f>J4*C4</f>
        <v>79849473.840000004</v>
      </c>
      <c r="L4" s="14"/>
      <c r="M4" s="12">
        <f>L4*C4</f>
        <v>0</v>
      </c>
      <c r="N4" s="14"/>
      <c r="O4" s="12">
        <f t="shared" ref="O4:O13" si="3">N4*C4</f>
        <v>0</v>
      </c>
      <c r="S4" s="12">
        <f>C4-'Mar23'!C4</f>
        <v>-132195382</v>
      </c>
      <c r="T4" s="12">
        <f>E4-'Mar23'!E4</f>
        <v>-87515074.439999998</v>
      </c>
      <c r="U4" s="12">
        <f>I4-'Mar23'!I4</f>
        <v>-39481199.720000029</v>
      </c>
      <c r="V4" s="12">
        <f>K4-'Mar23'!K4</f>
        <v>6698476.5400000066</v>
      </c>
      <c r="W4" s="12">
        <f>+M4-'Jan23'!M4</f>
        <v>0</v>
      </c>
      <c r="Y4" s="28">
        <f>D4-'Abr23'!D4</f>
        <v>-1.0000000000000009E-2</v>
      </c>
      <c r="Z4" s="28">
        <f>F4-'Abr23'!F4</f>
        <v>1.999999999999999E-2</v>
      </c>
      <c r="AA4" s="28">
        <f>H4-'Abr23'!H4</f>
        <v>-1.0000000000000009E-2</v>
      </c>
      <c r="AB4" s="28">
        <f>J4-'Abr23'!J4</f>
        <v>0</v>
      </c>
      <c r="AC4" s="28">
        <f>L4-'Abr23'!L4</f>
        <v>0</v>
      </c>
    </row>
    <row r="5" spans="1:29" x14ac:dyDescent="0.25">
      <c r="B5" s="3" t="s">
        <v>3</v>
      </c>
      <c r="C5" s="12">
        <v>1454605714.1800001</v>
      </c>
      <c r="D5" s="14">
        <v>0.37</v>
      </c>
      <c r="E5" s="12">
        <f t="shared" si="0"/>
        <v>538204114.24660003</v>
      </c>
      <c r="F5" s="14"/>
      <c r="G5" s="12">
        <f t="shared" si="1"/>
        <v>0</v>
      </c>
      <c r="H5" s="14">
        <v>0.48</v>
      </c>
      <c r="I5" s="12">
        <f t="shared" si="2"/>
        <v>698210742.80640006</v>
      </c>
      <c r="J5" s="14">
        <v>0.05</v>
      </c>
      <c r="K5" s="12">
        <f t="shared" ref="K5:K7" si="4">J5*C5</f>
        <v>72730285.709000006</v>
      </c>
      <c r="L5" s="14">
        <v>0.09</v>
      </c>
      <c r="M5" s="12">
        <f>L5*C5</f>
        <v>130914514.2762</v>
      </c>
      <c r="N5" s="14">
        <v>0.01</v>
      </c>
      <c r="O5" s="12">
        <f t="shared" si="3"/>
        <v>14546057.141800001</v>
      </c>
      <c r="S5" s="12">
        <f>C5-'Mar23'!C5</f>
        <v>-300198921.58999991</v>
      </c>
      <c r="T5" s="12">
        <f>E5-'Mar23'!E5</f>
        <v>-339198203.63839996</v>
      </c>
      <c r="U5" s="12">
        <f>I5-'Mar23'!I5</f>
        <v>48933027.571500063</v>
      </c>
      <c r="V5" s="12">
        <f>K5-'Mar23'!K5</f>
        <v>2538100.2782000005</v>
      </c>
      <c r="W5" s="12">
        <f>+M5-'Jan23'!M5</f>
        <v>-32373754.088700026</v>
      </c>
      <c r="Y5" s="28">
        <f>D5-'Abr23'!D5</f>
        <v>-3.999999999999998E-2</v>
      </c>
      <c r="Z5" s="28">
        <f>F5-'Abr23'!F5</f>
        <v>0</v>
      </c>
      <c r="AA5" s="28">
        <f>H5-'Abr23'!H5</f>
        <v>1.0000000000000009E-2</v>
      </c>
      <c r="AB5" s="28">
        <f>J5-'Abr23'!J5</f>
        <v>0.05</v>
      </c>
      <c r="AC5" s="28">
        <f>L5-'Abr23'!L5</f>
        <v>0</v>
      </c>
    </row>
    <row r="6" spans="1:29" x14ac:dyDescent="0.25">
      <c r="B6" s="3" t="s">
        <v>37</v>
      </c>
      <c r="C6" s="12">
        <v>3547364591</v>
      </c>
      <c r="D6" s="14">
        <v>0.31</v>
      </c>
      <c r="E6" s="12">
        <f t="shared" si="0"/>
        <v>1099683023.21</v>
      </c>
      <c r="F6" s="14">
        <v>0.1784</v>
      </c>
      <c r="G6" s="12">
        <f t="shared" si="1"/>
        <v>632849843.03439999</v>
      </c>
      <c r="H6" s="14">
        <f>0.4279+0.0272</f>
        <v>0.4551</v>
      </c>
      <c r="I6" s="12">
        <f t="shared" si="2"/>
        <v>1614405625.3641</v>
      </c>
      <c r="J6" s="14">
        <v>2.53E-2</v>
      </c>
      <c r="K6" s="12">
        <f t="shared" si="4"/>
        <v>89748324.1523</v>
      </c>
      <c r="L6" s="14"/>
      <c r="M6" s="12">
        <f>L6*C6</f>
        <v>0</v>
      </c>
      <c r="N6" s="14">
        <v>3.1199999999999999E-2</v>
      </c>
      <c r="O6" s="12">
        <f t="shared" si="3"/>
        <v>110677775.2392</v>
      </c>
      <c r="S6" s="12">
        <f>C6-'Mar23'!C6</f>
        <v>2024122919.3900001</v>
      </c>
      <c r="T6" s="12">
        <f>E6-'Mar23'!E6</f>
        <v>459921521.13380015</v>
      </c>
      <c r="U6" s="12">
        <f>I6-'Mar23'!I6</f>
        <v>883249622.99130011</v>
      </c>
      <c r="V6" s="12">
        <f>K6-'Mar23'!K6</f>
        <v>28818657.287900001</v>
      </c>
      <c r="W6" s="12">
        <f>+M6-'Jan23'!M6</f>
        <v>0</v>
      </c>
      <c r="Y6" s="28">
        <f>D6-'Abr23'!D6</f>
        <v>0</v>
      </c>
      <c r="Z6" s="28">
        <f>F6-'Abr23'!F6</f>
        <v>0</v>
      </c>
      <c r="AA6" s="28">
        <f>H6-'Abr23'!H6</f>
        <v>0</v>
      </c>
      <c r="AB6" s="28">
        <f>J6-'Abr23'!J6</f>
        <v>0</v>
      </c>
      <c r="AC6" s="28">
        <f>L6-'Abr23'!L6</f>
        <v>0</v>
      </c>
    </row>
    <row r="7" spans="1:29" x14ac:dyDescent="0.25">
      <c r="B7" s="3" t="s">
        <v>22</v>
      </c>
      <c r="C7" s="12">
        <v>1202380000</v>
      </c>
      <c r="D7" s="14">
        <v>0.34799999999999998</v>
      </c>
      <c r="E7" s="12">
        <f t="shared" si="0"/>
        <v>418428240</v>
      </c>
      <c r="F7" s="14">
        <v>5.5E-2</v>
      </c>
      <c r="G7" s="12">
        <f t="shared" si="1"/>
        <v>66130900</v>
      </c>
      <c r="H7" s="14">
        <v>0.52900000000000003</v>
      </c>
      <c r="I7" s="12">
        <f t="shared" si="2"/>
        <v>636059020</v>
      </c>
      <c r="J7" s="14">
        <v>6.9000000000000006E-2</v>
      </c>
      <c r="K7" s="12">
        <f t="shared" si="4"/>
        <v>82964220</v>
      </c>
      <c r="L7" s="16"/>
      <c r="M7" s="12">
        <f t="shared" ref="M7:M13" si="5">L7*C7</f>
        <v>0</v>
      </c>
      <c r="N7" s="14"/>
      <c r="O7" s="12">
        <f t="shared" si="3"/>
        <v>0</v>
      </c>
      <c r="S7" s="12">
        <f>C7-'Mar23'!C7</f>
        <v>-410200000</v>
      </c>
      <c r="T7" s="12">
        <f>E7-'Mar23'!E7</f>
        <v>-86309300</v>
      </c>
      <c r="U7" s="12">
        <f>I7-'Mar23'!I7</f>
        <v>-186356780</v>
      </c>
      <c r="V7" s="12">
        <f>K7-'Mar23'!K7</f>
        <v>-54105080</v>
      </c>
      <c r="W7" s="12">
        <f>+M7-'Jan23'!M7</f>
        <v>0</v>
      </c>
      <c r="Y7" s="28">
        <f>D7-'Abr23'!D7</f>
        <v>2.9999999999999971E-2</v>
      </c>
      <c r="Z7" s="28">
        <f>F7-'Abr23'!F7</f>
        <v>-2.1999999999999999E-2</v>
      </c>
      <c r="AA7" s="28">
        <f>H7-'Abr23'!H7</f>
        <v>-5.0000000000000044E-3</v>
      </c>
      <c r="AB7" s="28">
        <f>J7-'Abr23'!J7</f>
        <v>-1.0000000000000009E-3</v>
      </c>
      <c r="AC7" s="28">
        <f>L7-'Abr23'!L7</f>
        <v>0</v>
      </c>
    </row>
    <row r="8" spans="1:29" x14ac:dyDescent="0.25">
      <c r="B8" s="3" t="s">
        <v>23</v>
      </c>
      <c r="C8" s="12">
        <v>1331607458.3900001</v>
      </c>
      <c r="D8" s="14">
        <v>0.16</v>
      </c>
      <c r="E8" s="12">
        <f t="shared" si="0"/>
        <v>213057193.34240001</v>
      </c>
      <c r="F8" s="14">
        <f>0.07+0.23</f>
        <v>0.30000000000000004</v>
      </c>
      <c r="G8" s="12">
        <f t="shared" si="1"/>
        <v>399482237.51700008</v>
      </c>
      <c r="H8" s="14">
        <f>0.02+0.44</f>
        <v>0.46</v>
      </c>
      <c r="I8" s="12">
        <f t="shared" si="2"/>
        <v>612539430.85940003</v>
      </c>
      <c r="J8" s="14">
        <v>0.08</v>
      </c>
      <c r="K8" s="12">
        <f>J8*C8</f>
        <v>106528596.67120001</v>
      </c>
      <c r="L8" s="16"/>
      <c r="M8" s="12">
        <f t="shared" si="5"/>
        <v>0</v>
      </c>
      <c r="N8" s="14"/>
      <c r="O8" s="12">
        <f t="shared" si="3"/>
        <v>0</v>
      </c>
      <c r="S8" s="12">
        <f>C8-'Mar23'!C8</f>
        <v>-174262296.82999992</v>
      </c>
      <c r="T8" s="12">
        <f>E8-'Mar23'!E8</f>
        <v>-42940665.045000017</v>
      </c>
      <c r="U8" s="12">
        <f>I8-'Mar23'!I8</f>
        <v>-34984563.885200024</v>
      </c>
      <c r="V8" s="12">
        <f>K8-'Mar23'!K8</f>
        <v>-13940983.746399999</v>
      </c>
      <c r="W8" s="12">
        <f>+M8-'Jan23'!M8</f>
        <v>0</v>
      </c>
      <c r="Y8" s="28">
        <f>D8-'Abr23'!D8</f>
        <v>0</v>
      </c>
      <c r="Z8" s="28">
        <f>F8-'Abr23'!F8</f>
        <v>-9.9999999999999534E-3</v>
      </c>
      <c r="AA8" s="28">
        <f>H8-'Abr23'!H8</f>
        <v>2.0000000000000018E-2</v>
      </c>
      <c r="AB8" s="28">
        <f>J8-'Abr23'!J8</f>
        <v>2.0000000000000004E-2</v>
      </c>
      <c r="AC8" s="28">
        <f>L8-'Abr23'!L8</f>
        <v>0</v>
      </c>
    </row>
    <row r="9" spans="1:29" x14ac:dyDescent="0.25">
      <c r="B9" s="3" t="s">
        <v>24</v>
      </c>
      <c r="C9" s="12">
        <v>2478381522</v>
      </c>
      <c r="D9" s="14">
        <v>0.27910000000000001</v>
      </c>
      <c r="E9" s="12">
        <f t="shared" si="0"/>
        <v>691716282.7902</v>
      </c>
      <c r="F9" s="14">
        <v>0.1779</v>
      </c>
      <c r="G9" s="12">
        <f t="shared" si="1"/>
        <v>440904072.76380002</v>
      </c>
      <c r="H9" s="14">
        <v>0.48949999999999999</v>
      </c>
      <c r="I9" s="12">
        <f t="shared" si="2"/>
        <v>1213167755.0190001</v>
      </c>
      <c r="J9" s="14">
        <v>3.9399999999999998E-2</v>
      </c>
      <c r="K9" s="12">
        <f>J9*C9</f>
        <v>97648231.966799989</v>
      </c>
      <c r="L9" s="14">
        <v>1.41E-2</v>
      </c>
      <c r="M9" s="12">
        <f t="shared" si="5"/>
        <v>34945179.460199997</v>
      </c>
      <c r="N9" s="14"/>
      <c r="O9" s="12">
        <f t="shared" si="3"/>
        <v>0</v>
      </c>
      <c r="S9" s="12">
        <f>C9-'Mar23'!C9</f>
        <v>-521435279</v>
      </c>
      <c r="T9" s="12">
        <f>E9-'Mar23'!E9</f>
        <v>-408016556.45639992</v>
      </c>
      <c r="U9" s="12">
        <f>I9-'Mar23'!I9</f>
        <v>-31756217.395999908</v>
      </c>
      <c r="V9" s="12">
        <f>K9-'Mar23'!K9</f>
        <v>-3145612.5468000025</v>
      </c>
      <c r="W9" s="12">
        <f>+M9-'Jan23'!M9</f>
        <v>34945179.460199997</v>
      </c>
      <c r="Y9" s="28">
        <f>D9-'Abr23'!D9</f>
        <v>-2.5600000000000012E-2</v>
      </c>
      <c r="Z9" s="28">
        <f>F9-'Abr23'!F9</f>
        <v>-1.4100000000000001E-2</v>
      </c>
      <c r="AA9" s="28">
        <f>H9-'Abr23'!H9</f>
        <v>3.6099999999999965E-2</v>
      </c>
      <c r="AB9" s="28">
        <f>J9-'Abr23'!J9</f>
        <v>3.4000000000000002E-3</v>
      </c>
      <c r="AC9" s="28">
        <f>L9-'Abr23'!L9</f>
        <v>1.41E-2</v>
      </c>
    </row>
    <row r="10" spans="1:29" x14ac:dyDescent="0.25">
      <c r="B10" s="3" t="s">
        <v>25</v>
      </c>
      <c r="C10" s="12">
        <v>550002496</v>
      </c>
      <c r="D10" s="14">
        <v>0.35</v>
      </c>
      <c r="E10" s="12">
        <f t="shared" si="0"/>
        <v>192500873.59999999</v>
      </c>
      <c r="F10" s="14">
        <v>0.16</v>
      </c>
      <c r="G10" s="12">
        <f t="shared" si="1"/>
        <v>88000399.359999999</v>
      </c>
      <c r="H10" s="14">
        <v>0.42</v>
      </c>
      <c r="I10" s="12">
        <f t="shared" si="2"/>
        <v>231001048.31999999</v>
      </c>
      <c r="J10" s="14">
        <v>7.0000000000000007E-2</v>
      </c>
      <c r="K10" s="12">
        <f>J10*C10</f>
        <v>38500174.720000006</v>
      </c>
      <c r="L10" s="16"/>
      <c r="M10" s="12">
        <f t="shared" si="5"/>
        <v>0</v>
      </c>
      <c r="N10" s="14"/>
      <c r="O10" s="12">
        <f t="shared" si="3"/>
        <v>0</v>
      </c>
      <c r="S10" s="12">
        <f>C10-'Mar23'!C10</f>
        <v>-107206432</v>
      </c>
      <c r="T10" s="12">
        <f>E10-'Mar23'!E10</f>
        <v>-37522251.199999988</v>
      </c>
      <c r="U10" s="12">
        <f>I10-'Mar23'!I10</f>
        <v>-45026701.439999998</v>
      </c>
      <c r="V10" s="12">
        <f>K10-'Mar23'!K10</f>
        <v>-932360.95999999344</v>
      </c>
      <c r="W10" s="12">
        <f>+M10-'Jan23'!M10</f>
        <v>0</v>
      </c>
      <c r="Y10" s="28">
        <f>D10-'Abr23'!D10</f>
        <v>1.9999999999999962E-2</v>
      </c>
      <c r="Z10" s="28">
        <f>F10-'Abr23'!F10</f>
        <v>-1.999999999999999E-2</v>
      </c>
      <c r="AA10" s="28">
        <f>H10-'Abr23'!H10</f>
        <v>0</v>
      </c>
      <c r="AB10" s="28">
        <f>J10-'Abr23'!J10</f>
        <v>0</v>
      </c>
      <c r="AC10" s="28">
        <f>L10-'Abr23'!L10</f>
        <v>0</v>
      </c>
    </row>
    <row r="11" spans="1:29" x14ac:dyDescent="0.25">
      <c r="B11" s="3" t="s">
        <v>29</v>
      </c>
      <c r="C11" s="12">
        <v>3108744385</v>
      </c>
      <c r="D11" s="14">
        <v>0.28799999999999998</v>
      </c>
      <c r="E11" s="12">
        <f t="shared" si="0"/>
        <v>895318382.87999988</v>
      </c>
      <c r="F11" s="14">
        <v>0.26300000000000001</v>
      </c>
      <c r="G11" s="12">
        <f t="shared" si="1"/>
        <v>817599773.255</v>
      </c>
      <c r="H11" s="14">
        <v>0.40600000000000003</v>
      </c>
      <c r="I11" s="12">
        <f t="shared" si="2"/>
        <v>1262150220.3100002</v>
      </c>
      <c r="J11" s="14">
        <v>4.2999999999999997E-2</v>
      </c>
      <c r="K11" s="12">
        <f>J11*C11</f>
        <v>133676008.55499999</v>
      </c>
      <c r="L11" s="16"/>
      <c r="M11" s="12">
        <f t="shared" si="5"/>
        <v>0</v>
      </c>
      <c r="N11" s="14"/>
      <c r="O11" s="12">
        <f t="shared" si="3"/>
        <v>0</v>
      </c>
      <c r="S11" s="12">
        <f>C11-'Mar23'!C11</f>
        <v>-444783893</v>
      </c>
      <c r="T11" s="12">
        <f>E11-'Mar23'!E11</f>
        <v>-96116006.68200016</v>
      </c>
      <c r="U11" s="12">
        <f>I11-'Mar23'!I11</f>
        <v>46843549.234000206</v>
      </c>
      <c r="V11" s="12">
        <f>K11-'Mar23'!K11</f>
        <v>5748990.5470000058</v>
      </c>
      <c r="W11" s="12">
        <f>+M11-'Jan23'!M11</f>
        <v>0</v>
      </c>
      <c r="Y11" s="28">
        <f>D11-'Abr23'!D11</f>
        <v>0</v>
      </c>
      <c r="Z11" s="28">
        <f>F11-'Abr23'!F11</f>
        <v>-2.7999999999999969E-2</v>
      </c>
      <c r="AA11" s="28">
        <f>H11-'Abr23'!H11</f>
        <v>2.7000000000000024E-2</v>
      </c>
      <c r="AB11" s="28">
        <f>J11-'Abr23'!J11</f>
        <v>9.9999999999999395E-4</v>
      </c>
      <c r="AC11" s="28">
        <f>L11-'Abr23'!L11</f>
        <v>0</v>
      </c>
    </row>
    <row r="12" spans="1:29" x14ac:dyDescent="0.25">
      <c r="B12" s="3" t="s">
        <v>47</v>
      </c>
      <c r="C12" s="12"/>
      <c r="D12" s="14"/>
      <c r="E12" s="12">
        <f>D12*C12</f>
        <v>0</v>
      </c>
      <c r="F12" s="14"/>
      <c r="G12" s="12"/>
      <c r="H12" s="14"/>
      <c r="I12" s="12"/>
      <c r="J12" s="14"/>
      <c r="K12" s="12"/>
      <c r="L12" s="16"/>
      <c r="M12" s="12">
        <f>L12*C12</f>
        <v>0</v>
      </c>
      <c r="N12" s="14"/>
      <c r="O12" s="12">
        <f>N12*C12</f>
        <v>0</v>
      </c>
      <c r="Q12" t="s">
        <v>48</v>
      </c>
      <c r="S12" s="12">
        <f>C12-'Mar23'!C12</f>
        <v>-1796676000</v>
      </c>
      <c r="T12" s="12">
        <f>E12-'Mar23'!E12</f>
        <v>-1153465992</v>
      </c>
      <c r="U12" s="12">
        <f>I12-'Mar23'!I12</f>
        <v>-434795592</v>
      </c>
      <c r="V12" s="12">
        <f>K12-'Mar23'!K12</f>
        <v>0</v>
      </c>
      <c r="W12" s="12">
        <f>+M12-'Jan23'!M12</f>
        <v>0</v>
      </c>
      <c r="Y12" s="28">
        <f>D12-'Abr23'!D12</f>
        <v>-0.63600000000000001</v>
      </c>
      <c r="Z12" s="28">
        <f>F12-'Abr23'!F12</f>
        <v>-9.2999999999999999E-2</v>
      </c>
      <c r="AA12" s="28">
        <f>H12-'Abr23'!H12</f>
        <v>-0.27100000000000002</v>
      </c>
      <c r="AB12" s="28">
        <f>J12-'Abr23'!J12</f>
        <v>0</v>
      </c>
      <c r="AC12" s="28">
        <f>L12-'Abr23'!L12</f>
        <v>0</v>
      </c>
    </row>
    <row r="13" spans="1:29" x14ac:dyDescent="0.25">
      <c r="B13" s="3" t="s">
        <v>30</v>
      </c>
      <c r="C13" s="12">
        <v>1182650000</v>
      </c>
      <c r="D13" s="14">
        <v>0.25</v>
      </c>
      <c r="E13" s="12">
        <f t="shared" ref="E13" si="6">D13*C13</f>
        <v>295662500</v>
      </c>
      <c r="F13" s="14">
        <v>0.27</v>
      </c>
      <c r="G13" s="12">
        <f t="shared" ref="G13" si="7">F13*C13</f>
        <v>319315500</v>
      </c>
      <c r="H13" s="14">
        <v>0.47</v>
      </c>
      <c r="I13" s="12">
        <f t="shared" ref="I13" si="8">H13*C13</f>
        <v>555845500</v>
      </c>
      <c r="J13" s="14">
        <v>0.01</v>
      </c>
      <c r="K13" s="12">
        <f t="shared" ref="K13" si="9">J13*C13</f>
        <v>11826500</v>
      </c>
      <c r="L13" s="16"/>
      <c r="M13" s="12">
        <f t="shared" si="5"/>
        <v>0</v>
      </c>
      <c r="N13" s="14"/>
      <c r="O13" s="12">
        <f t="shared" si="3"/>
        <v>0</v>
      </c>
      <c r="S13" s="12">
        <f>C13-'Mar23'!C13</f>
        <v>-203670000</v>
      </c>
      <c r="T13" s="12">
        <f>E13-'Mar23'!E13</f>
        <v>-78643900</v>
      </c>
      <c r="U13" s="12">
        <f>I13-'Mar23'!I13</f>
        <v>-67998500</v>
      </c>
      <c r="V13" s="12">
        <f>K13-'Mar23'!K13</f>
        <v>-2036700</v>
      </c>
      <c r="W13" s="12">
        <f>+M13-'Jan23'!M13</f>
        <v>0</v>
      </c>
      <c r="Y13" s="28">
        <f>D13-'Abr23'!D13</f>
        <v>-1.0000000000000009E-2</v>
      </c>
      <c r="Z13" s="28">
        <f>F13-'Abr23'!F13</f>
        <v>2.0000000000000018E-2</v>
      </c>
      <c r="AA13" s="28">
        <f>H13-'Abr23'!H13</f>
        <v>-1.0000000000000009E-2</v>
      </c>
      <c r="AB13" s="28">
        <f>J13-'Abr23'!J13</f>
        <v>0</v>
      </c>
      <c r="AC13" s="28">
        <f>L13-'Abr23'!L13</f>
        <v>0</v>
      </c>
    </row>
    <row r="14" spans="1:29" x14ac:dyDescent="0.25">
      <c r="B14" s="3" t="s">
        <v>31</v>
      </c>
      <c r="C14" s="12">
        <v>38752706.539999999</v>
      </c>
      <c r="D14" s="14">
        <v>0.39200000000000002</v>
      </c>
      <c r="E14" s="18">
        <f>D14*C14</f>
        <v>15191060.963680001</v>
      </c>
      <c r="F14" s="14">
        <v>0.13300000000000001</v>
      </c>
      <c r="G14" s="12">
        <f>F14*C14</f>
        <v>5154109.9698200002</v>
      </c>
      <c r="H14" s="19">
        <v>0.42599999999999999</v>
      </c>
      <c r="I14" s="18">
        <f>H14*C14</f>
        <v>16508652.98604</v>
      </c>
      <c r="J14" s="14">
        <v>4.9000000000000002E-2</v>
      </c>
      <c r="K14" s="12">
        <f>J14*C14</f>
        <v>1898882.6204600001</v>
      </c>
      <c r="L14" s="16"/>
      <c r="M14" s="12">
        <f>L14*C14</f>
        <v>0</v>
      </c>
      <c r="N14" s="14"/>
      <c r="O14" s="12">
        <f>N14*C14</f>
        <v>0</v>
      </c>
      <c r="S14" s="12">
        <f>C14-'Mar23'!C14</f>
        <v>-1094524.5799999982</v>
      </c>
      <c r="T14" s="12">
        <f>E14-'Mar23'!E14</f>
        <v>1284377.3028000034</v>
      </c>
      <c r="U14" s="12">
        <f>I14-'Mar23'!I14</f>
        <v>-2777406.8760399967</v>
      </c>
      <c r="V14" s="12">
        <f>K14-'Mar23'!K14</f>
        <v>-332562.32225999958</v>
      </c>
      <c r="W14" s="12">
        <f>+M14-'Jan23'!M14</f>
        <v>0</v>
      </c>
      <c r="Y14" s="28">
        <f>D14-'Abr23'!D14</f>
        <v>4.8000000000000043E-2</v>
      </c>
      <c r="Z14" s="28">
        <f>F14-'Abr23'!F14</f>
        <v>1.4000000000000012E-2</v>
      </c>
      <c r="AA14" s="28">
        <f>H14-'Abr23'!H14</f>
        <v>-5.7999999999999996E-2</v>
      </c>
      <c r="AB14" s="28">
        <f>J14-'Abr23'!J14</f>
        <v>-4.9999999999999975E-3</v>
      </c>
      <c r="AC14" s="28">
        <f>L14-'Abr23'!L14</f>
        <v>0</v>
      </c>
    </row>
    <row r="15" spans="1:29" s="8" customFormat="1" x14ac:dyDescent="0.25">
      <c r="A15"/>
      <c r="B15" s="21" t="s">
        <v>45</v>
      </c>
      <c r="C15" s="20">
        <f>SUM(C3:C14)</f>
        <v>16225313437.110001</v>
      </c>
      <c r="D15" s="15">
        <f>+E15/$C15</f>
        <v>0.29576832495432209</v>
      </c>
      <c r="E15" s="17">
        <f>SUM(E3:E14)</f>
        <v>4798933777.1528797</v>
      </c>
      <c r="F15" s="15">
        <f>+G15/$C15</f>
        <v>0.17806811916815807</v>
      </c>
      <c r="G15" s="20">
        <f>SUM(G3:G14)</f>
        <v>2889211046.6600199</v>
      </c>
      <c r="H15" s="15">
        <f>+I15/$C15</f>
        <v>0.46420778237283167</v>
      </c>
      <c r="I15" s="17">
        <f>SUM(I3:I14)</f>
        <v>7531916768.9449406</v>
      </c>
      <c r="J15" s="15">
        <f>+K15/$C15</f>
        <v>4.4089792225436325E-2</v>
      </c>
      <c r="K15" s="17">
        <f>SUM(K3:K14)</f>
        <v>715370698.23476005</v>
      </c>
      <c r="L15" s="15">
        <f>+M15/$C15</f>
        <v>1.0222279796275073E-2</v>
      </c>
      <c r="M15" s="17">
        <f>SUM(M3:M14)</f>
        <v>165859693.73640001</v>
      </c>
      <c r="N15" s="15">
        <f>+O15/$C15</f>
        <v>7.7178066769787133E-3</v>
      </c>
      <c r="O15" s="17">
        <f>SUM(O3:O14)</f>
        <v>125223832.381</v>
      </c>
      <c r="S15" s="31">
        <f>C15-'Mar23'!C15</f>
        <v>-2628396668.6299973</v>
      </c>
      <c r="T15" s="31">
        <f>E15-'Mar23'!E15</f>
        <v>-2076016888.8626013</v>
      </c>
      <c r="U15" s="31">
        <f>I15-'Mar23'!I15</f>
        <v>-17248304.032899857</v>
      </c>
      <c r="V15" s="31">
        <f>K15-'Mar23'!K15</f>
        <v>-54803339.860219955</v>
      </c>
      <c r="W15" s="31">
        <f>+M15-'Jan23'!M15</f>
        <v>2571425.3714999855</v>
      </c>
      <c r="Y15" s="32">
        <f>D15-'Abr23'!D15</f>
        <v>-3.4044600855248575E-2</v>
      </c>
      <c r="Z15" s="32">
        <f>F15-'Abr23'!F15</f>
        <v>5.7126181587363878E-3</v>
      </c>
      <c r="AA15" s="32">
        <f>H15-'Abr23'!H15</f>
        <v>5.0960608852994638E-2</v>
      </c>
      <c r="AB15" s="32">
        <f>J15-'Abr23'!J15</f>
        <v>9.4492031118148453E-3</v>
      </c>
      <c r="AC15" s="32">
        <f>L15-'Abr23'!L15</f>
        <v>2.9334776731690685E-3</v>
      </c>
    </row>
    <row r="16" spans="1:29" x14ac:dyDescent="0.25">
      <c r="C16" s="10"/>
      <c r="D16" s="10"/>
      <c r="E16" s="10"/>
      <c r="F16" s="5"/>
      <c r="G16" s="10"/>
      <c r="H16" s="10"/>
      <c r="I16" s="10"/>
      <c r="J16" s="5"/>
      <c r="K16" s="10"/>
    </row>
    <row r="17" spans="1:29" x14ac:dyDescent="0.25">
      <c r="B17" s="4" t="s">
        <v>2</v>
      </c>
      <c r="C17" s="9" t="s">
        <v>4</v>
      </c>
      <c r="D17" s="112" t="s">
        <v>7</v>
      </c>
      <c r="E17" s="112"/>
      <c r="F17" s="112" t="s">
        <v>8</v>
      </c>
      <c r="G17" s="112"/>
      <c r="H17" s="112" t="s">
        <v>10</v>
      </c>
      <c r="I17" s="112"/>
      <c r="J17" s="112" t="s">
        <v>9</v>
      </c>
      <c r="K17" s="112"/>
      <c r="L17" s="112" t="s">
        <v>21</v>
      </c>
      <c r="M17" s="112"/>
      <c r="N17" s="112" t="s">
        <v>55</v>
      </c>
      <c r="O17" s="112"/>
      <c r="S17" s="27" t="s">
        <v>49</v>
      </c>
      <c r="T17" s="27" t="s">
        <v>50</v>
      </c>
      <c r="U17" s="27" t="s">
        <v>51</v>
      </c>
      <c r="V17" s="27" t="s">
        <v>52</v>
      </c>
      <c r="W17" s="27" t="s">
        <v>53</v>
      </c>
      <c r="Y17" s="27" t="s">
        <v>49</v>
      </c>
      <c r="Z17" s="27" t="s">
        <v>50</v>
      </c>
      <c r="AA17" s="27" t="s">
        <v>51</v>
      </c>
      <c r="AB17" s="27" t="s">
        <v>52</v>
      </c>
      <c r="AC17" s="27" t="s">
        <v>53</v>
      </c>
    </row>
    <row r="18" spans="1:29" x14ac:dyDescent="0.25">
      <c r="B18" s="21" t="s">
        <v>6</v>
      </c>
      <c r="C18" s="22"/>
      <c r="D18" s="26"/>
      <c r="E18" s="23">
        <f t="shared" ref="E18:E26" si="10">D18*C18</f>
        <v>0</v>
      </c>
      <c r="F18" s="26"/>
      <c r="G18" s="22">
        <f>C18*F18</f>
        <v>0</v>
      </c>
      <c r="H18" s="26"/>
      <c r="I18" s="23">
        <f t="shared" ref="I18:I26" si="11">H18*C18</f>
        <v>0</v>
      </c>
      <c r="J18" s="26"/>
      <c r="K18" s="23">
        <f>J18*C18</f>
        <v>0</v>
      </c>
      <c r="L18" s="24"/>
      <c r="M18" s="23">
        <f>L18*E18</f>
        <v>0</v>
      </c>
      <c r="N18" s="26"/>
      <c r="O18" s="23">
        <f>N18*G18</f>
        <v>0</v>
      </c>
      <c r="S18" s="12">
        <f>C18-'Mar23'!C18</f>
        <v>-419296075.86000001</v>
      </c>
      <c r="T18" s="12">
        <f>E18-'Mar23'!E18</f>
        <v>-77066618.743067995</v>
      </c>
      <c r="U18" s="12">
        <f>I18-'Mar23'!I18</f>
        <v>-179752227.72118202</v>
      </c>
      <c r="V18" s="12">
        <f>K18-'Mar23'!K18</f>
        <v>-27421963.361244</v>
      </c>
      <c r="W18" s="12">
        <f>+M18-'Jan23'!M18</f>
        <v>0</v>
      </c>
      <c r="Y18" s="28">
        <f>D18-'Abr23'!D18</f>
        <v>-0.1852</v>
      </c>
      <c r="Z18" s="28">
        <f>F18-'Abr23'!F18</f>
        <v>-0.21049999999999999</v>
      </c>
      <c r="AA18" s="28">
        <f>H18-'Abr23'!H18</f>
        <v>-0.48399999999999999</v>
      </c>
      <c r="AB18" s="28">
        <f>J18-'Abr23'!J18</f>
        <v>-6.9699999999999998E-2</v>
      </c>
      <c r="AC18" s="28">
        <f>L18-'Abr23'!L18</f>
        <v>0</v>
      </c>
    </row>
    <row r="19" spans="1:29" x14ac:dyDescent="0.25">
      <c r="B19" s="3" t="s">
        <v>26</v>
      </c>
      <c r="C19" s="12">
        <v>417882456.12</v>
      </c>
      <c r="D19" s="14">
        <v>0.18</v>
      </c>
      <c r="E19" s="12">
        <f t="shared" si="10"/>
        <v>75218842.101599991</v>
      </c>
      <c r="F19" s="14">
        <v>0.16</v>
      </c>
      <c r="G19" s="12">
        <f t="shared" ref="G19:G26" si="12">C19*F19</f>
        <v>66861192.979200006</v>
      </c>
      <c r="H19" s="14">
        <v>0.51</v>
      </c>
      <c r="I19" s="12">
        <f t="shared" si="11"/>
        <v>213120052.6212</v>
      </c>
      <c r="J19" s="14">
        <v>0.15</v>
      </c>
      <c r="K19" s="12">
        <f t="shared" ref="K19:O26" si="13">J19*C19</f>
        <v>62682368.417999998</v>
      </c>
      <c r="L19" s="16"/>
      <c r="M19" s="12">
        <f t="shared" si="13"/>
        <v>0</v>
      </c>
      <c r="N19" s="26"/>
      <c r="O19" s="12">
        <f t="shared" si="13"/>
        <v>0</v>
      </c>
      <c r="S19" s="12">
        <f>C19-'Mar23'!C19</f>
        <v>-38476089.610000014</v>
      </c>
      <c r="T19" s="12">
        <f>E19-'Mar23'!E19</f>
        <v>-20616452.501700014</v>
      </c>
      <c r="U19" s="12">
        <f>I19-'Mar23'!I19</f>
        <v>3195121.5853999853</v>
      </c>
      <c r="V19" s="12">
        <f>K19-'Mar23'!K19</f>
        <v>-1207827.9842000082</v>
      </c>
      <c r="W19" s="12">
        <f>+M19-'Jan23'!M19</f>
        <v>0</v>
      </c>
      <c r="Y19" s="28">
        <f>D19-'Abr23'!D19</f>
        <v>0</v>
      </c>
      <c r="Z19" s="28">
        <f>F19-'Abr23'!F19</f>
        <v>1.999999999999999E-2</v>
      </c>
      <c r="AA19" s="28">
        <f>H19-'Abr23'!H19</f>
        <v>1.0000000000000009E-2</v>
      </c>
      <c r="AB19" s="28">
        <f>J19-'Abr23'!J19</f>
        <v>9.9999999999999811E-3</v>
      </c>
      <c r="AC19" s="28">
        <f>L19-'Abr23'!L19</f>
        <v>0</v>
      </c>
    </row>
    <row r="20" spans="1:29" x14ac:dyDescent="0.25">
      <c r="B20" s="3" t="s">
        <v>27</v>
      </c>
      <c r="C20" s="12">
        <v>825904351</v>
      </c>
      <c r="D20" s="14">
        <v>0.23469999999999999</v>
      </c>
      <c r="E20" s="12">
        <f t="shared" si="10"/>
        <v>193839751.17969999</v>
      </c>
      <c r="F20" s="14">
        <v>0.17780000000000001</v>
      </c>
      <c r="G20" s="12">
        <f t="shared" si="12"/>
        <v>146845793.60780001</v>
      </c>
      <c r="H20" s="14">
        <v>0.52869999999999995</v>
      </c>
      <c r="I20" s="12">
        <f t="shared" si="11"/>
        <v>436655630.37369996</v>
      </c>
      <c r="J20" s="14">
        <v>5.3199999999999997E-2</v>
      </c>
      <c r="K20" s="12">
        <f t="shared" si="13"/>
        <v>43938111.473200001</v>
      </c>
      <c r="L20" s="16"/>
      <c r="M20" s="12">
        <f t="shared" si="13"/>
        <v>0</v>
      </c>
      <c r="N20" s="26">
        <v>5.5999999999999999E-3</v>
      </c>
      <c r="O20" s="12">
        <f t="shared" si="13"/>
        <v>822336.44420368003</v>
      </c>
      <c r="S20" s="12">
        <f>C20-'Mar23'!C20</f>
        <v>825904351</v>
      </c>
      <c r="T20" s="12">
        <f>E20-'Mar23'!E20</f>
        <v>193839751.17969999</v>
      </c>
      <c r="U20" s="12">
        <f>I20-'Mar23'!I20</f>
        <v>436655630.37369996</v>
      </c>
      <c r="V20" s="12">
        <f>K20-'Mar23'!K20</f>
        <v>43938111.473200001</v>
      </c>
      <c r="W20" s="12">
        <f>+M20-'Jan23'!M20</f>
        <v>0</v>
      </c>
      <c r="Y20" s="28">
        <f>D20-'Abr23'!D20</f>
        <v>-3.1000000000000194E-3</v>
      </c>
      <c r="Z20" s="28">
        <f>F20-'Abr23'!F20</f>
        <v>0</v>
      </c>
      <c r="AA20" s="28">
        <f>H20-'Abr23'!H20</f>
        <v>0</v>
      </c>
      <c r="AB20" s="28">
        <f>J20-'Abr23'!J20</f>
        <v>0</v>
      </c>
      <c r="AC20" s="28">
        <f>L20-'Abr23'!L20</f>
        <v>0</v>
      </c>
    </row>
    <row r="21" spans="1:29" x14ac:dyDescent="0.25">
      <c r="B21" s="3" t="s">
        <v>28</v>
      </c>
      <c r="C21" s="12">
        <v>1167919477</v>
      </c>
      <c r="D21" s="14">
        <v>0.14000000000000001</v>
      </c>
      <c r="E21" s="12">
        <f t="shared" si="10"/>
        <v>163508726.78</v>
      </c>
      <c r="F21" s="14">
        <v>0.18</v>
      </c>
      <c r="G21" s="12">
        <f t="shared" si="12"/>
        <v>210225505.85999998</v>
      </c>
      <c r="H21" s="14">
        <v>0.54</v>
      </c>
      <c r="I21" s="12">
        <f t="shared" si="11"/>
        <v>630676517.58000004</v>
      </c>
      <c r="J21" s="14">
        <v>0.14000000000000001</v>
      </c>
      <c r="K21" s="12">
        <f t="shared" si="13"/>
        <v>163508726.78</v>
      </c>
      <c r="L21" s="16"/>
      <c r="M21" s="12">
        <f t="shared" si="13"/>
        <v>0</v>
      </c>
      <c r="N21" s="26"/>
      <c r="O21" s="12">
        <f t="shared" si="13"/>
        <v>0</v>
      </c>
      <c r="S21" s="12">
        <f>C21-'Mar23'!C21</f>
        <v>-128962885</v>
      </c>
      <c r="T21" s="12">
        <f>E21-'Mar23'!E21</f>
        <v>14367255.150000006</v>
      </c>
      <c r="U21" s="12">
        <f>I21-'Mar23'!I21</f>
        <v>-147452899.61999989</v>
      </c>
      <c r="V21" s="12">
        <f>K21-'Mar23'!K21</f>
        <v>-5085980.2800000012</v>
      </c>
      <c r="W21" s="12">
        <f>+M21-'Jan23'!M21</f>
        <v>0</v>
      </c>
      <c r="Y21" s="28">
        <f>D21-'Abr23'!D21</f>
        <v>-1.999999999999999E-2</v>
      </c>
      <c r="Z21" s="28">
        <f>F21-'Abr23'!F21</f>
        <v>3.999999999999998E-2</v>
      </c>
      <c r="AA21" s="28">
        <f>H21-'Abr23'!H21</f>
        <v>-2.0000000000000018E-2</v>
      </c>
      <c r="AB21" s="28">
        <f>J21-'Abr23'!J21</f>
        <v>1.0000000000000009E-2</v>
      </c>
      <c r="AC21" s="28">
        <f>L21-'Abr23'!L21</f>
        <v>0</v>
      </c>
    </row>
    <row r="22" spans="1:29" x14ac:dyDescent="0.25">
      <c r="B22" s="3" t="s">
        <v>32</v>
      </c>
      <c r="C22" s="12">
        <v>372000000</v>
      </c>
      <c r="D22" s="14">
        <v>0.08</v>
      </c>
      <c r="E22" s="12">
        <f t="shared" si="10"/>
        <v>29760000</v>
      </c>
      <c r="F22" s="14">
        <v>0.11</v>
      </c>
      <c r="G22" s="12">
        <f t="shared" si="12"/>
        <v>40920000</v>
      </c>
      <c r="H22" s="14">
        <v>0.7</v>
      </c>
      <c r="I22" s="12">
        <f t="shared" si="11"/>
        <v>260399999.99999997</v>
      </c>
      <c r="J22" s="14">
        <v>0.12</v>
      </c>
      <c r="K22" s="12">
        <f t="shared" si="13"/>
        <v>44640000</v>
      </c>
      <c r="L22" s="16"/>
      <c r="M22" s="12">
        <f t="shared" si="13"/>
        <v>0</v>
      </c>
      <c r="N22" s="26"/>
      <c r="O22" s="12">
        <f t="shared" si="13"/>
        <v>0</v>
      </c>
      <c r="S22" s="12">
        <f>C22-'Mar23'!C22</f>
        <v>9900000</v>
      </c>
      <c r="T22" s="12">
        <f>E22-'Mar23'!E22</f>
        <v>8034000</v>
      </c>
      <c r="U22" s="12">
        <f>I22-'Mar23'!I22</f>
        <v>-3933000.0000000298</v>
      </c>
      <c r="V22" s="12">
        <f>K22-'Mar23'!K22</f>
        <v>8430000</v>
      </c>
      <c r="W22" s="12">
        <f>+M22-'Jan23'!M22</f>
        <v>0</v>
      </c>
      <c r="Y22" s="28">
        <f>D22-'Abr23'!D22</f>
        <v>0.03</v>
      </c>
      <c r="Z22" s="28">
        <f>F22-'Abr23'!F22</f>
        <v>0</v>
      </c>
      <c r="AA22" s="28">
        <f>H22-'Abr23'!H22</f>
        <v>-3.0000000000000027E-2</v>
      </c>
      <c r="AB22" s="28">
        <f>J22-'Abr23'!J22</f>
        <v>9.999999999999995E-3</v>
      </c>
      <c r="AC22" s="28">
        <f>L22-'Abr23'!L22</f>
        <v>0</v>
      </c>
    </row>
    <row r="23" spans="1:29" x14ac:dyDescent="0.25">
      <c r="B23" s="3" t="s">
        <v>33</v>
      </c>
      <c r="C23" s="12">
        <v>670300000</v>
      </c>
      <c r="D23" s="14">
        <v>0.2</v>
      </c>
      <c r="E23" s="12">
        <f t="shared" si="10"/>
        <v>134060000</v>
      </c>
      <c r="F23" s="14">
        <v>0.14000000000000001</v>
      </c>
      <c r="G23" s="12">
        <f t="shared" si="12"/>
        <v>93842000.000000015</v>
      </c>
      <c r="H23" s="14">
        <v>0.61</v>
      </c>
      <c r="I23" s="12">
        <f t="shared" si="11"/>
        <v>408883000</v>
      </c>
      <c r="J23" s="14">
        <v>0.05</v>
      </c>
      <c r="K23" s="12">
        <f t="shared" si="13"/>
        <v>33515000</v>
      </c>
      <c r="L23" s="16"/>
      <c r="M23" s="12">
        <f t="shared" si="13"/>
        <v>0</v>
      </c>
      <c r="N23" s="26"/>
      <c r="O23" s="12">
        <f t="shared" si="13"/>
        <v>0</v>
      </c>
      <c r="S23" s="12">
        <f>C23-'Mar23'!C23</f>
        <v>-111400000</v>
      </c>
      <c r="T23" s="12">
        <f>E23-'Mar23'!E23</f>
        <v>-108267000</v>
      </c>
      <c r="U23" s="12">
        <f>I23-'Mar23'!I23</f>
        <v>-5418000</v>
      </c>
      <c r="V23" s="12">
        <f>K23-'Mar23'!K23</f>
        <v>2247000</v>
      </c>
      <c r="W23" s="12">
        <f>+M23-'Jan23'!M23</f>
        <v>0</v>
      </c>
      <c r="Y23" s="28">
        <f>D23-'Abr23'!D23</f>
        <v>-3.999999999999998E-2</v>
      </c>
      <c r="Z23" s="28">
        <f>F23-'Abr23'!F23</f>
        <v>1.0000000000000009E-2</v>
      </c>
      <c r="AA23" s="28">
        <f>H23-'Abr23'!H23</f>
        <v>3.0000000000000027E-2</v>
      </c>
      <c r="AB23" s="28">
        <f>J23-'Abr23'!J23</f>
        <v>1.0000000000000002E-2</v>
      </c>
      <c r="AC23" s="28">
        <f>L23-'Abr23'!L23</f>
        <v>0</v>
      </c>
    </row>
    <row r="24" spans="1:29" x14ac:dyDescent="0.25">
      <c r="B24" s="3" t="s">
        <v>34</v>
      </c>
      <c r="C24" s="12">
        <v>320343041</v>
      </c>
      <c r="D24" s="14">
        <v>0.2019</v>
      </c>
      <c r="E24" s="12">
        <f t="shared" si="10"/>
        <v>64677259.977899998</v>
      </c>
      <c r="F24" s="14">
        <v>0.16089999999999999</v>
      </c>
      <c r="G24" s="12">
        <f t="shared" si="12"/>
        <v>51543195.296899997</v>
      </c>
      <c r="H24" s="14">
        <v>0.55400000000000005</v>
      </c>
      <c r="I24" s="12">
        <f t="shared" si="11"/>
        <v>177470044.71400002</v>
      </c>
      <c r="J24" s="14">
        <v>7.5499999999999998E-2</v>
      </c>
      <c r="K24" s="12">
        <f t="shared" si="13"/>
        <v>24185899.5955</v>
      </c>
      <c r="L24" s="14">
        <v>7.7000000000000002E-3</v>
      </c>
      <c r="M24" s="12">
        <f t="shared" si="13"/>
        <v>498014.90182983002</v>
      </c>
      <c r="N24" s="26"/>
      <c r="O24" s="12">
        <f t="shared" si="13"/>
        <v>0</v>
      </c>
      <c r="S24" s="12">
        <f>C24-'Mar23'!C24</f>
        <v>-43539127</v>
      </c>
      <c r="T24" s="12">
        <f>E24-'Mar23'!E24</f>
        <v>-36518370.942900002</v>
      </c>
      <c r="U24" s="12">
        <f>I24-'Mar23'!I24</f>
        <v>3679921.2772000134</v>
      </c>
      <c r="V24" s="12">
        <f>K24-'Mar23'!K24</f>
        <v>-994746.43009999767</v>
      </c>
      <c r="W24" s="12">
        <f>+M24-'Jan23'!M24</f>
        <v>498014.90182983002</v>
      </c>
      <c r="Y24" s="28">
        <f>D24-'Abr23'!D24</f>
        <v>-4.7199999999999992E-2</v>
      </c>
      <c r="Z24" s="28">
        <f>F24-'Abr23'!F24</f>
        <v>-1.1099999999999999E-2</v>
      </c>
      <c r="AA24" s="28">
        <f>H24-'Abr23'!H24</f>
        <v>5.4600000000000037E-2</v>
      </c>
      <c r="AB24" s="28">
        <f>J24-'Abr23'!J24</f>
        <v>3.5999999999999921E-3</v>
      </c>
      <c r="AC24" s="28">
        <f>L24-'Abr23'!L24</f>
        <v>7.7000000000000002E-3</v>
      </c>
    </row>
    <row r="25" spans="1:29" x14ac:dyDescent="0.25">
      <c r="B25" s="3" t="s">
        <v>35</v>
      </c>
      <c r="C25" s="12">
        <v>203668600</v>
      </c>
      <c r="D25" s="14">
        <v>9.0999999999999998E-2</v>
      </c>
      <c r="E25" s="12">
        <f t="shared" si="10"/>
        <v>18533842.599999998</v>
      </c>
      <c r="F25" s="14">
        <v>0.32700000000000001</v>
      </c>
      <c r="G25" s="12">
        <f t="shared" si="12"/>
        <v>66599632.200000003</v>
      </c>
      <c r="H25" s="14">
        <v>0.52900000000000003</v>
      </c>
      <c r="I25" s="12">
        <f t="shared" si="11"/>
        <v>107740689.40000001</v>
      </c>
      <c r="J25" s="14">
        <v>5.2999999999999999E-2</v>
      </c>
      <c r="K25" s="12">
        <f t="shared" si="13"/>
        <v>10794435.799999999</v>
      </c>
      <c r="L25" s="16"/>
      <c r="M25" s="12">
        <f t="shared" si="13"/>
        <v>0</v>
      </c>
      <c r="N25" s="26"/>
      <c r="O25" s="12">
        <f t="shared" si="13"/>
        <v>0</v>
      </c>
      <c r="S25" s="12">
        <f>C25-'Mar23'!C25</f>
        <v>5715679</v>
      </c>
      <c r="T25" s="12">
        <f>E25-'Mar23'!E25</f>
        <v>-10565236.787</v>
      </c>
      <c r="U25" s="12">
        <f>I25-'Mar23'!I25</f>
        <v>24006603.817000002</v>
      </c>
      <c r="V25" s="12">
        <f>K25-'Mar23'!K25</f>
        <v>500883.90799999982</v>
      </c>
      <c r="W25" s="12">
        <f>+M25-'Jan23'!M25</f>
        <v>0</v>
      </c>
      <c r="Y25" s="28">
        <f>D25-'Abr23'!D25</f>
        <v>-2.3000000000000007E-2</v>
      </c>
      <c r="Z25" s="28">
        <f>F25-'Abr23'!F25</f>
        <v>-2.4999999999999967E-2</v>
      </c>
      <c r="AA25" s="28">
        <f>H25-'Abr23'!H25</f>
        <v>5.1000000000000045E-2</v>
      </c>
      <c r="AB25" s="28">
        <f>J25-'Abr23'!J25</f>
        <v>-4.0000000000000036E-3</v>
      </c>
      <c r="AC25" s="28">
        <f>L25-'Abr23'!L25</f>
        <v>0</v>
      </c>
    </row>
    <row r="26" spans="1:29" x14ac:dyDescent="0.25">
      <c r="B26" s="3" t="s">
        <v>36</v>
      </c>
      <c r="C26" s="12">
        <v>307610000</v>
      </c>
      <c r="D26" s="19">
        <v>0.1</v>
      </c>
      <c r="E26" s="18">
        <f t="shared" si="10"/>
        <v>30761000</v>
      </c>
      <c r="F26" s="14">
        <v>0.12</v>
      </c>
      <c r="G26" s="12">
        <f t="shared" si="12"/>
        <v>36913200</v>
      </c>
      <c r="H26" s="19">
        <v>0.7</v>
      </c>
      <c r="I26" s="18">
        <f t="shared" si="11"/>
        <v>215327000</v>
      </c>
      <c r="J26" s="14">
        <v>0.08</v>
      </c>
      <c r="K26" s="12">
        <f t="shared" si="13"/>
        <v>24608800</v>
      </c>
      <c r="L26" s="16"/>
      <c r="M26" s="12">
        <f t="shared" si="13"/>
        <v>0</v>
      </c>
      <c r="N26" s="26"/>
      <c r="O26" s="12">
        <f t="shared" si="13"/>
        <v>0</v>
      </c>
      <c r="S26" s="12">
        <f>C26-'Mar23'!C26</f>
        <v>-13090000</v>
      </c>
      <c r="T26" s="12">
        <f>E26-'Mar23'!E26</f>
        <v>-10930000</v>
      </c>
      <c r="U26" s="12">
        <f>I26-'Mar23'!I26</f>
        <v>3665000</v>
      </c>
      <c r="V26" s="12">
        <f>K26-'Mar23'!K26</f>
        <v>2159799.9999999963</v>
      </c>
      <c r="W26" s="12">
        <f>+M26-'Jan23'!M26</f>
        <v>0</v>
      </c>
      <c r="Y26" s="28">
        <f>D26-'Abr23'!D26</f>
        <v>2.0000000000000004E-2</v>
      </c>
      <c r="Z26" s="28">
        <f>F26-'Abr23'!F26</f>
        <v>-2.0000000000000018E-2</v>
      </c>
      <c r="AA26" s="28">
        <f>H26-'Abr23'!H26</f>
        <v>0</v>
      </c>
      <c r="AB26" s="28">
        <f>J26-'Abr23'!J26</f>
        <v>0</v>
      </c>
      <c r="AC26" s="28">
        <f>L26-'Abr23'!L26</f>
        <v>0</v>
      </c>
    </row>
    <row r="27" spans="1:29" s="8" customFormat="1" x14ac:dyDescent="0.25">
      <c r="A27"/>
      <c r="B27" s="21" t="s">
        <v>45</v>
      </c>
      <c r="C27" s="20">
        <f>SUM(C18:C26)</f>
        <v>4285627925.1199999</v>
      </c>
      <c r="D27" s="15">
        <f>+E27/$C27</f>
        <v>0.16575387202315506</v>
      </c>
      <c r="E27" s="17">
        <f>SUM(E18:E26)</f>
        <v>710359422.63919997</v>
      </c>
      <c r="F27" s="15">
        <f>+G27/$C27</f>
        <v>0.1665451440056861</v>
      </c>
      <c r="G27" s="20">
        <f>SUM(G18:G26)</f>
        <v>713750519.94390011</v>
      </c>
      <c r="H27" s="15">
        <f>+I27/$C27</f>
        <v>0.57174187248658337</v>
      </c>
      <c r="I27" s="17">
        <f>SUM(I18:I26)</f>
        <v>2450272934.6889</v>
      </c>
      <c r="J27" s="15">
        <f>+K27/$C27</f>
        <v>9.5172364282015767E-2</v>
      </c>
      <c r="K27" s="17">
        <f>SUM(K18:K26)</f>
        <v>407873342.06670004</v>
      </c>
      <c r="L27" s="15">
        <f>+M27/$C27</f>
        <v>1.1620581873445892E-4</v>
      </c>
      <c r="M27" s="17">
        <f>SUM(M18:M26)</f>
        <v>498014.90182983002</v>
      </c>
      <c r="N27" s="15">
        <f>+O27/$C27</f>
        <v>1.9188237023181479E-4</v>
      </c>
      <c r="O27" s="17">
        <f>SUM(O18:O26)</f>
        <v>822336.44420368003</v>
      </c>
      <c r="S27" s="31">
        <f>C27-'Mar23'!C27</f>
        <v>86755852.529999733</v>
      </c>
      <c r="T27" s="31">
        <f>E27-'Mar23'!E27</f>
        <v>-47722672.644967914</v>
      </c>
      <c r="U27" s="31">
        <f>I27-'Mar23'!I27</f>
        <v>134646149.71211815</v>
      </c>
      <c r="V27" s="31">
        <f>K27-'Mar23'!K27</f>
        <v>22565277.325655997</v>
      </c>
      <c r="W27" s="31">
        <f>+M27-'Jan23'!M27</f>
        <v>498014.90182983002</v>
      </c>
      <c r="Y27" s="32">
        <f>D27-'Abr23'!D27</f>
        <v>-1.422134910178216E-2</v>
      </c>
      <c r="Z27" s="32">
        <f>F27-'Abr23'!F27</f>
        <v>7.7606539235901273E-3</v>
      </c>
      <c r="AA27" s="32">
        <f>H27-'Abr23'!H27</f>
        <v>1.0841194963427836E-2</v>
      </c>
      <c r="AB27" s="32">
        <f>J27-'Abr23'!J27</f>
        <v>7.2749694084432576E-3</v>
      </c>
      <c r="AC27" s="32">
        <f>L27-'Abr23'!L27</f>
        <v>1.1620581873445892E-4</v>
      </c>
    </row>
    <row r="28" spans="1:29" x14ac:dyDescent="0.25">
      <c r="C28" s="10"/>
      <c r="D28" s="10"/>
      <c r="E28" s="10"/>
      <c r="F28" s="5"/>
      <c r="G28" s="10"/>
      <c r="H28" s="10"/>
      <c r="I28" s="10"/>
      <c r="J28" s="5"/>
      <c r="K28" s="10"/>
    </row>
    <row r="29" spans="1:29" x14ac:dyDescent="0.25">
      <c r="B29" s="4" t="s">
        <v>38</v>
      </c>
      <c r="C29" s="9" t="s">
        <v>4</v>
      </c>
      <c r="D29" s="113" t="s">
        <v>7</v>
      </c>
      <c r="E29" s="113"/>
      <c r="F29" s="112" t="s">
        <v>8</v>
      </c>
      <c r="G29" s="112"/>
      <c r="H29" s="112" t="s">
        <v>10</v>
      </c>
      <c r="I29" s="112"/>
      <c r="J29" s="112" t="s">
        <v>9</v>
      </c>
      <c r="K29" s="112"/>
      <c r="L29" s="112" t="s">
        <v>40</v>
      </c>
      <c r="M29" s="112"/>
      <c r="N29" s="112" t="s">
        <v>55</v>
      </c>
      <c r="O29" s="112"/>
      <c r="S29" s="27" t="s">
        <v>49</v>
      </c>
      <c r="T29" s="27" t="s">
        <v>50</v>
      </c>
      <c r="U29" s="27" t="s">
        <v>51</v>
      </c>
      <c r="V29" s="27" t="s">
        <v>52</v>
      </c>
      <c r="W29" s="27" t="s">
        <v>54</v>
      </c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</row>
    <row r="30" spans="1:29" x14ac:dyDescent="0.25">
      <c r="B30" s="21" t="s">
        <v>39</v>
      </c>
      <c r="C30" s="22"/>
      <c r="D30" s="26"/>
      <c r="E30" s="23">
        <f>D30*C30</f>
        <v>0</v>
      </c>
      <c r="F30" s="26"/>
      <c r="G30" s="22">
        <f>F30*C30</f>
        <v>0</v>
      </c>
      <c r="H30" s="26"/>
      <c r="I30" s="23">
        <f>H30*C30</f>
        <v>0</v>
      </c>
      <c r="J30" s="26"/>
      <c r="K30" s="23">
        <f>J30*C30</f>
        <v>0</v>
      </c>
      <c r="L30" s="24"/>
      <c r="M30" s="23">
        <f>L30*C30</f>
        <v>0</v>
      </c>
      <c r="N30" s="26"/>
      <c r="O30" s="23">
        <f>N30*E30</f>
        <v>0</v>
      </c>
      <c r="S30" s="12">
        <f>C30-'Mar23'!C30</f>
        <v>-246961105.56</v>
      </c>
      <c r="T30" s="12">
        <f>E30-'Mar23'!E30</f>
        <v>-40501621.311840005</v>
      </c>
      <c r="U30" s="12">
        <f>I30-'Mar23'!I30</f>
        <v>-143978324.54148</v>
      </c>
      <c r="V30" s="12">
        <f>K30-'Mar23'!K30</f>
        <v>-23955227.239320002</v>
      </c>
      <c r="W30" s="12">
        <f>+M30-'Jan23'!M30</f>
        <v>-17452684.463900004</v>
      </c>
      <c r="Y30" s="28">
        <f>D30-'Abr23'!D30</f>
        <v>-8.5000000000000006E-2</v>
      </c>
      <c r="Z30" s="28">
        <f>F30-'Abr23'!F30</f>
        <v>-0.14099999999999999</v>
      </c>
      <c r="AA30" s="28">
        <f>H30-'Abr23'!H30</f>
        <v>-0.64500000000000002</v>
      </c>
      <c r="AB30" s="28">
        <f>J30-'Abr23'!J30</f>
        <v>-0.105</v>
      </c>
      <c r="AC30" s="28">
        <f>L30-'Abr23'!L30</f>
        <v>-7.1999999999999995E-2</v>
      </c>
    </row>
    <row r="31" spans="1:29" x14ac:dyDescent="0.25">
      <c r="B31" s="3" t="s">
        <v>56</v>
      </c>
      <c r="C31" s="12"/>
      <c r="D31" s="14"/>
      <c r="E31" s="12">
        <f>D31*C31</f>
        <v>0</v>
      </c>
      <c r="F31" s="14"/>
      <c r="G31" s="12">
        <f>F31*C31</f>
        <v>0</v>
      </c>
      <c r="H31" s="14"/>
      <c r="I31" s="12">
        <f>H31*C31</f>
        <v>0</v>
      </c>
      <c r="J31" s="14"/>
      <c r="K31" s="12">
        <f>J31*C31</f>
        <v>0</v>
      </c>
      <c r="L31" s="14"/>
      <c r="M31" s="12">
        <f>L31*C31</f>
        <v>0</v>
      </c>
      <c r="N31" s="14"/>
      <c r="O31" s="12">
        <f>N31*E31</f>
        <v>0</v>
      </c>
      <c r="S31" s="12">
        <f>C31-'Mar23'!C31</f>
        <v>-91520000</v>
      </c>
      <c r="T31" s="12">
        <f>E31-'Mar23'!E31</f>
        <v>-9499776</v>
      </c>
      <c r="U31" s="12">
        <f>I31-'Mar23'!I31</f>
        <v>-62764416</v>
      </c>
      <c r="V31" s="12">
        <f>K31-'Mar23'!K31</f>
        <v>-5829824.0000000009</v>
      </c>
      <c r="W31" s="12">
        <f>+M31-'Jan23'!M31</f>
        <v>-9786161</v>
      </c>
      <c r="Y31" s="28">
        <f>D31-'Abr23'!D31</f>
        <v>-3.1399999999999997E-2</v>
      </c>
      <c r="Z31" s="28">
        <f>F31-'Abr23'!F31</f>
        <v>0</v>
      </c>
      <c r="AA31" s="28">
        <f>H31-'Abr23'!H31</f>
        <v>-0.79359999999999997</v>
      </c>
      <c r="AB31" s="28">
        <f>J31-'Abr23'!J31</f>
        <v>-0.28539999999999999</v>
      </c>
      <c r="AC31" s="28">
        <f>L31-'Abr23'!L31</f>
        <v>-6.2100000000000002E-2</v>
      </c>
    </row>
    <row r="32" spans="1:29" x14ac:dyDescent="0.25">
      <c r="B32" s="3" t="s">
        <v>42</v>
      </c>
      <c r="C32" s="12">
        <v>226345840</v>
      </c>
      <c r="D32" s="14">
        <v>0.09</v>
      </c>
      <c r="E32" s="12">
        <f>D32*C32</f>
        <v>20371125.599999998</v>
      </c>
      <c r="F32" s="14">
        <v>0.12</v>
      </c>
      <c r="G32" s="12">
        <f>F32*C32</f>
        <v>27161500.800000001</v>
      </c>
      <c r="H32" s="14">
        <v>0.65</v>
      </c>
      <c r="I32" s="12">
        <f>H32*C32</f>
        <v>147124796</v>
      </c>
      <c r="J32" s="14">
        <v>0.05</v>
      </c>
      <c r="K32" s="12">
        <f>J32*C32</f>
        <v>11317292</v>
      </c>
      <c r="L32" s="14">
        <v>0.09</v>
      </c>
      <c r="M32" s="12">
        <f>L32*C32</f>
        <v>20371125.599999998</v>
      </c>
      <c r="N32" s="14"/>
      <c r="O32" s="12">
        <f>N32*E32</f>
        <v>0</v>
      </c>
      <c r="S32" s="12">
        <f>C32-'Mar23'!C32</f>
        <v>-7953960</v>
      </c>
      <c r="T32" s="12">
        <f>E32-'Mar23'!E32</f>
        <v>1627141.5999999978</v>
      </c>
      <c r="U32" s="12">
        <f>I32-'Mar23'!I32</f>
        <v>6544916</v>
      </c>
      <c r="V32" s="12">
        <f>K32-'Mar23'!K32</f>
        <v>-2740696</v>
      </c>
      <c r="W32" s="12">
        <f>+M32-'Jan23'!M32</f>
        <v>-4551293.8000000045</v>
      </c>
      <c r="Y32" s="28">
        <f>D32-'Abr23'!D32</f>
        <v>9.999999999999995E-3</v>
      </c>
      <c r="Z32" s="28">
        <f>F32-'Abr23'!F32</f>
        <v>-1.0000000000000009E-2</v>
      </c>
      <c r="AA32" s="28">
        <f>H32-'Abr23'!H32</f>
        <v>3.5000000000000031E-2</v>
      </c>
      <c r="AB32" s="28">
        <f>J32-'Abr23'!J32</f>
        <v>0</v>
      </c>
      <c r="AC32" s="28">
        <f>L32-'Abr23'!L32</f>
        <v>0</v>
      </c>
    </row>
    <row r="33" spans="1:29" x14ac:dyDescent="0.25">
      <c r="B33" s="3" t="s">
        <v>43</v>
      </c>
      <c r="C33" s="12">
        <v>826227806</v>
      </c>
      <c r="D33" s="14">
        <v>0.1</v>
      </c>
      <c r="E33" s="12">
        <f>D33*C33</f>
        <v>82622780.600000009</v>
      </c>
      <c r="F33" s="14">
        <v>0.13</v>
      </c>
      <c r="G33" s="12">
        <f>F33*C33</f>
        <v>107409614.78</v>
      </c>
      <c r="H33" s="14">
        <v>0.64</v>
      </c>
      <c r="I33" s="12">
        <f>H33*C33</f>
        <v>528785795.84000003</v>
      </c>
      <c r="J33" s="14">
        <v>0.13</v>
      </c>
      <c r="K33" s="12">
        <f>J33*C33</f>
        <v>107409614.78</v>
      </c>
      <c r="L33" s="14"/>
      <c r="M33" s="12">
        <f>L33*C33</f>
        <v>0</v>
      </c>
      <c r="N33" s="14"/>
      <c r="O33" s="12">
        <f>N33*E33</f>
        <v>0</v>
      </c>
      <c r="S33" s="12">
        <f>C33-'Mar23'!C33</f>
        <v>-69822494</v>
      </c>
      <c r="T33" s="12">
        <f>E33-'Mar23'!E33</f>
        <v>46780768.600000009</v>
      </c>
      <c r="U33" s="12">
        <f>I33-'Mar23'!I33</f>
        <v>-71567905.159999967</v>
      </c>
      <c r="V33" s="12">
        <f>K33-'Mar23'!K33</f>
        <v>-9076924.2199999988</v>
      </c>
      <c r="W33" s="12">
        <f>+M33-'Jan23'!M33</f>
        <v>0</v>
      </c>
      <c r="Y33" s="28">
        <f>D33-'Abr23'!D33</f>
        <v>1.0000000000000009E-2</v>
      </c>
      <c r="Z33" s="28">
        <f>F33-'Abr23'!F33</f>
        <v>-1.0000000000000009E-2</v>
      </c>
      <c r="AA33" s="28">
        <f>H33-'Abr23'!H33</f>
        <v>-1.0000000000000009E-2</v>
      </c>
      <c r="AB33" s="28">
        <f>J33-'Abr23'!J33</f>
        <v>0</v>
      </c>
      <c r="AC33" s="28">
        <f>L33-'Abr23'!L33</f>
        <v>0</v>
      </c>
    </row>
    <row r="34" spans="1:29" x14ac:dyDescent="0.25">
      <c r="B34" s="3" t="s">
        <v>44</v>
      </c>
      <c r="C34" s="12">
        <v>22900000</v>
      </c>
      <c r="D34" s="14">
        <v>0.39</v>
      </c>
      <c r="E34" s="12">
        <f>D34*C34</f>
        <v>8931000</v>
      </c>
      <c r="F34" s="14"/>
      <c r="G34" s="12">
        <f>F34*C34</f>
        <v>0</v>
      </c>
      <c r="H34" s="14">
        <v>0.39</v>
      </c>
      <c r="I34" s="12">
        <f>H34*C34</f>
        <v>8931000</v>
      </c>
      <c r="J34" s="14"/>
      <c r="K34" s="12">
        <f>J34*C34</f>
        <v>0</v>
      </c>
      <c r="L34" s="14">
        <v>0.23</v>
      </c>
      <c r="M34" s="12">
        <f>L34*C34</f>
        <v>5267000</v>
      </c>
      <c r="N34" s="14"/>
      <c r="O34" s="12">
        <f>N34*E34</f>
        <v>0</v>
      </c>
      <c r="S34" s="12">
        <f>C34-'Mar23'!C34</f>
        <v>-3700000</v>
      </c>
      <c r="T34" s="12">
        <f>E34-'Mar23'!E34</f>
        <v>-4901000</v>
      </c>
      <c r="U34" s="12">
        <f>I34-'Mar23'!I34</f>
        <v>2281000</v>
      </c>
      <c r="V34" s="12">
        <f>K34-'Mar23'!K34</f>
        <v>0</v>
      </c>
      <c r="W34" s="12">
        <f>+M34-'Jan23'!M34</f>
        <v>-2125000.0000000009</v>
      </c>
      <c r="Y34" s="28">
        <f>D34-'Abr23'!D34</f>
        <v>-1.9999999999999962E-2</v>
      </c>
      <c r="Z34" s="28">
        <f>F34-'Abr23'!F34</f>
        <v>0</v>
      </c>
      <c r="AA34" s="28">
        <f>H34-'Abr23'!H34</f>
        <v>1.0000000000000009E-2</v>
      </c>
      <c r="AB34" s="28">
        <f>J34-'Abr23'!J34</f>
        <v>0</v>
      </c>
      <c r="AC34" s="28">
        <f>L34-'Abr23'!L34</f>
        <v>0.03</v>
      </c>
    </row>
    <row r="35" spans="1:29" s="8" customFormat="1" x14ac:dyDescent="0.25">
      <c r="A35"/>
      <c r="B35" s="3" t="s">
        <v>45</v>
      </c>
      <c r="C35" s="17">
        <f>SUM(C30:C34)</f>
        <v>1075473646</v>
      </c>
      <c r="D35" s="15">
        <f>+E35/$C35</f>
        <v>0.1040703383260774</v>
      </c>
      <c r="E35" s="17">
        <f>SUM(E30:E34)</f>
        <v>111924906.2</v>
      </c>
      <c r="F35" s="15">
        <f>+G35/$C35</f>
        <v>0.12512730189206331</v>
      </c>
      <c r="G35" s="17">
        <f>SUM(G30:G34)</f>
        <v>134571115.58000001</v>
      </c>
      <c r="H35" s="15">
        <f>+I35/$C35</f>
        <v>0.63678137942954305</v>
      </c>
      <c r="I35" s="17">
        <f>SUM(I30:I34)</f>
        <v>684841591.84000003</v>
      </c>
      <c r="J35" s="15">
        <f>+K35/$C35</f>
        <v>0.1103949940768702</v>
      </c>
      <c r="K35" s="17">
        <f>SUM(K30:K34)</f>
        <v>118726906.78</v>
      </c>
      <c r="L35" s="15">
        <f>+M35/$C35</f>
        <v>2.3838915714351216E-2</v>
      </c>
      <c r="M35" s="17">
        <f>SUM(M30:M34)</f>
        <v>25638125.599999998</v>
      </c>
      <c r="N35" s="15">
        <f>+O35/$C35</f>
        <v>0</v>
      </c>
      <c r="O35" s="17">
        <f>SUM(O30:O34)</f>
        <v>0</v>
      </c>
      <c r="S35" s="31">
        <f>C35-'Mar23'!C35</f>
        <v>-419957559.55999994</v>
      </c>
      <c r="T35" s="31">
        <f>E35-'Mar23'!E35</f>
        <v>-6494487.1118399948</v>
      </c>
      <c r="U35" s="31">
        <f>I35-'Mar23'!I35</f>
        <v>-269484729.70148003</v>
      </c>
      <c r="V35" s="31">
        <f>K35-'Mar23'!K35</f>
        <v>-41602671.459320009</v>
      </c>
      <c r="W35" s="31">
        <f>+M35-'Jan23'!M35</f>
        <v>-33915139.263900012</v>
      </c>
      <c r="Y35" s="32">
        <f>D35-'Abr23'!D35</f>
        <v>1.4228057819472145E-2</v>
      </c>
      <c r="Z35" s="32">
        <f>F35-'Abr23'!F35</f>
        <v>-3.3728943993198424E-3</v>
      </c>
      <c r="AA35" s="32">
        <f>H35-'Abr23'!H35</f>
        <v>-9.9303241459355318E-3</v>
      </c>
      <c r="AB35" s="32">
        <f>J35-'Abr23'!J35</f>
        <v>-8.8169814324091933E-3</v>
      </c>
      <c r="AC35" s="32">
        <f>L35-'Abr23'!L35</f>
        <v>-9.1553817392630403E-3</v>
      </c>
    </row>
    <row r="37" spans="1:29" x14ac:dyDescent="0.25">
      <c r="E37"/>
    </row>
    <row r="38" spans="1:29" x14ac:dyDescent="0.25">
      <c r="D38" s="38"/>
    </row>
    <row r="39" spans="1:29" x14ac:dyDescent="0.25">
      <c r="C39" s="30"/>
      <c r="D39" s="35"/>
    </row>
    <row r="40" spans="1:29" x14ac:dyDescent="0.25">
      <c r="C40" s="37"/>
      <c r="D40" s="35"/>
    </row>
    <row r="41" spans="1:29" x14ac:dyDescent="0.25">
      <c r="C41" s="37"/>
      <c r="D41" s="35"/>
    </row>
    <row r="42" spans="1:29" x14ac:dyDescent="0.25">
      <c r="C42" s="37"/>
      <c r="D42" s="35"/>
    </row>
    <row r="43" spans="1:29" x14ac:dyDescent="0.25">
      <c r="C43" s="37"/>
      <c r="D43" s="35"/>
    </row>
    <row r="44" spans="1:29" x14ac:dyDescent="0.25">
      <c r="C44" s="37"/>
      <c r="D44" s="35"/>
      <c r="E44" s="37"/>
    </row>
    <row r="45" spans="1:29" x14ac:dyDescent="0.25">
      <c r="C45" s="37"/>
      <c r="D45" s="35"/>
    </row>
    <row r="46" spans="1:29" x14ac:dyDescent="0.25">
      <c r="C46" s="37"/>
      <c r="D46" s="35"/>
    </row>
    <row r="47" spans="1:29" x14ac:dyDescent="0.25">
      <c r="C47" s="37"/>
      <c r="D47" s="35"/>
    </row>
    <row r="48" spans="1:29" x14ac:dyDescent="0.25">
      <c r="C48" s="37"/>
      <c r="D48" s="35"/>
    </row>
    <row r="49" spans="3:4" x14ac:dyDescent="0.25">
      <c r="C49" s="37"/>
      <c r="D49" s="35"/>
    </row>
    <row r="50" spans="3:4" x14ac:dyDescent="0.25">
      <c r="C50" s="37"/>
      <c r="D50" s="35"/>
    </row>
    <row r="51" spans="3:4" x14ac:dyDescent="0.25">
      <c r="C51" s="37"/>
      <c r="D51" s="35"/>
    </row>
    <row r="52" spans="3:4" x14ac:dyDescent="0.25">
      <c r="C52" s="37"/>
      <c r="D52" s="35"/>
    </row>
    <row r="53" spans="3:4" x14ac:dyDescent="0.25">
      <c r="C53" s="37"/>
      <c r="D53" s="35"/>
    </row>
    <row r="54" spans="3:4" x14ac:dyDescent="0.25">
      <c r="C54" s="37"/>
      <c r="D54" s="35"/>
    </row>
    <row r="55" spans="3:4" x14ac:dyDescent="0.25">
      <c r="C55" s="37"/>
      <c r="D55" s="35"/>
    </row>
    <row r="56" spans="3:4" x14ac:dyDescent="0.25">
      <c r="C56" s="37"/>
      <c r="D56" s="35"/>
    </row>
    <row r="57" spans="3:4" x14ac:dyDescent="0.25">
      <c r="C57" s="37"/>
      <c r="D57" s="35"/>
    </row>
    <row r="58" spans="3:4" x14ac:dyDescent="0.25">
      <c r="C58" s="37"/>
      <c r="D58" s="35"/>
    </row>
    <row r="59" spans="3:4" x14ac:dyDescent="0.25">
      <c r="C59" s="37"/>
      <c r="D59" s="35"/>
    </row>
    <row r="60" spans="3:4" x14ac:dyDescent="0.25">
      <c r="C60" s="37"/>
      <c r="D60" s="35"/>
    </row>
    <row r="61" spans="3:4" x14ac:dyDescent="0.25">
      <c r="C61" s="37"/>
      <c r="D61" s="35"/>
    </row>
    <row r="62" spans="3:4" x14ac:dyDescent="0.25">
      <c r="C62" s="37"/>
      <c r="D62" s="35"/>
    </row>
    <row r="63" spans="3:4" x14ac:dyDescent="0.25">
      <c r="C63" s="37"/>
      <c r="D63" s="35"/>
    </row>
    <row r="64" spans="3:4" x14ac:dyDescent="0.25">
      <c r="C64" s="37"/>
      <c r="D64" s="35"/>
    </row>
    <row r="65" spans="3:4" x14ac:dyDescent="0.25">
      <c r="C65" s="37"/>
      <c r="D65" s="35"/>
    </row>
    <row r="66" spans="3:4" x14ac:dyDescent="0.25">
      <c r="C66" s="37"/>
      <c r="D66" s="35"/>
    </row>
    <row r="67" spans="3:4" x14ac:dyDescent="0.25">
      <c r="C67" s="37"/>
      <c r="D67" s="35"/>
    </row>
    <row r="68" spans="3:4" x14ac:dyDescent="0.25">
      <c r="C68" s="37"/>
      <c r="D68" s="35"/>
    </row>
    <row r="69" spans="3:4" x14ac:dyDescent="0.25">
      <c r="C69" s="37"/>
      <c r="D69" s="35"/>
    </row>
    <row r="70" spans="3:4" x14ac:dyDescent="0.25">
      <c r="C70" s="37"/>
      <c r="D70" s="35"/>
    </row>
    <row r="71" spans="3:4" x14ac:dyDescent="0.25">
      <c r="C71" s="37"/>
      <c r="D71" s="35"/>
    </row>
    <row r="72" spans="3:4" x14ac:dyDescent="0.25">
      <c r="C72" s="37"/>
      <c r="D72" s="35"/>
    </row>
    <row r="73" spans="3:4" x14ac:dyDescent="0.25">
      <c r="C73" s="37"/>
      <c r="D73" s="35"/>
    </row>
    <row r="74" spans="3:4" x14ac:dyDescent="0.25">
      <c r="C74" s="37"/>
      <c r="D74" s="35"/>
    </row>
    <row r="75" spans="3:4" x14ac:dyDescent="0.25">
      <c r="C75" s="37"/>
      <c r="D75" s="35"/>
    </row>
    <row r="76" spans="3:4" x14ac:dyDescent="0.25">
      <c r="C76" s="37"/>
      <c r="D76" s="35"/>
    </row>
    <row r="77" spans="3:4" x14ac:dyDescent="0.25">
      <c r="C77" s="37"/>
      <c r="D77" s="35"/>
    </row>
    <row r="78" spans="3:4" x14ac:dyDescent="0.25">
      <c r="C78" s="37"/>
      <c r="D78" s="35"/>
    </row>
    <row r="79" spans="3:4" x14ac:dyDescent="0.25">
      <c r="C79" s="37"/>
      <c r="D79" s="35"/>
    </row>
    <row r="80" spans="3:4" x14ac:dyDescent="0.25">
      <c r="C80" s="37"/>
      <c r="D80" s="35"/>
    </row>
    <row r="81" spans="3:4" x14ac:dyDescent="0.25">
      <c r="C81" s="37"/>
      <c r="D81" s="35"/>
    </row>
    <row r="82" spans="3:4" x14ac:dyDescent="0.25">
      <c r="C82" s="37"/>
      <c r="D82" s="35"/>
    </row>
    <row r="83" spans="3:4" x14ac:dyDescent="0.25">
      <c r="C83" s="37"/>
      <c r="D83" s="35"/>
    </row>
    <row r="84" spans="3:4" x14ac:dyDescent="0.25">
      <c r="C84" s="37"/>
      <c r="D84" s="35"/>
    </row>
    <row r="85" spans="3:4" x14ac:dyDescent="0.25">
      <c r="C85" s="37"/>
      <c r="D85" s="35"/>
    </row>
    <row r="86" spans="3:4" x14ac:dyDescent="0.25">
      <c r="C86" s="37"/>
      <c r="D86" s="35"/>
    </row>
    <row r="87" spans="3:4" x14ac:dyDescent="0.25">
      <c r="C87" s="37"/>
      <c r="D87" s="35"/>
    </row>
    <row r="88" spans="3:4" x14ac:dyDescent="0.25">
      <c r="C88" s="37"/>
      <c r="D88" s="35"/>
    </row>
    <row r="89" spans="3:4" x14ac:dyDescent="0.25">
      <c r="C89" s="37"/>
      <c r="D89" s="35"/>
    </row>
    <row r="90" spans="3:4" x14ac:dyDescent="0.25">
      <c r="C90" s="37"/>
      <c r="D90" s="35"/>
    </row>
    <row r="91" spans="3:4" x14ac:dyDescent="0.25">
      <c r="C91" s="37"/>
      <c r="D91" s="35"/>
    </row>
    <row r="92" spans="3:4" x14ac:dyDescent="0.25">
      <c r="C92" s="37"/>
      <c r="D92" s="35"/>
    </row>
    <row r="93" spans="3:4" x14ac:dyDescent="0.25">
      <c r="C93" s="37"/>
      <c r="D93" s="35"/>
    </row>
    <row r="94" spans="3:4" x14ac:dyDescent="0.25">
      <c r="C94" s="37"/>
      <c r="D94" s="35"/>
    </row>
    <row r="95" spans="3:4" x14ac:dyDescent="0.25">
      <c r="C95" s="37"/>
      <c r="D95" s="35"/>
    </row>
    <row r="96" spans="3:4" x14ac:dyDescent="0.25">
      <c r="C96" s="37"/>
      <c r="D96" s="35"/>
    </row>
    <row r="97" spans="3:4" x14ac:dyDescent="0.25">
      <c r="C97" s="37"/>
      <c r="D97" s="35"/>
    </row>
    <row r="98" spans="3:4" x14ac:dyDescent="0.25">
      <c r="C98" s="37"/>
      <c r="D98" s="35"/>
    </row>
    <row r="99" spans="3:4" x14ac:dyDescent="0.25">
      <c r="C99" s="37"/>
      <c r="D99" s="35"/>
    </row>
    <row r="100" spans="3:4" x14ac:dyDescent="0.25">
      <c r="C100" s="37"/>
      <c r="D100" s="35"/>
    </row>
    <row r="101" spans="3:4" x14ac:dyDescent="0.25">
      <c r="C101" s="37"/>
      <c r="D101" s="35"/>
    </row>
    <row r="102" spans="3:4" x14ac:dyDescent="0.25">
      <c r="C102" s="37"/>
      <c r="D102" s="35"/>
    </row>
    <row r="103" spans="3:4" x14ac:dyDescent="0.25">
      <c r="C103" s="37"/>
      <c r="D103" s="35"/>
    </row>
    <row r="104" spans="3:4" x14ac:dyDescent="0.25">
      <c r="C104" s="37"/>
      <c r="D104" s="35"/>
    </row>
    <row r="105" spans="3:4" x14ac:dyDescent="0.25">
      <c r="C105" s="37"/>
      <c r="D105" s="35"/>
    </row>
    <row r="106" spans="3:4" x14ac:dyDescent="0.25">
      <c r="C106" s="37"/>
      <c r="D106" s="35"/>
    </row>
    <row r="107" spans="3:4" x14ac:dyDescent="0.25">
      <c r="C107" s="37"/>
      <c r="D107" s="35"/>
    </row>
    <row r="108" spans="3:4" x14ac:dyDescent="0.25">
      <c r="C108" s="37"/>
      <c r="D108" s="35"/>
    </row>
    <row r="109" spans="3:4" x14ac:dyDescent="0.25">
      <c r="C109" s="37"/>
      <c r="D109" s="35"/>
    </row>
    <row r="110" spans="3:4" x14ac:dyDescent="0.25">
      <c r="C110" s="37"/>
      <c r="D110" s="35"/>
    </row>
    <row r="111" spans="3:4" x14ac:dyDescent="0.25">
      <c r="C111" s="37"/>
      <c r="D111" s="35"/>
    </row>
    <row r="112" spans="3:4" x14ac:dyDescent="0.25">
      <c r="C112" s="37"/>
      <c r="D112" s="35"/>
    </row>
    <row r="113" spans="3:4" x14ac:dyDescent="0.25">
      <c r="C113" s="37"/>
      <c r="D113" s="35"/>
    </row>
    <row r="114" spans="3:4" x14ac:dyDescent="0.25">
      <c r="C114" s="37"/>
      <c r="D114" s="35"/>
    </row>
    <row r="115" spans="3:4" x14ac:dyDescent="0.25">
      <c r="C115" s="37"/>
      <c r="D115" s="35"/>
    </row>
    <row r="116" spans="3:4" x14ac:dyDescent="0.25">
      <c r="C116" s="37"/>
      <c r="D116" s="35"/>
    </row>
    <row r="117" spans="3:4" x14ac:dyDescent="0.25">
      <c r="C117" s="37"/>
      <c r="D117" s="35"/>
    </row>
    <row r="118" spans="3:4" x14ac:dyDescent="0.25">
      <c r="C118" s="37"/>
      <c r="D118" s="35"/>
    </row>
    <row r="119" spans="3:4" x14ac:dyDescent="0.25">
      <c r="C119" s="37"/>
      <c r="D119" s="35"/>
    </row>
    <row r="120" spans="3:4" x14ac:dyDescent="0.25">
      <c r="C120" s="37"/>
      <c r="D120" s="35"/>
    </row>
    <row r="121" spans="3:4" x14ac:dyDescent="0.25">
      <c r="C121" s="37"/>
      <c r="D121" s="35"/>
    </row>
    <row r="122" spans="3:4" x14ac:dyDescent="0.25">
      <c r="C122" s="37"/>
      <c r="D122" s="35"/>
    </row>
    <row r="123" spans="3:4" x14ac:dyDescent="0.25">
      <c r="C123" s="37"/>
      <c r="D123" s="35"/>
    </row>
    <row r="124" spans="3:4" x14ac:dyDescent="0.25">
      <c r="C124" s="37"/>
      <c r="D124" s="35"/>
    </row>
    <row r="125" spans="3:4" x14ac:dyDescent="0.25">
      <c r="C125" s="37"/>
      <c r="D125" s="35"/>
    </row>
    <row r="126" spans="3:4" x14ac:dyDescent="0.25">
      <c r="C126" s="37"/>
      <c r="D126" s="35"/>
    </row>
    <row r="127" spans="3:4" x14ac:dyDescent="0.25">
      <c r="C127" s="37"/>
      <c r="D127" s="35"/>
    </row>
    <row r="128" spans="3:4" x14ac:dyDescent="0.25">
      <c r="C128" s="37"/>
      <c r="D128" s="35"/>
    </row>
    <row r="129" spans="3:4" x14ac:dyDescent="0.25">
      <c r="C129" s="37"/>
      <c r="D129" s="35"/>
    </row>
    <row r="130" spans="3:4" x14ac:dyDescent="0.25">
      <c r="C130" s="37"/>
      <c r="D130" s="35"/>
    </row>
    <row r="131" spans="3:4" x14ac:dyDescent="0.25">
      <c r="C131" s="37"/>
      <c r="D131" s="35"/>
    </row>
    <row r="132" spans="3:4" x14ac:dyDescent="0.25">
      <c r="C132" s="37"/>
      <c r="D132" s="35"/>
    </row>
    <row r="133" spans="3:4" x14ac:dyDescent="0.25">
      <c r="C133" s="37"/>
      <c r="D133" s="35"/>
    </row>
    <row r="134" spans="3:4" x14ac:dyDescent="0.25">
      <c r="C134" s="37"/>
      <c r="D134" s="35"/>
    </row>
    <row r="135" spans="3:4" x14ac:dyDescent="0.25">
      <c r="C135" s="37"/>
      <c r="D135" s="35"/>
    </row>
    <row r="136" spans="3:4" x14ac:dyDescent="0.25">
      <c r="C136" s="37"/>
      <c r="D136" s="35"/>
    </row>
    <row r="137" spans="3:4" x14ac:dyDescent="0.25">
      <c r="C137" s="37"/>
      <c r="D137" s="35"/>
    </row>
    <row r="138" spans="3:4" x14ac:dyDescent="0.25">
      <c r="C138" s="37"/>
      <c r="D138" s="35"/>
    </row>
    <row r="139" spans="3:4" x14ac:dyDescent="0.25">
      <c r="C139" s="37"/>
      <c r="D139" s="35"/>
    </row>
    <row r="140" spans="3:4" x14ac:dyDescent="0.25">
      <c r="C140" s="37"/>
      <c r="D140" s="35"/>
    </row>
    <row r="141" spans="3:4" x14ac:dyDescent="0.25">
      <c r="C141" s="37"/>
      <c r="D141" s="35"/>
    </row>
    <row r="142" spans="3:4" x14ac:dyDescent="0.25">
      <c r="C142" s="37"/>
      <c r="D142" s="35"/>
    </row>
    <row r="143" spans="3:4" x14ac:dyDescent="0.25">
      <c r="C143" s="37"/>
      <c r="D143" s="35"/>
    </row>
    <row r="144" spans="3:4" x14ac:dyDescent="0.25">
      <c r="C144" s="37"/>
      <c r="D144" s="35"/>
    </row>
    <row r="145" spans="3:4" x14ac:dyDescent="0.25">
      <c r="C145" s="37"/>
      <c r="D145" s="35"/>
    </row>
    <row r="146" spans="3:4" x14ac:dyDescent="0.25">
      <c r="C146" s="37"/>
      <c r="D146" s="35"/>
    </row>
    <row r="147" spans="3:4" x14ac:dyDescent="0.25">
      <c r="C147" s="37"/>
      <c r="D147" s="35"/>
    </row>
    <row r="148" spans="3:4" x14ac:dyDescent="0.25">
      <c r="C148" s="37"/>
      <c r="D148" s="35"/>
    </row>
    <row r="149" spans="3:4" x14ac:dyDescent="0.25">
      <c r="C149" s="37"/>
      <c r="D149" s="35"/>
    </row>
    <row r="150" spans="3:4" x14ac:dyDescent="0.25">
      <c r="C150" s="37"/>
      <c r="D150" s="35"/>
    </row>
    <row r="151" spans="3:4" x14ac:dyDescent="0.25">
      <c r="C151" s="37"/>
      <c r="D151" s="35"/>
    </row>
    <row r="152" spans="3:4" x14ac:dyDescent="0.25">
      <c r="C152" s="37"/>
      <c r="D152" s="35"/>
    </row>
    <row r="153" spans="3:4" x14ac:dyDescent="0.25">
      <c r="C153" s="37"/>
      <c r="D153" s="35"/>
    </row>
    <row r="154" spans="3:4" x14ac:dyDescent="0.25">
      <c r="C154" s="37"/>
      <c r="D154" s="35"/>
    </row>
    <row r="155" spans="3:4" x14ac:dyDescent="0.25">
      <c r="C155" s="37"/>
      <c r="D155" s="35"/>
    </row>
    <row r="156" spans="3:4" x14ac:dyDescent="0.25">
      <c r="C156" s="37"/>
      <c r="D156" s="35"/>
    </row>
    <row r="157" spans="3:4" x14ac:dyDescent="0.25">
      <c r="C157" s="37"/>
      <c r="D157" s="35"/>
    </row>
    <row r="158" spans="3:4" x14ac:dyDescent="0.25">
      <c r="C158" s="37"/>
      <c r="D158" s="35"/>
    </row>
    <row r="159" spans="3:4" x14ac:dyDescent="0.25">
      <c r="C159" s="37"/>
      <c r="D159" s="35"/>
    </row>
    <row r="160" spans="3:4" x14ac:dyDescent="0.25">
      <c r="C160" s="37"/>
      <c r="D160" s="35"/>
    </row>
    <row r="161" spans="3:4" x14ac:dyDescent="0.25">
      <c r="C161" s="37"/>
      <c r="D161" s="35"/>
    </row>
    <row r="162" spans="3:4" x14ac:dyDescent="0.25">
      <c r="C162" s="37"/>
      <c r="D162" s="35"/>
    </row>
    <row r="163" spans="3:4" x14ac:dyDescent="0.25">
      <c r="C163" s="37"/>
      <c r="D163" s="35"/>
    </row>
    <row r="164" spans="3:4" x14ac:dyDescent="0.25">
      <c r="C164" s="37"/>
      <c r="D164" s="35"/>
    </row>
    <row r="165" spans="3:4" x14ac:dyDescent="0.25">
      <c r="C165" s="37"/>
      <c r="D165" s="35"/>
    </row>
    <row r="166" spans="3:4" x14ac:dyDescent="0.25">
      <c r="C166" s="37"/>
      <c r="D166" s="35"/>
    </row>
    <row r="167" spans="3:4" x14ac:dyDescent="0.25">
      <c r="C167" s="37"/>
      <c r="D167" s="35"/>
    </row>
    <row r="168" spans="3:4" x14ac:dyDescent="0.25">
      <c r="C168" s="37"/>
      <c r="D168" s="35"/>
    </row>
    <row r="169" spans="3:4" x14ac:dyDescent="0.25">
      <c r="C169" s="37"/>
      <c r="D169" s="35"/>
    </row>
    <row r="170" spans="3:4" x14ac:dyDescent="0.25">
      <c r="C170" s="37"/>
      <c r="D170" s="35"/>
    </row>
    <row r="171" spans="3:4" x14ac:dyDescent="0.25">
      <c r="C171" s="37"/>
      <c r="D171" s="35"/>
    </row>
    <row r="172" spans="3:4" x14ac:dyDescent="0.25">
      <c r="C172" s="37"/>
      <c r="D172" s="35"/>
    </row>
    <row r="173" spans="3:4" x14ac:dyDescent="0.25">
      <c r="C173" s="37"/>
      <c r="D173" s="35"/>
    </row>
    <row r="174" spans="3:4" x14ac:dyDescent="0.25">
      <c r="C174" s="37"/>
      <c r="D174" s="35"/>
    </row>
    <row r="175" spans="3:4" x14ac:dyDescent="0.25">
      <c r="C175" s="37"/>
      <c r="D175" s="35"/>
    </row>
    <row r="176" spans="3:4" x14ac:dyDescent="0.25">
      <c r="C176" s="37"/>
      <c r="D176" s="35"/>
    </row>
    <row r="177" spans="3:4" x14ac:dyDescent="0.25">
      <c r="C177" s="37"/>
      <c r="D177" s="35"/>
    </row>
    <row r="178" spans="3:4" x14ac:dyDescent="0.25">
      <c r="C178" s="37"/>
      <c r="D178" s="35"/>
    </row>
    <row r="179" spans="3:4" x14ac:dyDescent="0.25">
      <c r="C179" s="37"/>
      <c r="D179" s="35"/>
    </row>
    <row r="180" spans="3:4" x14ac:dyDescent="0.25">
      <c r="C180" s="37"/>
      <c r="D180" s="35"/>
    </row>
    <row r="181" spans="3:4" x14ac:dyDescent="0.25">
      <c r="C181" s="37"/>
      <c r="D181" s="35"/>
    </row>
    <row r="182" spans="3:4" x14ac:dyDescent="0.25">
      <c r="C182" s="37"/>
      <c r="D182" s="35"/>
    </row>
    <row r="183" spans="3:4" x14ac:dyDescent="0.25">
      <c r="C183" s="37"/>
      <c r="D183" s="35"/>
    </row>
    <row r="184" spans="3:4" x14ac:dyDescent="0.25">
      <c r="C184" s="37"/>
      <c r="D184" s="35"/>
    </row>
    <row r="185" spans="3:4" x14ac:dyDescent="0.25">
      <c r="C185" s="37"/>
      <c r="D185" s="35"/>
    </row>
    <row r="186" spans="3:4" x14ac:dyDescent="0.25">
      <c r="C186" s="37"/>
      <c r="D186" s="35"/>
    </row>
    <row r="187" spans="3:4" x14ac:dyDescent="0.25">
      <c r="C187" s="37"/>
      <c r="D187" s="35"/>
    </row>
    <row r="188" spans="3:4" x14ac:dyDescent="0.25">
      <c r="C188" s="37"/>
      <c r="D188" s="35"/>
    </row>
    <row r="189" spans="3:4" x14ac:dyDescent="0.25">
      <c r="C189" s="37"/>
      <c r="D189" s="35"/>
    </row>
    <row r="190" spans="3:4" x14ac:dyDescent="0.25">
      <c r="C190" s="37"/>
      <c r="D190" s="35"/>
    </row>
    <row r="191" spans="3:4" x14ac:dyDescent="0.25">
      <c r="C191" s="37"/>
      <c r="D191" s="35"/>
    </row>
    <row r="192" spans="3:4" x14ac:dyDescent="0.25">
      <c r="C192" s="37"/>
      <c r="D192" s="35"/>
    </row>
    <row r="193" spans="3:4" x14ac:dyDescent="0.25">
      <c r="C193" s="37"/>
      <c r="D193" s="35"/>
    </row>
    <row r="194" spans="3:4" x14ac:dyDescent="0.25">
      <c r="C194" s="37"/>
      <c r="D194" s="35"/>
    </row>
    <row r="195" spans="3:4" x14ac:dyDescent="0.25">
      <c r="C195" s="37"/>
      <c r="D195" s="35"/>
    </row>
    <row r="196" spans="3:4" x14ac:dyDescent="0.25">
      <c r="C196" s="37"/>
      <c r="D196" s="35"/>
    </row>
    <row r="197" spans="3:4" x14ac:dyDescent="0.25">
      <c r="C197" s="37"/>
      <c r="D197" s="35"/>
    </row>
    <row r="198" spans="3:4" x14ac:dyDescent="0.25">
      <c r="C198" s="37"/>
      <c r="D198" s="35"/>
    </row>
    <row r="199" spans="3:4" x14ac:dyDescent="0.25">
      <c r="C199" s="37"/>
      <c r="D199" s="35"/>
    </row>
    <row r="200" spans="3:4" x14ac:dyDescent="0.25">
      <c r="C200" s="37"/>
      <c r="D200" s="35"/>
    </row>
    <row r="201" spans="3:4" x14ac:dyDescent="0.25">
      <c r="C201" s="37"/>
      <c r="D201" s="35"/>
    </row>
    <row r="202" spans="3:4" x14ac:dyDescent="0.25">
      <c r="C202" s="37"/>
      <c r="D202" s="35"/>
    </row>
    <row r="203" spans="3:4" x14ac:dyDescent="0.25">
      <c r="C203" s="37"/>
      <c r="D203" s="35"/>
    </row>
    <row r="204" spans="3:4" x14ac:dyDescent="0.25">
      <c r="C204" s="37"/>
      <c r="D204" s="35"/>
    </row>
    <row r="205" spans="3:4" x14ac:dyDescent="0.25">
      <c r="C205" s="37"/>
      <c r="D205" s="35"/>
    </row>
    <row r="206" spans="3:4" x14ac:dyDescent="0.25">
      <c r="C206" s="37"/>
      <c r="D206" s="35"/>
    </row>
    <row r="207" spans="3:4" x14ac:dyDescent="0.25">
      <c r="C207" s="37"/>
      <c r="D207" s="35"/>
    </row>
    <row r="208" spans="3:4" x14ac:dyDescent="0.25">
      <c r="C208" s="37"/>
      <c r="D208" s="35"/>
    </row>
    <row r="209" spans="3:4" x14ac:dyDescent="0.25">
      <c r="C209" s="37"/>
      <c r="D209" s="35"/>
    </row>
    <row r="210" spans="3:4" x14ac:dyDescent="0.25">
      <c r="C210" s="37"/>
      <c r="D210" s="35"/>
    </row>
    <row r="211" spans="3:4" x14ac:dyDescent="0.25">
      <c r="C211" s="37"/>
      <c r="D211" s="35"/>
    </row>
    <row r="212" spans="3:4" x14ac:dyDescent="0.25">
      <c r="C212" s="37"/>
      <c r="D212" s="35"/>
    </row>
    <row r="213" spans="3:4" x14ac:dyDescent="0.25">
      <c r="C213" s="37"/>
      <c r="D213" s="35"/>
    </row>
    <row r="214" spans="3:4" x14ac:dyDescent="0.25">
      <c r="C214" s="37"/>
      <c r="D214" s="35"/>
    </row>
    <row r="215" spans="3:4" x14ac:dyDescent="0.25">
      <c r="C215" s="37"/>
      <c r="D215" s="35"/>
    </row>
    <row r="216" spans="3:4" x14ac:dyDescent="0.25">
      <c r="C216" s="37"/>
      <c r="D216" s="35"/>
    </row>
    <row r="217" spans="3:4" x14ac:dyDescent="0.25">
      <c r="C217" s="37"/>
      <c r="D217" s="35"/>
    </row>
    <row r="218" spans="3:4" x14ac:dyDescent="0.25">
      <c r="C218" s="37"/>
      <c r="D218" s="35"/>
    </row>
    <row r="219" spans="3:4" x14ac:dyDescent="0.25">
      <c r="C219" s="37"/>
      <c r="D219" s="35"/>
    </row>
    <row r="220" spans="3:4" x14ac:dyDescent="0.25">
      <c r="C220" s="37"/>
      <c r="D220" s="35"/>
    </row>
    <row r="221" spans="3:4" x14ac:dyDescent="0.25">
      <c r="C221" s="37"/>
      <c r="D221" s="35"/>
    </row>
    <row r="222" spans="3:4" x14ac:dyDescent="0.25">
      <c r="C222" s="37"/>
      <c r="D222" s="35"/>
    </row>
    <row r="223" spans="3:4" x14ac:dyDescent="0.25">
      <c r="C223" s="37"/>
      <c r="D223" s="35"/>
    </row>
    <row r="224" spans="3:4" x14ac:dyDescent="0.25">
      <c r="C224" s="37"/>
      <c r="D224" s="35"/>
    </row>
    <row r="225" spans="3:4" x14ac:dyDescent="0.25">
      <c r="C225" s="37"/>
      <c r="D225" s="35"/>
    </row>
    <row r="226" spans="3:4" x14ac:dyDescent="0.25">
      <c r="C226" s="37"/>
      <c r="D226" s="35"/>
    </row>
    <row r="227" spans="3:4" x14ac:dyDescent="0.25">
      <c r="C227" s="37"/>
      <c r="D227" s="35"/>
    </row>
    <row r="228" spans="3:4" x14ac:dyDescent="0.25">
      <c r="C228" s="37"/>
      <c r="D228" s="35"/>
    </row>
    <row r="229" spans="3:4" x14ac:dyDescent="0.25">
      <c r="C229" s="37"/>
      <c r="D229" s="35"/>
    </row>
    <row r="230" spans="3:4" x14ac:dyDescent="0.25">
      <c r="C230" s="37"/>
      <c r="D230" s="35"/>
    </row>
    <row r="231" spans="3:4" x14ac:dyDescent="0.25">
      <c r="C231" s="37"/>
      <c r="D231" s="35"/>
    </row>
    <row r="232" spans="3:4" x14ac:dyDescent="0.25">
      <c r="C232" s="37"/>
      <c r="D232" s="35"/>
    </row>
    <row r="233" spans="3:4" x14ac:dyDescent="0.25">
      <c r="C233" s="37"/>
      <c r="D233" s="35"/>
    </row>
    <row r="234" spans="3:4" x14ac:dyDescent="0.25">
      <c r="C234" s="37"/>
      <c r="D234" s="35"/>
    </row>
    <row r="235" spans="3:4" x14ac:dyDescent="0.25">
      <c r="C235" s="37"/>
      <c r="D235" s="35"/>
    </row>
    <row r="236" spans="3:4" x14ac:dyDescent="0.25">
      <c r="C236" s="37"/>
      <c r="D236" s="35"/>
    </row>
    <row r="237" spans="3:4" x14ac:dyDescent="0.25">
      <c r="C237" s="37"/>
      <c r="D237" s="35"/>
    </row>
    <row r="238" spans="3:4" x14ac:dyDescent="0.25">
      <c r="C238" s="37"/>
      <c r="D238" s="35"/>
    </row>
    <row r="239" spans="3:4" x14ac:dyDescent="0.25">
      <c r="C239" s="37"/>
      <c r="D239" s="35"/>
    </row>
    <row r="240" spans="3:4" x14ac:dyDescent="0.25">
      <c r="C240" s="37"/>
      <c r="D240" s="35"/>
    </row>
    <row r="241" spans="3:4" x14ac:dyDescent="0.25">
      <c r="C241" s="37"/>
      <c r="D241" s="35"/>
    </row>
    <row r="242" spans="3:4" x14ac:dyDescent="0.25">
      <c r="C242" s="37"/>
      <c r="D242" s="35"/>
    </row>
    <row r="243" spans="3:4" x14ac:dyDescent="0.25">
      <c r="C243" s="37"/>
      <c r="D243" s="35"/>
    </row>
    <row r="244" spans="3:4" x14ac:dyDescent="0.25">
      <c r="C244" s="37"/>
      <c r="D244" s="35"/>
    </row>
    <row r="245" spans="3:4" x14ac:dyDescent="0.25">
      <c r="C245" s="37"/>
      <c r="D245" s="35"/>
    </row>
    <row r="246" spans="3:4" x14ac:dyDescent="0.25">
      <c r="C246" s="37"/>
      <c r="D246" s="35"/>
    </row>
    <row r="247" spans="3:4" x14ac:dyDescent="0.25">
      <c r="C247" s="37"/>
      <c r="D247" s="35"/>
    </row>
    <row r="248" spans="3:4" x14ac:dyDescent="0.25">
      <c r="C248" s="37"/>
      <c r="D248" s="35"/>
    </row>
    <row r="249" spans="3:4" x14ac:dyDescent="0.25">
      <c r="C249" s="37"/>
      <c r="D249" s="35"/>
    </row>
    <row r="250" spans="3:4" x14ac:dyDescent="0.25">
      <c r="C250" s="37"/>
      <c r="D250" s="35"/>
    </row>
    <row r="251" spans="3:4" x14ac:dyDescent="0.25">
      <c r="C251" s="37"/>
      <c r="D251" s="35"/>
    </row>
    <row r="252" spans="3:4" x14ac:dyDescent="0.25">
      <c r="C252" s="37"/>
      <c r="D252" s="35"/>
    </row>
    <row r="253" spans="3:4" x14ac:dyDescent="0.25">
      <c r="C253" s="37"/>
      <c r="D253" s="35"/>
    </row>
    <row r="254" spans="3:4" x14ac:dyDescent="0.25">
      <c r="C254" s="37"/>
      <c r="D254" s="35"/>
    </row>
    <row r="255" spans="3:4" x14ac:dyDescent="0.25">
      <c r="C255" s="37"/>
      <c r="D255" s="35"/>
    </row>
    <row r="256" spans="3:4" x14ac:dyDescent="0.25">
      <c r="C256" s="37"/>
      <c r="D256" s="35"/>
    </row>
    <row r="257" spans="3:4" x14ac:dyDescent="0.25">
      <c r="C257" s="37"/>
      <c r="D257" s="35"/>
    </row>
    <row r="258" spans="3:4" x14ac:dyDescent="0.25">
      <c r="C258" s="37"/>
      <c r="D258" s="35"/>
    </row>
    <row r="259" spans="3:4" x14ac:dyDescent="0.25">
      <c r="C259" s="37"/>
      <c r="D259" s="35"/>
    </row>
    <row r="260" spans="3:4" x14ac:dyDescent="0.25">
      <c r="C260" s="37"/>
      <c r="D260" s="35"/>
    </row>
    <row r="261" spans="3:4" x14ac:dyDescent="0.25">
      <c r="C261" s="37"/>
      <c r="D261" s="35"/>
    </row>
    <row r="262" spans="3:4" x14ac:dyDescent="0.25">
      <c r="C262" s="37"/>
      <c r="D262" s="35"/>
    </row>
    <row r="263" spans="3:4" x14ac:dyDescent="0.25">
      <c r="C263" s="37"/>
      <c r="D263" s="35"/>
    </row>
    <row r="264" spans="3:4" x14ac:dyDescent="0.25">
      <c r="C264" s="37"/>
      <c r="D264" s="35"/>
    </row>
    <row r="265" spans="3:4" x14ac:dyDescent="0.25">
      <c r="C265" s="37"/>
      <c r="D265" s="35"/>
    </row>
    <row r="266" spans="3:4" x14ac:dyDescent="0.25">
      <c r="C266" s="37"/>
      <c r="D266" s="35"/>
    </row>
    <row r="267" spans="3:4" x14ac:dyDescent="0.25">
      <c r="C267" s="37"/>
      <c r="D267" s="35"/>
    </row>
    <row r="268" spans="3:4" x14ac:dyDescent="0.25">
      <c r="C268" s="37"/>
      <c r="D268" s="35"/>
    </row>
    <row r="269" spans="3:4" x14ac:dyDescent="0.25">
      <c r="C269" s="37"/>
      <c r="D269" s="35"/>
    </row>
    <row r="270" spans="3:4" x14ac:dyDescent="0.25">
      <c r="C270" s="37"/>
      <c r="D270" s="35"/>
    </row>
    <row r="271" spans="3:4" x14ac:dyDescent="0.25">
      <c r="C271" s="37"/>
      <c r="D271" s="35"/>
    </row>
    <row r="272" spans="3:4" x14ac:dyDescent="0.25">
      <c r="C272" s="37"/>
      <c r="D272" s="35"/>
    </row>
    <row r="273" spans="3:4" x14ac:dyDescent="0.25">
      <c r="C273" s="37"/>
      <c r="D273" s="35"/>
    </row>
    <row r="274" spans="3:4" x14ac:dyDescent="0.25">
      <c r="C274" s="37"/>
      <c r="D274" s="35"/>
    </row>
    <row r="275" spans="3:4" x14ac:dyDescent="0.25">
      <c r="C275" s="37"/>
      <c r="D275" s="35"/>
    </row>
    <row r="276" spans="3:4" x14ac:dyDescent="0.25">
      <c r="C276" s="37"/>
      <c r="D276" s="35"/>
    </row>
    <row r="277" spans="3:4" x14ac:dyDescent="0.25">
      <c r="C277" s="37"/>
      <c r="D277" s="35"/>
    </row>
    <row r="278" spans="3:4" x14ac:dyDescent="0.25">
      <c r="C278" s="37"/>
      <c r="D278" s="35"/>
    </row>
    <row r="279" spans="3:4" x14ac:dyDescent="0.25">
      <c r="C279" s="37"/>
      <c r="D279" s="35"/>
    </row>
    <row r="280" spans="3:4" x14ac:dyDescent="0.25">
      <c r="C280" s="37"/>
      <c r="D280" s="35"/>
    </row>
    <row r="281" spans="3:4" x14ac:dyDescent="0.25">
      <c r="C281" s="37"/>
      <c r="D281" s="35"/>
    </row>
    <row r="282" spans="3:4" x14ac:dyDescent="0.25">
      <c r="C282" s="37"/>
      <c r="D282" s="35"/>
    </row>
    <row r="283" spans="3:4" x14ac:dyDescent="0.25">
      <c r="C283" s="37"/>
      <c r="D283" s="35"/>
    </row>
    <row r="284" spans="3:4" x14ac:dyDescent="0.25">
      <c r="C284" s="37"/>
      <c r="D284" s="35"/>
    </row>
    <row r="285" spans="3:4" x14ac:dyDescent="0.25">
      <c r="C285" s="37"/>
      <c r="D285" s="35"/>
    </row>
    <row r="286" spans="3:4" x14ac:dyDescent="0.25">
      <c r="C286" s="37"/>
      <c r="D286" s="35"/>
    </row>
    <row r="287" spans="3:4" x14ac:dyDescent="0.25">
      <c r="C287" s="37"/>
      <c r="D287" s="35"/>
    </row>
    <row r="288" spans="3:4" x14ac:dyDescent="0.25">
      <c r="C288" s="37"/>
      <c r="D288" s="35"/>
    </row>
    <row r="289" spans="3:4" x14ac:dyDescent="0.25">
      <c r="C289" s="37"/>
      <c r="D289" s="35"/>
    </row>
    <row r="290" spans="3:4" x14ac:dyDescent="0.25">
      <c r="C290" s="37"/>
      <c r="D290" s="35"/>
    </row>
    <row r="291" spans="3:4" x14ac:dyDescent="0.25">
      <c r="C291" s="37"/>
      <c r="D291" s="35"/>
    </row>
    <row r="292" spans="3:4" x14ac:dyDescent="0.25">
      <c r="C292" s="37"/>
      <c r="D292" s="35"/>
    </row>
    <row r="293" spans="3:4" x14ac:dyDescent="0.25">
      <c r="C293" s="37"/>
      <c r="D293" s="35"/>
    </row>
    <row r="294" spans="3:4" x14ac:dyDescent="0.25">
      <c r="C294" s="37"/>
      <c r="D294" s="35"/>
    </row>
    <row r="295" spans="3:4" x14ac:dyDescent="0.25">
      <c r="C295" s="37"/>
      <c r="D295" s="35"/>
    </row>
    <row r="296" spans="3:4" x14ac:dyDescent="0.25">
      <c r="C296" s="37"/>
      <c r="D296" s="35"/>
    </row>
    <row r="297" spans="3:4" x14ac:dyDescent="0.25">
      <c r="C297" s="37"/>
      <c r="D297" s="35"/>
    </row>
    <row r="298" spans="3:4" x14ac:dyDescent="0.25">
      <c r="C298" s="37"/>
      <c r="D298" s="35"/>
    </row>
    <row r="299" spans="3:4" x14ac:dyDescent="0.25">
      <c r="C299" s="37"/>
      <c r="D299" s="35"/>
    </row>
    <row r="300" spans="3:4" x14ac:dyDescent="0.25">
      <c r="C300" s="37"/>
      <c r="D300" s="35"/>
    </row>
    <row r="301" spans="3:4" x14ac:dyDescent="0.25">
      <c r="C301" s="37"/>
      <c r="D301" s="35"/>
    </row>
    <row r="302" spans="3:4" x14ac:dyDescent="0.25">
      <c r="C302" s="37"/>
      <c r="D302" s="35"/>
    </row>
    <row r="303" spans="3:4" x14ac:dyDescent="0.25">
      <c r="C303" s="37"/>
      <c r="D303" s="35"/>
    </row>
    <row r="304" spans="3:4" x14ac:dyDescent="0.25">
      <c r="C304" s="37"/>
      <c r="D304" s="35"/>
    </row>
    <row r="305" spans="3:6" x14ac:dyDescent="0.25">
      <c r="C305" s="37"/>
      <c r="D305" s="35"/>
    </row>
    <row r="306" spans="3:6" x14ac:dyDescent="0.25">
      <c r="C306" s="37"/>
      <c r="D306" s="35"/>
    </row>
    <row r="307" spans="3:6" x14ac:dyDescent="0.25">
      <c r="C307" s="37"/>
      <c r="D307" s="35"/>
    </row>
    <row r="308" spans="3:6" x14ac:dyDescent="0.25">
      <c r="C308" s="37"/>
      <c r="D308" s="35"/>
    </row>
    <row r="309" spans="3:6" x14ac:dyDescent="0.25">
      <c r="C309" s="37"/>
      <c r="D309" s="35"/>
    </row>
    <row r="310" spans="3:6" x14ac:dyDescent="0.25">
      <c r="C310" s="37"/>
      <c r="D310" s="35"/>
    </row>
    <row r="311" spans="3:6" x14ac:dyDescent="0.25">
      <c r="C311" s="37"/>
      <c r="D311" s="35"/>
      <c r="F311" s="36"/>
    </row>
    <row r="312" spans="3:6" x14ac:dyDescent="0.25">
      <c r="C312" s="37"/>
      <c r="D312" s="35"/>
    </row>
    <row r="313" spans="3:6" x14ac:dyDescent="0.25">
      <c r="C313" s="37"/>
      <c r="D313" s="35"/>
    </row>
    <row r="314" spans="3:6" x14ac:dyDescent="0.25">
      <c r="C314" s="37"/>
      <c r="D314" s="35"/>
    </row>
    <row r="315" spans="3:6" x14ac:dyDescent="0.25">
      <c r="C315" s="37"/>
      <c r="D315" s="35"/>
    </row>
    <row r="316" spans="3:6" x14ac:dyDescent="0.25">
      <c r="C316" s="37"/>
      <c r="D316" s="35"/>
    </row>
    <row r="317" spans="3:6" x14ac:dyDescent="0.25">
      <c r="C317" s="37"/>
      <c r="D317" s="35"/>
    </row>
    <row r="318" spans="3:6" x14ac:dyDescent="0.25">
      <c r="C318" s="37"/>
      <c r="D318" s="35"/>
    </row>
    <row r="319" spans="3:6" x14ac:dyDescent="0.25">
      <c r="C319" s="37"/>
      <c r="D319" s="35"/>
    </row>
    <row r="320" spans="3:6" x14ac:dyDescent="0.25">
      <c r="C320" s="37"/>
      <c r="D320" s="35"/>
    </row>
    <row r="321" spans="3:4" x14ac:dyDescent="0.25">
      <c r="C321" s="37"/>
      <c r="D321" s="35"/>
    </row>
    <row r="322" spans="3:4" x14ac:dyDescent="0.25">
      <c r="C322" s="37"/>
      <c r="D322" s="35"/>
    </row>
    <row r="323" spans="3:4" x14ac:dyDescent="0.25">
      <c r="C323" s="37"/>
      <c r="D323" s="35"/>
    </row>
    <row r="324" spans="3:4" x14ac:dyDescent="0.25">
      <c r="C324" s="37"/>
      <c r="D324" s="35"/>
    </row>
    <row r="325" spans="3:4" x14ac:dyDescent="0.25">
      <c r="C325" s="37"/>
      <c r="D325" s="35"/>
    </row>
    <row r="326" spans="3:4" x14ac:dyDescent="0.25">
      <c r="C326" s="37"/>
      <c r="D326" s="35"/>
    </row>
    <row r="327" spans="3:4" x14ac:dyDescent="0.25">
      <c r="C327" s="37"/>
      <c r="D327" s="35"/>
    </row>
    <row r="328" spans="3:4" x14ac:dyDescent="0.25">
      <c r="C328" s="37"/>
      <c r="D328" s="35"/>
    </row>
    <row r="329" spans="3:4" x14ac:dyDescent="0.25">
      <c r="C329" s="37"/>
      <c r="D329" s="35"/>
    </row>
    <row r="330" spans="3:4" x14ac:dyDescent="0.25">
      <c r="C330" s="37"/>
      <c r="D330" s="35"/>
    </row>
    <row r="331" spans="3:4" x14ac:dyDescent="0.25">
      <c r="C331" s="37"/>
      <c r="D331" s="35"/>
    </row>
    <row r="332" spans="3:4" x14ac:dyDescent="0.25">
      <c r="C332" s="37"/>
      <c r="D332" s="35"/>
    </row>
    <row r="333" spans="3:4" x14ac:dyDescent="0.25">
      <c r="C333" s="37"/>
      <c r="D333" s="35"/>
    </row>
    <row r="334" spans="3:4" x14ac:dyDescent="0.25">
      <c r="C334" s="37"/>
      <c r="D334" s="35"/>
    </row>
    <row r="335" spans="3:4" x14ac:dyDescent="0.25">
      <c r="C335" s="37"/>
      <c r="D335" s="35"/>
    </row>
    <row r="336" spans="3:4" x14ac:dyDescent="0.25">
      <c r="C336" s="37"/>
      <c r="D336" s="35"/>
    </row>
    <row r="337" spans="3:4" x14ac:dyDescent="0.25">
      <c r="C337" s="37"/>
      <c r="D337" s="35"/>
    </row>
    <row r="338" spans="3:4" x14ac:dyDescent="0.25">
      <c r="C338" s="37"/>
      <c r="D338" s="35"/>
    </row>
    <row r="339" spans="3:4" x14ac:dyDescent="0.25">
      <c r="C339" s="37"/>
      <c r="D339" s="35"/>
    </row>
    <row r="340" spans="3:4" x14ac:dyDescent="0.25">
      <c r="C340" s="37"/>
      <c r="D340" s="35"/>
    </row>
    <row r="341" spans="3:4" x14ac:dyDescent="0.25">
      <c r="C341" s="37"/>
      <c r="D341" s="35"/>
    </row>
    <row r="342" spans="3:4" x14ac:dyDescent="0.25">
      <c r="C342" s="37"/>
      <c r="D342" s="35"/>
    </row>
    <row r="343" spans="3:4" x14ac:dyDescent="0.25">
      <c r="C343" s="37"/>
      <c r="D343" s="35"/>
    </row>
    <row r="344" spans="3:4" x14ac:dyDescent="0.25">
      <c r="C344" s="37"/>
      <c r="D344" s="35"/>
    </row>
    <row r="345" spans="3:4" x14ac:dyDescent="0.25">
      <c r="C345" s="37"/>
      <c r="D345" s="35"/>
    </row>
    <row r="346" spans="3:4" x14ac:dyDescent="0.25">
      <c r="C346" s="37"/>
      <c r="D346" s="35"/>
    </row>
    <row r="347" spans="3:4" x14ac:dyDescent="0.25">
      <c r="C347" s="37"/>
      <c r="D347" s="35"/>
    </row>
    <row r="348" spans="3:4" x14ac:dyDescent="0.25">
      <c r="C348" s="37"/>
      <c r="D348" s="35"/>
    </row>
    <row r="349" spans="3:4" x14ac:dyDescent="0.25">
      <c r="C349" s="37"/>
      <c r="D349" s="35"/>
    </row>
    <row r="350" spans="3:4" x14ac:dyDescent="0.25">
      <c r="C350" s="37"/>
      <c r="D350" s="35"/>
    </row>
    <row r="351" spans="3:4" x14ac:dyDescent="0.25">
      <c r="C351" s="37"/>
      <c r="D351" s="35"/>
    </row>
    <row r="352" spans="3:4" x14ac:dyDescent="0.25">
      <c r="C352" s="37"/>
      <c r="D352" s="35"/>
    </row>
    <row r="353" spans="3:4" x14ac:dyDescent="0.25">
      <c r="C353" s="37"/>
      <c r="D353" s="35"/>
    </row>
    <row r="354" spans="3:4" x14ac:dyDescent="0.25">
      <c r="C354" s="37"/>
      <c r="D354" s="35"/>
    </row>
    <row r="355" spans="3:4" x14ac:dyDescent="0.25">
      <c r="C355" s="37"/>
      <c r="D355" s="35"/>
    </row>
    <row r="356" spans="3:4" x14ac:dyDescent="0.25">
      <c r="C356" s="37"/>
      <c r="D356" s="35"/>
    </row>
    <row r="357" spans="3:4" x14ac:dyDescent="0.25">
      <c r="C357" s="37"/>
      <c r="D357" s="35"/>
    </row>
    <row r="358" spans="3:4" x14ac:dyDescent="0.25">
      <c r="C358" s="37"/>
      <c r="D358" s="35"/>
    </row>
    <row r="359" spans="3:4" x14ac:dyDescent="0.25">
      <c r="C359" s="37"/>
      <c r="D359" s="35"/>
    </row>
    <row r="360" spans="3:4" x14ac:dyDescent="0.25">
      <c r="C360" s="37"/>
      <c r="D360" s="35"/>
    </row>
    <row r="361" spans="3:4" x14ac:dyDescent="0.25">
      <c r="C361" s="37"/>
      <c r="D361" s="35"/>
    </row>
    <row r="362" spans="3:4" x14ac:dyDescent="0.25">
      <c r="C362" s="37"/>
      <c r="D362" s="35"/>
    </row>
    <row r="363" spans="3:4" x14ac:dyDescent="0.25">
      <c r="C363" s="37"/>
      <c r="D363" s="35"/>
    </row>
    <row r="364" spans="3:4" x14ac:dyDescent="0.25">
      <c r="C364" s="37"/>
      <c r="D364" s="35"/>
    </row>
    <row r="365" spans="3:4" x14ac:dyDescent="0.25">
      <c r="C365" s="37"/>
      <c r="D365" s="35"/>
    </row>
    <row r="366" spans="3:4" x14ac:dyDescent="0.25">
      <c r="C366" s="37"/>
      <c r="D366" s="35"/>
    </row>
    <row r="367" spans="3:4" x14ac:dyDescent="0.25">
      <c r="C367" s="37"/>
      <c r="D367" s="35"/>
    </row>
    <row r="368" spans="3:4" x14ac:dyDescent="0.25">
      <c r="C368" s="37"/>
      <c r="D368" s="35"/>
    </row>
    <row r="369" spans="3:4" x14ac:dyDescent="0.25">
      <c r="C369" s="37"/>
      <c r="D369" s="35"/>
    </row>
    <row r="370" spans="3:4" x14ac:dyDescent="0.25">
      <c r="C370" s="37"/>
      <c r="D370" s="35"/>
    </row>
    <row r="371" spans="3:4" x14ac:dyDescent="0.25">
      <c r="C371" s="37"/>
      <c r="D371" s="35"/>
    </row>
    <row r="372" spans="3:4" x14ac:dyDescent="0.25">
      <c r="C372" s="37"/>
      <c r="D372" s="35"/>
    </row>
    <row r="373" spans="3:4" x14ac:dyDescent="0.25">
      <c r="C373" s="37"/>
      <c r="D373" s="35"/>
    </row>
    <row r="374" spans="3:4" x14ac:dyDescent="0.25">
      <c r="C374" s="37"/>
      <c r="D374" s="35"/>
    </row>
    <row r="375" spans="3:4" x14ac:dyDescent="0.25">
      <c r="C375" s="37"/>
      <c r="D375" s="35"/>
    </row>
    <row r="376" spans="3:4" x14ac:dyDescent="0.25">
      <c r="C376" s="37"/>
      <c r="D376" s="35"/>
    </row>
    <row r="377" spans="3:4" x14ac:dyDescent="0.25">
      <c r="C377" s="37"/>
      <c r="D377" s="35"/>
    </row>
    <row r="378" spans="3:4" x14ac:dyDescent="0.25">
      <c r="C378" s="37"/>
      <c r="D378" s="35"/>
    </row>
    <row r="379" spans="3:4" x14ac:dyDescent="0.25">
      <c r="C379" s="37"/>
      <c r="D379" s="35"/>
    </row>
    <row r="380" spans="3:4" x14ac:dyDescent="0.25">
      <c r="C380" s="37"/>
      <c r="D380" s="35"/>
    </row>
    <row r="381" spans="3:4" x14ac:dyDescent="0.25">
      <c r="C381" s="37"/>
      <c r="D381" s="35"/>
    </row>
    <row r="382" spans="3:4" x14ac:dyDescent="0.25">
      <c r="C382" s="37"/>
      <c r="D382" s="35"/>
    </row>
    <row r="383" spans="3:4" x14ac:dyDescent="0.25">
      <c r="C383" s="37"/>
      <c r="D383" s="35"/>
    </row>
    <row r="384" spans="3:4" x14ac:dyDescent="0.25">
      <c r="C384" s="37"/>
      <c r="D384" s="35"/>
    </row>
    <row r="385" spans="3:4" x14ac:dyDescent="0.25">
      <c r="C385" s="37"/>
      <c r="D385" s="35"/>
    </row>
    <row r="386" spans="3:4" x14ac:dyDescent="0.25">
      <c r="C386" s="37"/>
      <c r="D386" s="35"/>
    </row>
    <row r="387" spans="3:4" x14ac:dyDescent="0.25">
      <c r="C387" s="37"/>
      <c r="D387" s="35"/>
    </row>
    <row r="388" spans="3:4" x14ac:dyDescent="0.25">
      <c r="C388" s="37"/>
      <c r="D388" s="35"/>
    </row>
    <row r="389" spans="3:4" x14ac:dyDescent="0.25">
      <c r="C389" s="37"/>
      <c r="D389" s="35"/>
    </row>
    <row r="390" spans="3:4" x14ac:dyDescent="0.25">
      <c r="C390" s="37"/>
      <c r="D390" s="35"/>
    </row>
    <row r="391" spans="3:4" x14ac:dyDescent="0.25">
      <c r="C391" s="37"/>
      <c r="D391" s="35"/>
    </row>
    <row r="392" spans="3:4" x14ac:dyDescent="0.25">
      <c r="C392" s="37"/>
      <c r="D392" s="35"/>
    </row>
    <row r="393" spans="3:4" x14ac:dyDescent="0.25">
      <c r="C393" s="37"/>
      <c r="D393" s="35"/>
    </row>
    <row r="394" spans="3:4" x14ac:dyDescent="0.25">
      <c r="C394" s="37"/>
      <c r="D394" s="35"/>
    </row>
    <row r="395" spans="3:4" x14ac:dyDescent="0.25">
      <c r="C395" s="37"/>
      <c r="D395" s="35"/>
    </row>
    <row r="396" spans="3:4" x14ac:dyDescent="0.25">
      <c r="C396" s="37"/>
      <c r="D396" s="35"/>
    </row>
    <row r="397" spans="3:4" x14ac:dyDescent="0.25">
      <c r="C397" s="37"/>
      <c r="D397" s="35"/>
    </row>
    <row r="398" spans="3:4" x14ac:dyDescent="0.25">
      <c r="C398" s="37"/>
      <c r="D398" s="35"/>
    </row>
    <row r="399" spans="3:4" x14ac:dyDescent="0.25">
      <c r="C399" s="37"/>
      <c r="D399" s="35"/>
    </row>
    <row r="400" spans="3:4" x14ac:dyDescent="0.25">
      <c r="C400" s="37"/>
      <c r="D400" s="35"/>
    </row>
    <row r="401" spans="3:4" x14ac:dyDescent="0.25">
      <c r="C401" s="37"/>
      <c r="D401" s="35"/>
    </row>
    <row r="402" spans="3:4" x14ac:dyDescent="0.25">
      <c r="C402" s="37"/>
      <c r="D402" s="35"/>
    </row>
    <row r="403" spans="3:4" x14ac:dyDescent="0.25">
      <c r="C403" s="37"/>
      <c r="D403" s="35"/>
    </row>
    <row r="404" spans="3:4" x14ac:dyDescent="0.25">
      <c r="C404" s="37"/>
      <c r="D404" s="35"/>
    </row>
    <row r="405" spans="3:4" x14ac:dyDescent="0.25">
      <c r="C405" s="37"/>
      <c r="D405" s="35"/>
    </row>
    <row r="406" spans="3:4" x14ac:dyDescent="0.25">
      <c r="C406" s="37"/>
      <c r="D406" s="35"/>
    </row>
    <row r="407" spans="3:4" x14ac:dyDescent="0.25">
      <c r="C407" s="37"/>
      <c r="D407" s="35"/>
    </row>
    <row r="408" spans="3:4" x14ac:dyDescent="0.25">
      <c r="C408" s="37"/>
      <c r="D408" s="35"/>
    </row>
    <row r="409" spans="3:4" x14ac:dyDescent="0.25">
      <c r="C409" s="37"/>
      <c r="D409" s="35"/>
    </row>
    <row r="410" spans="3:4" x14ac:dyDescent="0.25">
      <c r="C410" s="37"/>
      <c r="D410" s="35"/>
    </row>
    <row r="411" spans="3:4" x14ac:dyDescent="0.25">
      <c r="C411" s="37"/>
      <c r="D411" s="35"/>
    </row>
    <row r="412" spans="3:4" x14ac:dyDescent="0.25">
      <c r="C412" s="37"/>
      <c r="D412" s="35"/>
    </row>
    <row r="413" spans="3:4" x14ac:dyDescent="0.25">
      <c r="C413" s="37"/>
      <c r="D413" s="35"/>
    </row>
    <row r="414" spans="3:4" x14ac:dyDescent="0.25">
      <c r="C414" s="37"/>
      <c r="D414" s="35"/>
    </row>
    <row r="415" spans="3:4" x14ac:dyDescent="0.25">
      <c r="C415" s="37"/>
      <c r="D415" s="35"/>
    </row>
    <row r="416" spans="3:4" x14ac:dyDescent="0.25">
      <c r="C416" s="37"/>
      <c r="D416" s="35"/>
    </row>
    <row r="417" spans="3:4" x14ac:dyDescent="0.25">
      <c r="C417" s="37"/>
      <c r="D417" s="35"/>
    </row>
    <row r="418" spans="3:4" x14ac:dyDescent="0.25">
      <c r="C418" s="37"/>
      <c r="D418" s="35"/>
    </row>
    <row r="419" spans="3:4" x14ac:dyDescent="0.25">
      <c r="C419" s="37"/>
      <c r="D419" s="35"/>
    </row>
    <row r="420" spans="3:4" x14ac:dyDescent="0.25">
      <c r="C420" s="37"/>
      <c r="D420" s="35"/>
    </row>
    <row r="421" spans="3:4" x14ac:dyDescent="0.25">
      <c r="C421" s="37"/>
      <c r="D421" s="35"/>
    </row>
    <row r="422" spans="3:4" x14ac:dyDescent="0.25">
      <c r="C422" s="37"/>
      <c r="D422" s="35"/>
    </row>
    <row r="423" spans="3:4" x14ac:dyDescent="0.25">
      <c r="C423" s="37"/>
      <c r="D423" s="35"/>
    </row>
    <row r="424" spans="3:4" x14ac:dyDescent="0.25">
      <c r="C424" s="37"/>
      <c r="D424" s="35"/>
    </row>
    <row r="425" spans="3:4" x14ac:dyDescent="0.25">
      <c r="C425" s="37"/>
      <c r="D425" s="35"/>
    </row>
    <row r="426" spans="3:4" x14ac:dyDescent="0.25">
      <c r="C426" s="37"/>
      <c r="D426" s="35"/>
    </row>
    <row r="427" spans="3:4" x14ac:dyDescent="0.25">
      <c r="C427" s="37"/>
      <c r="D427" s="35"/>
    </row>
    <row r="428" spans="3:4" x14ac:dyDescent="0.25">
      <c r="C428" s="37"/>
      <c r="D428" s="35"/>
    </row>
    <row r="429" spans="3:4" x14ac:dyDescent="0.25">
      <c r="C429" s="37"/>
      <c r="D429" s="35"/>
    </row>
    <row r="430" spans="3:4" x14ac:dyDescent="0.25">
      <c r="C430" s="37"/>
      <c r="D430" s="35"/>
    </row>
    <row r="431" spans="3:4" x14ac:dyDescent="0.25">
      <c r="C431" s="37"/>
      <c r="D431" s="35"/>
    </row>
    <row r="432" spans="3:4" x14ac:dyDescent="0.25">
      <c r="C432" s="37"/>
      <c r="D432" s="35"/>
    </row>
    <row r="433" spans="3:4" x14ac:dyDescent="0.25">
      <c r="C433" s="37"/>
      <c r="D433" s="35"/>
    </row>
    <row r="434" spans="3:4" x14ac:dyDescent="0.25">
      <c r="C434" s="37"/>
      <c r="D434" s="35"/>
    </row>
    <row r="435" spans="3:4" x14ac:dyDescent="0.25">
      <c r="C435" s="37"/>
      <c r="D435" s="35"/>
    </row>
    <row r="436" spans="3:4" x14ac:dyDescent="0.25">
      <c r="C436" s="37"/>
      <c r="D436" s="35"/>
    </row>
    <row r="437" spans="3:4" x14ac:dyDescent="0.25">
      <c r="C437" s="37"/>
      <c r="D437" s="35"/>
    </row>
    <row r="438" spans="3:4" x14ac:dyDescent="0.25">
      <c r="C438" s="37"/>
      <c r="D438" s="35"/>
    </row>
    <row r="439" spans="3:4" x14ac:dyDescent="0.25">
      <c r="C439" s="37"/>
      <c r="D439" s="35"/>
    </row>
    <row r="440" spans="3:4" x14ac:dyDescent="0.25">
      <c r="C440" s="37"/>
      <c r="D440" s="35"/>
    </row>
    <row r="441" spans="3:4" x14ac:dyDescent="0.25">
      <c r="C441" s="37"/>
      <c r="D441" s="35"/>
    </row>
    <row r="442" spans="3:4" x14ac:dyDescent="0.25">
      <c r="C442" s="37"/>
      <c r="D442" s="35"/>
    </row>
    <row r="443" spans="3:4" x14ac:dyDescent="0.25">
      <c r="C443" s="37"/>
      <c r="D443" s="35"/>
    </row>
    <row r="444" spans="3:4" x14ac:dyDescent="0.25">
      <c r="C444" s="37"/>
      <c r="D444" s="35"/>
    </row>
    <row r="445" spans="3:4" x14ac:dyDescent="0.25">
      <c r="C445" s="37"/>
      <c r="D445" s="35"/>
    </row>
    <row r="446" spans="3:4" x14ac:dyDescent="0.25">
      <c r="C446" s="37"/>
      <c r="D446" s="35"/>
    </row>
    <row r="447" spans="3:4" x14ac:dyDescent="0.25">
      <c r="C447" s="37"/>
      <c r="D447" s="35"/>
    </row>
    <row r="448" spans="3:4" x14ac:dyDescent="0.25">
      <c r="C448" s="37"/>
      <c r="D448" s="35"/>
    </row>
    <row r="449" spans="3:4" x14ac:dyDescent="0.25">
      <c r="C449" s="37"/>
      <c r="D449" s="35"/>
    </row>
    <row r="450" spans="3:4" x14ac:dyDescent="0.25">
      <c r="C450" s="37"/>
      <c r="D450" s="35"/>
    </row>
    <row r="451" spans="3:4" x14ac:dyDescent="0.25">
      <c r="C451" s="37"/>
      <c r="D451" s="35"/>
    </row>
    <row r="452" spans="3:4" x14ac:dyDescent="0.25">
      <c r="C452" s="37"/>
      <c r="D452" s="35"/>
    </row>
    <row r="453" spans="3:4" x14ac:dyDescent="0.25">
      <c r="C453" s="37"/>
      <c r="D453" s="35"/>
    </row>
    <row r="454" spans="3:4" x14ac:dyDescent="0.25">
      <c r="C454" s="37"/>
      <c r="D454" s="35"/>
    </row>
    <row r="455" spans="3:4" x14ac:dyDescent="0.25">
      <c r="C455" s="37"/>
      <c r="D455" s="35"/>
    </row>
    <row r="456" spans="3:4" x14ac:dyDescent="0.25">
      <c r="C456" s="37"/>
      <c r="D456" s="35"/>
    </row>
    <row r="457" spans="3:4" x14ac:dyDescent="0.25">
      <c r="C457" s="37"/>
      <c r="D457" s="35"/>
    </row>
    <row r="458" spans="3:4" x14ac:dyDescent="0.25">
      <c r="C458" s="37"/>
      <c r="D458" s="35"/>
    </row>
    <row r="459" spans="3:4" x14ac:dyDescent="0.25">
      <c r="C459" s="37"/>
      <c r="D459" s="35"/>
    </row>
    <row r="460" spans="3:4" x14ac:dyDescent="0.25">
      <c r="C460" s="37"/>
      <c r="D460" s="35"/>
    </row>
    <row r="461" spans="3:4" x14ac:dyDescent="0.25">
      <c r="C461" s="37"/>
      <c r="D461" s="35"/>
    </row>
    <row r="462" spans="3:4" x14ac:dyDescent="0.25">
      <c r="C462" s="37"/>
      <c r="D462" s="35"/>
    </row>
    <row r="463" spans="3:4" x14ac:dyDescent="0.25">
      <c r="C463" s="37"/>
      <c r="D463" s="35"/>
    </row>
    <row r="464" spans="3:4" x14ac:dyDescent="0.25">
      <c r="C464" s="37"/>
      <c r="D464" s="35"/>
    </row>
    <row r="465" spans="3:4" x14ac:dyDescent="0.25">
      <c r="C465" s="37"/>
      <c r="D465" s="35"/>
    </row>
    <row r="466" spans="3:4" x14ac:dyDescent="0.25">
      <c r="C466" s="37"/>
      <c r="D466" s="35"/>
    </row>
    <row r="467" spans="3:4" x14ac:dyDescent="0.25">
      <c r="C467" s="37"/>
      <c r="D467" s="35"/>
    </row>
    <row r="468" spans="3:4" x14ac:dyDescent="0.25">
      <c r="C468" s="37"/>
      <c r="D468" s="35"/>
    </row>
    <row r="469" spans="3:4" x14ac:dyDescent="0.25">
      <c r="C469" s="37"/>
      <c r="D469" s="35"/>
    </row>
    <row r="470" spans="3:4" x14ac:dyDescent="0.25">
      <c r="C470" s="37"/>
      <c r="D470" s="35"/>
    </row>
    <row r="471" spans="3:4" x14ac:dyDescent="0.25">
      <c r="C471" s="37"/>
      <c r="D471" s="35"/>
    </row>
    <row r="472" spans="3:4" x14ac:dyDescent="0.25">
      <c r="C472" s="37"/>
      <c r="D472" s="35"/>
    </row>
    <row r="473" spans="3:4" x14ac:dyDescent="0.25">
      <c r="C473" s="37"/>
      <c r="D473" s="35"/>
    </row>
    <row r="474" spans="3:4" x14ac:dyDescent="0.25">
      <c r="C474" s="37"/>
      <c r="D474" s="35"/>
    </row>
    <row r="475" spans="3:4" x14ac:dyDescent="0.25">
      <c r="C475" s="37"/>
      <c r="D475" s="35"/>
    </row>
    <row r="476" spans="3:4" x14ac:dyDescent="0.25">
      <c r="C476" s="37"/>
      <c r="D476" s="35"/>
    </row>
    <row r="477" spans="3:4" x14ac:dyDescent="0.25">
      <c r="C477" s="37"/>
      <c r="D477" s="35"/>
    </row>
    <row r="478" spans="3:4" x14ac:dyDescent="0.25">
      <c r="C478" s="37"/>
      <c r="D478" s="35"/>
    </row>
    <row r="479" spans="3:4" x14ac:dyDescent="0.25">
      <c r="C479" s="37"/>
      <c r="D479" s="35"/>
    </row>
    <row r="480" spans="3:4" x14ac:dyDescent="0.25">
      <c r="C480" s="37"/>
      <c r="D480" s="35"/>
    </row>
    <row r="481" spans="3:4" x14ac:dyDescent="0.25">
      <c r="C481" s="37"/>
      <c r="D481" s="35"/>
    </row>
    <row r="482" spans="3:4" x14ac:dyDescent="0.25">
      <c r="C482" s="37"/>
      <c r="D482" s="35"/>
    </row>
    <row r="483" spans="3:4" x14ac:dyDescent="0.25">
      <c r="C483" s="37"/>
      <c r="D483" s="35"/>
    </row>
    <row r="484" spans="3:4" x14ac:dyDescent="0.25">
      <c r="C484" s="37"/>
      <c r="D484" s="35"/>
    </row>
    <row r="485" spans="3:4" x14ac:dyDescent="0.25">
      <c r="C485" s="37"/>
      <c r="D485" s="35"/>
    </row>
    <row r="486" spans="3:4" x14ac:dyDescent="0.25">
      <c r="C486" s="37"/>
      <c r="D486" s="35"/>
    </row>
    <row r="487" spans="3:4" x14ac:dyDescent="0.25">
      <c r="C487" s="37"/>
      <c r="D487" s="35"/>
    </row>
    <row r="488" spans="3:4" x14ac:dyDescent="0.25">
      <c r="C488" s="37"/>
      <c r="D488" s="35"/>
    </row>
    <row r="489" spans="3:4" x14ac:dyDescent="0.25">
      <c r="C489" s="37"/>
      <c r="D489" s="35"/>
    </row>
    <row r="490" spans="3:4" x14ac:dyDescent="0.25">
      <c r="C490" s="37"/>
      <c r="D490" s="35"/>
    </row>
    <row r="491" spans="3:4" x14ac:dyDescent="0.25">
      <c r="C491" s="37"/>
      <c r="D491" s="35"/>
    </row>
    <row r="492" spans="3:4" x14ac:dyDescent="0.25">
      <c r="C492" s="37"/>
      <c r="D492" s="35"/>
    </row>
    <row r="493" spans="3:4" x14ac:dyDescent="0.25">
      <c r="C493" s="37"/>
      <c r="D493" s="35"/>
    </row>
    <row r="494" spans="3:4" x14ac:dyDescent="0.25">
      <c r="C494" s="37"/>
      <c r="D494" s="35"/>
    </row>
    <row r="495" spans="3:4" x14ac:dyDescent="0.25">
      <c r="C495" s="37"/>
      <c r="D495" s="35"/>
    </row>
    <row r="496" spans="3:4" x14ac:dyDescent="0.25">
      <c r="C496" s="37"/>
      <c r="D496" s="35"/>
    </row>
    <row r="497" spans="3:4" x14ac:dyDescent="0.25">
      <c r="C497" s="37"/>
      <c r="D497" s="35"/>
    </row>
    <row r="498" spans="3:4" x14ac:dyDescent="0.25">
      <c r="C498" s="37"/>
      <c r="D498" s="35"/>
    </row>
    <row r="499" spans="3:4" x14ac:dyDescent="0.25">
      <c r="C499" s="37"/>
      <c r="D499" s="35"/>
    </row>
    <row r="500" spans="3:4" x14ac:dyDescent="0.25">
      <c r="C500" s="37"/>
      <c r="D500" s="35"/>
    </row>
    <row r="501" spans="3:4" x14ac:dyDescent="0.25">
      <c r="C501" s="37"/>
      <c r="D501" s="35"/>
    </row>
    <row r="502" spans="3:4" x14ac:dyDescent="0.25">
      <c r="C502" s="37"/>
      <c r="D502" s="35"/>
    </row>
    <row r="503" spans="3:4" x14ac:dyDescent="0.25">
      <c r="C503" s="37"/>
      <c r="D503" s="35"/>
    </row>
    <row r="504" spans="3:4" x14ac:dyDescent="0.25">
      <c r="C504" s="37"/>
      <c r="D504" s="35"/>
    </row>
    <row r="505" spans="3:4" x14ac:dyDescent="0.25">
      <c r="C505" s="37"/>
      <c r="D505" s="35"/>
    </row>
    <row r="506" spans="3:4" x14ac:dyDescent="0.25">
      <c r="C506" s="37"/>
      <c r="D506" s="35"/>
    </row>
    <row r="507" spans="3:4" x14ac:dyDescent="0.25">
      <c r="C507" s="37"/>
      <c r="D507" s="35"/>
    </row>
    <row r="508" spans="3:4" x14ac:dyDescent="0.25">
      <c r="C508" s="37"/>
      <c r="D508" s="35"/>
    </row>
    <row r="509" spans="3:4" x14ac:dyDescent="0.25">
      <c r="C509" s="37"/>
      <c r="D509" s="35"/>
    </row>
    <row r="510" spans="3:4" x14ac:dyDescent="0.25">
      <c r="C510" s="37"/>
      <c r="D510" s="35"/>
    </row>
    <row r="511" spans="3:4" x14ac:dyDescent="0.25">
      <c r="C511" s="37"/>
      <c r="D511" s="35"/>
    </row>
    <row r="512" spans="3:4" x14ac:dyDescent="0.25">
      <c r="C512" s="37"/>
      <c r="D512" s="35"/>
    </row>
    <row r="513" spans="3:4" x14ac:dyDescent="0.25">
      <c r="C513" s="37"/>
      <c r="D513" s="35"/>
    </row>
    <row r="514" spans="3:4" x14ac:dyDescent="0.25">
      <c r="C514" s="37"/>
      <c r="D514" s="35"/>
    </row>
    <row r="515" spans="3:4" x14ac:dyDescent="0.25">
      <c r="C515" s="37"/>
      <c r="D515" s="35"/>
    </row>
    <row r="516" spans="3:4" x14ac:dyDescent="0.25">
      <c r="C516" s="37"/>
      <c r="D516" s="35"/>
    </row>
    <row r="517" spans="3:4" x14ac:dyDescent="0.25">
      <c r="C517" s="37"/>
      <c r="D517" s="35"/>
    </row>
    <row r="518" spans="3:4" x14ac:dyDescent="0.25">
      <c r="C518" s="37"/>
      <c r="D518" s="35"/>
    </row>
    <row r="519" spans="3:4" x14ac:dyDescent="0.25">
      <c r="C519" s="37"/>
      <c r="D519" s="35"/>
    </row>
    <row r="520" spans="3:4" x14ac:dyDescent="0.25">
      <c r="C520" s="37"/>
      <c r="D520" s="35"/>
    </row>
    <row r="521" spans="3:4" x14ac:dyDescent="0.25">
      <c r="C521" s="37"/>
      <c r="D521" s="35"/>
    </row>
    <row r="522" spans="3:4" x14ac:dyDescent="0.25">
      <c r="C522" s="37"/>
      <c r="D522" s="35"/>
    </row>
    <row r="523" spans="3:4" x14ac:dyDescent="0.25">
      <c r="C523" s="37"/>
      <c r="D523" s="35"/>
    </row>
    <row r="524" spans="3:4" x14ac:dyDescent="0.25">
      <c r="C524" s="37"/>
      <c r="D524" s="35"/>
    </row>
    <row r="525" spans="3:4" x14ac:dyDescent="0.25">
      <c r="C525" s="37"/>
      <c r="D525" s="35"/>
    </row>
    <row r="526" spans="3:4" x14ac:dyDescent="0.25">
      <c r="C526" s="37"/>
      <c r="D526" s="35"/>
    </row>
    <row r="527" spans="3:4" x14ac:dyDescent="0.25">
      <c r="C527" s="37"/>
      <c r="D527" s="35"/>
    </row>
    <row r="528" spans="3:4" x14ac:dyDescent="0.25">
      <c r="C528" s="37"/>
      <c r="D528" s="35"/>
    </row>
    <row r="529" spans="3:4" x14ac:dyDescent="0.25">
      <c r="C529" s="37"/>
      <c r="D529" s="35"/>
    </row>
    <row r="530" spans="3:4" x14ac:dyDescent="0.25">
      <c r="C530" s="37"/>
      <c r="D530" s="35"/>
    </row>
    <row r="531" spans="3:4" x14ac:dyDescent="0.25">
      <c r="C531" s="37"/>
      <c r="D531" s="35"/>
    </row>
    <row r="532" spans="3:4" x14ac:dyDescent="0.25">
      <c r="C532" s="37"/>
      <c r="D532" s="35"/>
    </row>
    <row r="533" spans="3:4" x14ac:dyDescent="0.25">
      <c r="C533" s="37"/>
      <c r="D533" s="35"/>
    </row>
    <row r="534" spans="3:4" x14ac:dyDescent="0.25">
      <c r="C534" s="37"/>
      <c r="D534" s="35"/>
    </row>
    <row r="535" spans="3:4" x14ac:dyDescent="0.25">
      <c r="C535" s="37"/>
      <c r="D535" s="35"/>
    </row>
    <row r="536" spans="3:4" x14ac:dyDescent="0.25">
      <c r="C536" s="37"/>
      <c r="D536" s="35"/>
    </row>
    <row r="537" spans="3:4" x14ac:dyDescent="0.25">
      <c r="C537" s="37"/>
      <c r="D537" s="35"/>
    </row>
    <row r="538" spans="3:4" x14ac:dyDescent="0.25">
      <c r="C538" s="37"/>
      <c r="D538" s="35"/>
    </row>
    <row r="539" spans="3:4" x14ac:dyDescent="0.25">
      <c r="C539" s="37"/>
      <c r="D539" s="35"/>
    </row>
    <row r="540" spans="3:4" x14ac:dyDescent="0.25">
      <c r="C540" s="37"/>
      <c r="D540" s="35"/>
    </row>
    <row r="541" spans="3:4" x14ac:dyDescent="0.25">
      <c r="C541" s="37"/>
      <c r="D541" s="35"/>
    </row>
    <row r="542" spans="3:4" x14ac:dyDescent="0.25">
      <c r="C542" s="37"/>
      <c r="D542" s="35"/>
    </row>
    <row r="543" spans="3:4" x14ac:dyDescent="0.25">
      <c r="C543" s="37"/>
      <c r="D543" s="35"/>
    </row>
    <row r="544" spans="3:4" x14ac:dyDescent="0.25">
      <c r="C544" s="37"/>
      <c r="D544" s="35"/>
    </row>
    <row r="545" spans="3:4" x14ac:dyDescent="0.25">
      <c r="C545" s="37"/>
      <c r="D545" s="35"/>
    </row>
    <row r="546" spans="3:4" x14ac:dyDescent="0.25">
      <c r="C546" s="37"/>
      <c r="D546" s="35"/>
    </row>
    <row r="547" spans="3:4" x14ac:dyDescent="0.25">
      <c r="C547" s="37"/>
      <c r="D547" s="35"/>
    </row>
    <row r="548" spans="3:4" x14ac:dyDescent="0.25">
      <c r="C548" s="37"/>
      <c r="D548" s="35"/>
    </row>
    <row r="549" spans="3:4" x14ac:dyDescent="0.25">
      <c r="C549" s="37"/>
      <c r="D549" s="35"/>
    </row>
    <row r="550" spans="3:4" x14ac:dyDescent="0.25">
      <c r="C550" s="37"/>
      <c r="D550" s="35"/>
    </row>
    <row r="551" spans="3:4" x14ac:dyDescent="0.25">
      <c r="C551" s="37"/>
      <c r="D551" s="35"/>
    </row>
    <row r="552" spans="3:4" x14ac:dyDescent="0.25">
      <c r="C552" s="37"/>
      <c r="D552" s="35"/>
    </row>
    <row r="553" spans="3:4" x14ac:dyDescent="0.25">
      <c r="C553" s="37"/>
      <c r="D553" s="35"/>
    </row>
    <row r="554" spans="3:4" x14ac:dyDescent="0.25">
      <c r="C554" s="37"/>
      <c r="D554" s="35"/>
    </row>
    <row r="555" spans="3:4" x14ac:dyDescent="0.25">
      <c r="C555" s="37"/>
      <c r="D555" s="35"/>
    </row>
    <row r="556" spans="3:4" x14ac:dyDescent="0.25">
      <c r="C556" s="37"/>
      <c r="D556" s="35"/>
    </row>
    <row r="557" spans="3:4" x14ac:dyDescent="0.25">
      <c r="C557" s="37"/>
      <c r="D557" s="35"/>
    </row>
    <row r="558" spans="3:4" x14ac:dyDescent="0.25">
      <c r="C558" s="37"/>
      <c r="D558" s="35"/>
    </row>
    <row r="559" spans="3:4" x14ac:dyDescent="0.25">
      <c r="C559" s="37"/>
      <c r="D559" s="35"/>
    </row>
    <row r="560" spans="3:4" x14ac:dyDescent="0.25">
      <c r="C560" s="37"/>
      <c r="D560" s="35"/>
    </row>
    <row r="561" spans="3:4" x14ac:dyDescent="0.25">
      <c r="C561" s="37"/>
      <c r="D561" s="35"/>
    </row>
    <row r="562" spans="3:4" x14ac:dyDescent="0.25">
      <c r="C562" s="37"/>
      <c r="D562" s="35"/>
    </row>
    <row r="563" spans="3:4" x14ac:dyDescent="0.25">
      <c r="C563" s="37"/>
      <c r="D563" s="35"/>
    </row>
    <row r="564" spans="3:4" x14ac:dyDescent="0.25">
      <c r="C564" s="37"/>
      <c r="D564" s="35"/>
    </row>
    <row r="565" spans="3:4" x14ac:dyDescent="0.25">
      <c r="C565" s="37"/>
      <c r="D565" s="35"/>
    </row>
    <row r="566" spans="3:4" x14ac:dyDescent="0.25">
      <c r="C566" s="37"/>
      <c r="D566" s="35"/>
    </row>
    <row r="567" spans="3:4" x14ac:dyDescent="0.25">
      <c r="C567" s="37"/>
      <c r="D567" s="35"/>
    </row>
    <row r="568" spans="3:4" x14ac:dyDescent="0.25">
      <c r="C568" s="37"/>
      <c r="D568" s="35"/>
    </row>
    <row r="569" spans="3:4" x14ac:dyDescent="0.25">
      <c r="C569" s="37"/>
      <c r="D569" s="35"/>
    </row>
    <row r="570" spans="3:4" x14ac:dyDescent="0.25">
      <c r="C570" s="37"/>
      <c r="D570" s="35"/>
    </row>
    <row r="571" spans="3:4" x14ac:dyDescent="0.25">
      <c r="C571" s="37"/>
      <c r="D571" s="35"/>
    </row>
    <row r="572" spans="3:4" x14ac:dyDescent="0.25">
      <c r="C572" s="37"/>
      <c r="D572" s="35"/>
    </row>
    <row r="573" spans="3:4" x14ac:dyDescent="0.25">
      <c r="C573" s="37"/>
      <c r="D573" s="35"/>
    </row>
    <row r="574" spans="3:4" x14ac:dyDescent="0.25">
      <c r="C574" s="37"/>
      <c r="D574" s="35"/>
    </row>
    <row r="575" spans="3:4" x14ac:dyDescent="0.25">
      <c r="C575" s="37"/>
      <c r="D575" s="35"/>
    </row>
    <row r="576" spans="3:4" x14ac:dyDescent="0.25">
      <c r="C576" s="37"/>
      <c r="D576" s="35"/>
    </row>
    <row r="577" spans="3:4" x14ac:dyDescent="0.25">
      <c r="C577" s="37"/>
      <c r="D577" s="35"/>
    </row>
    <row r="578" spans="3:4" x14ac:dyDescent="0.25">
      <c r="C578" s="37"/>
      <c r="D578" s="35"/>
    </row>
    <row r="579" spans="3:4" x14ac:dyDescent="0.25">
      <c r="C579" s="37"/>
      <c r="D579" s="35"/>
    </row>
    <row r="580" spans="3:4" x14ac:dyDescent="0.25">
      <c r="C580" s="37"/>
      <c r="D580" s="35"/>
    </row>
    <row r="581" spans="3:4" x14ac:dyDescent="0.25">
      <c r="C581" s="37"/>
      <c r="D581" s="35"/>
    </row>
    <row r="582" spans="3:4" x14ac:dyDescent="0.25">
      <c r="C582" s="37"/>
      <c r="D582" s="35"/>
    </row>
    <row r="583" spans="3:4" x14ac:dyDescent="0.25">
      <c r="C583" s="37"/>
      <c r="D583" s="35"/>
    </row>
    <row r="584" spans="3:4" x14ac:dyDescent="0.25">
      <c r="C584" s="37"/>
      <c r="D584" s="35"/>
    </row>
    <row r="585" spans="3:4" x14ac:dyDescent="0.25">
      <c r="C585" s="37"/>
      <c r="D585" s="35"/>
    </row>
    <row r="586" spans="3:4" x14ac:dyDescent="0.25">
      <c r="C586" s="37"/>
      <c r="D586" s="35"/>
    </row>
    <row r="587" spans="3:4" x14ac:dyDescent="0.25">
      <c r="C587" s="37"/>
      <c r="D587" s="35"/>
    </row>
    <row r="588" spans="3:4" x14ac:dyDescent="0.25">
      <c r="C588" s="37"/>
      <c r="D588" s="35"/>
    </row>
    <row r="589" spans="3:4" x14ac:dyDescent="0.25">
      <c r="C589" s="37"/>
      <c r="D589" s="35"/>
    </row>
    <row r="590" spans="3:4" x14ac:dyDescent="0.25">
      <c r="C590" s="37"/>
      <c r="D590" s="35"/>
    </row>
    <row r="591" spans="3:4" x14ac:dyDescent="0.25">
      <c r="C591" s="37"/>
      <c r="D591" s="35"/>
    </row>
    <row r="592" spans="3:4" x14ac:dyDescent="0.25">
      <c r="C592" s="37"/>
      <c r="D592" s="35"/>
    </row>
    <row r="593" spans="3:4" x14ac:dyDescent="0.25">
      <c r="C593" s="37"/>
      <c r="D593" s="35"/>
    </row>
    <row r="594" spans="3:4" x14ac:dyDescent="0.25">
      <c r="C594" s="37"/>
      <c r="D594" s="35"/>
    </row>
    <row r="595" spans="3:4" x14ac:dyDescent="0.25">
      <c r="C595" s="37"/>
      <c r="D595" s="35"/>
    </row>
    <row r="596" spans="3:4" x14ac:dyDescent="0.25">
      <c r="C596" s="37"/>
      <c r="D596" s="35"/>
    </row>
    <row r="597" spans="3:4" x14ac:dyDescent="0.25">
      <c r="C597" s="37"/>
      <c r="D597" s="35"/>
    </row>
    <row r="598" spans="3:4" x14ac:dyDescent="0.25">
      <c r="C598" s="37"/>
      <c r="D598" s="35"/>
    </row>
    <row r="599" spans="3:4" x14ac:dyDescent="0.25">
      <c r="C599" s="37"/>
      <c r="D599" s="35"/>
    </row>
    <row r="600" spans="3:4" x14ac:dyDescent="0.25">
      <c r="C600" s="37"/>
      <c r="D600" s="35"/>
    </row>
    <row r="601" spans="3:4" x14ac:dyDescent="0.25">
      <c r="C601" s="37"/>
      <c r="D601" s="35"/>
    </row>
    <row r="602" spans="3:4" x14ac:dyDescent="0.25">
      <c r="C602" s="37"/>
      <c r="D602" s="35"/>
    </row>
    <row r="603" spans="3:4" x14ac:dyDescent="0.25">
      <c r="C603" s="37"/>
      <c r="D603" s="35"/>
    </row>
    <row r="604" spans="3:4" x14ac:dyDescent="0.25">
      <c r="C604" s="37"/>
      <c r="D604" s="35"/>
    </row>
    <row r="605" spans="3:4" x14ac:dyDescent="0.25">
      <c r="C605" s="37"/>
      <c r="D605" s="35"/>
    </row>
    <row r="606" spans="3:4" x14ac:dyDescent="0.25">
      <c r="C606" s="37"/>
      <c r="D606" s="35"/>
    </row>
    <row r="607" spans="3:4" x14ac:dyDescent="0.25">
      <c r="C607" s="37"/>
      <c r="D607" s="35"/>
    </row>
    <row r="608" spans="3:4" x14ac:dyDescent="0.25">
      <c r="C608" s="37"/>
      <c r="D608" s="35"/>
    </row>
    <row r="609" spans="3:4" x14ac:dyDescent="0.25">
      <c r="C609" s="37"/>
      <c r="D609" s="35"/>
    </row>
    <row r="610" spans="3:4" x14ac:dyDescent="0.25">
      <c r="C610" s="37"/>
      <c r="D610" s="35"/>
    </row>
    <row r="611" spans="3:4" x14ac:dyDescent="0.25">
      <c r="C611" s="37"/>
      <c r="D611" s="35"/>
    </row>
    <row r="612" spans="3:4" x14ac:dyDescent="0.25">
      <c r="C612" s="37"/>
      <c r="D612" s="35"/>
    </row>
    <row r="613" spans="3:4" x14ac:dyDescent="0.25">
      <c r="C613" s="37"/>
      <c r="D613" s="35"/>
    </row>
    <row r="614" spans="3:4" x14ac:dyDescent="0.25">
      <c r="C614" s="37"/>
      <c r="D614" s="35"/>
    </row>
    <row r="615" spans="3:4" x14ac:dyDescent="0.25">
      <c r="C615" s="37"/>
      <c r="D615" s="35"/>
    </row>
    <row r="616" spans="3:4" x14ac:dyDescent="0.25">
      <c r="C616" s="37"/>
      <c r="D616" s="35"/>
    </row>
    <row r="617" spans="3:4" x14ac:dyDescent="0.25">
      <c r="C617" s="37"/>
      <c r="D617" s="35"/>
    </row>
    <row r="618" spans="3:4" x14ac:dyDescent="0.25">
      <c r="C618" s="37"/>
      <c r="D618" s="35"/>
    </row>
    <row r="619" spans="3:4" x14ac:dyDescent="0.25">
      <c r="C619" s="37"/>
      <c r="D619" s="35"/>
    </row>
    <row r="620" spans="3:4" x14ac:dyDescent="0.25">
      <c r="C620" s="37"/>
      <c r="D620" s="35"/>
    </row>
    <row r="621" spans="3:4" x14ac:dyDescent="0.25">
      <c r="C621" s="37"/>
      <c r="D621" s="35"/>
    </row>
    <row r="622" spans="3:4" x14ac:dyDescent="0.25">
      <c r="C622" s="37"/>
      <c r="D622" s="35"/>
    </row>
    <row r="623" spans="3:4" x14ac:dyDescent="0.25">
      <c r="C623" s="37"/>
      <c r="D623" s="35"/>
    </row>
    <row r="624" spans="3:4" x14ac:dyDescent="0.25">
      <c r="C624" s="37"/>
      <c r="D624" s="35"/>
    </row>
    <row r="625" spans="3:4" x14ac:dyDescent="0.25">
      <c r="C625" s="37"/>
      <c r="D625" s="35"/>
    </row>
    <row r="626" spans="3:4" x14ac:dyDescent="0.25">
      <c r="C626" s="37"/>
      <c r="D626" s="35"/>
    </row>
    <row r="627" spans="3:4" x14ac:dyDescent="0.25">
      <c r="C627" s="37"/>
      <c r="D627" s="35"/>
    </row>
    <row r="628" spans="3:4" x14ac:dyDescent="0.25">
      <c r="C628" s="37"/>
      <c r="D628" s="35"/>
    </row>
    <row r="629" spans="3:4" x14ac:dyDescent="0.25">
      <c r="C629" s="37"/>
      <c r="D629" s="35"/>
    </row>
    <row r="630" spans="3:4" x14ac:dyDescent="0.25">
      <c r="C630" s="37"/>
      <c r="D630" s="35"/>
    </row>
    <row r="631" spans="3:4" x14ac:dyDescent="0.25">
      <c r="C631" s="37"/>
      <c r="D631" s="35"/>
    </row>
    <row r="632" spans="3:4" x14ac:dyDescent="0.25">
      <c r="C632" s="37"/>
      <c r="D632" s="35"/>
    </row>
    <row r="633" spans="3:4" x14ac:dyDescent="0.25">
      <c r="C633" s="37"/>
      <c r="D633" s="35"/>
    </row>
    <row r="634" spans="3:4" x14ac:dyDescent="0.25">
      <c r="C634" s="37"/>
      <c r="D634" s="35"/>
    </row>
    <row r="635" spans="3:4" x14ac:dyDescent="0.25">
      <c r="C635" s="37"/>
      <c r="D635" s="35"/>
    </row>
    <row r="636" spans="3:4" x14ac:dyDescent="0.25">
      <c r="C636" s="37"/>
      <c r="D636" s="35"/>
    </row>
    <row r="637" spans="3:4" x14ac:dyDescent="0.25">
      <c r="C637" s="37"/>
      <c r="D637" s="35"/>
    </row>
    <row r="638" spans="3:4" x14ac:dyDescent="0.25">
      <c r="C638" s="37"/>
      <c r="D638" s="35"/>
    </row>
    <row r="639" spans="3:4" x14ac:dyDescent="0.25">
      <c r="C639" s="37"/>
      <c r="D639" s="35"/>
    </row>
    <row r="640" spans="3:4" x14ac:dyDescent="0.25">
      <c r="C640" s="37"/>
      <c r="D640" s="35"/>
    </row>
    <row r="641" spans="3:4" x14ac:dyDescent="0.25">
      <c r="C641" s="37"/>
      <c r="D641" s="35"/>
    </row>
    <row r="642" spans="3:4" x14ac:dyDescent="0.25">
      <c r="C642" s="37"/>
      <c r="D642" s="35"/>
    </row>
    <row r="643" spans="3:4" x14ac:dyDescent="0.25">
      <c r="C643" s="37"/>
      <c r="D643" s="35"/>
    </row>
    <row r="644" spans="3:4" x14ac:dyDescent="0.25">
      <c r="C644" s="37"/>
      <c r="D644" s="35"/>
    </row>
    <row r="645" spans="3:4" x14ac:dyDescent="0.25">
      <c r="C645" s="37"/>
      <c r="D645" s="35"/>
    </row>
    <row r="646" spans="3:4" x14ac:dyDescent="0.25">
      <c r="C646" s="37"/>
      <c r="D646" s="35"/>
    </row>
    <row r="647" spans="3:4" x14ac:dyDescent="0.25">
      <c r="C647" s="37"/>
      <c r="D647" s="35"/>
    </row>
    <row r="648" spans="3:4" x14ac:dyDescent="0.25">
      <c r="C648" s="37"/>
      <c r="D648" s="35"/>
    </row>
    <row r="649" spans="3:4" x14ac:dyDescent="0.25">
      <c r="C649" s="37"/>
      <c r="D649" s="35"/>
    </row>
    <row r="650" spans="3:4" x14ac:dyDescent="0.25">
      <c r="C650" s="37"/>
      <c r="D650" s="35"/>
    </row>
    <row r="651" spans="3:4" x14ac:dyDescent="0.25">
      <c r="C651" s="37"/>
      <c r="D651" s="35"/>
    </row>
    <row r="652" spans="3:4" x14ac:dyDescent="0.25">
      <c r="C652" s="37"/>
      <c r="D652" s="35"/>
    </row>
    <row r="653" spans="3:4" x14ac:dyDescent="0.25">
      <c r="C653" s="37"/>
      <c r="D653" s="35"/>
    </row>
    <row r="654" spans="3:4" x14ac:dyDescent="0.25">
      <c r="C654" s="37"/>
      <c r="D654" s="35"/>
    </row>
    <row r="655" spans="3:4" x14ac:dyDescent="0.25">
      <c r="C655" s="37"/>
      <c r="D655" s="35"/>
    </row>
    <row r="656" spans="3:4" x14ac:dyDescent="0.25">
      <c r="C656" s="37"/>
      <c r="D656" s="35"/>
    </row>
    <row r="657" spans="3:4" x14ac:dyDescent="0.25">
      <c r="C657" s="37"/>
      <c r="D657" s="35"/>
    </row>
    <row r="658" spans="3:4" x14ac:dyDescent="0.25">
      <c r="C658" s="37"/>
      <c r="D658" s="35"/>
    </row>
    <row r="659" spans="3:4" x14ac:dyDescent="0.25">
      <c r="C659" s="37"/>
      <c r="D659" s="35"/>
    </row>
    <row r="660" spans="3:4" x14ac:dyDescent="0.25">
      <c r="C660" s="37"/>
      <c r="D660" s="35"/>
    </row>
    <row r="661" spans="3:4" x14ac:dyDescent="0.25">
      <c r="C661" s="37"/>
      <c r="D661" s="35"/>
    </row>
    <row r="662" spans="3:4" x14ac:dyDescent="0.25">
      <c r="C662" s="37"/>
      <c r="D662" s="35"/>
    </row>
    <row r="663" spans="3:4" x14ac:dyDescent="0.25">
      <c r="C663" s="37"/>
      <c r="D663" s="35"/>
    </row>
    <row r="664" spans="3:4" x14ac:dyDescent="0.25">
      <c r="C664" s="37"/>
      <c r="D664" s="35"/>
    </row>
    <row r="665" spans="3:4" x14ac:dyDescent="0.25">
      <c r="C665" s="37"/>
      <c r="D665" s="35"/>
    </row>
    <row r="666" spans="3:4" x14ac:dyDescent="0.25">
      <c r="C666" s="37"/>
      <c r="D666" s="35"/>
    </row>
    <row r="667" spans="3:4" x14ac:dyDescent="0.25">
      <c r="C667" s="37"/>
      <c r="D667" s="35"/>
    </row>
    <row r="668" spans="3:4" x14ac:dyDescent="0.25">
      <c r="C668" s="37"/>
      <c r="D668" s="35"/>
    </row>
    <row r="669" spans="3:4" x14ac:dyDescent="0.25">
      <c r="C669" s="37"/>
      <c r="D669" s="35"/>
    </row>
    <row r="670" spans="3:4" x14ac:dyDescent="0.25">
      <c r="C670" s="37"/>
      <c r="D670" s="35"/>
    </row>
    <row r="671" spans="3:4" x14ac:dyDescent="0.25">
      <c r="C671" s="37"/>
      <c r="D671" s="35"/>
    </row>
    <row r="672" spans="3:4" x14ac:dyDescent="0.25">
      <c r="C672" s="37"/>
      <c r="D672" s="35"/>
    </row>
    <row r="673" spans="3:4" x14ac:dyDescent="0.25">
      <c r="C673" s="37"/>
      <c r="D673" s="35"/>
    </row>
    <row r="674" spans="3:4" x14ac:dyDescent="0.25">
      <c r="C674" s="37"/>
      <c r="D674" s="35"/>
    </row>
    <row r="675" spans="3:4" x14ac:dyDescent="0.25">
      <c r="C675" s="37"/>
      <c r="D675" s="35"/>
    </row>
    <row r="676" spans="3:4" x14ac:dyDescent="0.25">
      <c r="C676" s="37"/>
      <c r="D676" s="35"/>
    </row>
    <row r="677" spans="3:4" x14ac:dyDescent="0.25">
      <c r="C677" s="37"/>
      <c r="D677" s="35"/>
    </row>
    <row r="678" spans="3:4" x14ac:dyDescent="0.25">
      <c r="C678" s="37"/>
      <c r="D678" s="35"/>
    </row>
    <row r="679" spans="3:4" x14ac:dyDescent="0.25">
      <c r="C679" s="37"/>
      <c r="D679" s="35"/>
    </row>
    <row r="680" spans="3:4" x14ac:dyDescent="0.25">
      <c r="C680" s="37"/>
      <c r="D680" s="35"/>
    </row>
    <row r="681" spans="3:4" x14ac:dyDescent="0.25">
      <c r="C681" s="37"/>
      <c r="D681" s="35"/>
    </row>
    <row r="682" spans="3:4" x14ac:dyDescent="0.25">
      <c r="C682" s="37"/>
      <c r="D682" s="35"/>
    </row>
    <row r="683" spans="3:4" x14ac:dyDescent="0.25">
      <c r="C683" s="37"/>
      <c r="D683" s="35"/>
    </row>
    <row r="684" spans="3:4" x14ac:dyDescent="0.25">
      <c r="C684" s="37"/>
      <c r="D684" s="35"/>
    </row>
    <row r="685" spans="3:4" x14ac:dyDescent="0.25">
      <c r="C685" s="37"/>
      <c r="D685" s="35"/>
    </row>
    <row r="686" spans="3:4" x14ac:dyDescent="0.25">
      <c r="C686" s="37"/>
      <c r="D686" s="35"/>
    </row>
    <row r="687" spans="3:4" x14ac:dyDescent="0.25">
      <c r="C687" s="37"/>
      <c r="D687" s="35"/>
    </row>
    <row r="688" spans="3:4" x14ac:dyDescent="0.25">
      <c r="C688" s="37"/>
      <c r="D688" s="35"/>
    </row>
    <row r="689" spans="3:4" x14ac:dyDescent="0.25">
      <c r="C689" s="37"/>
      <c r="D689" s="35"/>
    </row>
    <row r="690" spans="3:4" x14ac:dyDescent="0.25">
      <c r="C690" s="37"/>
      <c r="D690" s="35"/>
    </row>
    <row r="691" spans="3:4" x14ac:dyDescent="0.25">
      <c r="C691" s="37"/>
      <c r="D691" s="35"/>
    </row>
    <row r="692" spans="3:4" x14ac:dyDescent="0.25">
      <c r="C692" s="37"/>
      <c r="D692" s="35"/>
    </row>
    <row r="693" spans="3:4" x14ac:dyDescent="0.25">
      <c r="C693" s="37"/>
      <c r="D693" s="35"/>
    </row>
    <row r="694" spans="3:4" x14ac:dyDescent="0.25">
      <c r="C694" s="37"/>
      <c r="D694" s="35"/>
    </row>
    <row r="695" spans="3:4" x14ac:dyDescent="0.25">
      <c r="C695" s="37"/>
      <c r="D695" s="35"/>
    </row>
    <row r="696" spans="3:4" x14ac:dyDescent="0.25">
      <c r="C696" s="37"/>
      <c r="D696" s="35"/>
    </row>
    <row r="697" spans="3:4" x14ac:dyDescent="0.25">
      <c r="C697" s="37"/>
      <c r="D697" s="35"/>
    </row>
    <row r="698" spans="3:4" x14ac:dyDescent="0.25">
      <c r="C698" s="37"/>
      <c r="D698" s="35"/>
    </row>
    <row r="699" spans="3:4" x14ac:dyDescent="0.25">
      <c r="C699" s="37"/>
      <c r="D699" s="35"/>
    </row>
    <row r="700" spans="3:4" x14ac:dyDescent="0.25">
      <c r="C700" s="37"/>
      <c r="D700" s="35"/>
    </row>
    <row r="701" spans="3:4" x14ac:dyDescent="0.25">
      <c r="C701" s="37"/>
      <c r="D701" s="35"/>
    </row>
    <row r="702" spans="3:4" x14ac:dyDescent="0.25">
      <c r="C702" s="37"/>
      <c r="D702" s="35"/>
    </row>
    <row r="703" spans="3:4" x14ac:dyDescent="0.25">
      <c r="C703" s="37"/>
      <c r="D703" s="35"/>
    </row>
    <row r="704" spans="3:4" x14ac:dyDescent="0.25">
      <c r="C704" s="37"/>
      <c r="D704" s="35"/>
    </row>
    <row r="705" spans="3:4" x14ac:dyDescent="0.25">
      <c r="C705" s="37"/>
      <c r="D705" s="35"/>
    </row>
    <row r="706" spans="3:4" x14ac:dyDescent="0.25">
      <c r="C706" s="37"/>
      <c r="D706" s="35"/>
    </row>
    <row r="707" spans="3:4" x14ac:dyDescent="0.25">
      <c r="C707" s="37"/>
      <c r="D707" s="35"/>
    </row>
    <row r="708" spans="3:4" x14ac:dyDescent="0.25">
      <c r="C708" s="37"/>
      <c r="D708" s="35"/>
    </row>
    <row r="709" spans="3:4" x14ac:dyDescent="0.25">
      <c r="C709" s="37"/>
      <c r="D709" s="35"/>
    </row>
    <row r="710" spans="3:4" x14ac:dyDescent="0.25">
      <c r="C710" s="37"/>
      <c r="D710" s="35"/>
    </row>
    <row r="711" spans="3:4" x14ac:dyDescent="0.25">
      <c r="C711" s="37"/>
      <c r="D711" s="35"/>
    </row>
    <row r="712" spans="3:4" x14ac:dyDescent="0.25">
      <c r="C712" s="37"/>
      <c r="D712" s="35"/>
    </row>
    <row r="713" spans="3:4" x14ac:dyDescent="0.25">
      <c r="C713" s="37"/>
      <c r="D713" s="35"/>
    </row>
    <row r="714" spans="3:4" x14ac:dyDescent="0.25">
      <c r="C714" s="37"/>
      <c r="D714" s="35"/>
    </row>
    <row r="715" spans="3:4" x14ac:dyDescent="0.25">
      <c r="C715" s="37"/>
      <c r="D715" s="35"/>
    </row>
    <row r="716" spans="3:4" x14ac:dyDescent="0.25">
      <c r="C716" s="37"/>
      <c r="D716" s="35"/>
    </row>
    <row r="717" spans="3:4" x14ac:dyDescent="0.25">
      <c r="C717" s="37"/>
      <c r="D717" s="35"/>
    </row>
    <row r="718" spans="3:4" x14ac:dyDescent="0.25">
      <c r="C718" s="37"/>
      <c r="D718" s="35"/>
    </row>
    <row r="719" spans="3:4" x14ac:dyDescent="0.25">
      <c r="C719" s="37"/>
      <c r="D719" s="35"/>
    </row>
    <row r="720" spans="3:4" x14ac:dyDescent="0.25">
      <c r="C720" s="37"/>
      <c r="D720" s="35"/>
    </row>
    <row r="721" spans="3:4" x14ac:dyDescent="0.25">
      <c r="C721" s="37"/>
      <c r="D721" s="35"/>
    </row>
    <row r="722" spans="3:4" x14ac:dyDescent="0.25">
      <c r="C722" s="37"/>
      <c r="D722" s="35"/>
    </row>
    <row r="723" spans="3:4" x14ac:dyDescent="0.25">
      <c r="C723" s="37"/>
      <c r="D723" s="35"/>
    </row>
    <row r="724" spans="3:4" x14ac:dyDescent="0.25">
      <c r="C724" s="37"/>
      <c r="D724" s="35"/>
    </row>
    <row r="725" spans="3:4" x14ac:dyDescent="0.25">
      <c r="C725" s="37"/>
      <c r="D725" s="35"/>
    </row>
    <row r="726" spans="3:4" x14ac:dyDescent="0.25">
      <c r="C726" s="37"/>
      <c r="D726" s="35"/>
    </row>
    <row r="727" spans="3:4" x14ac:dyDescent="0.25">
      <c r="C727" s="37"/>
      <c r="D727" s="35"/>
    </row>
    <row r="728" spans="3:4" x14ac:dyDescent="0.25">
      <c r="C728" s="37"/>
      <c r="D728" s="35"/>
    </row>
    <row r="729" spans="3:4" x14ac:dyDescent="0.25">
      <c r="C729" s="37"/>
      <c r="D729" s="35"/>
    </row>
    <row r="730" spans="3:4" x14ac:dyDescent="0.25">
      <c r="C730" s="37"/>
      <c r="D730" s="35"/>
    </row>
    <row r="731" spans="3:4" x14ac:dyDescent="0.25">
      <c r="C731" s="37"/>
      <c r="D731" s="35"/>
    </row>
    <row r="732" spans="3:4" x14ac:dyDescent="0.25">
      <c r="C732" s="37"/>
      <c r="D732" s="35"/>
    </row>
    <row r="733" spans="3:4" x14ac:dyDescent="0.25">
      <c r="C733" s="37"/>
      <c r="D733" s="35"/>
    </row>
    <row r="734" spans="3:4" x14ac:dyDescent="0.25">
      <c r="C734" s="37"/>
      <c r="D734" s="35"/>
    </row>
    <row r="735" spans="3:4" x14ac:dyDescent="0.25">
      <c r="C735" s="37"/>
      <c r="D735" s="35"/>
    </row>
    <row r="736" spans="3:4" x14ac:dyDescent="0.25">
      <c r="C736" s="37"/>
      <c r="D736" s="35"/>
    </row>
    <row r="737" spans="3:4" x14ac:dyDescent="0.25">
      <c r="C737" s="37"/>
      <c r="D737" s="35"/>
    </row>
    <row r="738" spans="3:4" x14ac:dyDescent="0.25">
      <c r="C738" s="37"/>
      <c r="D738" s="35"/>
    </row>
    <row r="739" spans="3:4" x14ac:dyDescent="0.25">
      <c r="C739" s="37"/>
      <c r="D739" s="35"/>
    </row>
    <row r="740" spans="3:4" x14ac:dyDescent="0.25">
      <c r="C740" s="37"/>
      <c r="D740" s="35"/>
    </row>
    <row r="741" spans="3:4" x14ac:dyDescent="0.25">
      <c r="C741" s="37"/>
      <c r="D741" s="35"/>
    </row>
    <row r="742" spans="3:4" x14ac:dyDescent="0.25">
      <c r="C742" s="37"/>
      <c r="D742" s="35"/>
    </row>
    <row r="743" spans="3:4" x14ac:dyDescent="0.25">
      <c r="C743" s="37"/>
      <c r="D743" s="35"/>
    </row>
    <row r="744" spans="3:4" x14ac:dyDescent="0.25">
      <c r="C744" s="37"/>
      <c r="D744" s="35"/>
    </row>
    <row r="745" spans="3:4" x14ac:dyDescent="0.25">
      <c r="C745" s="37"/>
      <c r="D745" s="35"/>
    </row>
    <row r="746" spans="3:4" x14ac:dyDescent="0.25">
      <c r="C746" s="37"/>
      <c r="D746" s="35"/>
    </row>
    <row r="747" spans="3:4" x14ac:dyDescent="0.25">
      <c r="C747" s="37"/>
      <c r="D747" s="35"/>
    </row>
    <row r="748" spans="3:4" x14ac:dyDescent="0.25">
      <c r="C748" s="37"/>
      <c r="D748" s="35"/>
    </row>
    <row r="749" spans="3:4" x14ac:dyDescent="0.25">
      <c r="C749" s="37"/>
      <c r="D749" s="35"/>
    </row>
    <row r="750" spans="3:4" x14ac:dyDescent="0.25">
      <c r="C750" s="37"/>
      <c r="D750" s="35"/>
    </row>
    <row r="751" spans="3:4" x14ac:dyDescent="0.25">
      <c r="C751" s="37"/>
      <c r="D751" s="35"/>
    </row>
    <row r="752" spans="3:4" x14ac:dyDescent="0.25">
      <c r="C752" s="37"/>
      <c r="D752" s="35"/>
    </row>
    <row r="753" spans="3:4" x14ac:dyDescent="0.25">
      <c r="C753" s="37"/>
      <c r="D753" s="35"/>
    </row>
    <row r="754" spans="3:4" x14ac:dyDescent="0.25">
      <c r="C754" s="37"/>
      <c r="D754" s="35"/>
    </row>
    <row r="755" spans="3:4" x14ac:dyDescent="0.25">
      <c r="C755" s="37"/>
      <c r="D755" s="35"/>
    </row>
    <row r="756" spans="3:4" x14ac:dyDescent="0.25">
      <c r="C756" s="37"/>
      <c r="D756" s="35"/>
    </row>
    <row r="757" spans="3:4" x14ac:dyDescent="0.25">
      <c r="C757" s="37"/>
      <c r="D757" s="35"/>
    </row>
    <row r="758" spans="3:4" x14ac:dyDescent="0.25">
      <c r="C758" s="37"/>
      <c r="D758" s="35"/>
    </row>
    <row r="759" spans="3:4" x14ac:dyDescent="0.25">
      <c r="C759" s="37"/>
      <c r="D759" s="35"/>
    </row>
    <row r="760" spans="3:4" x14ac:dyDescent="0.25">
      <c r="C760" s="37"/>
      <c r="D760" s="35"/>
    </row>
    <row r="761" spans="3:4" x14ac:dyDescent="0.25">
      <c r="C761" s="37"/>
      <c r="D761" s="35"/>
    </row>
    <row r="762" spans="3:4" x14ac:dyDescent="0.25">
      <c r="C762" s="37"/>
      <c r="D762" s="35"/>
    </row>
    <row r="763" spans="3:4" x14ac:dyDescent="0.25">
      <c r="C763" s="37"/>
      <c r="D763" s="35"/>
    </row>
    <row r="764" spans="3:4" x14ac:dyDescent="0.25">
      <c r="C764" s="37"/>
      <c r="D764" s="35"/>
    </row>
    <row r="765" spans="3:4" x14ac:dyDescent="0.25">
      <c r="C765" s="37"/>
      <c r="D765" s="35"/>
    </row>
    <row r="766" spans="3:4" x14ac:dyDescent="0.25">
      <c r="C766" s="37"/>
      <c r="D766" s="35"/>
    </row>
    <row r="767" spans="3:4" x14ac:dyDescent="0.25">
      <c r="C767" s="37"/>
      <c r="D767" s="35"/>
    </row>
    <row r="768" spans="3:4" x14ac:dyDescent="0.25">
      <c r="C768" s="37"/>
      <c r="D768" s="35"/>
    </row>
    <row r="769" spans="3:4" x14ac:dyDescent="0.25">
      <c r="C769" s="37"/>
      <c r="D769" s="35"/>
    </row>
    <row r="770" spans="3:4" x14ac:dyDescent="0.25">
      <c r="C770" s="37"/>
      <c r="D770" s="35"/>
    </row>
    <row r="771" spans="3:4" x14ac:dyDescent="0.25">
      <c r="C771" s="37"/>
      <c r="D771" s="35"/>
    </row>
    <row r="772" spans="3:4" x14ac:dyDescent="0.25">
      <c r="C772" s="37"/>
      <c r="D772" s="35"/>
    </row>
    <row r="773" spans="3:4" x14ac:dyDescent="0.25">
      <c r="C773" s="37"/>
      <c r="D773" s="35"/>
    </row>
    <row r="774" spans="3:4" x14ac:dyDescent="0.25">
      <c r="C774" s="37"/>
      <c r="D774" s="35"/>
    </row>
    <row r="775" spans="3:4" x14ac:dyDescent="0.25">
      <c r="C775" s="37"/>
      <c r="D775" s="35"/>
    </row>
    <row r="776" spans="3:4" x14ac:dyDescent="0.25">
      <c r="C776" s="37"/>
      <c r="D776" s="35"/>
    </row>
    <row r="777" spans="3:4" x14ac:dyDescent="0.25">
      <c r="C777" s="37"/>
      <c r="D777" s="35"/>
    </row>
    <row r="778" spans="3:4" x14ac:dyDescent="0.25">
      <c r="C778" s="37"/>
      <c r="D778" s="35"/>
    </row>
    <row r="779" spans="3:4" x14ac:dyDescent="0.25">
      <c r="C779" s="37"/>
      <c r="D779" s="35"/>
    </row>
    <row r="780" spans="3:4" x14ac:dyDescent="0.25">
      <c r="C780" s="37"/>
      <c r="D780" s="35"/>
    </row>
    <row r="781" spans="3:4" x14ac:dyDescent="0.25">
      <c r="C781" s="37"/>
      <c r="D781" s="35"/>
    </row>
    <row r="782" spans="3:4" x14ac:dyDescent="0.25">
      <c r="C782" s="37"/>
      <c r="D782" s="35"/>
    </row>
    <row r="783" spans="3:4" x14ac:dyDescent="0.25">
      <c r="C783" s="37"/>
      <c r="D783" s="35"/>
    </row>
    <row r="784" spans="3:4" x14ac:dyDescent="0.25">
      <c r="C784" s="37"/>
      <c r="D784" s="35"/>
    </row>
    <row r="785" spans="3:4" x14ac:dyDescent="0.25">
      <c r="C785" s="37"/>
      <c r="D785" s="35"/>
    </row>
    <row r="786" spans="3:4" x14ac:dyDescent="0.25">
      <c r="C786" s="37"/>
      <c r="D786" s="35"/>
    </row>
    <row r="787" spans="3:4" x14ac:dyDescent="0.25">
      <c r="C787" s="37"/>
      <c r="D787" s="35"/>
    </row>
    <row r="788" spans="3:4" x14ac:dyDescent="0.25">
      <c r="C788" s="37"/>
      <c r="D788" s="35"/>
    </row>
    <row r="789" spans="3:4" x14ac:dyDescent="0.25">
      <c r="C789" s="37"/>
      <c r="D789" s="35"/>
    </row>
    <row r="790" spans="3:4" x14ac:dyDescent="0.25">
      <c r="C790" s="37"/>
      <c r="D790" s="35"/>
    </row>
    <row r="791" spans="3:4" x14ac:dyDescent="0.25">
      <c r="C791" s="37"/>
      <c r="D791" s="35"/>
    </row>
    <row r="792" spans="3:4" x14ac:dyDescent="0.25">
      <c r="C792" s="37"/>
      <c r="D792" s="35"/>
    </row>
    <row r="793" spans="3:4" x14ac:dyDescent="0.25">
      <c r="C793" s="37"/>
      <c r="D793" s="35"/>
    </row>
    <row r="794" spans="3:4" x14ac:dyDescent="0.25">
      <c r="C794" s="37"/>
      <c r="D794" s="35"/>
    </row>
    <row r="795" spans="3:4" x14ac:dyDescent="0.25">
      <c r="C795" s="37"/>
      <c r="D795" s="35"/>
    </row>
    <row r="796" spans="3:4" x14ac:dyDescent="0.25">
      <c r="C796" s="37"/>
      <c r="D796" s="35"/>
    </row>
    <row r="797" spans="3:4" x14ac:dyDescent="0.25">
      <c r="C797" s="37"/>
      <c r="D797" s="35"/>
    </row>
    <row r="798" spans="3:4" x14ac:dyDescent="0.25">
      <c r="C798" s="37"/>
      <c r="D798" s="35"/>
    </row>
    <row r="799" spans="3:4" x14ac:dyDescent="0.25">
      <c r="C799" s="37"/>
      <c r="D799" s="35"/>
    </row>
    <row r="800" spans="3:4" x14ac:dyDescent="0.25">
      <c r="C800" s="37"/>
      <c r="D800" s="35"/>
    </row>
    <row r="801" spans="3:4" x14ac:dyDescent="0.25">
      <c r="C801" s="37"/>
      <c r="D801" s="35"/>
    </row>
    <row r="802" spans="3:4" x14ac:dyDescent="0.25">
      <c r="C802" s="37"/>
      <c r="D802" s="35"/>
    </row>
    <row r="803" spans="3:4" x14ac:dyDescent="0.25">
      <c r="C803" s="37"/>
      <c r="D803" s="35"/>
    </row>
    <row r="804" spans="3:4" x14ac:dyDescent="0.25">
      <c r="C804" s="37"/>
      <c r="D804" s="35"/>
    </row>
    <row r="805" spans="3:4" x14ac:dyDescent="0.25">
      <c r="C805" s="37"/>
      <c r="D805" s="35"/>
    </row>
    <row r="806" spans="3:4" x14ac:dyDescent="0.25">
      <c r="C806" s="37"/>
      <c r="D806" s="35"/>
    </row>
    <row r="807" spans="3:4" x14ac:dyDescent="0.25">
      <c r="C807" s="37"/>
      <c r="D807" s="35"/>
    </row>
    <row r="808" spans="3:4" x14ac:dyDescent="0.25">
      <c r="C808" s="37"/>
      <c r="D808" s="35"/>
    </row>
    <row r="809" spans="3:4" x14ac:dyDescent="0.25">
      <c r="C809" s="37"/>
      <c r="D809" s="35"/>
    </row>
    <row r="810" spans="3:4" x14ac:dyDescent="0.25">
      <c r="C810" s="37"/>
      <c r="D810" s="35"/>
    </row>
    <row r="811" spans="3:4" x14ac:dyDescent="0.25">
      <c r="C811" s="37"/>
      <c r="D811" s="35"/>
    </row>
    <row r="812" spans="3:4" x14ac:dyDescent="0.25">
      <c r="C812" s="37"/>
      <c r="D812" s="35"/>
    </row>
    <row r="813" spans="3:4" x14ac:dyDescent="0.25">
      <c r="C813" s="37"/>
      <c r="D813" s="35"/>
    </row>
    <row r="814" spans="3:4" x14ac:dyDescent="0.25">
      <c r="C814" s="37"/>
      <c r="D814" s="35"/>
    </row>
    <row r="815" spans="3:4" x14ac:dyDescent="0.25">
      <c r="C815" s="37"/>
      <c r="D815" s="35"/>
    </row>
    <row r="816" spans="3:4" x14ac:dyDescent="0.25">
      <c r="C816" s="37"/>
      <c r="D816" s="35"/>
    </row>
    <row r="817" spans="3:4" x14ac:dyDescent="0.25">
      <c r="C817" s="37"/>
      <c r="D817" s="35"/>
    </row>
    <row r="818" spans="3:4" x14ac:dyDescent="0.25">
      <c r="C818" s="37"/>
      <c r="D818" s="35"/>
    </row>
    <row r="819" spans="3:4" x14ac:dyDescent="0.25">
      <c r="C819" s="37"/>
      <c r="D819" s="35"/>
    </row>
    <row r="820" spans="3:4" x14ac:dyDescent="0.25">
      <c r="C820" s="37"/>
      <c r="D820" s="35"/>
    </row>
    <row r="821" spans="3:4" x14ac:dyDescent="0.25">
      <c r="C821" s="37"/>
      <c r="D821" s="35"/>
    </row>
    <row r="822" spans="3:4" x14ac:dyDescent="0.25">
      <c r="C822" s="37"/>
      <c r="D822" s="35"/>
    </row>
    <row r="823" spans="3:4" x14ac:dyDescent="0.25">
      <c r="C823" s="37"/>
      <c r="D823" s="35"/>
    </row>
    <row r="824" spans="3:4" x14ac:dyDescent="0.25">
      <c r="C824" s="37"/>
      <c r="D824" s="35"/>
    </row>
    <row r="825" spans="3:4" x14ac:dyDescent="0.25">
      <c r="C825" s="37"/>
      <c r="D825" s="35"/>
    </row>
    <row r="826" spans="3:4" x14ac:dyDescent="0.25">
      <c r="C826" s="37"/>
      <c r="D826" s="35"/>
    </row>
    <row r="827" spans="3:4" x14ac:dyDescent="0.25">
      <c r="C827" s="37"/>
      <c r="D827" s="35"/>
    </row>
    <row r="828" spans="3:4" x14ac:dyDescent="0.25">
      <c r="C828" s="37"/>
      <c r="D828" s="35"/>
    </row>
    <row r="829" spans="3:4" x14ac:dyDescent="0.25">
      <c r="C829" s="37"/>
      <c r="D829" s="35"/>
    </row>
    <row r="830" spans="3:4" x14ac:dyDescent="0.25">
      <c r="C830" s="37"/>
      <c r="D830" s="35"/>
    </row>
    <row r="831" spans="3:4" x14ac:dyDescent="0.25">
      <c r="C831" s="37"/>
      <c r="D831" s="35"/>
    </row>
    <row r="832" spans="3:4" x14ac:dyDescent="0.25">
      <c r="C832" s="37"/>
      <c r="D832" s="35"/>
    </row>
    <row r="833" spans="3:4" x14ac:dyDescent="0.25">
      <c r="C833" s="37"/>
      <c r="D833" s="35"/>
    </row>
    <row r="834" spans="3:4" x14ac:dyDescent="0.25">
      <c r="C834" s="37"/>
      <c r="D834" s="35"/>
    </row>
    <row r="835" spans="3:4" x14ac:dyDescent="0.25">
      <c r="C835" s="37"/>
      <c r="D835" s="35"/>
    </row>
    <row r="836" spans="3:4" x14ac:dyDescent="0.25">
      <c r="C836" s="37"/>
      <c r="D836" s="35"/>
    </row>
    <row r="837" spans="3:4" x14ac:dyDescent="0.25">
      <c r="C837" s="37"/>
      <c r="D837" s="35"/>
    </row>
    <row r="838" spans="3:4" x14ac:dyDescent="0.25">
      <c r="C838" s="37"/>
      <c r="D838" s="35"/>
    </row>
    <row r="839" spans="3:4" x14ac:dyDescent="0.25">
      <c r="C839" s="37"/>
      <c r="D839" s="35"/>
    </row>
    <row r="840" spans="3:4" x14ac:dyDescent="0.25">
      <c r="C840" s="37"/>
      <c r="D840" s="35"/>
    </row>
    <row r="841" spans="3:4" x14ac:dyDescent="0.25">
      <c r="C841" s="37"/>
      <c r="D841" s="35"/>
    </row>
    <row r="842" spans="3:4" x14ac:dyDescent="0.25">
      <c r="C842" s="37"/>
      <c r="D842" s="35"/>
    </row>
    <row r="843" spans="3:4" x14ac:dyDescent="0.25">
      <c r="C843" s="37"/>
      <c r="D843" s="35"/>
    </row>
    <row r="844" spans="3:4" x14ac:dyDescent="0.25">
      <c r="C844" s="37"/>
      <c r="D844" s="35"/>
    </row>
    <row r="845" spans="3:4" x14ac:dyDescent="0.25">
      <c r="C845" s="37"/>
      <c r="D845" s="35"/>
    </row>
    <row r="846" spans="3:4" x14ac:dyDescent="0.25">
      <c r="C846" s="37"/>
      <c r="D846" s="35"/>
    </row>
    <row r="847" spans="3:4" x14ac:dyDescent="0.25">
      <c r="C847" s="37"/>
      <c r="D847" s="35"/>
    </row>
    <row r="848" spans="3:4" x14ac:dyDescent="0.25">
      <c r="C848" s="37"/>
      <c r="D848" s="35"/>
    </row>
    <row r="849" spans="3:4" x14ac:dyDescent="0.25">
      <c r="C849" s="37"/>
      <c r="D849" s="35"/>
    </row>
    <row r="850" spans="3:4" x14ac:dyDescent="0.25">
      <c r="C850" s="37"/>
      <c r="D850" s="35"/>
    </row>
    <row r="851" spans="3:4" x14ac:dyDescent="0.25">
      <c r="C851" s="37"/>
      <c r="D851" s="35"/>
    </row>
    <row r="852" spans="3:4" x14ac:dyDescent="0.25">
      <c r="C852" s="37"/>
      <c r="D852" s="35"/>
    </row>
    <row r="853" spans="3:4" x14ac:dyDescent="0.25">
      <c r="C853" s="37"/>
      <c r="D853" s="35"/>
    </row>
    <row r="854" spans="3:4" x14ac:dyDescent="0.25">
      <c r="C854" s="37"/>
      <c r="D854" s="35"/>
    </row>
    <row r="855" spans="3:4" x14ac:dyDescent="0.25">
      <c r="C855" s="37"/>
      <c r="D855" s="35"/>
    </row>
    <row r="856" spans="3:4" x14ac:dyDescent="0.25">
      <c r="C856" s="37"/>
      <c r="D856" s="35"/>
    </row>
    <row r="857" spans="3:4" x14ac:dyDescent="0.25">
      <c r="C857" s="37"/>
      <c r="D857" s="35"/>
    </row>
    <row r="858" spans="3:4" x14ac:dyDescent="0.25">
      <c r="C858" s="37"/>
      <c r="D858" s="35"/>
    </row>
    <row r="859" spans="3:4" x14ac:dyDescent="0.25">
      <c r="C859" s="37"/>
      <c r="D859" s="35"/>
    </row>
    <row r="860" spans="3:4" x14ac:dyDescent="0.25">
      <c r="C860" s="37"/>
      <c r="D860" s="35"/>
    </row>
    <row r="861" spans="3:4" x14ac:dyDescent="0.25">
      <c r="C861" s="37"/>
      <c r="D861" s="35"/>
    </row>
    <row r="862" spans="3:4" x14ac:dyDescent="0.25">
      <c r="C862" s="37"/>
      <c r="D862" s="35"/>
    </row>
    <row r="863" spans="3:4" x14ac:dyDescent="0.25">
      <c r="C863" s="37"/>
      <c r="D863" s="35"/>
    </row>
    <row r="864" spans="3:4" x14ac:dyDescent="0.25">
      <c r="C864" s="37"/>
      <c r="D864" s="35"/>
    </row>
    <row r="865" spans="3:4" x14ac:dyDescent="0.25">
      <c r="C865" s="37"/>
      <c r="D865" s="35"/>
    </row>
    <row r="866" spans="3:4" x14ac:dyDescent="0.25">
      <c r="C866" s="37"/>
      <c r="D866" s="35"/>
    </row>
    <row r="867" spans="3:4" x14ac:dyDescent="0.25">
      <c r="C867" s="37"/>
      <c r="D867" s="35"/>
    </row>
    <row r="868" spans="3:4" x14ac:dyDescent="0.25">
      <c r="C868" s="37"/>
      <c r="D868" s="35"/>
    </row>
    <row r="869" spans="3:4" x14ac:dyDescent="0.25">
      <c r="C869" s="37"/>
      <c r="D869" s="35"/>
    </row>
    <row r="870" spans="3:4" x14ac:dyDescent="0.25">
      <c r="C870" s="37"/>
      <c r="D870" s="35"/>
    </row>
    <row r="871" spans="3:4" x14ac:dyDescent="0.25">
      <c r="C871" s="37"/>
      <c r="D871" s="35"/>
    </row>
    <row r="872" spans="3:4" x14ac:dyDescent="0.25">
      <c r="C872" s="37"/>
      <c r="D872" s="35"/>
    </row>
    <row r="873" spans="3:4" x14ac:dyDescent="0.25">
      <c r="C873" s="37"/>
      <c r="D873" s="35"/>
    </row>
    <row r="874" spans="3:4" x14ac:dyDescent="0.25">
      <c r="C874" s="37"/>
      <c r="D874" s="35"/>
    </row>
    <row r="875" spans="3:4" x14ac:dyDescent="0.25">
      <c r="C875" s="37"/>
      <c r="D875" s="35"/>
    </row>
    <row r="876" spans="3:4" x14ac:dyDescent="0.25">
      <c r="C876" s="37"/>
      <c r="D876" s="35"/>
    </row>
    <row r="877" spans="3:4" x14ac:dyDescent="0.25">
      <c r="C877" s="37"/>
      <c r="D877" s="35"/>
    </row>
    <row r="878" spans="3:4" x14ac:dyDescent="0.25">
      <c r="C878" s="37"/>
      <c r="D878" s="35"/>
    </row>
    <row r="879" spans="3:4" x14ac:dyDescent="0.25">
      <c r="C879" s="37"/>
      <c r="D879" s="35"/>
    </row>
    <row r="880" spans="3:4" x14ac:dyDescent="0.25">
      <c r="C880" s="37"/>
      <c r="D880" s="35"/>
    </row>
    <row r="881" spans="3:4" x14ac:dyDescent="0.25">
      <c r="C881" s="37"/>
      <c r="D881" s="35"/>
    </row>
    <row r="882" spans="3:4" x14ac:dyDescent="0.25">
      <c r="C882" s="37"/>
      <c r="D882" s="35"/>
    </row>
    <row r="883" spans="3:4" x14ac:dyDescent="0.25">
      <c r="C883" s="37"/>
      <c r="D883" s="35"/>
    </row>
    <row r="884" spans="3:4" x14ac:dyDescent="0.25">
      <c r="C884" s="37"/>
      <c r="D884" s="35"/>
    </row>
    <row r="885" spans="3:4" x14ac:dyDescent="0.25">
      <c r="C885" s="37"/>
      <c r="D885" s="35"/>
    </row>
    <row r="886" spans="3:4" x14ac:dyDescent="0.25">
      <c r="C886" s="37"/>
      <c r="D886" s="35"/>
    </row>
    <row r="887" spans="3:4" x14ac:dyDescent="0.25">
      <c r="C887" s="37"/>
      <c r="D887" s="35"/>
    </row>
    <row r="888" spans="3:4" x14ac:dyDescent="0.25">
      <c r="C888" s="37"/>
      <c r="D888" s="35"/>
    </row>
    <row r="889" spans="3:4" x14ac:dyDescent="0.25">
      <c r="C889" s="37"/>
      <c r="D889" s="35"/>
    </row>
    <row r="890" spans="3:4" x14ac:dyDescent="0.25">
      <c r="C890" s="37"/>
      <c r="D890" s="35"/>
    </row>
    <row r="891" spans="3:4" x14ac:dyDescent="0.25">
      <c r="C891" s="37"/>
      <c r="D891" s="35"/>
    </row>
    <row r="892" spans="3:4" x14ac:dyDescent="0.25">
      <c r="C892" s="37"/>
      <c r="D892" s="35"/>
    </row>
    <row r="893" spans="3:4" x14ac:dyDescent="0.25">
      <c r="C893" s="37"/>
      <c r="D893" s="35"/>
    </row>
    <row r="894" spans="3:4" x14ac:dyDescent="0.25">
      <c r="C894" s="37"/>
      <c r="D894" s="35"/>
    </row>
    <row r="895" spans="3:4" x14ac:dyDescent="0.25">
      <c r="C895" s="37"/>
      <c r="D895" s="35"/>
    </row>
    <row r="896" spans="3:4" x14ac:dyDescent="0.25">
      <c r="C896" s="37"/>
      <c r="D896" s="35"/>
    </row>
    <row r="897" spans="3:4" x14ac:dyDescent="0.25">
      <c r="C897" s="37"/>
      <c r="D897" s="35"/>
    </row>
    <row r="898" spans="3:4" x14ac:dyDescent="0.25">
      <c r="C898" s="37"/>
      <c r="D898" s="35"/>
    </row>
    <row r="899" spans="3:4" x14ac:dyDescent="0.25">
      <c r="C899" s="37"/>
      <c r="D899" s="35"/>
    </row>
    <row r="900" spans="3:4" x14ac:dyDescent="0.25">
      <c r="C900" s="37"/>
      <c r="D900" s="35"/>
    </row>
    <row r="901" spans="3:4" x14ac:dyDescent="0.25">
      <c r="C901" s="37"/>
      <c r="D901" s="35"/>
    </row>
    <row r="902" spans="3:4" x14ac:dyDescent="0.25">
      <c r="C902" s="37"/>
      <c r="D902" s="35"/>
    </row>
    <row r="903" spans="3:4" x14ac:dyDescent="0.25">
      <c r="C903" s="37"/>
      <c r="D903" s="35"/>
    </row>
    <row r="904" spans="3:4" x14ac:dyDescent="0.25">
      <c r="C904" s="37"/>
      <c r="D904" s="35"/>
    </row>
    <row r="905" spans="3:4" x14ac:dyDescent="0.25">
      <c r="C905" s="37"/>
      <c r="D905" s="35"/>
    </row>
    <row r="906" spans="3:4" x14ac:dyDescent="0.25">
      <c r="C906" s="37"/>
      <c r="D906" s="35"/>
    </row>
    <row r="907" spans="3:4" x14ac:dyDescent="0.25">
      <c r="C907" s="37"/>
      <c r="D907" s="35"/>
    </row>
    <row r="908" spans="3:4" x14ac:dyDescent="0.25">
      <c r="C908" s="37"/>
      <c r="D908" s="35"/>
    </row>
    <row r="909" spans="3:4" x14ac:dyDescent="0.25">
      <c r="C909" s="37"/>
      <c r="D909" s="35"/>
    </row>
    <row r="910" spans="3:4" x14ac:dyDescent="0.25">
      <c r="C910" s="37"/>
      <c r="D910" s="35"/>
    </row>
    <row r="911" spans="3:4" x14ac:dyDescent="0.25">
      <c r="C911" s="37"/>
      <c r="D911" s="35"/>
    </row>
    <row r="912" spans="3:4" x14ac:dyDescent="0.25">
      <c r="C912" s="37"/>
      <c r="D912" s="35"/>
    </row>
    <row r="913" spans="3:4" x14ac:dyDescent="0.25">
      <c r="C913" s="37"/>
      <c r="D913" s="35"/>
    </row>
    <row r="914" spans="3:4" x14ac:dyDescent="0.25">
      <c r="C914" s="37"/>
      <c r="D914" s="35"/>
    </row>
    <row r="915" spans="3:4" x14ac:dyDescent="0.25">
      <c r="C915" s="37"/>
      <c r="D915" s="35"/>
    </row>
    <row r="916" spans="3:4" x14ac:dyDescent="0.25">
      <c r="C916" s="37"/>
      <c r="D916" s="35"/>
    </row>
    <row r="917" spans="3:4" x14ac:dyDescent="0.25">
      <c r="C917" s="37"/>
      <c r="D917" s="35"/>
    </row>
    <row r="918" spans="3:4" x14ac:dyDescent="0.25">
      <c r="C918" s="37"/>
      <c r="D918" s="35"/>
    </row>
    <row r="919" spans="3:4" x14ac:dyDescent="0.25">
      <c r="C919" s="37"/>
      <c r="D919" s="35"/>
    </row>
    <row r="920" spans="3:4" x14ac:dyDescent="0.25">
      <c r="C920" s="37"/>
      <c r="D920" s="35"/>
    </row>
    <row r="921" spans="3:4" x14ac:dyDescent="0.25">
      <c r="C921" s="37"/>
      <c r="D921" s="35"/>
    </row>
    <row r="922" spans="3:4" x14ac:dyDescent="0.25">
      <c r="C922" s="37"/>
      <c r="D922" s="35"/>
    </row>
    <row r="923" spans="3:4" x14ac:dyDescent="0.25">
      <c r="C923" s="37"/>
      <c r="D923" s="35"/>
    </row>
    <row r="924" spans="3:4" x14ac:dyDescent="0.25">
      <c r="C924" s="37"/>
      <c r="D924" s="35"/>
    </row>
    <row r="925" spans="3:4" x14ac:dyDescent="0.25">
      <c r="C925" s="37"/>
      <c r="D925" s="35"/>
    </row>
    <row r="926" spans="3:4" x14ac:dyDescent="0.25">
      <c r="C926" s="37"/>
      <c r="D926" s="35"/>
    </row>
    <row r="927" spans="3:4" x14ac:dyDescent="0.25">
      <c r="C927" s="37"/>
      <c r="D927" s="35"/>
    </row>
    <row r="928" spans="3:4" x14ac:dyDescent="0.25">
      <c r="C928" s="37"/>
      <c r="D928" s="35"/>
    </row>
    <row r="929" spans="3:4" x14ac:dyDescent="0.25">
      <c r="C929" s="37"/>
      <c r="D929" s="35"/>
    </row>
    <row r="930" spans="3:4" x14ac:dyDescent="0.25">
      <c r="C930" s="37"/>
      <c r="D930" s="35"/>
    </row>
    <row r="931" spans="3:4" x14ac:dyDescent="0.25">
      <c r="C931" s="37"/>
      <c r="D931" s="35"/>
    </row>
    <row r="932" spans="3:4" x14ac:dyDescent="0.25">
      <c r="C932" s="37"/>
      <c r="D932" s="35"/>
    </row>
    <row r="933" spans="3:4" x14ac:dyDescent="0.25">
      <c r="C933" s="37"/>
      <c r="D933" s="35"/>
    </row>
    <row r="934" spans="3:4" x14ac:dyDescent="0.25">
      <c r="C934" s="37"/>
      <c r="D934" s="35"/>
    </row>
    <row r="935" spans="3:4" x14ac:dyDescent="0.25">
      <c r="C935" s="37"/>
      <c r="D935" s="35"/>
    </row>
    <row r="936" spans="3:4" x14ac:dyDescent="0.25">
      <c r="C936" s="37"/>
      <c r="D936" s="35"/>
    </row>
    <row r="937" spans="3:4" x14ac:dyDescent="0.25">
      <c r="C937" s="37"/>
      <c r="D937" s="35"/>
    </row>
    <row r="938" spans="3:4" x14ac:dyDescent="0.25">
      <c r="C938" s="37"/>
      <c r="D938" s="35"/>
    </row>
    <row r="939" spans="3:4" x14ac:dyDescent="0.25">
      <c r="C939" s="37"/>
      <c r="D939" s="35"/>
    </row>
    <row r="940" spans="3:4" x14ac:dyDescent="0.25">
      <c r="C940" s="37"/>
      <c r="D940" s="35"/>
    </row>
    <row r="941" spans="3:4" x14ac:dyDescent="0.25">
      <c r="C941" s="37"/>
      <c r="D941" s="35"/>
    </row>
    <row r="942" spans="3:4" x14ac:dyDescent="0.25">
      <c r="C942" s="37"/>
      <c r="D942" s="35"/>
    </row>
    <row r="943" spans="3:4" x14ac:dyDescent="0.25">
      <c r="C943" s="37"/>
      <c r="D943" s="35"/>
    </row>
    <row r="944" spans="3:4" x14ac:dyDescent="0.25">
      <c r="C944" s="37"/>
      <c r="D944" s="35"/>
    </row>
    <row r="945" spans="3:4" x14ac:dyDescent="0.25">
      <c r="C945" s="37"/>
      <c r="D945" s="35"/>
    </row>
    <row r="946" spans="3:4" x14ac:dyDescent="0.25">
      <c r="C946" s="37"/>
      <c r="D946" s="35"/>
    </row>
    <row r="947" spans="3:4" x14ac:dyDescent="0.25">
      <c r="C947" s="37"/>
      <c r="D947" s="35"/>
    </row>
    <row r="948" spans="3:4" x14ac:dyDescent="0.25">
      <c r="C948" s="37"/>
      <c r="D948" s="35"/>
    </row>
    <row r="949" spans="3:4" x14ac:dyDescent="0.25">
      <c r="C949" s="37"/>
      <c r="D949" s="35"/>
    </row>
    <row r="950" spans="3:4" x14ac:dyDescent="0.25">
      <c r="C950" s="37"/>
      <c r="D950" s="35"/>
    </row>
    <row r="951" spans="3:4" x14ac:dyDescent="0.25">
      <c r="C951" s="37"/>
      <c r="D951" s="35"/>
    </row>
    <row r="952" spans="3:4" x14ac:dyDescent="0.25">
      <c r="C952" s="37"/>
      <c r="D952" s="35"/>
    </row>
    <row r="953" spans="3:4" x14ac:dyDescent="0.25">
      <c r="C953" s="37"/>
      <c r="D953" s="35"/>
    </row>
    <row r="954" spans="3:4" x14ac:dyDescent="0.25">
      <c r="C954" s="37"/>
      <c r="D954" s="35"/>
    </row>
    <row r="955" spans="3:4" x14ac:dyDescent="0.25">
      <c r="C955" s="37"/>
      <c r="D955" s="35"/>
    </row>
    <row r="956" spans="3:4" x14ac:dyDescent="0.25">
      <c r="C956" s="37"/>
      <c r="D956" s="35"/>
    </row>
    <row r="957" spans="3:4" x14ac:dyDescent="0.25">
      <c r="C957" s="37"/>
      <c r="D957" s="35"/>
    </row>
    <row r="958" spans="3:4" x14ac:dyDescent="0.25">
      <c r="C958" s="37"/>
      <c r="D958" s="35"/>
    </row>
    <row r="959" spans="3:4" x14ac:dyDescent="0.25">
      <c r="C959" s="37"/>
      <c r="D959" s="35"/>
    </row>
    <row r="960" spans="3:4" x14ac:dyDescent="0.25">
      <c r="C960" s="37"/>
      <c r="D960" s="35"/>
    </row>
    <row r="961" spans="3:4" x14ac:dyDescent="0.25">
      <c r="C961" s="37"/>
      <c r="D961" s="35"/>
    </row>
    <row r="962" spans="3:4" x14ac:dyDescent="0.25">
      <c r="C962" s="37"/>
      <c r="D962" s="35"/>
    </row>
    <row r="963" spans="3:4" x14ac:dyDescent="0.25">
      <c r="C963" s="37"/>
      <c r="D963" s="35"/>
    </row>
    <row r="964" spans="3:4" x14ac:dyDescent="0.25">
      <c r="C964" s="37"/>
      <c r="D964" s="35"/>
    </row>
    <row r="965" spans="3:4" x14ac:dyDescent="0.25">
      <c r="C965" s="37"/>
      <c r="D965" s="35"/>
    </row>
    <row r="966" spans="3:4" x14ac:dyDescent="0.25">
      <c r="C966" s="37"/>
      <c r="D966" s="35"/>
    </row>
    <row r="967" spans="3:4" x14ac:dyDescent="0.25">
      <c r="C967" s="37"/>
      <c r="D967" s="35"/>
    </row>
    <row r="968" spans="3:4" x14ac:dyDescent="0.25">
      <c r="C968" s="37"/>
      <c r="D968" s="35"/>
    </row>
    <row r="969" spans="3:4" x14ac:dyDescent="0.25">
      <c r="C969" s="37"/>
      <c r="D969" s="35"/>
    </row>
    <row r="970" spans="3:4" x14ac:dyDescent="0.25">
      <c r="C970" s="37"/>
      <c r="D970" s="35"/>
    </row>
    <row r="971" spans="3:4" x14ac:dyDescent="0.25">
      <c r="C971" s="37"/>
      <c r="D971" s="35"/>
    </row>
    <row r="972" spans="3:4" x14ac:dyDescent="0.25">
      <c r="C972" s="37"/>
      <c r="D972" s="35"/>
    </row>
    <row r="973" spans="3:4" x14ac:dyDescent="0.25">
      <c r="C973" s="37"/>
      <c r="D973" s="35"/>
    </row>
    <row r="974" spans="3:4" x14ac:dyDescent="0.25">
      <c r="C974" s="37"/>
      <c r="D974" s="35"/>
    </row>
    <row r="975" spans="3:4" x14ac:dyDescent="0.25">
      <c r="C975" s="37"/>
      <c r="D975" s="35"/>
    </row>
    <row r="976" spans="3:4" x14ac:dyDescent="0.25">
      <c r="C976" s="37"/>
      <c r="D976" s="35"/>
    </row>
    <row r="977" spans="3:4" x14ac:dyDescent="0.25">
      <c r="C977" s="37"/>
      <c r="D977" s="35"/>
    </row>
    <row r="978" spans="3:4" x14ac:dyDescent="0.25">
      <c r="C978" s="37"/>
      <c r="D978" s="35"/>
    </row>
    <row r="979" spans="3:4" x14ac:dyDescent="0.25">
      <c r="C979" s="37"/>
      <c r="D979" s="35"/>
    </row>
    <row r="980" spans="3:4" x14ac:dyDescent="0.25">
      <c r="C980" s="37"/>
      <c r="D980" s="35"/>
    </row>
    <row r="981" spans="3:4" x14ac:dyDescent="0.25">
      <c r="C981" s="37"/>
      <c r="D981" s="35"/>
    </row>
    <row r="982" spans="3:4" x14ac:dyDescent="0.25">
      <c r="C982" s="37"/>
      <c r="D982" s="35"/>
    </row>
    <row r="983" spans="3:4" x14ac:dyDescent="0.25">
      <c r="C983" s="37"/>
      <c r="D983" s="35"/>
    </row>
    <row r="984" spans="3:4" x14ac:dyDescent="0.25">
      <c r="C984" s="37"/>
      <c r="D984" s="35"/>
    </row>
    <row r="985" spans="3:4" x14ac:dyDescent="0.25">
      <c r="C985" s="37"/>
      <c r="D985" s="35"/>
    </row>
    <row r="986" spans="3:4" x14ac:dyDescent="0.25">
      <c r="C986" s="37"/>
      <c r="D986" s="35"/>
    </row>
    <row r="987" spans="3:4" x14ac:dyDescent="0.25">
      <c r="C987" s="37"/>
      <c r="D987" s="35"/>
    </row>
    <row r="988" spans="3:4" x14ac:dyDescent="0.25">
      <c r="C988" s="37"/>
      <c r="D988" s="35"/>
    </row>
    <row r="989" spans="3:4" x14ac:dyDescent="0.25">
      <c r="C989" s="37"/>
      <c r="D989" s="35"/>
    </row>
    <row r="990" spans="3:4" x14ac:dyDescent="0.25">
      <c r="C990" s="37"/>
      <c r="D990" s="35"/>
    </row>
    <row r="991" spans="3:4" x14ac:dyDescent="0.25">
      <c r="C991" s="37"/>
      <c r="D991" s="35"/>
    </row>
    <row r="992" spans="3:4" x14ac:dyDescent="0.25">
      <c r="C992" s="37"/>
      <c r="D992" s="35"/>
    </row>
    <row r="993" spans="3:4" x14ac:dyDescent="0.25">
      <c r="C993" s="37"/>
      <c r="D993" s="35"/>
    </row>
    <row r="994" spans="3:4" x14ac:dyDescent="0.25">
      <c r="C994" s="37"/>
      <c r="D994" s="35"/>
    </row>
    <row r="995" spans="3:4" x14ac:dyDescent="0.25">
      <c r="C995" s="37"/>
      <c r="D995" s="35"/>
    </row>
    <row r="996" spans="3:4" x14ac:dyDescent="0.25">
      <c r="C996" s="37"/>
      <c r="D996" s="35"/>
    </row>
    <row r="997" spans="3:4" x14ac:dyDescent="0.25">
      <c r="C997" s="37"/>
      <c r="D997" s="35"/>
    </row>
    <row r="998" spans="3:4" x14ac:dyDescent="0.25">
      <c r="C998" s="37"/>
      <c r="D998" s="35"/>
    </row>
    <row r="999" spans="3:4" x14ac:dyDescent="0.25">
      <c r="C999" s="37"/>
      <c r="D999" s="35"/>
    </row>
    <row r="1000" spans="3:4" x14ac:dyDescent="0.25">
      <c r="C1000" s="37"/>
      <c r="D1000" s="35"/>
    </row>
    <row r="1001" spans="3:4" x14ac:dyDescent="0.25">
      <c r="C1001" s="37"/>
      <c r="D1001" s="35"/>
    </row>
    <row r="1002" spans="3:4" x14ac:dyDescent="0.25">
      <c r="C1002" s="37"/>
      <c r="D1002" s="35"/>
    </row>
    <row r="1003" spans="3:4" x14ac:dyDescent="0.25">
      <c r="C1003" s="37"/>
      <c r="D1003" s="35"/>
    </row>
    <row r="1004" spans="3:4" x14ac:dyDescent="0.25">
      <c r="C1004" s="37"/>
      <c r="D1004" s="35"/>
    </row>
    <row r="1005" spans="3:4" x14ac:dyDescent="0.25">
      <c r="C1005" s="37"/>
      <c r="D1005" s="35"/>
    </row>
    <row r="1006" spans="3:4" x14ac:dyDescent="0.25">
      <c r="C1006" s="37"/>
      <c r="D1006" s="35"/>
    </row>
    <row r="1007" spans="3:4" x14ac:dyDescent="0.25">
      <c r="C1007" s="37"/>
      <c r="D1007" s="35"/>
    </row>
    <row r="1008" spans="3:4" x14ac:dyDescent="0.25">
      <c r="C1008" s="37"/>
      <c r="D1008" s="35"/>
    </row>
    <row r="1009" spans="3:4" x14ac:dyDescent="0.25">
      <c r="C1009" s="37"/>
      <c r="D1009" s="35"/>
    </row>
    <row r="1010" spans="3:4" x14ac:dyDescent="0.25">
      <c r="C1010" s="37"/>
      <c r="D1010" s="35"/>
    </row>
    <row r="1011" spans="3:4" x14ac:dyDescent="0.25">
      <c r="C1011" s="37"/>
      <c r="D1011" s="35"/>
    </row>
    <row r="1012" spans="3:4" x14ac:dyDescent="0.25">
      <c r="C1012" s="37"/>
      <c r="D1012" s="35"/>
    </row>
    <row r="1013" spans="3:4" x14ac:dyDescent="0.25">
      <c r="C1013" s="37"/>
      <c r="D1013" s="35"/>
    </row>
    <row r="1014" spans="3:4" x14ac:dyDescent="0.25">
      <c r="C1014" s="37"/>
      <c r="D1014" s="35"/>
    </row>
    <row r="1015" spans="3:4" x14ac:dyDescent="0.25">
      <c r="C1015" s="37"/>
      <c r="D1015" s="35"/>
    </row>
    <row r="1016" spans="3:4" x14ac:dyDescent="0.25">
      <c r="C1016" s="37"/>
      <c r="D1016" s="35"/>
    </row>
    <row r="1017" spans="3:4" x14ac:dyDescent="0.25">
      <c r="C1017" s="37"/>
      <c r="D1017" s="35"/>
    </row>
    <row r="1018" spans="3:4" x14ac:dyDescent="0.25">
      <c r="C1018" s="37"/>
      <c r="D1018" s="35"/>
    </row>
    <row r="1019" spans="3:4" x14ac:dyDescent="0.25">
      <c r="C1019" s="37"/>
      <c r="D1019" s="35"/>
    </row>
    <row r="1020" spans="3:4" x14ac:dyDescent="0.25">
      <c r="C1020" s="37"/>
      <c r="D1020" s="35"/>
    </row>
    <row r="1021" spans="3:4" x14ac:dyDescent="0.25">
      <c r="C1021" s="37"/>
      <c r="D1021" s="35"/>
    </row>
    <row r="1022" spans="3:4" x14ac:dyDescent="0.25">
      <c r="C1022" s="37"/>
      <c r="D1022" s="35"/>
    </row>
    <row r="1023" spans="3:4" x14ac:dyDescent="0.25">
      <c r="C1023" s="37"/>
      <c r="D1023" s="35"/>
    </row>
    <row r="1024" spans="3:4" x14ac:dyDescent="0.25">
      <c r="C1024" s="37"/>
      <c r="D1024" s="35"/>
    </row>
    <row r="1025" spans="3:4" x14ac:dyDescent="0.25">
      <c r="C1025" s="37"/>
      <c r="D1025" s="35"/>
    </row>
    <row r="1026" spans="3:4" x14ac:dyDescent="0.25">
      <c r="C1026" s="37"/>
      <c r="D1026" s="35"/>
    </row>
    <row r="1027" spans="3:4" x14ac:dyDescent="0.25">
      <c r="C1027" s="37"/>
      <c r="D1027" s="35"/>
    </row>
    <row r="1028" spans="3:4" x14ac:dyDescent="0.25">
      <c r="C1028" s="37"/>
      <c r="D1028" s="35"/>
    </row>
    <row r="1029" spans="3:4" x14ac:dyDescent="0.25">
      <c r="C1029" s="37"/>
      <c r="D1029" s="35"/>
    </row>
    <row r="1030" spans="3:4" x14ac:dyDescent="0.25">
      <c r="C1030" s="37"/>
      <c r="D1030" s="35"/>
    </row>
    <row r="1031" spans="3:4" x14ac:dyDescent="0.25">
      <c r="C1031" s="37"/>
      <c r="D1031" s="35"/>
    </row>
    <row r="1032" spans="3:4" x14ac:dyDescent="0.25">
      <c r="C1032" s="37"/>
      <c r="D1032" s="35"/>
    </row>
    <row r="1033" spans="3:4" x14ac:dyDescent="0.25">
      <c r="C1033" s="37"/>
      <c r="D1033" s="35"/>
    </row>
    <row r="1034" spans="3:4" x14ac:dyDescent="0.25">
      <c r="C1034" s="37"/>
      <c r="D1034" s="35"/>
    </row>
    <row r="1035" spans="3:4" x14ac:dyDescent="0.25">
      <c r="C1035" s="37"/>
      <c r="D1035" s="35"/>
    </row>
    <row r="1036" spans="3:4" x14ac:dyDescent="0.25">
      <c r="C1036" s="37"/>
      <c r="D1036" s="35"/>
    </row>
    <row r="1037" spans="3:4" x14ac:dyDescent="0.25">
      <c r="C1037" s="37"/>
      <c r="D1037" s="35"/>
    </row>
    <row r="1038" spans="3:4" x14ac:dyDescent="0.25">
      <c r="C1038" s="37"/>
      <c r="D1038" s="35"/>
    </row>
    <row r="1039" spans="3:4" x14ac:dyDescent="0.25">
      <c r="C1039" s="37"/>
      <c r="D1039" s="35"/>
    </row>
    <row r="1040" spans="3:4" x14ac:dyDescent="0.25">
      <c r="C1040" s="37"/>
      <c r="D1040" s="35"/>
    </row>
    <row r="1041" spans="3:4" x14ac:dyDescent="0.25">
      <c r="C1041" s="37"/>
      <c r="D1041" s="35"/>
    </row>
    <row r="1042" spans="3:4" x14ac:dyDescent="0.25">
      <c r="C1042" s="37"/>
      <c r="D1042" s="35"/>
    </row>
    <row r="1043" spans="3:4" x14ac:dyDescent="0.25">
      <c r="C1043" s="37"/>
      <c r="D1043" s="35"/>
    </row>
    <row r="1044" spans="3:4" x14ac:dyDescent="0.25">
      <c r="C1044" s="37"/>
      <c r="D1044" s="35"/>
    </row>
    <row r="1045" spans="3:4" x14ac:dyDescent="0.25">
      <c r="C1045" s="37"/>
      <c r="D1045" s="35"/>
    </row>
    <row r="1046" spans="3:4" x14ac:dyDescent="0.25">
      <c r="C1046" s="37"/>
      <c r="D1046" s="35"/>
    </row>
    <row r="1047" spans="3:4" x14ac:dyDescent="0.25">
      <c r="C1047" s="37"/>
      <c r="D1047" s="35"/>
    </row>
    <row r="1048" spans="3:4" x14ac:dyDescent="0.25">
      <c r="C1048" s="37"/>
      <c r="D1048" s="35"/>
    </row>
    <row r="1049" spans="3:4" x14ac:dyDescent="0.25">
      <c r="C1049" s="37"/>
      <c r="D1049" s="35"/>
    </row>
    <row r="1050" spans="3:4" x14ac:dyDescent="0.25">
      <c r="C1050" s="37"/>
      <c r="D1050" s="35"/>
    </row>
    <row r="1051" spans="3:4" x14ac:dyDescent="0.25">
      <c r="C1051" s="37"/>
      <c r="D1051" s="35"/>
    </row>
    <row r="1052" spans="3:4" x14ac:dyDescent="0.25">
      <c r="C1052" s="37"/>
      <c r="D1052" s="35"/>
    </row>
    <row r="1053" spans="3:4" x14ac:dyDescent="0.25">
      <c r="C1053" s="37"/>
      <c r="D1053" s="35"/>
    </row>
    <row r="1054" spans="3:4" x14ac:dyDescent="0.25">
      <c r="C1054" s="37"/>
      <c r="D1054" s="35"/>
    </row>
    <row r="1055" spans="3:4" x14ac:dyDescent="0.25">
      <c r="C1055" s="37"/>
      <c r="D1055" s="35"/>
    </row>
    <row r="1056" spans="3:4" x14ac:dyDescent="0.25">
      <c r="C1056" s="37"/>
      <c r="D1056" s="35"/>
    </row>
    <row r="1057" spans="3:4" x14ac:dyDescent="0.25">
      <c r="C1057" s="37"/>
      <c r="D1057" s="35"/>
    </row>
    <row r="1058" spans="3:4" x14ac:dyDescent="0.25">
      <c r="C1058" s="37"/>
      <c r="D1058" s="35"/>
    </row>
    <row r="1059" spans="3:4" x14ac:dyDescent="0.25">
      <c r="C1059" s="37"/>
      <c r="D1059" s="35"/>
    </row>
    <row r="1060" spans="3:4" x14ac:dyDescent="0.25">
      <c r="C1060" s="37"/>
      <c r="D1060" s="35"/>
    </row>
    <row r="1061" spans="3:4" x14ac:dyDescent="0.25">
      <c r="C1061" s="37"/>
      <c r="D1061" s="35"/>
    </row>
    <row r="1062" spans="3:4" x14ac:dyDescent="0.25">
      <c r="C1062" s="37"/>
      <c r="D1062" s="35"/>
    </row>
    <row r="1063" spans="3:4" x14ac:dyDescent="0.25">
      <c r="C1063" s="37"/>
      <c r="D1063" s="35"/>
    </row>
    <row r="1064" spans="3:4" x14ac:dyDescent="0.25">
      <c r="C1064" s="37"/>
      <c r="D1064" s="35"/>
    </row>
    <row r="1065" spans="3:4" x14ac:dyDescent="0.25">
      <c r="C1065" s="37"/>
      <c r="D1065" s="35"/>
    </row>
    <row r="1066" spans="3:4" x14ac:dyDescent="0.25">
      <c r="C1066" s="37"/>
      <c r="D1066" s="35"/>
    </row>
    <row r="1067" spans="3:4" x14ac:dyDescent="0.25">
      <c r="C1067" s="37"/>
      <c r="D1067" s="35"/>
    </row>
    <row r="1068" spans="3:4" x14ac:dyDescent="0.25">
      <c r="C1068" s="37"/>
      <c r="D1068" s="35"/>
    </row>
    <row r="1069" spans="3:4" x14ac:dyDescent="0.25">
      <c r="C1069" s="37"/>
      <c r="D1069" s="35"/>
    </row>
    <row r="1070" spans="3:4" x14ac:dyDescent="0.25">
      <c r="C1070" s="37"/>
      <c r="D1070" s="35"/>
    </row>
    <row r="1071" spans="3:4" x14ac:dyDescent="0.25">
      <c r="C1071" s="37"/>
      <c r="D1071" s="35"/>
    </row>
    <row r="1072" spans="3:4" x14ac:dyDescent="0.25">
      <c r="C1072" s="37"/>
      <c r="D1072" s="35"/>
    </row>
    <row r="1073" spans="3:4" x14ac:dyDescent="0.25">
      <c r="C1073" s="37"/>
      <c r="D1073" s="35"/>
    </row>
    <row r="1074" spans="3:4" x14ac:dyDescent="0.25">
      <c r="C1074" s="37"/>
      <c r="D1074" s="35"/>
    </row>
    <row r="1075" spans="3:4" x14ac:dyDescent="0.25">
      <c r="C1075" s="37"/>
      <c r="D1075" s="35"/>
    </row>
    <row r="1076" spans="3:4" x14ac:dyDescent="0.25">
      <c r="C1076" s="37"/>
      <c r="D1076" s="35"/>
    </row>
    <row r="1077" spans="3:4" x14ac:dyDescent="0.25">
      <c r="C1077" s="37"/>
      <c r="D1077" s="35"/>
    </row>
    <row r="1078" spans="3:4" x14ac:dyDescent="0.25">
      <c r="C1078" s="37"/>
      <c r="D1078" s="35"/>
    </row>
    <row r="1079" spans="3:4" x14ac:dyDescent="0.25">
      <c r="C1079" s="37"/>
      <c r="D1079" s="35"/>
    </row>
    <row r="1080" spans="3:4" x14ac:dyDescent="0.25">
      <c r="C1080" s="37"/>
      <c r="D1080" s="35"/>
    </row>
    <row r="1081" spans="3:4" x14ac:dyDescent="0.25">
      <c r="C1081" s="37"/>
      <c r="D1081" s="35"/>
    </row>
    <row r="1082" spans="3:4" x14ac:dyDescent="0.25">
      <c r="C1082" s="37"/>
      <c r="D1082" s="35"/>
    </row>
    <row r="1083" spans="3:4" x14ac:dyDescent="0.25">
      <c r="C1083" s="37"/>
      <c r="D1083" s="35"/>
    </row>
    <row r="1084" spans="3:4" x14ac:dyDescent="0.25">
      <c r="C1084" s="37"/>
      <c r="D1084" s="35"/>
    </row>
    <row r="1085" spans="3:4" x14ac:dyDescent="0.25">
      <c r="C1085" s="37"/>
      <c r="D1085" s="35"/>
    </row>
    <row r="1086" spans="3:4" x14ac:dyDescent="0.25">
      <c r="C1086" s="37"/>
      <c r="D1086" s="35"/>
    </row>
    <row r="1087" spans="3:4" x14ac:dyDescent="0.25">
      <c r="C1087" s="37"/>
      <c r="D1087" s="35"/>
    </row>
    <row r="1088" spans="3:4" x14ac:dyDescent="0.25">
      <c r="C1088" s="37"/>
      <c r="D1088" s="35"/>
    </row>
    <row r="1089" spans="3:4" x14ac:dyDescent="0.25">
      <c r="C1089" s="37"/>
      <c r="D1089" s="35"/>
    </row>
    <row r="1090" spans="3:4" x14ac:dyDescent="0.25">
      <c r="C1090" s="37"/>
      <c r="D1090" s="35"/>
    </row>
    <row r="1091" spans="3:4" x14ac:dyDescent="0.25">
      <c r="C1091" s="37"/>
      <c r="D1091" s="35"/>
    </row>
    <row r="1092" spans="3:4" x14ac:dyDescent="0.25">
      <c r="C1092" s="37"/>
      <c r="D1092" s="35"/>
    </row>
    <row r="1093" spans="3:4" x14ac:dyDescent="0.25">
      <c r="C1093" s="37"/>
      <c r="D1093" s="35"/>
    </row>
    <row r="1094" spans="3:4" x14ac:dyDescent="0.25">
      <c r="C1094" s="37"/>
      <c r="D1094" s="35"/>
    </row>
    <row r="1095" spans="3:4" x14ac:dyDescent="0.25">
      <c r="C1095" s="37"/>
      <c r="D1095" s="35"/>
    </row>
    <row r="1096" spans="3:4" x14ac:dyDescent="0.25">
      <c r="C1096" s="37"/>
      <c r="D1096" s="35"/>
    </row>
    <row r="1097" spans="3:4" x14ac:dyDescent="0.25">
      <c r="C1097" s="37"/>
      <c r="D1097" s="35"/>
    </row>
    <row r="1098" spans="3:4" x14ac:dyDescent="0.25">
      <c r="C1098" s="37"/>
      <c r="D1098" s="35"/>
    </row>
    <row r="1099" spans="3:4" x14ac:dyDescent="0.25">
      <c r="C1099" s="37"/>
      <c r="D1099" s="35"/>
    </row>
    <row r="1100" spans="3:4" x14ac:dyDescent="0.25">
      <c r="C1100" s="37"/>
      <c r="D1100" s="35"/>
    </row>
    <row r="1101" spans="3:4" x14ac:dyDescent="0.25">
      <c r="C1101" s="37"/>
      <c r="D1101" s="35"/>
    </row>
    <row r="1102" spans="3:4" x14ac:dyDescent="0.25">
      <c r="C1102" s="37"/>
      <c r="D1102" s="35"/>
    </row>
    <row r="1103" spans="3:4" x14ac:dyDescent="0.25">
      <c r="C1103" s="37"/>
      <c r="D1103" s="35"/>
    </row>
    <row r="1104" spans="3:4" x14ac:dyDescent="0.25">
      <c r="C1104" s="37"/>
      <c r="D1104" s="35"/>
    </row>
    <row r="1105" spans="3:4" x14ac:dyDescent="0.25">
      <c r="C1105" s="37"/>
      <c r="D1105" s="35"/>
    </row>
    <row r="1106" spans="3:4" x14ac:dyDescent="0.25">
      <c r="C1106" s="37"/>
      <c r="D1106" s="35"/>
    </row>
    <row r="1107" spans="3:4" x14ac:dyDescent="0.25">
      <c r="C1107" s="37"/>
      <c r="D1107" s="35"/>
    </row>
    <row r="1108" spans="3:4" x14ac:dyDescent="0.25">
      <c r="C1108" s="37"/>
      <c r="D1108" s="35"/>
    </row>
    <row r="1109" spans="3:4" x14ac:dyDescent="0.25">
      <c r="C1109" s="37"/>
      <c r="D1109" s="35"/>
    </row>
    <row r="1110" spans="3:4" x14ac:dyDescent="0.25">
      <c r="C1110" s="37"/>
      <c r="D1110" s="35"/>
    </row>
    <row r="1111" spans="3:4" x14ac:dyDescent="0.25">
      <c r="C1111" s="37"/>
      <c r="D1111" s="35"/>
    </row>
    <row r="1112" spans="3:4" x14ac:dyDescent="0.25">
      <c r="C1112" s="37"/>
      <c r="D1112" s="35"/>
    </row>
    <row r="1113" spans="3:4" x14ac:dyDescent="0.25">
      <c r="C1113" s="37"/>
      <c r="D1113" s="35"/>
    </row>
    <row r="1114" spans="3:4" x14ac:dyDescent="0.25">
      <c r="C1114" s="37"/>
      <c r="D1114" s="35"/>
    </row>
    <row r="1115" spans="3:4" x14ac:dyDescent="0.25">
      <c r="C1115" s="37"/>
      <c r="D1115" s="35"/>
    </row>
    <row r="1116" spans="3:4" x14ac:dyDescent="0.25">
      <c r="C1116" s="37"/>
      <c r="D1116" s="35"/>
    </row>
    <row r="1117" spans="3:4" x14ac:dyDescent="0.25">
      <c r="C1117" s="37"/>
      <c r="D1117" s="35"/>
    </row>
    <row r="1118" spans="3:4" x14ac:dyDescent="0.25">
      <c r="C1118" s="37"/>
      <c r="D1118" s="35"/>
    </row>
    <row r="1119" spans="3:4" x14ac:dyDescent="0.25">
      <c r="C1119" s="37"/>
      <c r="D1119" s="35"/>
    </row>
    <row r="1120" spans="3:4" x14ac:dyDescent="0.25">
      <c r="C1120" s="37"/>
      <c r="D1120" s="35"/>
    </row>
    <row r="1121" spans="3:4" x14ac:dyDescent="0.25">
      <c r="C1121" s="37"/>
      <c r="D1121" s="35"/>
    </row>
    <row r="1122" spans="3:4" x14ac:dyDescent="0.25">
      <c r="C1122" s="37"/>
      <c r="D1122" s="35"/>
    </row>
    <row r="1123" spans="3:4" x14ac:dyDescent="0.25">
      <c r="C1123" s="37"/>
      <c r="D1123" s="35"/>
    </row>
    <row r="1124" spans="3:4" x14ac:dyDescent="0.25">
      <c r="C1124" s="37"/>
      <c r="D1124" s="35"/>
    </row>
    <row r="1125" spans="3:4" x14ac:dyDescent="0.25">
      <c r="C1125" s="37"/>
      <c r="D1125" s="35"/>
    </row>
    <row r="1126" spans="3:4" x14ac:dyDescent="0.25">
      <c r="C1126" s="37"/>
      <c r="D1126" s="35"/>
    </row>
    <row r="1127" spans="3:4" x14ac:dyDescent="0.25">
      <c r="C1127" s="37"/>
      <c r="D1127" s="35"/>
    </row>
    <row r="1128" spans="3:4" x14ac:dyDescent="0.25">
      <c r="C1128" s="37"/>
      <c r="D1128" s="35"/>
    </row>
    <row r="1129" spans="3:4" x14ac:dyDescent="0.25">
      <c r="C1129" s="37"/>
      <c r="D1129" s="35"/>
    </row>
    <row r="1130" spans="3:4" x14ac:dyDescent="0.25">
      <c r="C1130" s="37"/>
      <c r="D1130" s="35"/>
    </row>
    <row r="1131" spans="3:4" x14ac:dyDescent="0.25">
      <c r="C1131" s="37"/>
      <c r="D1131" s="35"/>
    </row>
    <row r="1132" spans="3:4" x14ac:dyDescent="0.25">
      <c r="C1132" s="37"/>
      <c r="D1132" s="35"/>
    </row>
    <row r="1133" spans="3:4" x14ac:dyDescent="0.25">
      <c r="C1133" s="37"/>
      <c r="D1133" s="35"/>
    </row>
    <row r="1134" spans="3:4" x14ac:dyDescent="0.25">
      <c r="C1134" s="37"/>
      <c r="D1134" s="35"/>
    </row>
    <row r="1135" spans="3:4" x14ac:dyDescent="0.25">
      <c r="C1135" s="37"/>
      <c r="D1135" s="35"/>
    </row>
    <row r="1136" spans="3:4" x14ac:dyDescent="0.25">
      <c r="C1136" s="37"/>
      <c r="D1136" s="35"/>
    </row>
    <row r="1137" spans="3:4" x14ac:dyDescent="0.25">
      <c r="C1137" s="37"/>
      <c r="D1137" s="35"/>
    </row>
    <row r="1138" spans="3:4" x14ac:dyDescent="0.25">
      <c r="C1138" s="37"/>
      <c r="D1138" s="35"/>
    </row>
    <row r="1139" spans="3:4" x14ac:dyDescent="0.25">
      <c r="C1139" s="37"/>
      <c r="D1139" s="35"/>
    </row>
    <row r="1140" spans="3:4" x14ac:dyDescent="0.25">
      <c r="C1140" s="37"/>
      <c r="D1140" s="35"/>
    </row>
    <row r="1141" spans="3:4" x14ac:dyDescent="0.25">
      <c r="C1141" s="37"/>
      <c r="D1141" s="35"/>
    </row>
    <row r="1142" spans="3:4" x14ac:dyDescent="0.25">
      <c r="C1142" s="37"/>
      <c r="D1142" s="35"/>
    </row>
    <row r="1143" spans="3:4" x14ac:dyDescent="0.25">
      <c r="C1143" s="37"/>
      <c r="D1143" s="35"/>
    </row>
    <row r="1144" spans="3:4" x14ac:dyDescent="0.25">
      <c r="C1144" s="37"/>
      <c r="D1144" s="35"/>
    </row>
    <row r="1145" spans="3:4" x14ac:dyDescent="0.25">
      <c r="C1145" s="37"/>
      <c r="D1145" s="35"/>
    </row>
    <row r="1146" spans="3:4" x14ac:dyDescent="0.25">
      <c r="C1146" s="37"/>
      <c r="D1146" s="35"/>
    </row>
    <row r="1147" spans="3:4" x14ac:dyDescent="0.25">
      <c r="C1147" s="37"/>
      <c r="D1147" s="35"/>
    </row>
    <row r="1148" spans="3:4" x14ac:dyDescent="0.25">
      <c r="C1148" s="37"/>
      <c r="D1148" s="35"/>
    </row>
    <row r="1149" spans="3:4" x14ac:dyDescent="0.25">
      <c r="C1149" s="37"/>
      <c r="D1149" s="35"/>
    </row>
    <row r="1150" spans="3:4" x14ac:dyDescent="0.25">
      <c r="C1150" s="37"/>
      <c r="D1150" s="35"/>
    </row>
    <row r="1151" spans="3:4" x14ac:dyDescent="0.25">
      <c r="C1151" s="37"/>
      <c r="D1151" s="35"/>
    </row>
    <row r="1152" spans="3:4" x14ac:dyDescent="0.25">
      <c r="C1152" s="37"/>
      <c r="D1152" s="35"/>
    </row>
    <row r="1153" spans="3:4" x14ac:dyDescent="0.25">
      <c r="C1153" s="37"/>
      <c r="D1153" s="35"/>
    </row>
    <row r="1154" spans="3:4" x14ac:dyDescent="0.25">
      <c r="C1154" s="37"/>
      <c r="D1154" s="35"/>
    </row>
    <row r="1155" spans="3:4" x14ac:dyDescent="0.25">
      <c r="C1155" s="37"/>
      <c r="D1155" s="35"/>
    </row>
    <row r="1156" spans="3:4" x14ac:dyDescent="0.25">
      <c r="C1156" s="37"/>
      <c r="D1156" s="35"/>
    </row>
    <row r="1157" spans="3:4" x14ac:dyDescent="0.25">
      <c r="C1157" s="37"/>
      <c r="D1157" s="35"/>
    </row>
    <row r="1158" spans="3:4" x14ac:dyDescent="0.25">
      <c r="C1158" s="37"/>
      <c r="D1158" s="35"/>
    </row>
    <row r="1159" spans="3:4" x14ac:dyDescent="0.25">
      <c r="C1159" s="37"/>
      <c r="D1159" s="35"/>
    </row>
    <row r="1160" spans="3:4" x14ac:dyDescent="0.25">
      <c r="C1160" s="37"/>
      <c r="D1160" s="35"/>
    </row>
    <row r="1161" spans="3:4" x14ac:dyDescent="0.25">
      <c r="C1161" s="37"/>
      <c r="D1161" s="35"/>
    </row>
    <row r="1162" spans="3:4" x14ac:dyDescent="0.25">
      <c r="C1162" s="37"/>
      <c r="D1162" s="35"/>
    </row>
    <row r="1163" spans="3:4" x14ac:dyDescent="0.25">
      <c r="C1163" s="37"/>
      <c r="D1163" s="35"/>
    </row>
    <row r="1164" spans="3:4" x14ac:dyDescent="0.25">
      <c r="C1164" s="37"/>
      <c r="D1164" s="35"/>
    </row>
    <row r="1165" spans="3:4" x14ac:dyDescent="0.25">
      <c r="C1165" s="37"/>
      <c r="D1165" s="35"/>
    </row>
    <row r="1166" spans="3:4" x14ac:dyDescent="0.25">
      <c r="C1166" s="37"/>
      <c r="D1166" s="35"/>
    </row>
    <row r="1167" spans="3:4" x14ac:dyDescent="0.25">
      <c r="C1167" s="37"/>
      <c r="D1167" s="35"/>
    </row>
    <row r="1168" spans="3:4" x14ac:dyDescent="0.25">
      <c r="C1168" s="37"/>
      <c r="D1168" s="35"/>
    </row>
    <row r="1169" spans="3:4" x14ac:dyDescent="0.25">
      <c r="C1169" s="37"/>
      <c r="D1169" s="35"/>
    </row>
    <row r="1170" spans="3:4" x14ac:dyDescent="0.25">
      <c r="C1170" s="37"/>
      <c r="D1170" s="35"/>
    </row>
    <row r="1171" spans="3:4" x14ac:dyDescent="0.25">
      <c r="C1171" s="37"/>
      <c r="D1171" s="35"/>
    </row>
    <row r="1172" spans="3:4" x14ac:dyDescent="0.25">
      <c r="C1172" s="37"/>
      <c r="D1172" s="35"/>
    </row>
    <row r="1173" spans="3:4" x14ac:dyDescent="0.25">
      <c r="C1173" s="37"/>
      <c r="D1173" s="35"/>
    </row>
    <row r="1174" spans="3:4" x14ac:dyDescent="0.25">
      <c r="C1174" s="37"/>
      <c r="D1174" s="35"/>
    </row>
    <row r="1175" spans="3:4" x14ac:dyDescent="0.25">
      <c r="C1175" s="37"/>
      <c r="D1175" s="35"/>
    </row>
    <row r="1176" spans="3:4" x14ac:dyDescent="0.25">
      <c r="C1176" s="37"/>
      <c r="D1176" s="35"/>
    </row>
    <row r="1177" spans="3:4" x14ac:dyDescent="0.25">
      <c r="C1177" s="37"/>
      <c r="D1177" s="35"/>
    </row>
    <row r="1178" spans="3:4" x14ac:dyDescent="0.25">
      <c r="C1178" s="37"/>
      <c r="D1178" s="35"/>
    </row>
    <row r="1179" spans="3:4" x14ac:dyDescent="0.25">
      <c r="C1179" s="37"/>
      <c r="D1179" s="35"/>
    </row>
    <row r="1180" spans="3:4" x14ac:dyDescent="0.25">
      <c r="C1180" s="37"/>
      <c r="D1180" s="35"/>
    </row>
    <row r="1181" spans="3:4" x14ac:dyDescent="0.25">
      <c r="C1181" s="37"/>
      <c r="D1181" s="35"/>
    </row>
    <row r="1182" spans="3:4" x14ac:dyDescent="0.25">
      <c r="C1182" s="37"/>
      <c r="D1182" s="35"/>
    </row>
    <row r="1183" spans="3:4" x14ac:dyDescent="0.25">
      <c r="C1183" s="37"/>
      <c r="D1183" s="35"/>
    </row>
    <row r="1184" spans="3:4" x14ac:dyDescent="0.25">
      <c r="C1184" s="37"/>
      <c r="D1184" s="35"/>
    </row>
    <row r="1185" spans="3:4" x14ac:dyDescent="0.25">
      <c r="C1185" s="37"/>
      <c r="D1185" s="35"/>
    </row>
    <row r="1186" spans="3:4" x14ac:dyDescent="0.25">
      <c r="C1186" s="37"/>
      <c r="D1186" s="35"/>
    </row>
    <row r="1187" spans="3:4" x14ac:dyDescent="0.25">
      <c r="C1187" s="37"/>
      <c r="D1187" s="35"/>
    </row>
    <row r="1188" spans="3:4" x14ac:dyDescent="0.25">
      <c r="C1188" s="37"/>
      <c r="D1188" s="35"/>
    </row>
    <row r="1189" spans="3:4" x14ac:dyDescent="0.25">
      <c r="C1189" s="37"/>
      <c r="D1189" s="35"/>
    </row>
    <row r="1190" spans="3:4" x14ac:dyDescent="0.25">
      <c r="C1190" s="37"/>
      <c r="D1190" s="35"/>
    </row>
    <row r="1191" spans="3:4" x14ac:dyDescent="0.25">
      <c r="C1191" s="37"/>
      <c r="D1191" s="35"/>
    </row>
    <row r="1192" spans="3:4" x14ac:dyDescent="0.25">
      <c r="C1192" s="37"/>
      <c r="D1192" s="35"/>
    </row>
    <row r="1193" spans="3:4" x14ac:dyDescent="0.25">
      <c r="C1193" s="37"/>
      <c r="D1193" s="35"/>
    </row>
    <row r="1194" spans="3:4" x14ac:dyDescent="0.25">
      <c r="C1194" s="37"/>
      <c r="D1194" s="35"/>
    </row>
    <row r="1195" spans="3:4" x14ac:dyDescent="0.25">
      <c r="C1195" s="37"/>
      <c r="D1195" s="35"/>
    </row>
    <row r="1196" spans="3:4" x14ac:dyDescent="0.25">
      <c r="C1196" s="37"/>
      <c r="D1196" s="35"/>
    </row>
    <row r="1197" spans="3:4" x14ac:dyDescent="0.25">
      <c r="C1197" s="37"/>
      <c r="D1197" s="35"/>
    </row>
    <row r="1198" spans="3:4" x14ac:dyDescent="0.25">
      <c r="C1198" s="37"/>
      <c r="D1198" s="35"/>
    </row>
    <row r="1199" spans="3:4" x14ac:dyDescent="0.25">
      <c r="C1199" s="37"/>
      <c r="D1199" s="35"/>
    </row>
    <row r="1200" spans="3:4" x14ac:dyDescent="0.25">
      <c r="C1200" s="37"/>
      <c r="D1200" s="35"/>
    </row>
    <row r="1201" spans="3:4" x14ac:dyDescent="0.25">
      <c r="C1201" s="37"/>
      <c r="D1201" s="35"/>
    </row>
    <row r="1202" spans="3:4" x14ac:dyDescent="0.25">
      <c r="C1202" s="37"/>
      <c r="D1202" s="35"/>
    </row>
    <row r="1203" spans="3:4" x14ac:dyDescent="0.25">
      <c r="C1203" s="37"/>
      <c r="D1203" s="35"/>
    </row>
    <row r="1204" spans="3:4" x14ac:dyDescent="0.25">
      <c r="C1204" s="37"/>
      <c r="D1204" s="35"/>
    </row>
    <row r="1205" spans="3:4" x14ac:dyDescent="0.25">
      <c r="C1205" s="37"/>
      <c r="D1205" s="35"/>
    </row>
    <row r="1206" spans="3:4" x14ac:dyDescent="0.25">
      <c r="C1206" s="37"/>
      <c r="D1206" s="35"/>
    </row>
    <row r="1207" spans="3:4" x14ac:dyDescent="0.25">
      <c r="C1207" s="37"/>
      <c r="D1207" s="35"/>
    </row>
    <row r="1208" spans="3:4" x14ac:dyDescent="0.25">
      <c r="C1208" s="37"/>
      <c r="D1208" s="35"/>
    </row>
    <row r="1209" spans="3:4" x14ac:dyDescent="0.25">
      <c r="C1209" s="37"/>
      <c r="D1209" s="35"/>
    </row>
    <row r="1210" spans="3:4" x14ac:dyDescent="0.25">
      <c r="C1210" s="37"/>
      <c r="D1210" s="35"/>
    </row>
    <row r="1211" spans="3:4" x14ac:dyDescent="0.25">
      <c r="C1211" s="37"/>
      <c r="D1211" s="35"/>
    </row>
    <row r="1212" spans="3:4" x14ac:dyDescent="0.25">
      <c r="C1212" s="37"/>
      <c r="D1212" s="35"/>
    </row>
    <row r="1213" spans="3:4" x14ac:dyDescent="0.25">
      <c r="C1213" s="37"/>
      <c r="D1213" s="35"/>
    </row>
    <row r="1214" spans="3:4" x14ac:dyDescent="0.25">
      <c r="C1214" s="37"/>
      <c r="D1214" s="35"/>
    </row>
    <row r="1215" spans="3:4" x14ac:dyDescent="0.25">
      <c r="C1215" s="37"/>
      <c r="D1215" s="35"/>
    </row>
    <row r="1216" spans="3:4" x14ac:dyDescent="0.25">
      <c r="C1216" s="37"/>
      <c r="D1216" s="35"/>
    </row>
    <row r="1217" spans="3:4" x14ac:dyDescent="0.25">
      <c r="C1217" s="37"/>
      <c r="D1217" s="35"/>
    </row>
    <row r="1218" spans="3:4" x14ac:dyDescent="0.25">
      <c r="C1218" s="37"/>
      <c r="D1218" s="35"/>
    </row>
    <row r="1219" spans="3:4" x14ac:dyDescent="0.25">
      <c r="C1219" s="37"/>
      <c r="D1219" s="35"/>
    </row>
    <row r="1220" spans="3:4" x14ac:dyDescent="0.25">
      <c r="C1220" s="37"/>
      <c r="D1220" s="35"/>
    </row>
    <row r="1221" spans="3:4" x14ac:dyDescent="0.25">
      <c r="C1221" s="37"/>
      <c r="D1221" s="35"/>
    </row>
    <row r="1222" spans="3:4" x14ac:dyDescent="0.25">
      <c r="C1222" s="37"/>
      <c r="D1222" s="35"/>
    </row>
    <row r="1223" spans="3:4" x14ac:dyDescent="0.25">
      <c r="C1223" s="37"/>
      <c r="D1223" s="35"/>
    </row>
    <row r="1224" spans="3:4" x14ac:dyDescent="0.25">
      <c r="C1224" s="37"/>
      <c r="D1224" s="35"/>
    </row>
    <row r="1225" spans="3:4" x14ac:dyDescent="0.25">
      <c r="C1225" s="37"/>
      <c r="D1225" s="35"/>
    </row>
    <row r="1226" spans="3:4" x14ac:dyDescent="0.25">
      <c r="C1226" s="37"/>
      <c r="D1226" s="35"/>
    </row>
    <row r="1227" spans="3:4" x14ac:dyDescent="0.25">
      <c r="C1227" s="37"/>
      <c r="D1227" s="35"/>
    </row>
    <row r="1228" spans="3:4" x14ac:dyDescent="0.25">
      <c r="C1228" s="37"/>
      <c r="D1228" s="35"/>
    </row>
    <row r="1229" spans="3:4" x14ac:dyDescent="0.25">
      <c r="C1229" s="37"/>
      <c r="D1229" s="35"/>
    </row>
    <row r="1230" spans="3:4" x14ac:dyDescent="0.25">
      <c r="C1230" s="37"/>
      <c r="D1230" s="35"/>
    </row>
    <row r="1231" spans="3:4" x14ac:dyDescent="0.25">
      <c r="C1231" s="37"/>
      <c r="D1231" s="35"/>
    </row>
    <row r="1232" spans="3:4" x14ac:dyDescent="0.25">
      <c r="C1232" s="37"/>
      <c r="D1232" s="35"/>
    </row>
    <row r="1233" spans="3:4" x14ac:dyDescent="0.25">
      <c r="C1233" s="37"/>
      <c r="D1233" s="35"/>
    </row>
    <row r="1234" spans="3:4" x14ac:dyDescent="0.25">
      <c r="C1234" s="37"/>
      <c r="D1234" s="35"/>
    </row>
    <row r="1235" spans="3:4" x14ac:dyDescent="0.25">
      <c r="C1235" s="37"/>
      <c r="D1235" s="35"/>
    </row>
    <row r="1236" spans="3:4" x14ac:dyDescent="0.25">
      <c r="C1236" s="37"/>
      <c r="D1236" s="35"/>
    </row>
    <row r="1237" spans="3:4" x14ac:dyDescent="0.25">
      <c r="C1237" s="37"/>
      <c r="D1237" s="35"/>
    </row>
    <row r="1238" spans="3:4" x14ac:dyDescent="0.25">
      <c r="C1238" s="37"/>
      <c r="D1238" s="35"/>
    </row>
    <row r="1239" spans="3:4" x14ac:dyDescent="0.25">
      <c r="C1239" s="37"/>
      <c r="D1239" s="35"/>
    </row>
    <row r="1240" spans="3:4" x14ac:dyDescent="0.25">
      <c r="C1240" s="37"/>
      <c r="D1240" s="35"/>
    </row>
    <row r="1241" spans="3:4" x14ac:dyDescent="0.25">
      <c r="C1241" s="37"/>
      <c r="D1241" s="35"/>
    </row>
    <row r="1242" spans="3:4" x14ac:dyDescent="0.25">
      <c r="C1242" s="37"/>
      <c r="D1242" s="35"/>
    </row>
    <row r="1243" spans="3:4" x14ac:dyDescent="0.25">
      <c r="C1243" s="37"/>
      <c r="D1243" s="35"/>
    </row>
    <row r="1244" spans="3:4" x14ac:dyDescent="0.25">
      <c r="C1244" s="37"/>
      <c r="D1244" s="35"/>
    </row>
    <row r="1245" spans="3:4" x14ac:dyDescent="0.25">
      <c r="C1245" s="37"/>
      <c r="D1245" s="35"/>
    </row>
    <row r="1246" spans="3:4" x14ac:dyDescent="0.25">
      <c r="C1246" s="37"/>
      <c r="D1246" s="35"/>
    </row>
    <row r="1247" spans="3:4" x14ac:dyDescent="0.25">
      <c r="C1247" s="37"/>
      <c r="D1247" s="35"/>
    </row>
    <row r="1248" spans="3:4" x14ac:dyDescent="0.25">
      <c r="C1248" s="37"/>
      <c r="D1248" s="35"/>
    </row>
    <row r="1249" spans="3:4" x14ac:dyDescent="0.25">
      <c r="C1249" s="37"/>
      <c r="D1249" s="35"/>
    </row>
    <row r="1250" spans="3:4" x14ac:dyDescent="0.25">
      <c r="C1250" s="37"/>
      <c r="D1250" s="35"/>
    </row>
    <row r="1251" spans="3:4" x14ac:dyDescent="0.25">
      <c r="C1251" s="37"/>
      <c r="D1251" s="35"/>
    </row>
    <row r="1252" spans="3:4" x14ac:dyDescent="0.25">
      <c r="C1252" s="37"/>
      <c r="D1252" s="35"/>
    </row>
    <row r="1253" spans="3:4" x14ac:dyDescent="0.25">
      <c r="C1253" s="37"/>
      <c r="D1253" s="35"/>
    </row>
    <row r="1254" spans="3:4" x14ac:dyDescent="0.25">
      <c r="C1254" s="37"/>
      <c r="D1254" s="35"/>
    </row>
    <row r="1255" spans="3:4" x14ac:dyDescent="0.25">
      <c r="C1255" s="37"/>
      <c r="D1255" s="35"/>
    </row>
    <row r="1256" spans="3:4" x14ac:dyDescent="0.25">
      <c r="C1256" s="37"/>
      <c r="D1256" s="35"/>
    </row>
    <row r="1257" spans="3:4" x14ac:dyDescent="0.25">
      <c r="C1257" s="37"/>
      <c r="D1257" s="35"/>
    </row>
    <row r="1258" spans="3:4" x14ac:dyDescent="0.25">
      <c r="C1258" s="37"/>
      <c r="D1258" s="35"/>
    </row>
    <row r="1259" spans="3:4" x14ac:dyDescent="0.25">
      <c r="C1259" s="37"/>
      <c r="D1259" s="35"/>
    </row>
    <row r="1260" spans="3:4" x14ac:dyDescent="0.25">
      <c r="C1260" s="37"/>
      <c r="D1260" s="35"/>
    </row>
    <row r="1261" spans="3:4" x14ac:dyDescent="0.25">
      <c r="C1261" s="37"/>
      <c r="D1261" s="35"/>
    </row>
    <row r="1262" spans="3:4" x14ac:dyDescent="0.25">
      <c r="C1262" s="37"/>
      <c r="D1262" s="35"/>
    </row>
    <row r="1263" spans="3:4" x14ac:dyDescent="0.25">
      <c r="C1263" s="37"/>
      <c r="D1263" s="35"/>
    </row>
    <row r="1264" spans="3:4" x14ac:dyDescent="0.25">
      <c r="C1264" s="37"/>
      <c r="D1264" s="35"/>
    </row>
    <row r="1265" spans="3:4" x14ac:dyDescent="0.25">
      <c r="C1265" s="37"/>
      <c r="D1265" s="35"/>
    </row>
    <row r="1266" spans="3:4" x14ac:dyDescent="0.25">
      <c r="C1266" s="37"/>
      <c r="D1266" s="35"/>
    </row>
    <row r="1267" spans="3:4" x14ac:dyDescent="0.25">
      <c r="C1267" s="37"/>
      <c r="D1267" s="35"/>
    </row>
    <row r="1268" spans="3:4" x14ac:dyDescent="0.25">
      <c r="C1268" s="37"/>
      <c r="D1268" s="35"/>
    </row>
    <row r="1269" spans="3:4" x14ac:dyDescent="0.25">
      <c r="C1269" s="37"/>
      <c r="D1269" s="35"/>
    </row>
    <row r="1270" spans="3:4" x14ac:dyDescent="0.25">
      <c r="C1270" s="37"/>
      <c r="D1270" s="35"/>
    </row>
    <row r="1271" spans="3:4" x14ac:dyDescent="0.25">
      <c r="C1271" s="37"/>
      <c r="D1271" s="35"/>
    </row>
    <row r="1272" spans="3:4" x14ac:dyDescent="0.25">
      <c r="C1272" s="37"/>
      <c r="D1272" s="35"/>
    </row>
    <row r="1273" spans="3:4" x14ac:dyDescent="0.25">
      <c r="C1273" s="37"/>
      <c r="D1273" s="35"/>
    </row>
    <row r="1274" spans="3:4" x14ac:dyDescent="0.25">
      <c r="C1274" s="37"/>
      <c r="D1274" s="35"/>
    </row>
    <row r="1275" spans="3:4" x14ac:dyDescent="0.25">
      <c r="C1275" s="37"/>
      <c r="D1275" s="35"/>
    </row>
    <row r="1276" spans="3:4" x14ac:dyDescent="0.25">
      <c r="C1276" s="37"/>
      <c r="D1276" s="35"/>
    </row>
    <row r="1277" spans="3:4" x14ac:dyDescent="0.25">
      <c r="C1277" s="37"/>
      <c r="D1277" s="35"/>
    </row>
    <row r="1278" spans="3:4" x14ac:dyDescent="0.25">
      <c r="C1278" s="37"/>
      <c r="D1278" s="35"/>
    </row>
    <row r="1279" spans="3:4" x14ac:dyDescent="0.25">
      <c r="C1279" s="37"/>
      <c r="D1279" s="35"/>
    </row>
    <row r="1280" spans="3:4" x14ac:dyDescent="0.25">
      <c r="C1280" s="37"/>
      <c r="D1280" s="35"/>
    </row>
    <row r="1281" spans="3:4" x14ac:dyDescent="0.25">
      <c r="C1281" s="37"/>
      <c r="D1281" s="35"/>
    </row>
    <row r="1282" spans="3:4" x14ac:dyDescent="0.25">
      <c r="C1282" s="37"/>
      <c r="D1282" s="35"/>
    </row>
    <row r="1283" spans="3:4" x14ac:dyDescent="0.25">
      <c r="C1283" s="37"/>
      <c r="D1283" s="35"/>
    </row>
    <row r="1284" spans="3:4" x14ac:dyDescent="0.25">
      <c r="C1284" s="37"/>
      <c r="D1284" s="35"/>
    </row>
    <row r="1285" spans="3:4" x14ac:dyDescent="0.25">
      <c r="C1285" s="37"/>
      <c r="D1285" s="35"/>
    </row>
    <row r="1286" spans="3:4" x14ac:dyDescent="0.25">
      <c r="C1286" s="37"/>
      <c r="D1286" s="35"/>
    </row>
    <row r="1287" spans="3:4" x14ac:dyDescent="0.25">
      <c r="C1287" s="37"/>
      <c r="D1287" s="35"/>
    </row>
    <row r="1288" spans="3:4" x14ac:dyDescent="0.25">
      <c r="C1288" s="37"/>
      <c r="D1288" s="35"/>
    </row>
    <row r="1289" spans="3:4" x14ac:dyDescent="0.25">
      <c r="C1289" s="37"/>
      <c r="D1289" s="35"/>
    </row>
    <row r="1290" spans="3:4" x14ac:dyDescent="0.25">
      <c r="C1290" s="37"/>
      <c r="D1290" s="35"/>
    </row>
    <row r="1291" spans="3:4" x14ac:dyDescent="0.25">
      <c r="C1291" s="37"/>
      <c r="D1291" s="35"/>
    </row>
    <row r="1292" spans="3:4" x14ac:dyDescent="0.25">
      <c r="C1292" s="37"/>
      <c r="D1292" s="35"/>
    </row>
    <row r="1293" spans="3:4" x14ac:dyDescent="0.25">
      <c r="C1293" s="37"/>
      <c r="D1293" s="35"/>
    </row>
    <row r="1294" spans="3:4" x14ac:dyDescent="0.25">
      <c r="C1294" s="37"/>
      <c r="D1294" s="35"/>
    </row>
    <row r="1295" spans="3:4" x14ac:dyDescent="0.25">
      <c r="C1295" s="37"/>
      <c r="D1295" s="35"/>
    </row>
    <row r="1296" spans="3:4" x14ac:dyDescent="0.25">
      <c r="C1296" s="37"/>
      <c r="D1296" s="35"/>
    </row>
    <row r="1297" spans="3:4" x14ac:dyDescent="0.25">
      <c r="C1297" s="37"/>
      <c r="D1297" s="35"/>
    </row>
    <row r="1298" spans="3:4" x14ac:dyDescent="0.25">
      <c r="C1298" s="37"/>
      <c r="D1298" s="35"/>
    </row>
    <row r="1299" spans="3:4" x14ac:dyDescent="0.25">
      <c r="C1299" s="37"/>
      <c r="D1299" s="35"/>
    </row>
    <row r="1300" spans="3:4" x14ac:dyDescent="0.25">
      <c r="C1300" s="37"/>
      <c r="D1300" s="35"/>
    </row>
    <row r="1301" spans="3:4" x14ac:dyDescent="0.25">
      <c r="C1301" s="37"/>
      <c r="D1301" s="35"/>
    </row>
    <row r="1302" spans="3:4" x14ac:dyDescent="0.25">
      <c r="C1302" s="37"/>
      <c r="D1302" s="35"/>
    </row>
    <row r="1303" spans="3:4" x14ac:dyDescent="0.25">
      <c r="C1303" s="37"/>
      <c r="D1303" s="35"/>
    </row>
    <row r="1304" spans="3:4" x14ac:dyDescent="0.25">
      <c r="C1304" s="37"/>
      <c r="D1304" s="35"/>
    </row>
    <row r="1305" spans="3:4" x14ac:dyDescent="0.25">
      <c r="C1305" s="37"/>
      <c r="D1305" s="35"/>
    </row>
    <row r="1306" spans="3:4" x14ac:dyDescent="0.25">
      <c r="C1306" s="37"/>
      <c r="D1306" s="35"/>
    </row>
    <row r="1307" spans="3:4" x14ac:dyDescent="0.25">
      <c r="C1307" s="37"/>
      <c r="D1307" s="35"/>
    </row>
    <row r="1308" spans="3:4" x14ac:dyDescent="0.25">
      <c r="C1308" s="37"/>
      <c r="D1308" s="35"/>
    </row>
    <row r="1309" spans="3:4" x14ac:dyDescent="0.25">
      <c r="C1309" s="37"/>
      <c r="D1309" s="35"/>
    </row>
    <row r="1310" spans="3:4" x14ac:dyDescent="0.25">
      <c r="C1310" s="37"/>
      <c r="D1310" s="35"/>
    </row>
    <row r="1311" spans="3:4" x14ac:dyDescent="0.25">
      <c r="C1311" s="37"/>
      <c r="D1311" s="35"/>
    </row>
    <row r="1312" spans="3:4" x14ac:dyDescent="0.25">
      <c r="C1312" s="37"/>
      <c r="D1312" s="35"/>
    </row>
    <row r="1313" spans="3:4" x14ac:dyDescent="0.25">
      <c r="C1313" s="37"/>
      <c r="D1313" s="35"/>
    </row>
    <row r="1314" spans="3:4" x14ac:dyDescent="0.25">
      <c r="C1314" s="37"/>
      <c r="D1314" s="35"/>
    </row>
    <row r="1315" spans="3:4" x14ac:dyDescent="0.25">
      <c r="C1315" s="37"/>
      <c r="D1315" s="35"/>
    </row>
    <row r="1316" spans="3:4" x14ac:dyDescent="0.25">
      <c r="C1316" s="37"/>
      <c r="D1316" s="35"/>
    </row>
    <row r="1317" spans="3:4" x14ac:dyDescent="0.25">
      <c r="C1317" s="37"/>
      <c r="D1317" s="35"/>
    </row>
    <row r="1318" spans="3:4" x14ac:dyDescent="0.25">
      <c r="C1318" s="37"/>
      <c r="D1318" s="35"/>
    </row>
    <row r="1319" spans="3:4" x14ac:dyDescent="0.25">
      <c r="C1319" s="37"/>
      <c r="D1319" s="35"/>
    </row>
    <row r="1320" spans="3:4" x14ac:dyDescent="0.25">
      <c r="C1320" s="37"/>
      <c r="D1320" s="35"/>
    </row>
    <row r="1321" spans="3:4" x14ac:dyDescent="0.25">
      <c r="C1321" s="37"/>
      <c r="D1321" s="35"/>
    </row>
    <row r="1322" spans="3:4" x14ac:dyDescent="0.25">
      <c r="C1322" s="37"/>
      <c r="D1322" s="35"/>
    </row>
    <row r="1323" spans="3:4" x14ac:dyDescent="0.25">
      <c r="C1323" s="37"/>
      <c r="D1323" s="35"/>
    </row>
    <row r="1324" spans="3:4" x14ac:dyDescent="0.25">
      <c r="C1324" s="37"/>
      <c r="D1324" s="35"/>
    </row>
    <row r="1325" spans="3:4" x14ac:dyDescent="0.25">
      <c r="C1325" s="37"/>
      <c r="D1325" s="35"/>
    </row>
    <row r="1326" spans="3:4" x14ac:dyDescent="0.25">
      <c r="C1326" s="37"/>
      <c r="D1326" s="35"/>
    </row>
    <row r="1327" spans="3:4" x14ac:dyDescent="0.25">
      <c r="C1327" s="37"/>
      <c r="D1327" s="35"/>
    </row>
    <row r="1328" spans="3:4" x14ac:dyDescent="0.25">
      <c r="C1328" s="37"/>
      <c r="D1328" s="35"/>
    </row>
    <row r="1329" spans="3:4" x14ac:dyDescent="0.25">
      <c r="C1329" s="37"/>
      <c r="D1329" s="35"/>
    </row>
    <row r="1330" spans="3:4" x14ac:dyDescent="0.25">
      <c r="C1330" s="37"/>
      <c r="D1330" s="35"/>
    </row>
    <row r="1331" spans="3:4" x14ac:dyDescent="0.25">
      <c r="C1331" s="37"/>
      <c r="D1331" s="35"/>
    </row>
    <row r="1332" spans="3:4" x14ac:dyDescent="0.25">
      <c r="C1332" s="37"/>
      <c r="D1332" s="35"/>
    </row>
    <row r="1333" spans="3:4" x14ac:dyDescent="0.25">
      <c r="C1333" s="37"/>
      <c r="D1333" s="35"/>
    </row>
  </sheetData>
  <mergeCells count="18">
    <mergeCell ref="N2:O2"/>
    <mergeCell ref="D2:E2"/>
    <mergeCell ref="F2:G2"/>
    <mergeCell ref="H2:I2"/>
    <mergeCell ref="J2:K2"/>
    <mergeCell ref="L2:M2"/>
    <mergeCell ref="N29:O29"/>
    <mergeCell ref="D17:E17"/>
    <mergeCell ref="F17:G17"/>
    <mergeCell ref="H17:I17"/>
    <mergeCell ref="J17:K17"/>
    <mergeCell ref="L17:M17"/>
    <mergeCell ref="N17:O17"/>
    <mergeCell ref="D29:E29"/>
    <mergeCell ref="F29:G29"/>
    <mergeCell ref="H29:I29"/>
    <mergeCell ref="J29:K29"/>
    <mergeCell ref="L29:M29"/>
  </mergeCells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1D56-EB15-4DBD-B769-D7BFA87586D6}">
  <dimension ref="A1:AC1333"/>
  <sheetViews>
    <sheetView workbookViewId="0"/>
  </sheetViews>
  <sheetFormatPr defaultRowHeight="15" outlineLevelCol="1" x14ac:dyDescent="0.25"/>
  <cols>
    <col min="1" max="1" width="3.85546875" customWidth="1"/>
    <col min="2" max="2" width="25.140625" bestFit="1" customWidth="1"/>
    <col min="3" max="3" width="21.7109375" style="11" bestFit="1" customWidth="1"/>
    <col min="4" max="4" width="15.85546875" style="6" bestFit="1" customWidth="1"/>
    <col min="5" max="5" width="19.5703125" style="11" bestFit="1" customWidth="1"/>
    <col min="6" max="6" width="7.140625" style="6" bestFit="1" customWidth="1"/>
    <col min="7" max="7" width="19.5703125" style="11" bestFit="1" customWidth="1"/>
    <col min="8" max="8" width="9.140625" style="6"/>
    <col min="9" max="9" width="19.5703125" style="11" bestFit="1" customWidth="1"/>
    <col min="10" max="10" width="7.140625" style="6" bestFit="1" customWidth="1"/>
    <col min="11" max="11" width="18" style="11" bestFit="1" customWidth="1"/>
    <col min="12" max="12" width="7.140625" style="5" bestFit="1" customWidth="1"/>
    <col min="13" max="13" width="19.5703125" style="10" bestFit="1" customWidth="1"/>
    <col min="14" max="14" width="8.140625" style="10" bestFit="1" customWidth="1"/>
    <col min="15" max="15" width="19.5703125" style="10" customWidth="1"/>
    <col min="16" max="16" width="7.140625" bestFit="1" customWidth="1"/>
    <col min="17" max="18" width="7.140625" hidden="1" customWidth="1" outlineLevel="1"/>
    <col min="19" max="19" width="18" bestFit="1" customWidth="1" collapsed="1"/>
    <col min="20" max="20" width="16.85546875" bestFit="1" customWidth="1"/>
    <col min="21" max="21" width="18" bestFit="1" customWidth="1"/>
    <col min="22" max="22" width="16.85546875" bestFit="1" customWidth="1"/>
    <col min="23" max="23" width="15.28515625" bestFit="1" customWidth="1"/>
    <col min="25" max="25" width="7.85546875" bestFit="1" customWidth="1"/>
    <col min="26" max="26" width="11.140625" bestFit="1" customWidth="1"/>
    <col min="27" max="27" width="13.28515625" bestFit="1" customWidth="1"/>
    <col min="28" max="28" width="7.85546875" bestFit="1" customWidth="1"/>
    <col min="29" max="29" width="8.140625" bestFit="1" customWidth="1"/>
  </cols>
  <sheetData>
    <row r="1" spans="1:29" ht="9" customHeight="1" x14ac:dyDescent="0.25"/>
    <row r="2" spans="1:29" x14ac:dyDescent="0.25">
      <c r="B2" s="4" t="s">
        <v>1</v>
      </c>
      <c r="C2" s="9" t="s">
        <v>4</v>
      </c>
      <c r="D2" s="112" t="s">
        <v>7</v>
      </c>
      <c r="E2" s="112"/>
      <c r="F2" s="112" t="s">
        <v>8</v>
      </c>
      <c r="G2" s="112"/>
      <c r="H2" s="112" t="s">
        <v>10</v>
      </c>
      <c r="I2" s="112"/>
      <c r="J2" s="112" t="s">
        <v>9</v>
      </c>
      <c r="K2" s="112"/>
      <c r="L2" s="112" t="s">
        <v>21</v>
      </c>
      <c r="M2" s="112"/>
      <c r="N2" s="112" t="s">
        <v>55</v>
      </c>
      <c r="O2" s="112"/>
      <c r="Q2" s="1" t="s">
        <v>46</v>
      </c>
      <c r="S2" s="27" t="s">
        <v>49</v>
      </c>
      <c r="T2" s="27" t="s">
        <v>50</v>
      </c>
      <c r="U2" s="27" t="s">
        <v>51</v>
      </c>
      <c r="V2" s="27" t="s">
        <v>52</v>
      </c>
      <c r="W2" s="27" t="s">
        <v>53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</row>
    <row r="3" spans="1:29" x14ac:dyDescent="0.25">
      <c r="A3" s="29"/>
      <c r="B3" s="21" t="s">
        <v>5</v>
      </c>
      <c r="C3" s="23">
        <v>487392834.25</v>
      </c>
      <c r="D3" s="26">
        <v>0.35099999999999998</v>
      </c>
      <c r="E3" s="23">
        <f>D3*C3</f>
        <v>171074884.82174999</v>
      </c>
      <c r="F3" s="26">
        <v>0.26100000000000001</v>
      </c>
      <c r="G3" s="22">
        <f>F3*C3</f>
        <v>127209529.73925</v>
      </c>
      <c r="H3" s="26">
        <v>0.30599999999999999</v>
      </c>
      <c r="I3" s="23">
        <f>H3*C3</f>
        <v>149142207.28049999</v>
      </c>
      <c r="J3" s="26">
        <v>4.2999999999999997E-2</v>
      </c>
      <c r="K3" s="23">
        <f>J3*C3</f>
        <v>20957891.872749999</v>
      </c>
      <c r="L3" s="24"/>
      <c r="M3" s="25">
        <f>L3*C3</f>
        <v>0</v>
      </c>
      <c r="N3" s="14">
        <v>6.0999999999999999E-2</v>
      </c>
      <c r="O3" s="12">
        <f>N3*C3</f>
        <v>29730962.889249999</v>
      </c>
      <c r="S3" s="12">
        <f>C3-'Mar23'!C3</f>
        <v>-73404024.769999981</v>
      </c>
      <c r="T3" s="12">
        <f>E3-'Mar23'!E3</f>
        <v>-36419953.015650004</v>
      </c>
      <c r="U3" s="12">
        <f>I3-'Mar23'!I3</f>
        <v>-3955335.2319599986</v>
      </c>
      <c r="V3" s="12">
        <f>K3-'Mar23'!K3</f>
        <v>-3156373.065109998</v>
      </c>
      <c r="W3" s="12">
        <f>+M3-'Jan23'!M3</f>
        <v>0</v>
      </c>
      <c r="Y3" s="28">
        <f>D3-'Mar23'!D3</f>
        <v>-1.9000000000000017E-2</v>
      </c>
      <c r="Z3" s="28">
        <f>F3-'Mar23'!F3</f>
        <v>-2.0000000000000018E-3</v>
      </c>
      <c r="AA3" s="28">
        <f>H3-'Mar23'!H3</f>
        <v>3.2999999999999974E-2</v>
      </c>
      <c r="AB3" s="28">
        <f>J3-'Mar23'!J3</f>
        <v>0</v>
      </c>
      <c r="AC3" s="28">
        <f>L3-'Mar23'!L3</f>
        <v>0</v>
      </c>
    </row>
    <row r="4" spans="1:29" x14ac:dyDescent="0.25">
      <c r="B4" s="3" t="s">
        <v>0</v>
      </c>
      <c r="C4" s="12">
        <v>1379929805</v>
      </c>
      <c r="D4" s="14">
        <v>0.34</v>
      </c>
      <c r="E4" s="12">
        <f t="shared" ref="E4:E11" si="0">D4*C4</f>
        <v>469176133.70000005</v>
      </c>
      <c r="F4" s="14">
        <v>7.0000000000000007E-2</v>
      </c>
      <c r="G4" s="12">
        <f t="shared" ref="G4:G11" si="1">F4*C4</f>
        <v>96595086.350000009</v>
      </c>
      <c r="H4" s="14">
        <v>0.53</v>
      </c>
      <c r="I4" s="12">
        <f t="shared" ref="I4:I11" si="2">H4*C4</f>
        <v>731362796.6500001</v>
      </c>
      <c r="J4" s="14">
        <v>0.06</v>
      </c>
      <c r="K4" s="12">
        <f>J4*C4</f>
        <v>82795788.299999997</v>
      </c>
      <c r="L4" s="14"/>
      <c r="M4" s="12">
        <f>L4*C4</f>
        <v>0</v>
      </c>
      <c r="N4" s="14"/>
      <c r="O4" s="12">
        <f t="shared" ref="O4:O13" si="3">N4*C4</f>
        <v>0</v>
      </c>
      <c r="S4" s="12">
        <f>C4-'Mar23'!C4</f>
        <v>-83090141</v>
      </c>
      <c r="T4" s="12">
        <f>E4-'Mar23'!E4</f>
        <v>-57511046.859999955</v>
      </c>
      <c r="U4" s="12">
        <f>I4-'Mar23'!I4</f>
        <v>-147176.34999990463</v>
      </c>
      <c r="V4" s="12">
        <f>K4-'Mar23'!K4</f>
        <v>9644791</v>
      </c>
      <c r="W4" s="12">
        <f>+M4-'Jan23'!M4</f>
        <v>0</v>
      </c>
      <c r="Y4" s="28">
        <f>D4-'Mar23'!D4</f>
        <v>-1.9999999999999962E-2</v>
      </c>
      <c r="Z4" s="28">
        <f>F4-'Mar23'!F4</f>
        <v>0</v>
      </c>
      <c r="AA4" s="28">
        <f>H4-'Mar23'!H4</f>
        <v>3.0000000000000027E-2</v>
      </c>
      <c r="AB4" s="28">
        <f>J4-'Mar23'!J4</f>
        <v>9.999999999999995E-3</v>
      </c>
      <c r="AC4" s="28">
        <f>L4-'Mar23'!L4</f>
        <v>0</v>
      </c>
    </row>
    <row r="5" spans="1:29" x14ac:dyDescent="0.25">
      <c r="B5" s="3" t="s">
        <v>3</v>
      </c>
      <c r="C5" s="12">
        <v>1549790779.73</v>
      </c>
      <c r="D5" s="14">
        <v>0.41</v>
      </c>
      <c r="E5" s="12">
        <f t="shared" si="0"/>
        <v>635414219.68929994</v>
      </c>
      <c r="F5" s="14"/>
      <c r="G5" s="12">
        <f t="shared" si="1"/>
        <v>0</v>
      </c>
      <c r="H5" s="14">
        <v>0.47</v>
      </c>
      <c r="I5" s="12">
        <f t="shared" si="2"/>
        <v>728401666.47309995</v>
      </c>
      <c r="J5" s="14"/>
      <c r="K5" s="12">
        <f t="shared" ref="K5:K7" si="4">J5*C5</f>
        <v>0</v>
      </c>
      <c r="L5" s="14">
        <v>0.09</v>
      </c>
      <c r="M5" s="12">
        <f>L5*C5</f>
        <v>139481170.17570001</v>
      </c>
      <c r="N5" s="14">
        <v>0.03</v>
      </c>
      <c r="O5" s="12">
        <f t="shared" si="3"/>
        <v>46493723.391899996</v>
      </c>
      <c r="S5" s="12">
        <f>C5-'Mar23'!C5</f>
        <v>-205013856.03999996</v>
      </c>
      <c r="T5" s="12">
        <f>E5-'Mar23'!E5</f>
        <v>-241988098.19570005</v>
      </c>
      <c r="U5" s="12">
        <f>I5-'Mar23'!I5</f>
        <v>79123951.238199949</v>
      </c>
      <c r="V5" s="12">
        <f>K5-'Mar23'!K5</f>
        <v>-70192185.430800006</v>
      </c>
      <c r="W5" s="12">
        <f>+M5-'Jan23'!M5</f>
        <v>-23807098.189200014</v>
      </c>
      <c r="Y5" s="28">
        <f>D5-'Mar23'!D5</f>
        <v>-9.0000000000000024E-2</v>
      </c>
      <c r="Z5" s="28">
        <f>F5-'Mar23'!F5</f>
        <v>0</v>
      </c>
      <c r="AA5" s="28">
        <f>H5-'Mar23'!H5</f>
        <v>9.9999999999999978E-2</v>
      </c>
      <c r="AB5" s="28">
        <f>J5-'Mar23'!J5</f>
        <v>-0.04</v>
      </c>
      <c r="AC5" s="28">
        <f>L5-'Mar23'!L5</f>
        <v>9.999999999999995E-3</v>
      </c>
    </row>
    <row r="6" spans="1:29" x14ac:dyDescent="0.25">
      <c r="B6" s="3" t="s">
        <v>37</v>
      </c>
      <c r="C6" s="12">
        <v>3547364591</v>
      </c>
      <c r="D6" s="14">
        <v>0.31</v>
      </c>
      <c r="E6" s="12">
        <f t="shared" ref="E6" si="5">D6*C6</f>
        <v>1099683023.21</v>
      </c>
      <c r="F6" s="14">
        <v>0.1784</v>
      </c>
      <c r="G6" s="12">
        <f t="shared" ref="G6" si="6">F6*C6</f>
        <v>632849843.03439999</v>
      </c>
      <c r="H6" s="14">
        <v>0.4551</v>
      </c>
      <c r="I6" s="12">
        <f t="shared" ref="I6" si="7">H6*C6</f>
        <v>1614405625.3641</v>
      </c>
      <c r="J6" s="14">
        <v>2.53E-2</v>
      </c>
      <c r="K6" s="12">
        <f t="shared" ref="K6" si="8">J6*C6</f>
        <v>89748324.1523</v>
      </c>
      <c r="L6" s="14"/>
      <c r="M6" s="12">
        <f>L6*C6</f>
        <v>0</v>
      </c>
      <c r="N6" s="14">
        <v>3.1099999999999999E-2</v>
      </c>
      <c r="O6" s="12">
        <f t="shared" ref="O6" si="9">N6*C6</f>
        <v>110323038.7801</v>
      </c>
      <c r="S6" s="12">
        <f>C6-'Mar23'!C6</f>
        <v>2024122919.3900001</v>
      </c>
      <c r="T6" s="12">
        <f>E6-'Mar23'!E6</f>
        <v>459921521.13380015</v>
      </c>
      <c r="U6" s="12">
        <f>I6-'Mar23'!I6</f>
        <v>883249622.99130011</v>
      </c>
      <c r="V6" s="12">
        <f>K6-'Mar23'!K6</f>
        <v>28818657.287900001</v>
      </c>
      <c r="W6" s="12">
        <f>+M6-'Jan23'!M6</f>
        <v>0</v>
      </c>
      <c r="Y6" s="28">
        <f>D6-'Mar23'!D6</f>
        <v>-0.10999999999999999</v>
      </c>
      <c r="Z6" s="28">
        <f>F6-'Mar23'!F6</f>
        <v>0.11840000000000001</v>
      </c>
      <c r="AA6" s="28">
        <f>H6-'Mar23'!H6</f>
        <v>-2.4899999999999978E-2</v>
      </c>
      <c r="AB6" s="28">
        <f>J6-'Mar23'!J6</f>
        <v>-1.4700000000000001E-2</v>
      </c>
      <c r="AC6" s="28">
        <f>L6-'Mar23'!L6</f>
        <v>0</v>
      </c>
    </row>
    <row r="7" spans="1:29" x14ac:dyDescent="0.25">
      <c r="B7" s="3" t="s">
        <v>22</v>
      </c>
      <c r="C7" s="12">
        <v>1352720000</v>
      </c>
      <c r="D7" s="14">
        <v>0.318</v>
      </c>
      <c r="E7" s="12">
        <f t="shared" si="0"/>
        <v>430164960</v>
      </c>
      <c r="F7" s="14">
        <v>7.6999999999999999E-2</v>
      </c>
      <c r="G7" s="12">
        <f t="shared" si="1"/>
        <v>104159440</v>
      </c>
      <c r="H7" s="14">
        <v>0.53400000000000003</v>
      </c>
      <c r="I7" s="12">
        <f t="shared" si="2"/>
        <v>722352480</v>
      </c>
      <c r="J7" s="14">
        <v>7.0000000000000007E-2</v>
      </c>
      <c r="K7" s="12">
        <f t="shared" si="4"/>
        <v>94690400.000000015</v>
      </c>
      <c r="L7" s="16"/>
      <c r="M7" s="12">
        <f t="shared" ref="M7:M13" si="10">L7*C7</f>
        <v>0</v>
      </c>
      <c r="N7" s="14"/>
      <c r="O7" s="12">
        <f t="shared" si="3"/>
        <v>0</v>
      </c>
      <c r="S7" s="12">
        <f>C7-'Mar23'!C7</f>
        <v>-259860000</v>
      </c>
      <c r="T7" s="12">
        <f>E7-'Mar23'!E7</f>
        <v>-74572580</v>
      </c>
      <c r="U7" s="12">
        <f>I7-'Mar23'!I7</f>
        <v>-100063320</v>
      </c>
      <c r="V7" s="12">
        <f>K7-'Mar23'!K7</f>
        <v>-42378899.999999985</v>
      </c>
      <c r="W7" s="12">
        <f>+M7-'Jan23'!M7</f>
        <v>0</v>
      </c>
      <c r="Y7" s="28">
        <f>D7-'Mar23'!D7</f>
        <v>5.0000000000000044E-3</v>
      </c>
      <c r="Z7" s="28">
        <f>F7-'Mar23'!F7</f>
        <v>-1.3999999999999999E-2</v>
      </c>
      <c r="AA7" s="28">
        <f>H7-'Mar23'!H7</f>
        <v>2.4000000000000021E-2</v>
      </c>
      <c r="AB7" s="28">
        <f>J7-'Mar23'!J7</f>
        <v>-1.4999999999999999E-2</v>
      </c>
      <c r="AC7" s="28">
        <f>L7-'Mar23'!L7</f>
        <v>0</v>
      </c>
    </row>
    <row r="8" spans="1:29" x14ac:dyDescent="0.25">
      <c r="B8" s="3" t="s">
        <v>23</v>
      </c>
      <c r="C8" s="12">
        <v>1407767986.9200001</v>
      </c>
      <c r="D8" s="14">
        <v>0.16</v>
      </c>
      <c r="E8" s="12">
        <f t="shared" si="0"/>
        <v>225242877.90720001</v>
      </c>
      <c r="F8" s="14">
        <v>0.31</v>
      </c>
      <c r="G8" s="12">
        <f t="shared" si="1"/>
        <v>436408075.94520003</v>
      </c>
      <c r="H8" s="14">
        <v>0.44</v>
      </c>
      <c r="I8" s="12">
        <f t="shared" si="2"/>
        <v>619417914.24480009</v>
      </c>
      <c r="J8" s="14">
        <v>0.06</v>
      </c>
      <c r="K8" s="12">
        <f>J8*C8</f>
        <v>84466079.215200007</v>
      </c>
      <c r="L8" s="16"/>
      <c r="M8" s="12">
        <f t="shared" si="10"/>
        <v>0</v>
      </c>
      <c r="N8" s="14">
        <v>0.03</v>
      </c>
      <c r="O8" s="12">
        <f t="shared" si="3"/>
        <v>42233039.607600003</v>
      </c>
      <c r="S8" s="12">
        <f>C8-'Mar23'!C8</f>
        <v>-98101768.299999952</v>
      </c>
      <c r="T8" s="12">
        <f>E8-'Mar23'!E8</f>
        <v>-30754980.480200022</v>
      </c>
      <c r="U8" s="12">
        <f>I8-'Mar23'!I8</f>
        <v>-28106080.499799967</v>
      </c>
      <c r="V8" s="12">
        <f>K8-'Mar23'!K8</f>
        <v>-36003501.202399999</v>
      </c>
      <c r="W8" s="12">
        <f>+M8-'Jan23'!M8</f>
        <v>0</v>
      </c>
      <c r="Y8" s="28">
        <f>D8-'Mar23'!D8</f>
        <v>-1.0000000000000009E-2</v>
      </c>
      <c r="Z8" s="28">
        <f>F8-'Mar23'!F8</f>
        <v>1.0000000000000009E-2</v>
      </c>
      <c r="AA8" s="28">
        <f>H8-'Mar23'!H8</f>
        <v>1.0000000000000009E-2</v>
      </c>
      <c r="AB8" s="28">
        <f>J8-'Mar23'!J8</f>
        <v>-2.0000000000000004E-2</v>
      </c>
      <c r="AC8" s="28">
        <f>L8-'Mar23'!L8</f>
        <v>0</v>
      </c>
    </row>
    <row r="9" spans="1:29" x14ac:dyDescent="0.25">
      <c r="B9" s="3" t="s">
        <v>24</v>
      </c>
      <c r="C9" s="12">
        <v>2680615438</v>
      </c>
      <c r="D9" s="14">
        <v>0.30470000000000003</v>
      </c>
      <c r="E9" s="12">
        <f t="shared" si="0"/>
        <v>816783523.95860004</v>
      </c>
      <c r="F9" s="14">
        <v>0.192</v>
      </c>
      <c r="G9" s="12">
        <f t="shared" si="1"/>
        <v>514678164.09600002</v>
      </c>
      <c r="H9" s="14">
        <v>0.45340000000000003</v>
      </c>
      <c r="I9" s="12">
        <f t="shared" si="2"/>
        <v>1215391039.5892</v>
      </c>
      <c r="J9" s="14">
        <v>3.5999999999999997E-2</v>
      </c>
      <c r="K9" s="12">
        <f>J9*C9</f>
        <v>96502155.767999992</v>
      </c>
      <c r="L9" s="16"/>
      <c r="M9" s="12">
        <f t="shared" si="10"/>
        <v>0</v>
      </c>
      <c r="N9" s="14">
        <v>1.29E-2</v>
      </c>
      <c r="O9" s="12">
        <f t="shared" si="3"/>
        <v>34579939.150200002</v>
      </c>
      <c r="S9" s="12">
        <f>C9-'Mar23'!C9</f>
        <v>-319201363</v>
      </c>
      <c r="T9" s="12">
        <f>E9-'Mar23'!E9</f>
        <v>-282949315.28799987</v>
      </c>
      <c r="U9" s="12">
        <f>I9-'Mar23'!I9</f>
        <v>-29532932.825799942</v>
      </c>
      <c r="V9" s="12">
        <f>K9-'Mar23'!K9</f>
        <v>-4291688.7456</v>
      </c>
      <c r="W9" s="12">
        <f>+M9-'Jan23'!M9</f>
        <v>0</v>
      </c>
      <c r="Y9" s="28">
        <f>D9-'Mar23'!D9</f>
        <v>-6.1899999999999955E-2</v>
      </c>
      <c r="Z9" s="28">
        <f>F9-'Mar23'!F9</f>
        <v>1.8699999999999994E-2</v>
      </c>
      <c r="AA9" s="28">
        <f>H9-'Mar23'!H9</f>
        <v>3.8400000000000045E-2</v>
      </c>
      <c r="AB9" s="28">
        <f>J9-'Mar23'!J9</f>
        <v>2.3999999999999994E-3</v>
      </c>
      <c r="AC9" s="28">
        <f>L9-'Mar23'!L9</f>
        <v>0</v>
      </c>
    </row>
    <row r="10" spans="1:29" x14ac:dyDescent="0.25">
      <c r="B10" s="3" t="s">
        <v>25</v>
      </c>
      <c r="C10" s="12">
        <v>589142880</v>
      </c>
      <c r="D10" s="14">
        <v>0.33</v>
      </c>
      <c r="E10" s="12">
        <f t="shared" si="0"/>
        <v>194417150.40000001</v>
      </c>
      <c r="F10" s="14">
        <v>0.18</v>
      </c>
      <c r="G10" s="12">
        <f t="shared" si="1"/>
        <v>106045718.39999999</v>
      </c>
      <c r="H10" s="14">
        <v>0.42</v>
      </c>
      <c r="I10" s="12">
        <f t="shared" si="2"/>
        <v>247440009.59999999</v>
      </c>
      <c r="J10" s="14">
        <v>7.0000000000000007E-2</v>
      </c>
      <c r="K10" s="12">
        <f>J10*C10</f>
        <v>41240001.600000001</v>
      </c>
      <c r="L10" s="16"/>
      <c r="M10" s="12">
        <f t="shared" si="10"/>
        <v>0</v>
      </c>
      <c r="N10" s="14"/>
      <c r="O10" s="12">
        <f t="shared" si="3"/>
        <v>0</v>
      </c>
      <c r="S10" s="12">
        <f>C10-'Mar23'!C10</f>
        <v>-68066048</v>
      </c>
      <c r="T10" s="12">
        <f>E10-'Mar23'!E10</f>
        <v>-35605974.399999976</v>
      </c>
      <c r="U10" s="12">
        <f>I10-'Mar23'!I10</f>
        <v>-28587740.159999996</v>
      </c>
      <c r="V10" s="12">
        <f>K10-'Mar23'!K10</f>
        <v>1807465.9200000018</v>
      </c>
      <c r="W10" s="12">
        <f>+M10-'Jan23'!M10</f>
        <v>0</v>
      </c>
      <c r="Y10" s="28">
        <f>D10-'Mar23'!D10</f>
        <v>-1.9999999999999962E-2</v>
      </c>
      <c r="Z10" s="28">
        <f>F10-'Mar23'!F10</f>
        <v>9.9999999999999811E-3</v>
      </c>
      <c r="AA10" s="28">
        <f>H10-'Mar23'!H10</f>
        <v>0</v>
      </c>
      <c r="AB10" s="28">
        <f>J10-'Mar23'!J10</f>
        <v>1.0000000000000009E-2</v>
      </c>
      <c r="AC10" s="28">
        <f>L10-'Mar23'!L10</f>
        <v>0</v>
      </c>
    </row>
    <row r="11" spans="1:29" x14ac:dyDescent="0.25">
      <c r="B11" s="3" t="s">
        <v>29</v>
      </c>
      <c r="C11" s="12">
        <v>3272318764</v>
      </c>
      <c r="D11" s="14">
        <v>0.28799999999999998</v>
      </c>
      <c r="E11" s="12">
        <f t="shared" si="0"/>
        <v>942427804.03199995</v>
      </c>
      <c r="F11" s="14">
        <v>0.29099999999999998</v>
      </c>
      <c r="G11" s="12">
        <f t="shared" si="1"/>
        <v>952244760.32399988</v>
      </c>
      <c r="H11" s="14">
        <v>0.379</v>
      </c>
      <c r="I11" s="12">
        <f t="shared" si="2"/>
        <v>1240208811.556</v>
      </c>
      <c r="J11" s="14">
        <v>4.2000000000000003E-2</v>
      </c>
      <c r="K11" s="12">
        <f>J11*C11</f>
        <v>137437388.088</v>
      </c>
      <c r="L11" s="16"/>
      <c r="M11" s="12">
        <f t="shared" si="10"/>
        <v>0</v>
      </c>
      <c r="N11" s="14"/>
      <c r="O11" s="12">
        <f t="shared" si="3"/>
        <v>0</v>
      </c>
      <c r="S11" s="12">
        <f>C11-'Mar23'!C11</f>
        <v>-281209514</v>
      </c>
      <c r="T11" s="12">
        <f>E11-'Mar23'!E11</f>
        <v>-49006585.530000091</v>
      </c>
      <c r="U11" s="12">
        <f>I11-'Mar23'!I11</f>
        <v>24902140.480000019</v>
      </c>
      <c r="V11" s="12">
        <f>K11-'Mar23'!K11</f>
        <v>9510370.0800000131</v>
      </c>
      <c r="W11" s="12">
        <f>+M11-'Jan23'!M11</f>
        <v>0</v>
      </c>
      <c r="Y11" s="28">
        <f>D11-'Mar23'!D11</f>
        <v>8.9999999999999525E-3</v>
      </c>
      <c r="Z11" s="28">
        <f>F11-'Mar23'!F11</f>
        <v>-5.2000000000000046E-2</v>
      </c>
      <c r="AA11" s="28">
        <f>H11-'Mar23'!H11</f>
        <v>3.6999999999999977E-2</v>
      </c>
      <c r="AB11" s="28">
        <f>J11-'Mar23'!J11</f>
        <v>6.0000000000000053E-3</v>
      </c>
      <c r="AC11" s="28">
        <f>L11-'Mar23'!L11</f>
        <v>0</v>
      </c>
    </row>
    <row r="12" spans="1:29" x14ac:dyDescent="0.25">
      <c r="B12" s="3" t="s">
        <v>47</v>
      </c>
      <c r="C12" s="12">
        <v>1536469542.3000002</v>
      </c>
      <c r="D12" s="14">
        <v>0.63600000000000001</v>
      </c>
      <c r="E12" s="12">
        <f>D12*C12</f>
        <v>977194628.90280008</v>
      </c>
      <c r="F12" s="14">
        <v>9.2999999999999999E-2</v>
      </c>
      <c r="G12" s="12"/>
      <c r="H12" s="14">
        <v>0.27100000000000002</v>
      </c>
      <c r="I12" s="12"/>
      <c r="J12" s="14"/>
      <c r="K12" s="12"/>
      <c r="L12" s="16"/>
      <c r="M12" s="12">
        <f>L12*C12</f>
        <v>0</v>
      </c>
      <c r="N12" s="14"/>
      <c r="O12" s="12">
        <f>N12*C12</f>
        <v>0</v>
      </c>
      <c r="Q12" t="s">
        <v>48</v>
      </c>
      <c r="S12" s="12">
        <f>C12-'Mar23'!C12</f>
        <v>-260206457.69999981</v>
      </c>
      <c r="T12" s="12">
        <f>E12-'Mar23'!E12</f>
        <v>-176271363.09719992</v>
      </c>
      <c r="U12" s="12">
        <f>I12-'Mar23'!I12</f>
        <v>-434795592</v>
      </c>
      <c r="V12" s="12">
        <f>K12-'Mar23'!K12</f>
        <v>0</v>
      </c>
      <c r="W12" s="12">
        <f>+M12-'Jan23'!M12</f>
        <v>0</v>
      </c>
      <c r="Y12" s="28">
        <f>D12-'Mar23'!D12</f>
        <v>-6.0000000000000053E-3</v>
      </c>
      <c r="Z12" s="28">
        <f>F12-'Mar23'!F12</f>
        <v>-2.3000000000000007E-2</v>
      </c>
      <c r="AA12" s="28">
        <f>H12-'Mar23'!H12</f>
        <v>2.9000000000000026E-2</v>
      </c>
      <c r="AB12" s="28">
        <f>J12-'Mar23'!J12</f>
        <v>0</v>
      </c>
      <c r="AC12" s="28">
        <f>L12-'Mar23'!L12</f>
        <v>0</v>
      </c>
    </row>
    <row r="13" spans="1:29" x14ac:dyDescent="0.25">
      <c r="B13" s="3" t="s">
        <v>30</v>
      </c>
      <c r="C13" s="12">
        <v>1293570000</v>
      </c>
      <c r="D13" s="14">
        <v>0.26</v>
      </c>
      <c r="E13" s="12">
        <f t="shared" ref="E13" si="11">D13*C13</f>
        <v>336328200</v>
      </c>
      <c r="F13" s="14">
        <v>0.25</v>
      </c>
      <c r="G13" s="12">
        <f t="shared" ref="G13" si="12">F13*C13</f>
        <v>323392500</v>
      </c>
      <c r="H13" s="14">
        <v>0.48</v>
      </c>
      <c r="I13" s="12">
        <f t="shared" ref="I13" si="13">H13*C13</f>
        <v>620913600</v>
      </c>
      <c r="J13" s="14">
        <v>0.01</v>
      </c>
      <c r="K13" s="12">
        <f t="shared" ref="K13" si="14">J13*C13</f>
        <v>12935700</v>
      </c>
      <c r="L13" s="16"/>
      <c r="M13" s="12">
        <f t="shared" si="10"/>
        <v>0</v>
      </c>
      <c r="N13" s="14"/>
      <c r="O13" s="12">
        <f t="shared" si="3"/>
        <v>0</v>
      </c>
      <c r="S13" s="12">
        <f>C13-'Mar23'!C13</f>
        <v>-92750000</v>
      </c>
      <c r="T13" s="12">
        <f>E13-'Mar23'!E13</f>
        <v>-37978200</v>
      </c>
      <c r="U13" s="12">
        <f>I13-'Mar23'!I13</f>
        <v>-2930400</v>
      </c>
      <c r="V13" s="12">
        <f>K13-'Mar23'!K13</f>
        <v>-927500</v>
      </c>
      <c r="W13" s="12">
        <f>+M13-'Jan23'!M13</f>
        <v>0</v>
      </c>
      <c r="Y13" s="28">
        <f>D13-'Mar23'!D13</f>
        <v>-1.0000000000000009E-2</v>
      </c>
      <c r="Z13" s="28">
        <f>F13-'Mar23'!F13</f>
        <v>-2.0000000000000018E-2</v>
      </c>
      <c r="AA13" s="28">
        <f>H13-'Mar23'!H13</f>
        <v>2.9999999999999971E-2</v>
      </c>
      <c r="AB13" s="28">
        <f>J13-'Mar23'!J13</f>
        <v>0</v>
      </c>
      <c r="AC13" s="28">
        <f>L13-'Mar23'!L13</f>
        <v>0</v>
      </c>
    </row>
    <row r="14" spans="1:29" x14ac:dyDescent="0.25">
      <c r="B14" s="3" t="s">
        <v>31</v>
      </c>
      <c r="C14" s="12">
        <v>39281327.210000001</v>
      </c>
      <c r="D14" s="14">
        <v>0.34399999999999997</v>
      </c>
      <c r="E14" s="18">
        <f>D14*C14</f>
        <v>13512776.560239999</v>
      </c>
      <c r="F14" s="14">
        <v>0.11899999999999999</v>
      </c>
      <c r="G14" s="12">
        <f>F14*C14</f>
        <v>4674477.9379899995</v>
      </c>
      <c r="H14" s="19">
        <v>0.48399999999999999</v>
      </c>
      <c r="I14" s="18">
        <f>H14*C14</f>
        <v>19012162.36964</v>
      </c>
      <c r="J14" s="14">
        <v>5.3999999999999999E-2</v>
      </c>
      <c r="K14" s="12">
        <f>J14*C14</f>
        <v>2121191.66934</v>
      </c>
      <c r="L14" s="16"/>
      <c r="M14" s="12">
        <f>L14*C14</f>
        <v>0</v>
      </c>
      <c r="N14" s="14"/>
      <c r="O14" s="12">
        <f>N14*C14</f>
        <v>0</v>
      </c>
      <c r="S14" s="12">
        <f>C14-'Mar23'!C14</f>
        <v>-565903.90999999642</v>
      </c>
      <c r="T14" s="12">
        <f>E14-'Mar23'!E14</f>
        <v>-393907.10063999891</v>
      </c>
      <c r="U14" s="12">
        <f>I14-'Mar23'!I14</f>
        <v>-273897.49243999645</v>
      </c>
      <c r="V14" s="12">
        <f>K14-'Mar23'!K14</f>
        <v>-110253.27337999968</v>
      </c>
      <c r="W14" s="12">
        <f>+M14-'Jan23'!M14</f>
        <v>0</v>
      </c>
      <c r="Y14" s="28">
        <f>D14-'Mar23'!D14</f>
        <v>-5.0000000000000044E-3</v>
      </c>
      <c r="Z14" s="28">
        <f>F14-'Mar23'!F14</f>
        <v>7.9999999999999932E-3</v>
      </c>
      <c r="AA14" s="28">
        <f>H14-'Mar23'!H14</f>
        <v>0</v>
      </c>
      <c r="AB14" s="28">
        <f>J14-'Mar23'!J14</f>
        <v>-2.0000000000000018E-3</v>
      </c>
      <c r="AC14" s="28">
        <f>L14-'Mar23'!L14</f>
        <v>0</v>
      </c>
    </row>
    <row r="15" spans="1:29" s="8" customFormat="1" x14ac:dyDescent="0.25">
      <c r="A15" s="33"/>
      <c r="B15" s="21" t="s">
        <v>45</v>
      </c>
      <c r="C15" s="20">
        <f>SUM(C3:C14)</f>
        <v>19136363948.41</v>
      </c>
      <c r="D15" s="15">
        <f>+E15/$C15</f>
        <v>0.32981292580957067</v>
      </c>
      <c r="E15" s="17">
        <f>SUM(E3:E14)</f>
        <v>6311420183.1818905</v>
      </c>
      <c r="F15" s="15">
        <f>+G15/$C15</f>
        <v>0.17235550100942168</v>
      </c>
      <c r="G15" s="20">
        <f>SUM(G3:G14)</f>
        <v>3298257595.8268404</v>
      </c>
      <c r="H15" s="15">
        <f>+I15/$C15</f>
        <v>0.41324717351983703</v>
      </c>
      <c r="I15" s="17">
        <f>SUM(I3:I14)</f>
        <v>7908048313.1273413</v>
      </c>
      <c r="J15" s="15">
        <f>+K15/$C15</f>
        <v>3.464058911362148E-2</v>
      </c>
      <c r="K15" s="17">
        <f>SUM(K3:K14)</f>
        <v>662894920.66559005</v>
      </c>
      <c r="L15" s="15">
        <f>+M15/$C15</f>
        <v>7.2888021231060042E-3</v>
      </c>
      <c r="M15" s="17">
        <f>SUM(M3:M14)</f>
        <v>139481170.17570001</v>
      </c>
      <c r="N15" s="15">
        <f>+O15/$C15</f>
        <v>1.3762316839763705E-2</v>
      </c>
      <c r="O15" s="17">
        <f>SUM(O3:O14)</f>
        <v>263360703.81905001</v>
      </c>
      <c r="S15" s="31">
        <f>C15-'Mar23'!C15</f>
        <v>282653842.67000198</v>
      </c>
      <c r="T15" s="31">
        <f>E15-'Mar23'!E15</f>
        <v>-563530482.83359051</v>
      </c>
      <c r="U15" s="31">
        <f>I15-'Mar23'!I15</f>
        <v>358883240.14950085</v>
      </c>
      <c r="V15" s="31">
        <f>K15-'Mar23'!K15</f>
        <v>-107279117.42938995</v>
      </c>
      <c r="W15" s="31">
        <f>+M15-'Jan23'!M15</f>
        <v>-23807098.189200014</v>
      </c>
      <c r="Y15" s="32">
        <f>D15-'Mar23'!D15</f>
        <v>-3.4834171629484989E-2</v>
      </c>
      <c r="Z15" s="32">
        <f>F15-'Mar23'!F15</f>
        <v>-6.7816017382350546E-3</v>
      </c>
      <c r="AA15" s="32">
        <f>H15-'Mar23'!H15</f>
        <v>1.2839771971878411E-2</v>
      </c>
      <c r="AB15" s="32">
        <f>J15-'Mar23'!J15</f>
        <v>-6.2094098401919151E-3</v>
      </c>
      <c r="AC15" s="32">
        <f>L15-'Mar23'!L15</f>
        <v>-1.5717906968109024E-4</v>
      </c>
    </row>
    <row r="16" spans="1:29" x14ac:dyDescent="0.25">
      <c r="C16" s="10"/>
      <c r="D16" s="10"/>
      <c r="E16" s="10"/>
      <c r="F16" s="5"/>
      <c r="G16" s="10"/>
      <c r="H16" s="10"/>
      <c r="I16" s="10"/>
      <c r="J16" s="5"/>
      <c r="K16" s="10"/>
    </row>
    <row r="17" spans="2:29" x14ac:dyDescent="0.25">
      <c r="B17" s="4" t="s">
        <v>2</v>
      </c>
      <c r="C17" s="9" t="s">
        <v>4</v>
      </c>
      <c r="D17" s="112" t="s">
        <v>7</v>
      </c>
      <c r="E17" s="112"/>
      <c r="F17" s="112" t="s">
        <v>8</v>
      </c>
      <c r="G17" s="112"/>
      <c r="H17" s="112" t="s">
        <v>10</v>
      </c>
      <c r="I17" s="112"/>
      <c r="J17" s="112" t="s">
        <v>9</v>
      </c>
      <c r="K17" s="112"/>
      <c r="L17" s="112" t="s">
        <v>21</v>
      </c>
      <c r="M17" s="112"/>
      <c r="N17" s="112" t="s">
        <v>55</v>
      </c>
      <c r="O17" s="112"/>
      <c r="S17" s="27" t="s">
        <v>49</v>
      </c>
      <c r="T17" s="27" t="s">
        <v>50</v>
      </c>
      <c r="U17" s="27" t="s">
        <v>51</v>
      </c>
      <c r="V17" s="27" t="s">
        <v>52</v>
      </c>
      <c r="W17" s="27" t="s">
        <v>53</v>
      </c>
      <c r="Y17" s="27" t="s">
        <v>49</v>
      </c>
      <c r="Z17" s="27" t="s">
        <v>50</v>
      </c>
      <c r="AA17" s="27" t="s">
        <v>51</v>
      </c>
      <c r="AB17" s="27" t="s">
        <v>52</v>
      </c>
      <c r="AC17" s="27" t="s">
        <v>53</v>
      </c>
    </row>
    <row r="18" spans="2:29" x14ac:dyDescent="0.25">
      <c r="B18" s="21" t="s">
        <v>6</v>
      </c>
      <c r="C18" s="22">
        <v>349306705.39999998</v>
      </c>
      <c r="D18" s="26">
        <v>0.1852</v>
      </c>
      <c r="E18" s="23">
        <f t="shared" ref="E18:E26" si="15">D18*C18</f>
        <v>64691601.84008</v>
      </c>
      <c r="F18" s="26">
        <v>0.21049999999999999</v>
      </c>
      <c r="G18" s="22">
        <f>C18*F18</f>
        <v>73529061.486699998</v>
      </c>
      <c r="H18" s="26">
        <v>0.48399999999999999</v>
      </c>
      <c r="I18" s="23">
        <f t="shared" ref="I18:I26" si="16">H18*C18</f>
        <v>169064445.4136</v>
      </c>
      <c r="J18" s="26">
        <v>6.9699999999999998E-2</v>
      </c>
      <c r="K18" s="23">
        <f>J18*C18</f>
        <v>24346677.366379999</v>
      </c>
      <c r="L18" s="24"/>
      <c r="M18" s="23">
        <f>L18*E18</f>
        <v>0</v>
      </c>
      <c r="N18" s="26">
        <v>6.5100000000000005E-2</v>
      </c>
      <c r="O18" s="23">
        <f>N18*G18</f>
        <v>4786741.9027841706</v>
      </c>
      <c r="S18" s="12">
        <f>C18-'Mar23'!C18</f>
        <v>-69989370.460000038</v>
      </c>
      <c r="T18" s="12">
        <f>E18-'Mar23'!E18</f>
        <v>-12375016.902987994</v>
      </c>
      <c r="U18" s="12">
        <f>I18-'Mar23'!I18</f>
        <v>-10687782.307582021</v>
      </c>
      <c r="V18" s="12">
        <f>K18-'Mar23'!K18</f>
        <v>-3075285.9948640019</v>
      </c>
      <c r="W18" s="12">
        <f>+M18-'Jan23'!M18</f>
        <v>0</v>
      </c>
      <c r="Y18" s="28">
        <f>D18-'Mar23'!D18</f>
        <v>1.4000000000000123E-3</v>
      </c>
      <c r="Z18" s="28">
        <f>F18-'Mar23'!F18</f>
        <v>-4.5500000000000013E-2</v>
      </c>
      <c r="AA18" s="28">
        <f>H18-'Mar23'!H18</f>
        <v>5.529999999999996E-2</v>
      </c>
      <c r="AB18" s="28">
        <f>J18-'Mar23'!J18</f>
        <v>4.2999999999999983E-3</v>
      </c>
      <c r="AC18" s="28">
        <f>L18-'Mar23'!L18</f>
        <v>0</v>
      </c>
    </row>
    <row r="19" spans="2:29" x14ac:dyDescent="0.25">
      <c r="B19" s="3" t="s">
        <v>26</v>
      </c>
      <c r="C19" s="12">
        <v>437187981.61000001</v>
      </c>
      <c r="D19" s="14">
        <v>0.18</v>
      </c>
      <c r="E19" s="12">
        <f t="shared" si="15"/>
        <v>78693836.689799994</v>
      </c>
      <c r="F19" s="14">
        <v>0.14000000000000001</v>
      </c>
      <c r="G19" s="12">
        <f t="shared" ref="G19:G26" si="17">C19*F19</f>
        <v>61206317.425400011</v>
      </c>
      <c r="H19" s="14">
        <v>0.5</v>
      </c>
      <c r="I19" s="12">
        <f t="shared" si="16"/>
        <v>218593990.80500001</v>
      </c>
      <c r="J19" s="14">
        <v>0.14000000000000001</v>
      </c>
      <c r="K19" s="12">
        <f t="shared" ref="K19:O26" si="18">J19*C19</f>
        <v>61206317.425400011</v>
      </c>
      <c r="L19" s="16"/>
      <c r="M19" s="12">
        <f t="shared" si="18"/>
        <v>0</v>
      </c>
      <c r="N19" s="26">
        <v>0.04</v>
      </c>
      <c r="O19" s="12">
        <f t="shared" si="18"/>
        <v>2448252.6970160003</v>
      </c>
      <c r="S19" s="12">
        <f>C19-'Mar23'!C19</f>
        <v>-19170564.120000005</v>
      </c>
      <c r="T19" s="12">
        <f>E19-'Mar23'!E19</f>
        <v>-17141457.913500011</v>
      </c>
      <c r="U19" s="12">
        <f>I19-'Mar23'!I19</f>
        <v>8669059.7691999972</v>
      </c>
      <c r="V19" s="12">
        <f>K19-'Mar23'!K19</f>
        <v>-2683878.9767999947</v>
      </c>
      <c r="W19" s="12">
        <f>+M19-'Jan23'!M19</f>
        <v>0</v>
      </c>
      <c r="Y19" s="28">
        <f>D19-'Mar23'!D19</f>
        <v>-0.03</v>
      </c>
      <c r="Z19" s="28">
        <f>F19-'Mar23'!F19</f>
        <v>-9.9999999999999811E-3</v>
      </c>
      <c r="AA19" s="28">
        <f>H19-'Mar23'!H19</f>
        <v>3.999999999999998E-2</v>
      </c>
      <c r="AB19" s="28">
        <f>J19-'Mar23'!J19</f>
        <v>0</v>
      </c>
      <c r="AC19" s="28">
        <f>L19-'Mar23'!L19</f>
        <v>0</v>
      </c>
    </row>
    <row r="20" spans="2:29" x14ac:dyDescent="0.25">
      <c r="B20" s="3" t="s">
        <v>27</v>
      </c>
      <c r="C20" s="12">
        <v>810565987</v>
      </c>
      <c r="D20" s="14">
        <v>0.23780000000000001</v>
      </c>
      <c r="E20" s="12">
        <f t="shared" si="15"/>
        <v>192752591.70860001</v>
      </c>
      <c r="F20" s="14">
        <v>0.17780000000000001</v>
      </c>
      <c r="G20" s="12">
        <f t="shared" si="17"/>
        <v>144118632.48860002</v>
      </c>
      <c r="H20" s="14">
        <v>0.52869999999999995</v>
      </c>
      <c r="I20" s="12">
        <f t="shared" si="16"/>
        <v>428546237.32689995</v>
      </c>
      <c r="J20" s="14">
        <v>5.3199999999999997E-2</v>
      </c>
      <c r="K20" s="12">
        <f t="shared" si="18"/>
        <v>43122110.508400001</v>
      </c>
      <c r="L20" s="16"/>
      <c r="M20" s="12">
        <f t="shared" si="18"/>
        <v>0</v>
      </c>
      <c r="N20" s="26">
        <v>2.5000000000000001E-3</v>
      </c>
      <c r="O20" s="12">
        <f t="shared" si="18"/>
        <v>360296.58122150006</v>
      </c>
      <c r="S20" s="12">
        <f>C20-'Mar23'!C20</f>
        <v>810565987</v>
      </c>
      <c r="T20" s="12">
        <f>E20-'Mar23'!E20</f>
        <v>192752591.70860001</v>
      </c>
      <c r="U20" s="12">
        <f>I20-'Mar23'!I20</f>
        <v>428546237.32689995</v>
      </c>
      <c r="V20" s="12">
        <f>K20-'Mar23'!K20</f>
        <v>43122110.508400001</v>
      </c>
      <c r="W20" s="12">
        <f>+M20-'Jan23'!M20</f>
        <v>0</v>
      </c>
      <c r="Y20" s="28">
        <f>D20-'Mar23'!D20</f>
        <v>0.23780000000000001</v>
      </c>
      <c r="Z20" s="28">
        <f>F20-'Mar23'!F20</f>
        <v>0.17780000000000001</v>
      </c>
      <c r="AA20" s="28">
        <f>H20-'Mar23'!H20</f>
        <v>0.52869999999999995</v>
      </c>
      <c r="AB20" s="28">
        <f>J20-'Mar23'!J20</f>
        <v>5.3199999999999997E-2</v>
      </c>
      <c r="AC20" s="28">
        <f>L20-'Mar23'!L20</f>
        <v>0</v>
      </c>
    </row>
    <row r="21" spans="2:29" x14ac:dyDescent="0.25">
      <c r="B21" s="3" t="s">
        <v>28</v>
      </c>
      <c r="C21" s="12">
        <v>1222596295</v>
      </c>
      <c r="D21" s="14">
        <v>0.16</v>
      </c>
      <c r="E21" s="12">
        <f t="shared" si="15"/>
        <v>195615407.20000002</v>
      </c>
      <c r="F21" s="14">
        <v>0.14000000000000001</v>
      </c>
      <c r="G21" s="12">
        <f t="shared" si="17"/>
        <v>171163481.30000001</v>
      </c>
      <c r="H21" s="14">
        <v>0.56000000000000005</v>
      </c>
      <c r="I21" s="12">
        <f t="shared" si="16"/>
        <v>684653925.20000005</v>
      </c>
      <c r="J21" s="14">
        <v>0.13</v>
      </c>
      <c r="K21" s="12">
        <f t="shared" si="18"/>
        <v>158937518.34999999</v>
      </c>
      <c r="L21" s="16"/>
      <c r="M21" s="12">
        <f t="shared" si="18"/>
        <v>0</v>
      </c>
      <c r="N21" s="26"/>
      <c r="O21" s="12">
        <f t="shared" si="18"/>
        <v>0</v>
      </c>
      <c r="S21" s="12">
        <f>C21-'Mar23'!C21</f>
        <v>-74286067</v>
      </c>
      <c r="T21" s="12">
        <f>E21-'Mar23'!E21</f>
        <v>46473935.570000023</v>
      </c>
      <c r="U21" s="12">
        <f>I21-'Mar23'!I21</f>
        <v>-93475491.999999881</v>
      </c>
      <c r="V21" s="12">
        <f>K21-'Mar23'!K21</f>
        <v>-9657188.7100000083</v>
      </c>
      <c r="W21" s="12">
        <f>+M21-'Jan23'!M21</f>
        <v>0</v>
      </c>
      <c r="Y21" s="28">
        <f>D21-'Mar23'!D21</f>
        <v>4.4999999999999998E-2</v>
      </c>
      <c r="Z21" s="28">
        <f>F21-'Mar23'!F21</f>
        <v>-1.4999999999999986E-2</v>
      </c>
      <c r="AA21" s="28">
        <f>H21-'Mar23'!H21</f>
        <v>-3.9999999999999925E-2</v>
      </c>
      <c r="AB21" s="28">
        <f>J21-'Mar23'!J21</f>
        <v>0</v>
      </c>
      <c r="AC21" s="28">
        <f>L21-'Mar23'!L21</f>
        <v>0</v>
      </c>
    </row>
    <row r="22" spans="2:29" x14ac:dyDescent="0.25">
      <c r="B22" s="3" t="s">
        <v>32</v>
      </c>
      <c r="C22" s="12">
        <v>369200000</v>
      </c>
      <c r="D22" s="14">
        <v>0.05</v>
      </c>
      <c r="E22" s="12">
        <f t="shared" si="15"/>
        <v>18460000</v>
      </c>
      <c r="F22" s="14">
        <v>0.11</v>
      </c>
      <c r="G22" s="12">
        <f t="shared" si="17"/>
        <v>40612000</v>
      </c>
      <c r="H22" s="14">
        <v>0.73</v>
      </c>
      <c r="I22" s="12">
        <f t="shared" si="16"/>
        <v>269516000</v>
      </c>
      <c r="J22" s="14">
        <v>0.11</v>
      </c>
      <c r="K22" s="12">
        <f t="shared" si="18"/>
        <v>40612000</v>
      </c>
      <c r="L22" s="16"/>
      <c r="M22" s="12">
        <f t="shared" si="18"/>
        <v>0</v>
      </c>
      <c r="N22" s="26"/>
      <c r="O22" s="12">
        <f t="shared" si="18"/>
        <v>0</v>
      </c>
      <c r="S22" s="12">
        <f>C22-'Mar23'!C22</f>
        <v>7100000</v>
      </c>
      <c r="T22" s="12">
        <f>E22-'Mar23'!E22</f>
        <v>-3266000</v>
      </c>
      <c r="U22" s="12">
        <f>I22-'Mar23'!I22</f>
        <v>5183000</v>
      </c>
      <c r="V22" s="12">
        <f>K22-'Mar23'!K22</f>
        <v>4402000</v>
      </c>
      <c r="W22" s="12">
        <f>+M22-'Jan23'!M22</f>
        <v>0</v>
      </c>
      <c r="Y22" s="28">
        <f>D22-'Mar23'!D22</f>
        <v>-9.999999999999995E-3</v>
      </c>
      <c r="Z22" s="28">
        <f>F22-'Mar23'!F22</f>
        <v>0</v>
      </c>
      <c r="AA22" s="28">
        <f>H22-'Mar23'!H22</f>
        <v>0</v>
      </c>
      <c r="AB22" s="28">
        <f>J22-'Mar23'!J22</f>
        <v>9.999999999999995E-3</v>
      </c>
      <c r="AC22" s="28">
        <f>L22-'Mar23'!L22</f>
        <v>0</v>
      </c>
    </row>
    <row r="23" spans="2:29" x14ac:dyDescent="0.25">
      <c r="B23" s="3" t="s">
        <v>33</v>
      </c>
      <c r="C23" s="12">
        <v>711800000</v>
      </c>
      <c r="D23" s="14">
        <v>0.24</v>
      </c>
      <c r="E23" s="12">
        <f t="shared" si="15"/>
        <v>170832000</v>
      </c>
      <c r="F23" s="14">
        <v>0.13</v>
      </c>
      <c r="G23" s="12">
        <f t="shared" si="17"/>
        <v>92534000</v>
      </c>
      <c r="H23" s="14">
        <v>0.57999999999999996</v>
      </c>
      <c r="I23" s="12">
        <f t="shared" si="16"/>
        <v>412844000</v>
      </c>
      <c r="J23" s="14">
        <v>0.04</v>
      </c>
      <c r="K23" s="12">
        <f t="shared" si="18"/>
        <v>28472000</v>
      </c>
      <c r="L23" s="16"/>
      <c r="M23" s="12">
        <f t="shared" si="18"/>
        <v>0</v>
      </c>
      <c r="N23" s="26"/>
      <c r="O23" s="12">
        <f t="shared" si="18"/>
        <v>0</v>
      </c>
      <c r="S23" s="12">
        <f>C23-'Mar23'!C23</f>
        <v>-69900000</v>
      </c>
      <c r="T23" s="12">
        <f>E23-'Mar23'!E23</f>
        <v>-71495000</v>
      </c>
      <c r="U23" s="12">
        <f>I23-'Mar23'!I23</f>
        <v>-1457000</v>
      </c>
      <c r="V23" s="12">
        <f>K23-'Mar23'!K23</f>
        <v>-2796000</v>
      </c>
      <c r="W23" s="12">
        <f>+M23-'Jan23'!M23</f>
        <v>0</v>
      </c>
      <c r="Y23" s="28">
        <f>D23-'Mar23'!D23</f>
        <v>-7.0000000000000007E-2</v>
      </c>
      <c r="Z23" s="28">
        <f>F23-'Mar23'!F23</f>
        <v>1.0000000000000009E-2</v>
      </c>
      <c r="AA23" s="28">
        <f>H23-'Mar23'!H23</f>
        <v>4.9999999999999933E-2</v>
      </c>
      <c r="AB23" s="28">
        <f>J23-'Mar23'!J23</f>
        <v>0</v>
      </c>
      <c r="AC23" s="28">
        <f>L23-'Mar23'!L23</f>
        <v>0</v>
      </c>
    </row>
    <row r="24" spans="2:29" x14ac:dyDescent="0.25">
      <c r="B24" s="3" t="s">
        <v>34</v>
      </c>
      <c r="C24" s="12">
        <v>343802213</v>
      </c>
      <c r="D24" s="14">
        <v>0.24909999999999999</v>
      </c>
      <c r="E24" s="12">
        <f t="shared" si="15"/>
        <v>85641131.258299991</v>
      </c>
      <c r="F24" s="14">
        <v>0.17199999999999999</v>
      </c>
      <c r="G24" s="12">
        <f t="shared" si="17"/>
        <v>59133980.635999992</v>
      </c>
      <c r="H24" s="14">
        <v>0.49940000000000001</v>
      </c>
      <c r="I24" s="12">
        <f t="shared" si="16"/>
        <v>171694825.17219999</v>
      </c>
      <c r="J24" s="14">
        <v>7.1900000000000006E-2</v>
      </c>
      <c r="K24" s="12">
        <f t="shared" si="18"/>
        <v>24719379.114700001</v>
      </c>
      <c r="L24" s="16"/>
      <c r="M24" s="12">
        <f t="shared" si="18"/>
        <v>0</v>
      </c>
      <c r="N24" s="26">
        <v>7.7000000000000002E-3</v>
      </c>
      <c r="O24" s="12">
        <f t="shared" si="18"/>
        <v>455331.65089719993</v>
      </c>
      <c r="S24" s="12">
        <f>C24-'Mar23'!C24</f>
        <v>-20079955</v>
      </c>
      <c r="T24" s="12">
        <f>E24-'Mar23'!E24</f>
        <v>-15554499.662500009</v>
      </c>
      <c r="U24" s="12">
        <f>I24-'Mar23'!I24</f>
        <v>-2095298.2646000087</v>
      </c>
      <c r="V24" s="12">
        <f>K24-'Mar23'!K24</f>
        <v>-461266.91089999676</v>
      </c>
      <c r="W24" s="12">
        <f>+M24-'Jan23'!M24</f>
        <v>0</v>
      </c>
      <c r="Y24" s="28">
        <f>D24-'Mar23'!D24</f>
        <v>-2.9000000000000026E-2</v>
      </c>
      <c r="Z24" s="28">
        <f>F24-'Mar23'!F24</f>
        <v>1.0599999999999998E-2</v>
      </c>
      <c r="AA24" s="28">
        <f>H24-'Mar23'!H24</f>
        <v>2.1799999999999986E-2</v>
      </c>
      <c r="AB24" s="28">
        <f>J24-'Mar23'!J24</f>
        <v>2.7000000000000079E-3</v>
      </c>
      <c r="AC24" s="28">
        <f>L24-'Mar23'!L24</f>
        <v>0</v>
      </c>
    </row>
    <row r="25" spans="2:29" x14ac:dyDescent="0.25">
      <c r="B25" s="3" t="s">
        <v>35</v>
      </c>
      <c r="C25" s="12">
        <v>193065471</v>
      </c>
      <c r="D25" s="14">
        <v>0.114</v>
      </c>
      <c r="E25" s="12">
        <f t="shared" si="15"/>
        <v>22009463.694000002</v>
      </c>
      <c r="F25" s="14">
        <v>0.35199999999999998</v>
      </c>
      <c r="G25" s="12">
        <f t="shared" si="17"/>
        <v>67959045.791999996</v>
      </c>
      <c r="H25" s="14">
        <v>0.47799999999999998</v>
      </c>
      <c r="I25" s="12">
        <f t="shared" si="16"/>
        <v>92285295.137999997</v>
      </c>
      <c r="J25" s="14">
        <v>5.7000000000000002E-2</v>
      </c>
      <c r="K25" s="12">
        <f t="shared" si="18"/>
        <v>11004731.847000001</v>
      </c>
      <c r="L25" s="16"/>
      <c r="M25" s="12">
        <f t="shared" si="18"/>
        <v>0</v>
      </c>
      <c r="N25" s="26"/>
      <c r="O25" s="12">
        <f t="shared" si="18"/>
        <v>0</v>
      </c>
      <c r="S25" s="12">
        <f>C25-'Mar23'!C25</f>
        <v>-4887450</v>
      </c>
      <c r="T25" s="12">
        <f>E25-'Mar23'!E25</f>
        <v>-7089615.6929999962</v>
      </c>
      <c r="U25" s="12">
        <f>I25-'Mar23'!I25</f>
        <v>8551209.5549999923</v>
      </c>
      <c r="V25" s="12">
        <f>K25-'Mar23'!K25</f>
        <v>711179.95500000194</v>
      </c>
      <c r="W25" s="12">
        <f>+M25-'Jan23'!M25</f>
        <v>0</v>
      </c>
      <c r="Y25" s="28">
        <f>D25-'Mar23'!D25</f>
        <v>-3.2999999999999988E-2</v>
      </c>
      <c r="Z25" s="28">
        <f>F25-'Mar23'!F25</f>
        <v>-2.8000000000000025E-2</v>
      </c>
      <c r="AA25" s="28">
        <f>H25-'Mar23'!H25</f>
        <v>5.4999999999999993E-2</v>
      </c>
      <c r="AB25" s="28">
        <f>J25-'Mar23'!J25</f>
        <v>5.0000000000000044E-3</v>
      </c>
      <c r="AC25" s="28">
        <f>L25-'Mar23'!L25</f>
        <v>0</v>
      </c>
    </row>
    <row r="26" spans="2:29" x14ac:dyDescent="0.25">
      <c r="B26" s="3" t="s">
        <v>36</v>
      </c>
      <c r="C26" s="12">
        <v>300590000</v>
      </c>
      <c r="D26" s="19">
        <v>0.08</v>
      </c>
      <c r="E26" s="18">
        <f t="shared" si="15"/>
        <v>24047200</v>
      </c>
      <c r="F26" s="14">
        <v>0.14000000000000001</v>
      </c>
      <c r="G26" s="12">
        <f t="shared" si="17"/>
        <v>42082600.000000007</v>
      </c>
      <c r="H26" s="19">
        <v>0.7</v>
      </c>
      <c r="I26" s="18">
        <f t="shared" si="16"/>
        <v>210413000</v>
      </c>
      <c r="J26" s="14">
        <v>0.08</v>
      </c>
      <c r="K26" s="12">
        <f t="shared" si="18"/>
        <v>24047200</v>
      </c>
      <c r="L26" s="16"/>
      <c r="M26" s="12">
        <f t="shared" si="18"/>
        <v>0</v>
      </c>
      <c r="N26" s="26"/>
      <c r="O26" s="12">
        <f t="shared" si="18"/>
        <v>0</v>
      </c>
      <c r="S26" s="12">
        <f>C26-'Mar23'!C26</f>
        <v>-20110000</v>
      </c>
      <c r="T26" s="12">
        <f>E26-'Mar23'!E26</f>
        <v>-17643800</v>
      </c>
      <c r="U26" s="12">
        <f>I26-'Mar23'!I26</f>
        <v>-1249000</v>
      </c>
      <c r="V26" s="12">
        <f>K26-'Mar23'!K26</f>
        <v>1598199.9999999963</v>
      </c>
      <c r="W26" s="12">
        <f>+M26-'Jan23'!M26</f>
        <v>0</v>
      </c>
      <c r="Y26" s="28">
        <f>D26-'Mar23'!D26</f>
        <v>-0.05</v>
      </c>
      <c r="Z26" s="28">
        <f>F26-'Mar23'!F26</f>
        <v>0</v>
      </c>
      <c r="AA26" s="28">
        <f>H26-'Mar23'!H26</f>
        <v>3.9999999999999925E-2</v>
      </c>
      <c r="AB26" s="28">
        <f>J26-'Mar23'!J26</f>
        <v>9.999999999999995E-3</v>
      </c>
      <c r="AC26" s="28">
        <f>L26-'Mar23'!L26</f>
        <v>0</v>
      </c>
    </row>
    <row r="27" spans="2:29" s="8" customFormat="1" x14ac:dyDescent="0.25">
      <c r="B27" s="21" t="s">
        <v>45</v>
      </c>
      <c r="C27" s="20">
        <f>SUM(C18:C26)</f>
        <v>4738114653.0100002</v>
      </c>
      <c r="D27" s="15">
        <f>+E27/$C27</f>
        <v>0.17997522112493722</v>
      </c>
      <c r="E27" s="17">
        <f>SUM(E18:E26)</f>
        <v>852743232.39077997</v>
      </c>
      <c r="F27" s="15">
        <f>+G27/$C27</f>
        <v>0.15878449008209597</v>
      </c>
      <c r="G27" s="20">
        <f>SUM(G18:G26)</f>
        <v>752339119.12870002</v>
      </c>
      <c r="H27" s="15">
        <f>+I27/$C27</f>
        <v>0.56090067752315553</v>
      </c>
      <c r="I27" s="17">
        <f>SUM(I18:I26)</f>
        <v>2657611719.0557003</v>
      </c>
      <c r="J27" s="15">
        <f>+K27/$C27</f>
        <v>8.789739487357251E-2</v>
      </c>
      <c r="K27" s="17">
        <f>SUM(K18:K26)</f>
        <v>416467934.61188</v>
      </c>
      <c r="L27" s="15">
        <f>+M27/$C27</f>
        <v>0</v>
      </c>
      <c r="M27" s="17">
        <f>SUM(M18:M26)</f>
        <v>0</v>
      </c>
      <c r="N27" s="15">
        <f>+O27/$C27</f>
        <v>1.6991194644909071E-3</v>
      </c>
      <c r="O27" s="17">
        <f>SUM(O18:O26)</f>
        <v>8050622.831918872</v>
      </c>
      <c r="S27" s="31">
        <f>C27-'Mar23'!C27</f>
        <v>539242580.42000008</v>
      </c>
      <c r="T27" s="31">
        <f>E27-'Mar23'!E27</f>
        <v>94661137.106612086</v>
      </c>
      <c r="U27" s="31">
        <f>I27-'Mar23'!I27</f>
        <v>341984934.07891846</v>
      </c>
      <c r="V27" s="31">
        <f>K27-'Mar23'!K27</f>
        <v>31159869.87083596</v>
      </c>
      <c r="W27" s="31">
        <f>+M27-'Jan23'!M27</f>
        <v>0</v>
      </c>
      <c r="Y27" s="32">
        <f>D27-'Mar23'!D27</f>
        <v>-5.6900174693472194E-4</v>
      </c>
      <c r="Z27" s="32">
        <f>F27-'Mar23'!F27</f>
        <v>-5.3776999937926451E-3</v>
      </c>
      <c r="AA27" s="32">
        <f>H27-'Mar23'!H27</f>
        <v>9.4128624756186774E-3</v>
      </c>
      <c r="AB27" s="32">
        <f>J27-'Mar23'!J27</f>
        <v>-3.8672643205747287E-3</v>
      </c>
      <c r="AC27" s="32">
        <f>L27-'Mar23'!L27</f>
        <v>0</v>
      </c>
    </row>
    <row r="28" spans="2:29" x14ac:dyDescent="0.25">
      <c r="C28" s="10"/>
      <c r="D28" s="10"/>
      <c r="E28" s="10"/>
      <c r="F28" s="5"/>
      <c r="G28" s="10"/>
      <c r="H28" s="10"/>
      <c r="I28" s="10"/>
      <c r="J28" s="5"/>
      <c r="K28" s="10"/>
    </row>
    <row r="29" spans="2:29" x14ac:dyDescent="0.25">
      <c r="B29" s="4" t="s">
        <v>38</v>
      </c>
      <c r="C29" s="9" t="s">
        <v>4</v>
      </c>
      <c r="D29" s="113" t="s">
        <v>7</v>
      </c>
      <c r="E29" s="113"/>
      <c r="F29" s="112" t="s">
        <v>8</v>
      </c>
      <c r="G29" s="112"/>
      <c r="H29" s="112" t="s">
        <v>10</v>
      </c>
      <c r="I29" s="112"/>
      <c r="J29" s="112" t="s">
        <v>9</v>
      </c>
      <c r="K29" s="112"/>
      <c r="L29" s="112" t="s">
        <v>40</v>
      </c>
      <c r="M29" s="112"/>
      <c r="N29" s="112" t="s">
        <v>55</v>
      </c>
      <c r="O29" s="112"/>
      <c r="S29" s="27" t="s">
        <v>49</v>
      </c>
      <c r="T29" s="27" t="s">
        <v>50</v>
      </c>
      <c r="U29" s="27" t="s">
        <v>51</v>
      </c>
      <c r="V29" s="27" t="s">
        <v>52</v>
      </c>
      <c r="W29" s="27" t="s">
        <v>54</v>
      </c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</row>
    <row r="30" spans="2:29" x14ac:dyDescent="0.25">
      <c r="B30" s="21" t="s">
        <v>39</v>
      </c>
      <c r="C30" s="22">
        <v>224558047.08000001</v>
      </c>
      <c r="D30" s="26">
        <v>8.5000000000000006E-2</v>
      </c>
      <c r="E30" s="23">
        <f>D30*C30</f>
        <v>19087434.001800001</v>
      </c>
      <c r="F30" s="26">
        <v>0.14099999999999999</v>
      </c>
      <c r="G30" s="22">
        <f>F30*C30</f>
        <v>31662684.638280001</v>
      </c>
      <c r="H30" s="26">
        <v>0.64500000000000002</v>
      </c>
      <c r="I30" s="23">
        <f>H30*C30</f>
        <v>144839940.36660001</v>
      </c>
      <c r="J30" s="26">
        <v>0.105</v>
      </c>
      <c r="K30" s="23">
        <f>J30*C30</f>
        <v>23578594.943399999</v>
      </c>
      <c r="L30" s="24">
        <v>7.1999999999999995E-2</v>
      </c>
      <c r="M30" s="23">
        <f>L30*C30</f>
        <v>16168179.389760001</v>
      </c>
      <c r="N30" s="26">
        <v>1.7999999999999999E-2</v>
      </c>
      <c r="O30" s="23">
        <f>N30*E30</f>
        <v>343573.81203239999</v>
      </c>
      <c r="S30" s="12">
        <f>C30-'Mar23'!C30</f>
        <v>-22403058.479999989</v>
      </c>
      <c r="T30" s="12">
        <f>E30-'Mar23'!E30</f>
        <v>-21414187.310040005</v>
      </c>
      <c r="U30" s="12">
        <f>I30-'Mar23'!I30</f>
        <v>861615.82512000203</v>
      </c>
      <c r="V30" s="12">
        <f>K30-'Mar23'!K30</f>
        <v>-376632.29592000321</v>
      </c>
      <c r="W30" s="12">
        <f>+M30-'Jan23'!M30</f>
        <v>-1284505.074140003</v>
      </c>
      <c r="Y30" s="28">
        <f>D30-'Mar23'!D30</f>
        <v>-7.9000000000000001E-2</v>
      </c>
      <c r="Z30" s="28">
        <f>F30-'Mar23'!F30</f>
        <v>1.3999999999999985E-2</v>
      </c>
      <c r="AA30" s="28">
        <f>H30-'Mar23'!H30</f>
        <v>6.2000000000000055E-2</v>
      </c>
      <c r="AB30" s="28">
        <f>J30-'Mar23'!J30</f>
        <v>7.9999999999999932E-3</v>
      </c>
      <c r="AC30" s="28">
        <f>L30-'Mar23'!L30</f>
        <v>6.9999999999999923E-3</v>
      </c>
    </row>
    <row r="31" spans="2:29" x14ac:dyDescent="0.25">
      <c r="B31" s="3" t="s">
        <v>56</v>
      </c>
      <c r="C31" s="12">
        <v>76600000</v>
      </c>
      <c r="D31" s="14">
        <v>3.1399999999999997E-2</v>
      </c>
      <c r="E31" s="12">
        <f>D31*C31</f>
        <v>2405240</v>
      </c>
      <c r="F31" s="14"/>
      <c r="G31" s="12">
        <f>F31*C31</f>
        <v>0</v>
      </c>
      <c r="H31" s="14">
        <v>0.79359999999999997</v>
      </c>
      <c r="I31" s="12">
        <f>H31*C31</f>
        <v>60789760</v>
      </c>
      <c r="J31" s="14">
        <v>0.28539999999999999</v>
      </c>
      <c r="K31" s="12">
        <f>J31*C31</f>
        <v>21861640</v>
      </c>
      <c r="L31" s="14">
        <v>6.2100000000000002E-2</v>
      </c>
      <c r="M31" s="12">
        <f>L31*C31</f>
        <v>4756860</v>
      </c>
      <c r="N31" s="14">
        <v>1.78E-2</v>
      </c>
      <c r="O31" s="12">
        <f>N31*E31</f>
        <v>42813.271999999997</v>
      </c>
      <c r="S31" s="12">
        <f>C31-'Mar23'!C31</f>
        <v>-14920000</v>
      </c>
      <c r="T31" s="12">
        <f>E31-'Mar23'!E31</f>
        <v>-7094536</v>
      </c>
      <c r="U31" s="12">
        <f>I31-'Mar23'!I31</f>
        <v>-1974656</v>
      </c>
      <c r="V31" s="12">
        <f>K31-'Mar23'!K31</f>
        <v>16031816</v>
      </c>
      <c r="W31" s="12">
        <f>+M31-'Jan23'!M31</f>
        <v>-5029301</v>
      </c>
      <c r="Y31" s="28">
        <f>D31-'Mar23'!D31</f>
        <v>-7.2400000000000006E-2</v>
      </c>
      <c r="Z31" s="28">
        <f>F31-'Mar23'!F31</f>
        <v>0</v>
      </c>
      <c r="AA31" s="28">
        <f>H31-'Mar23'!H31</f>
        <v>0.10780000000000001</v>
      </c>
      <c r="AB31" s="28">
        <f>J31-'Mar23'!J31</f>
        <v>0.22169999999999998</v>
      </c>
      <c r="AC31" s="28">
        <f>L31-'Mar23'!L31</f>
        <v>6.2100000000000002E-2</v>
      </c>
    </row>
    <row r="32" spans="2:29" x14ac:dyDescent="0.25">
      <c r="B32" s="3" t="s">
        <v>42</v>
      </c>
      <c r="C32" s="12">
        <v>228993807</v>
      </c>
      <c r="D32" s="14">
        <v>0.08</v>
      </c>
      <c r="E32" s="12">
        <f>D32*C32</f>
        <v>18319504.559999999</v>
      </c>
      <c r="F32" s="14">
        <v>0.13</v>
      </c>
      <c r="G32" s="12">
        <f>F32*C32</f>
        <v>29769194.91</v>
      </c>
      <c r="H32" s="14">
        <v>0.61499999999999999</v>
      </c>
      <c r="I32" s="12">
        <f>H32*C32</f>
        <v>140831191.30500001</v>
      </c>
      <c r="J32" s="14">
        <v>0.05</v>
      </c>
      <c r="K32" s="12">
        <f>J32*C32</f>
        <v>11449690.350000001</v>
      </c>
      <c r="L32" s="14">
        <v>0.09</v>
      </c>
      <c r="M32" s="12">
        <f>L32*C32</f>
        <v>20609442.629999999</v>
      </c>
      <c r="N32" s="14">
        <v>3.5000000000000003E-2</v>
      </c>
      <c r="O32" s="12">
        <f>N32*E32</f>
        <v>641182.65960000001</v>
      </c>
      <c r="S32" s="12">
        <f>C32-'Mar23'!C32</f>
        <v>-5305993</v>
      </c>
      <c r="T32" s="12">
        <f>E32-'Mar23'!E32</f>
        <v>-424479.44000000134</v>
      </c>
      <c r="U32" s="12">
        <f>I32-'Mar23'!I32</f>
        <v>251311.30500000715</v>
      </c>
      <c r="V32" s="12">
        <f>K32-'Mar23'!K32</f>
        <v>-2608297.6499999985</v>
      </c>
      <c r="W32" s="12">
        <f>+M32-'Jan23'!M32</f>
        <v>-4312976.7700000033</v>
      </c>
      <c r="Y32" s="28">
        <f>D32-'Mar23'!D32</f>
        <v>0</v>
      </c>
      <c r="Z32" s="28">
        <f>F32-'Mar23'!F32</f>
        <v>0</v>
      </c>
      <c r="AA32" s="28">
        <f>H32-'Mar23'!H32</f>
        <v>1.5000000000000013E-2</v>
      </c>
      <c r="AB32" s="28">
        <f>J32-'Mar23'!J32</f>
        <v>-9.999999999999995E-3</v>
      </c>
      <c r="AC32" s="28">
        <f>L32-'Mar23'!L32</f>
        <v>0</v>
      </c>
    </row>
    <row r="33" spans="1:29" x14ac:dyDescent="0.25">
      <c r="B33" s="3" t="s">
        <v>43</v>
      </c>
      <c r="C33" s="12">
        <v>850166031</v>
      </c>
      <c r="D33" s="14">
        <v>0.09</v>
      </c>
      <c r="E33" s="12">
        <f>D33*C33</f>
        <v>76514942.789999992</v>
      </c>
      <c r="F33" s="14">
        <v>0.14000000000000001</v>
      </c>
      <c r="G33" s="12">
        <f>F33*C33</f>
        <v>119023244.34000002</v>
      </c>
      <c r="H33" s="14">
        <v>0.65</v>
      </c>
      <c r="I33" s="12">
        <f>H33*C33</f>
        <v>552607920.14999998</v>
      </c>
      <c r="J33" s="14">
        <v>0.13</v>
      </c>
      <c r="K33" s="12">
        <f>J33*C33</f>
        <v>110521584.03</v>
      </c>
      <c r="L33" s="14"/>
      <c r="M33" s="12">
        <f>L33*C33</f>
        <v>0</v>
      </c>
      <c r="N33" s="14"/>
      <c r="O33" s="12">
        <f>N33*E33</f>
        <v>0</v>
      </c>
      <c r="S33" s="12">
        <f>C33-'Mar23'!C33</f>
        <v>-45884269</v>
      </c>
      <c r="T33" s="12">
        <f>E33-'Mar23'!E33</f>
        <v>40672930.789999992</v>
      </c>
      <c r="U33" s="12">
        <f>I33-'Mar23'!I33</f>
        <v>-47745780.850000024</v>
      </c>
      <c r="V33" s="12">
        <f>K33-'Mar23'!K33</f>
        <v>-5964954.9699999988</v>
      </c>
      <c r="W33" s="12">
        <f>+M33-'Jan23'!M33</f>
        <v>0</v>
      </c>
      <c r="Y33" s="28">
        <f>D33-'Mar23'!D33</f>
        <v>4.9999999999999996E-2</v>
      </c>
      <c r="Z33" s="28">
        <f>F33-'Mar23'!F33</f>
        <v>-1.999999999999999E-2</v>
      </c>
      <c r="AA33" s="28">
        <f>H33-'Mar23'!H33</f>
        <v>-2.0000000000000018E-2</v>
      </c>
      <c r="AB33" s="28">
        <f>J33-'Mar23'!J33</f>
        <v>0</v>
      </c>
      <c r="AC33" s="28">
        <f>L33-'Mar23'!L33</f>
        <v>0</v>
      </c>
    </row>
    <row r="34" spans="1:29" x14ac:dyDescent="0.25">
      <c r="B34" s="3" t="s">
        <v>44</v>
      </c>
      <c r="C34" s="12">
        <v>24000000</v>
      </c>
      <c r="D34" s="14">
        <v>0.41</v>
      </c>
      <c r="E34" s="12">
        <f>D34*C34</f>
        <v>9840000</v>
      </c>
      <c r="F34" s="14"/>
      <c r="G34" s="12">
        <f>F34*C34</f>
        <v>0</v>
      </c>
      <c r="H34" s="14">
        <v>0.38</v>
      </c>
      <c r="I34" s="12">
        <f>H34*C34</f>
        <v>9120000</v>
      </c>
      <c r="J34" s="14"/>
      <c r="K34" s="12">
        <f>J34*C34</f>
        <v>0</v>
      </c>
      <c r="L34" s="14">
        <v>0.2</v>
      </c>
      <c r="M34" s="12">
        <f>L34*C34</f>
        <v>4800000</v>
      </c>
      <c r="N34" s="14"/>
      <c r="O34" s="12">
        <f>N34*E34</f>
        <v>0</v>
      </c>
      <c r="S34" s="12">
        <f>C34-'Mar23'!C34</f>
        <v>-2600000</v>
      </c>
      <c r="T34" s="12">
        <f>E34-'Mar23'!E34</f>
        <v>-3992000</v>
      </c>
      <c r="U34" s="12">
        <f>I34-'Mar23'!I34</f>
        <v>2470000</v>
      </c>
      <c r="V34" s="12">
        <f>K34-'Mar23'!K34</f>
        <v>0</v>
      </c>
      <c r="W34" s="12">
        <f>+M34-'Jan23'!M34</f>
        <v>-2592000.0000000009</v>
      </c>
      <c r="Y34" s="28">
        <f>D34-'Mar23'!D34</f>
        <v>-0.11000000000000004</v>
      </c>
      <c r="Z34" s="28">
        <f>F34-'Mar23'!F34</f>
        <v>0</v>
      </c>
      <c r="AA34" s="28">
        <f>H34-'Mar23'!H34</f>
        <v>0.13</v>
      </c>
      <c r="AB34" s="28">
        <f>J34-'Mar23'!J34</f>
        <v>0</v>
      </c>
      <c r="AC34" s="28">
        <f>L34-'Mar23'!L34</f>
        <v>-1.999999999999999E-2</v>
      </c>
    </row>
    <row r="35" spans="1:29" s="8" customFormat="1" x14ac:dyDescent="0.25">
      <c r="A35"/>
      <c r="B35" s="3" t="s">
        <v>45</v>
      </c>
      <c r="C35" s="17">
        <f>SUM(C30:C34)</f>
        <v>1404317885.0799999</v>
      </c>
      <c r="D35" s="15">
        <f>+E35/$C35</f>
        <v>8.9842280506605254E-2</v>
      </c>
      <c r="E35" s="17">
        <f>SUM(E30:E34)</f>
        <v>126167121.35179999</v>
      </c>
      <c r="F35" s="15">
        <f>+G35/$C35</f>
        <v>0.12850019629138315</v>
      </c>
      <c r="G35" s="17">
        <f>SUM(G30:G34)</f>
        <v>180455123.88828003</v>
      </c>
      <c r="H35" s="15">
        <f>+I35/$C35</f>
        <v>0.64671170357547858</v>
      </c>
      <c r="I35" s="17">
        <f>SUM(I30:I34)</f>
        <v>908188811.82159996</v>
      </c>
      <c r="J35" s="15">
        <f>+K35/$C35</f>
        <v>0.11921197550927939</v>
      </c>
      <c r="K35" s="17">
        <f>SUM(K30:K34)</f>
        <v>167411509.32339999</v>
      </c>
      <c r="L35" s="15">
        <f>+M35/$C35</f>
        <v>3.2994297453614256E-2</v>
      </c>
      <c r="M35" s="17">
        <f>SUM(M30:M34)</f>
        <v>46334482.019759998</v>
      </c>
      <c r="N35" s="15">
        <f>+O35/$C35</f>
        <v>7.3172160986460864E-4</v>
      </c>
      <c r="O35" s="17">
        <f>SUM(O30:O34)</f>
        <v>1027569.7436323999</v>
      </c>
      <c r="S35" s="31">
        <f>C35-'Mar23'!C35</f>
        <v>-91113320.480000019</v>
      </c>
      <c r="T35" s="31">
        <f>E35-'Mar23'!E35</f>
        <v>7747728.0399599969</v>
      </c>
      <c r="U35" s="31">
        <f>I35-'Mar23'!I35</f>
        <v>-46137509.719880104</v>
      </c>
      <c r="V35" s="31">
        <f>K35-'Mar23'!K35</f>
        <v>7081931.0840799809</v>
      </c>
      <c r="W35" s="31">
        <f>+M35-'Jan23'!M35</f>
        <v>-13218782.844140008</v>
      </c>
      <c r="Y35" s="32">
        <f>D35-'Mar23'!D35</f>
        <v>1.0654824158524687E-2</v>
      </c>
      <c r="Z35" s="32">
        <f>F35-'Mar23'!F35</f>
        <v>-8.7117875452663585E-3</v>
      </c>
      <c r="AA35" s="32">
        <f>H35-'Mar23'!H35</f>
        <v>8.5504040163257855E-3</v>
      </c>
      <c r="AB35" s="32">
        <f>J35-'Mar23'!J35</f>
        <v>1.1999034089295604E-2</v>
      </c>
      <c r="AC35" s="32">
        <f>L35-'Mar23'!L35</f>
        <v>4.2457641198452682E-3</v>
      </c>
    </row>
    <row r="37" spans="1:29" x14ac:dyDescent="0.25">
      <c r="E37"/>
    </row>
    <row r="38" spans="1:29" x14ac:dyDescent="0.25">
      <c r="D38" s="38"/>
    </row>
    <row r="39" spans="1:29" x14ac:dyDescent="0.25">
      <c r="A39" s="8"/>
      <c r="C39" s="30"/>
      <c r="D39" s="35"/>
    </row>
    <row r="40" spans="1:29" x14ac:dyDescent="0.25">
      <c r="C40" s="37"/>
      <c r="D40" s="35"/>
    </row>
    <row r="41" spans="1:29" x14ac:dyDescent="0.25">
      <c r="C41" s="37"/>
      <c r="D41" s="35"/>
    </row>
    <row r="42" spans="1:29" x14ac:dyDescent="0.25">
      <c r="C42" s="37"/>
      <c r="D42" s="35"/>
    </row>
    <row r="43" spans="1:29" x14ac:dyDescent="0.25">
      <c r="C43" s="37"/>
      <c r="D43" s="35"/>
    </row>
    <row r="44" spans="1:29" x14ac:dyDescent="0.25">
      <c r="C44" s="37"/>
      <c r="D44" s="35"/>
      <c r="E44" s="37"/>
    </row>
    <row r="45" spans="1:29" x14ac:dyDescent="0.25">
      <c r="C45" s="37"/>
      <c r="D45" s="35"/>
    </row>
    <row r="46" spans="1:29" x14ac:dyDescent="0.25">
      <c r="C46" s="37"/>
      <c r="D46" s="35"/>
    </row>
    <row r="47" spans="1:29" x14ac:dyDescent="0.25">
      <c r="C47" s="37"/>
      <c r="D47" s="35"/>
    </row>
    <row r="48" spans="1:29" x14ac:dyDescent="0.25">
      <c r="C48" s="37"/>
      <c r="D48" s="35"/>
    </row>
    <row r="49" spans="3:4" x14ac:dyDescent="0.25">
      <c r="C49" s="37"/>
      <c r="D49" s="35"/>
    </row>
    <row r="50" spans="3:4" x14ac:dyDescent="0.25">
      <c r="C50" s="37"/>
      <c r="D50" s="35"/>
    </row>
    <row r="51" spans="3:4" x14ac:dyDescent="0.25">
      <c r="C51" s="37"/>
      <c r="D51" s="35"/>
    </row>
    <row r="52" spans="3:4" x14ac:dyDescent="0.25">
      <c r="C52" s="37"/>
      <c r="D52" s="35"/>
    </row>
    <row r="53" spans="3:4" x14ac:dyDescent="0.25">
      <c r="C53" s="37"/>
      <c r="D53" s="35"/>
    </row>
    <row r="54" spans="3:4" x14ac:dyDescent="0.25">
      <c r="C54" s="37"/>
      <c r="D54" s="35"/>
    </row>
    <row r="55" spans="3:4" x14ac:dyDescent="0.25">
      <c r="C55" s="37"/>
      <c r="D55" s="35"/>
    </row>
    <row r="56" spans="3:4" x14ac:dyDescent="0.25">
      <c r="C56" s="37"/>
      <c r="D56" s="35"/>
    </row>
    <row r="57" spans="3:4" x14ac:dyDescent="0.25">
      <c r="C57" s="37"/>
      <c r="D57" s="35"/>
    </row>
    <row r="58" spans="3:4" x14ac:dyDescent="0.25">
      <c r="C58" s="37"/>
      <c r="D58" s="35"/>
    </row>
    <row r="59" spans="3:4" x14ac:dyDescent="0.25">
      <c r="C59" s="37"/>
      <c r="D59" s="35"/>
    </row>
    <row r="60" spans="3:4" x14ac:dyDescent="0.25">
      <c r="C60" s="37"/>
      <c r="D60" s="35"/>
    </row>
    <row r="61" spans="3:4" x14ac:dyDescent="0.25">
      <c r="C61" s="37"/>
      <c r="D61" s="35"/>
    </row>
    <row r="62" spans="3:4" x14ac:dyDescent="0.25">
      <c r="C62" s="37"/>
      <c r="D62" s="35"/>
    </row>
    <row r="63" spans="3:4" x14ac:dyDescent="0.25">
      <c r="C63" s="37"/>
      <c r="D63" s="35"/>
    </row>
    <row r="64" spans="3:4" x14ac:dyDescent="0.25">
      <c r="C64" s="37"/>
      <c r="D64" s="35"/>
    </row>
    <row r="65" spans="3:4" x14ac:dyDescent="0.25">
      <c r="C65" s="37"/>
      <c r="D65" s="35"/>
    </row>
    <row r="66" spans="3:4" x14ac:dyDescent="0.25">
      <c r="C66" s="37"/>
      <c r="D66" s="35"/>
    </row>
    <row r="67" spans="3:4" x14ac:dyDescent="0.25">
      <c r="C67" s="37"/>
      <c r="D67" s="35"/>
    </row>
    <row r="68" spans="3:4" x14ac:dyDescent="0.25">
      <c r="C68" s="37"/>
      <c r="D68" s="35"/>
    </row>
    <row r="69" spans="3:4" x14ac:dyDescent="0.25">
      <c r="C69" s="37"/>
      <c r="D69" s="35"/>
    </row>
    <row r="70" spans="3:4" x14ac:dyDescent="0.25">
      <c r="C70" s="37"/>
      <c r="D70" s="35"/>
    </row>
    <row r="71" spans="3:4" x14ac:dyDescent="0.25">
      <c r="C71" s="37"/>
      <c r="D71" s="35"/>
    </row>
    <row r="72" spans="3:4" x14ac:dyDescent="0.25">
      <c r="C72" s="37"/>
      <c r="D72" s="35"/>
    </row>
    <row r="73" spans="3:4" x14ac:dyDescent="0.25">
      <c r="C73" s="37"/>
      <c r="D73" s="35"/>
    </row>
    <row r="74" spans="3:4" x14ac:dyDescent="0.25">
      <c r="C74" s="37"/>
      <c r="D74" s="35"/>
    </row>
    <row r="75" spans="3:4" x14ac:dyDescent="0.25">
      <c r="C75" s="37"/>
      <c r="D75" s="35"/>
    </row>
    <row r="76" spans="3:4" x14ac:dyDescent="0.25">
      <c r="C76" s="37"/>
      <c r="D76" s="35"/>
    </row>
    <row r="77" spans="3:4" x14ac:dyDescent="0.25">
      <c r="C77" s="37"/>
      <c r="D77" s="35"/>
    </row>
    <row r="78" spans="3:4" x14ac:dyDescent="0.25">
      <c r="C78" s="37"/>
      <c r="D78" s="35"/>
    </row>
    <row r="79" spans="3:4" x14ac:dyDescent="0.25">
      <c r="C79" s="37"/>
      <c r="D79" s="35"/>
    </row>
    <row r="80" spans="3:4" x14ac:dyDescent="0.25">
      <c r="C80" s="37"/>
      <c r="D80" s="35"/>
    </row>
    <row r="81" spans="3:4" x14ac:dyDescent="0.25">
      <c r="C81" s="37"/>
      <c r="D81" s="35"/>
    </row>
    <row r="82" spans="3:4" x14ac:dyDescent="0.25">
      <c r="C82" s="37"/>
      <c r="D82" s="35"/>
    </row>
    <row r="83" spans="3:4" x14ac:dyDescent="0.25">
      <c r="C83" s="37"/>
      <c r="D83" s="35"/>
    </row>
    <row r="84" spans="3:4" x14ac:dyDescent="0.25">
      <c r="C84" s="37"/>
      <c r="D84" s="35"/>
    </row>
    <row r="85" spans="3:4" x14ac:dyDescent="0.25">
      <c r="C85" s="37"/>
      <c r="D85" s="35"/>
    </row>
    <row r="86" spans="3:4" x14ac:dyDescent="0.25">
      <c r="C86" s="37"/>
      <c r="D86" s="35"/>
    </row>
    <row r="87" spans="3:4" x14ac:dyDescent="0.25">
      <c r="C87" s="37"/>
      <c r="D87" s="35"/>
    </row>
    <row r="88" spans="3:4" x14ac:dyDescent="0.25">
      <c r="C88" s="37"/>
      <c r="D88" s="35"/>
    </row>
    <row r="89" spans="3:4" x14ac:dyDescent="0.25">
      <c r="C89" s="37"/>
      <c r="D89" s="35"/>
    </row>
    <row r="90" spans="3:4" x14ac:dyDescent="0.25">
      <c r="C90" s="37"/>
      <c r="D90" s="35"/>
    </row>
    <row r="91" spans="3:4" x14ac:dyDescent="0.25">
      <c r="C91" s="37"/>
      <c r="D91" s="35"/>
    </row>
    <row r="92" spans="3:4" x14ac:dyDescent="0.25">
      <c r="C92" s="37"/>
      <c r="D92" s="35"/>
    </row>
    <row r="93" spans="3:4" x14ac:dyDescent="0.25">
      <c r="C93" s="37"/>
      <c r="D93" s="35"/>
    </row>
    <row r="94" spans="3:4" x14ac:dyDescent="0.25">
      <c r="C94" s="37"/>
      <c r="D94" s="35"/>
    </row>
    <row r="95" spans="3:4" x14ac:dyDescent="0.25">
      <c r="C95" s="37"/>
      <c r="D95" s="35"/>
    </row>
    <row r="96" spans="3:4" x14ac:dyDescent="0.25">
      <c r="C96" s="37"/>
      <c r="D96" s="35"/>
    </row>
    <row r="97" spans="3:4" x14ac:dyDescent="0.25">
      <c r="C97" s="37"/>
      <c r="D97" s="35"/>
    </row>
    <row r="98" spans="3:4" x14ac:dyDescent="0.25">
      <c r="C98" s="37"/>
      <c r="D98" s="35"/>
    </row>
    <row r="99" spans="3:4" x14ac:dyDescent="0.25">
      <c r="C99" s="37"/>
      <c r="D99" s="35"/>
    </row>
    <row r="100" spans="3:4" x14ac:dyDescent="0.25">
      <c r="C100" s="37"/>
      <c r="D100" s="35"/>
    </row>
    <row r="101" spans="3:4" x14ac:dyDescent="0.25">
      <c r="C101" s="37"/>
      <c r="D101" s="35"/>
    </row>
    <row r="102" spans="3:4" x14ac:dyDescent="0.25">
      <c r="C102" s="37"/>
      <c r="D102" s="35"/>
    </row>
    <row r="103" spans="3:4" x14ac:dyDescent="0.25">
      <c r="C103" s="37"/>
      <c r="D103" s="35"/>
    </row>
    <row r="104" spans="3:4" x14ac:dyDescent="0.25">
      <c r="C104" s="37"/>
      <c r="D104" s="35"/>
    </row>
    <row r="105" spans="3:4" x14ac:dyDescent="0.25">
      <c r="C105" s="37"/>
      <c r="D105" s="35"/>
    </row>
    <row r="106" spans="3:4" x14ac:dyDescent="0.25">
      <c r="C106" s="37"/>
      <c r="D106" s="35"/>
    </row>
    <row r="107" spans="3:4" x14ac:dyDescent="0.25">
      <c r="C107" s="37"/>
      <c r="D107" s="35"/>
    </row>
    <row r="108" spans="3:4" x14ac:dyDescent="0.25">
      <c r="C108" s="37"/>
      <c r="D108" s="35"/>
    </row>
    <row r="109" spans="3:4" x14ac:dyDescent="0.25">
      <c r="C109" s="37"/>
      <c r="D109" s="35"/>
    </row>
    <row r="110" spans="3:4" x14ac:dyDescent="0.25">
      <c r="C110" s="37"/>
      <c r="D110" s="35"/>
    </row>
    <row r="111" spans="3:4" x14ac:dyDescent="0.25">
      <c r="C111" s="37"/>
      <c r="D111" s="35"/>
    </row>
    <row r="112" spans="3:4" x14ac:dyDescent="0.25">
      <c r="C112" s="37"/>
      <c r="D112" s="35"/>
    </row>
    <row r="113" spans="3:4" x14ac:dyDescent="0.25">
      <c r="C113" s="37"/>
      <c r="D113" s="35"/>
    </row>
    <row r="114" spans="3:4" x14ac:dyDescent="0.25">
      <c r="C114" s="37"/>
      <c r="D114" s="35"/>
    </row>
    <row r="115" spans="3:4" x14ac:dyDescent="0.25">
      <c r="C115" s="37"/>
      <c r="D115" s="35"/>
    </row>
    <row r="116" spans="3:4" x14ac:dyDescent="0.25">
      <c r="C116" s="37"/>
      <c r="D116" s="35"/>
    </row>
    <row r="117" spans="3:4" x14ac:dyDescent="0.25">
      <c r="C117" s="37"/>
      <c r="D117" s="35"/>
    </row>
    <row r="118" spans="3:4" x14ac:dyDescent="0.25">
      <c r="C118" s="37"/>
      <c r="D118" s="35"/>
    </row>
    <row r="119" spans="3:4" x14ac:dyDescent="0.25">
      <c r="C119" s="37"/>
      <c r="D119" s="35"/>
    </row>
    <row r="120" spans="3:4" x14ac:dyDescent="0.25">
      <c r="C120" s="37"/>
      <c r="D120" s="35"/>
    </row>
    <row r="121" spans="3:4" x14ac:dyDescent="0.25">
      <c r="C121" s="37"/>
      <c r="D121" s="35"/>
    </row>
    <row r="122" spans="3:4" x14ac:dyDescent="0.25">
      <c r="C122" s="37"/>
      <c r="D122" s="35"/>
    </row>
    <row r="123" spans="3:4" x14ac:dyDescent="0.25">
      <c r="C123" s="37"/>
      <c r="D123" s="35"/>
    </row>
    <row r="124" spans="3:4" x14ac:dyDescent="0.25">
      <c r="C124" s="37"/>
      <c r="D124" s="35"/>
    </row>
    <row r="125" spans="3:4" x14ac:dyDescent="0.25">
      <c r="C125" s="37"/>
      <c r="D125" s="35"/>
    </row>
    <row r="126" spans="3:4" x14ac:dyDescent="0.25">
      <c r="C126" s="37"/>
      <c r="D126" s="35"/>
    </row>
    <row r="127" spans="3:4" x14ac:dyDescent="0.25">
      <c r="C127" s="37"/>
      <c r="D127" s="35"/>
    </row>
    <row r="128" spans="3:4" x14ac:dyDescent="0.25">
      <c r="C128" s="37"/>
      <c r="D128" s="35"/>
    </row>
    <row r="129" spans="3:4" x14ac:dyDescent="0.25">
      <c r="C129" s="37"/>
      <c r="D129" s="35"/>
    </row>
    <row r="130" spans="3:4" x14ac:dyDescent="0.25">
      <c r="C130" s="37"/>
      <c r="D130" s="35"/>
    </row>
    <row r="131" spans="3:4" x14ac:dyDescent="0.25">
      <c r="C131" s="37"/>
      <c r="D131" s="35"/>
    </row>
    <row r="132" spans="3:4" x14ac:dyDescent="0.25">
      <c r="C132" s="37"/>
      <c r="D132" s="35"/>
    </row>
    <row r="133" spans="3:4" x14ac:dyDescent="0.25">
      <c r="C133" s="37"/>
      <c r="D133" s="35"/>
    </row>
    <row r="134" spans="3:4" x14ac:dyDescent="0.25">
      <c r="C134" s="37"/>
      <c r="D134" s="35"/>
    </row>
    <row r="135" spans="3:4" x14ac:dyDescent="0.25">
      <c r="C135" s="37"/>
      <c r="D135" s="35"/>
    </row>
    <row r="136" spans="3:4" x14ac:dyDescent="0.25">
      <c r="C136" s="37"/>
      <c r="D136" s="35"/>
    </row>
    <row r="137" spans="3:4" x14ac:dyDescent="0.25">
      <c r="C137" s="37"/>
      <c r="D137" s="35"/>
    </row>
    <row r="138" spans="3:4" x14ac:dyDescent="0.25">
      <c r="C138" s="37"/>
      <c r="D138" s="35"/>
    </row>
    <row r="139" spans="3:4" x14ac:dyDescent="0.25">
      <c r="C139" s="37"/>
      <c r="D139" s="35"/>
    </row>
    <row r="140" spans="3:4" x14ac:dyDescent="0.25">
      <c r="C140" s="37"/>
      <c r="D140" s="35"/>
    </row>
    <row r="141" spans="3:4" x14ac:dyDescent="0.25">
      <c r="C141" s="37"/>
      <c r="D141" s="35"/>
    </row>
    <row r="142" spans="3:4" x14ac:dyDescent="0.25">
      <c r="C142" s="37"/>
      <c r="D142" s="35"/>
    </row>
    <row r="143" spans="3:4" x14ac:dyDescent="0.25">
      <c r="C143" s="37"/>
      <c r="D143" s="35"/>
    </row>
    <row r="144" spans="3:4" x14ac:dyDescent="0.25">
      <c r="C144" s="37"/>
      <c r="D144" s="35"/>
    </row>
    <row r="145" spans="3:4" x14ac:dyDescent="0.25">
      <c r="C145" s="37"/>
      <c r="D145" s="35"/>
    </row>
    <row r="146" spans="3:4" x14ac:dyDescent="0.25">
      <c r="C146" s="37"/>
      <c r="D146" s="35"/>
    </row>
    <row r="147" spans="3:4" x14ac:dyDescent="0.25">
      <c r="C147" s="37"/>
      <c r="D147" s="35"/>
    </row>
    <row r="148" spans="3:4" x14ac:dyDescent="0.25">
      <c r="C148" s="37"/>
      <c r="D148" s="35"/>
    </row>
    <row r="149" spans="3:4" x14ac:dyDescent="0.25">
      <c r="C149" s="37"/>
      <c r="D149" s="35"/>
    </row>
    <row r="150" spans="3:4" x14ac:dyDescent="0.25">
      <c r="C150" s="37"/>
      <c r="D150" s="35"/>
    </row>
    <row r="151" spans="3:4" x14ac:dyDescent="0.25">
      <c r="C151" s="37"/>
      <c r="D151" s="35"/>
    </row>
    <row r="152" spans="3:4" x14ac:dyDescent="0.25">
      <c r="C152" s="37"/>
      <c r="D152" s="35"/>
    </row>
    <row r="153" spans="3:4" x14ac:dyDescent="0.25">
      <c r="C153" s="37"/>
      <c r="D153" s="35"/>
    </row>
    <row r="154" spans="3:4" x14ac:dyDescent="0.25">
      <c r="C154" s="37"/>
      <c r="D154" s="35"/>
    </row>
    <row r="155" spans="3:4" x14ac:dyDescent="0.25">
      <c r="C155" s="37"/>
      <c r="D155" s="35"/>
    </row>
    <row r="156" spans="3:4" x14ac:dyDescent="0.25">
      <c r="C156" s="37"/>
      <c r="D156" s="35"/>
    </row>
    <row r="157" spans="3:4" x14ac:dyDescent="0.25">
      <c r="C157" s="37"/>
      <c r="D157" s="35"/>
    </row>
    <row r="158" spans="3:4" x14ac:dyDescent="0.25">
      <c r="C158" s="37"/>
      <c r="D158" s="35"/>
    </row>
    <row r="159" spans="3:4" x14ac:dyDescent="0.25">
      <c r="C159" s="37"/>
      <c r="D159" s="35"/>
    </row>
    <row r="160" spans="3:4" x14ac:dyDescent="0.25">
      <c r="C160" s="37"/>
      <c r="D160" s="35"/>
    </row>
    <row r="161" spans="3:4" x14ac:dyDescent="0.25">
      <c r="C161" s="37"/>
      <c r="D161" s="35"/>
    </row>
    <row r="162" spans="3:4" x14ac:dyDescent="0.25">
      <c r="C162" s="37"/>
      <c r="D162" s="35"/>
    </row>
    <row r="163" spans="3:4" x14ac:dyDescent="0.25">
      <c r="C163" s="37"/>
      <c r="D163" s="35"/>
    </row>
    <row r="164" spans="3:4" x14ac:dyDescent="0.25">
      <c r="C164" s="37"/>
      <c r="D164" s="35"/>
    </row>
    <row r="165" spans="3:4" x14ac:dyDescent="0.25">
      <c r="C165" s="37"/>
      <c r="D165" s="35"/>
    </row>
    <row r="166" spans="3:4" x14ac:dyDescent="0.25">
      <c r="C166" s="37"/>
      <c r="D166" s="35"/>
    </row>
    <row r="167" spans="3:4" x14ac:dyDescent="0.25">
      <c r="C167" s="37"/>
      <c r="D167" s="35"/>
    </row>
    <row r="168" spans="3:4" x14ac:dyDescent="0.25">
      <c r="C168" s="37"/>
      <c r="D168" s="35"/>
    </row>
    <row r="169" spans="3:4" x14ac:dyDescent="0.25">
      <c r="C169" s="37"/>
      <c r="D169" s="35"/>
    </row>
    <row r="170" spans="3:4" x14ac:dyDescent="0.25">
      <c r="C170" s="37"/>
      <c r="D170" s="35"/>
    </row>
    <row r="171" spans="3:4" x14ac:dyDescent="0.25">
      <c r="C171" s="37"/>
      <c r="D171" s="35"/>
    </row>
    <row r="172" spans="3:4" x14ac:dyDescent="0.25">
      <c r="C172" s="37"/>
      <c r="D172" s="35"/>
    </row>
    <row r="173" spans="3:4" x14ac:dyDescent="0.25">
      <c r="C173" s="37"/>
      <c r="D173" s="35"/>
    </row>
    <row r="174" spans="3:4" x14ac:dyDescent="0.25">
      <c r="C174" s="37"/>
      <c r="D174" s="35"/>
    </row>
    <row r="175" spans="3:4" x14ac:dyDescent="0.25">
      <c r="C175" s="37"/>
      <c r="D175" s="35"/>
    </row>
    <row r="176" spans="3:4" x14ac:dyDescent="0.25">
      <c r="C176" s="37"/>
      <c r="D176" s="35"/>
    </row>
    <row r="177" spans="3:4" x14ac:dyDescent="0.25">
      <c r="C177" s="37"/>
      <c r="D177" s="35"/>
    </row>
    <row r="178" spans="3:4" x14ac:dyDescent="0.25">
      <c r="C178" s="37"/>
      <c r="D178" s="35"/>
    </row>
    <row r="179" spans="3:4" x14ac:dyDescent="0.25">
      <c r="C179" s="37"/>
      <c r="D179" s="35"/>
    </row>
    <row r="180" spans="3:4" x14ac:dyDescent="0.25">
      <c r="C180" s="37"/>
      <c r="D180" s="35"/>
    </row>
    <row r="181" spans="3:4" x14ac:dyDescent="0.25">
      <c r="C181" s="37"/>
      <c r="D181" s="35"/>
    </row>
    <row r="182" spans="3:4" x14ac:dyDescent="0.25">
      <c r="C182" s="37"/>
      <c r="D182" s="35"/>
    </row>
    <row r="183" spans="3:4" x14ac:dyDescent="0.25">
      <c r="C183" s="37"/>
      <c r="D183" s="35"/>
    </row>
    <row r="184" spans="3:4" x14ac:dyDescent="0.25">
      <c r="C184" s="37"/>
      <c r="D184" s="35"/>
    </row>
    <row r="185" spans="3:4" x14ac:dyDescent="0.25">
      <c r="C185" s="37"/>
      <c r="D185" s="35"/>
    </row>
    <row r="186" spans="3:4" x14ac:dyDescent="0.25">
      <c r="C186" s="37"/>
      <c r="D186" s="35"/>
    </row>
    <row r="187" spans="3:4" x14ac:dyDescent="0.25">
      <c r="C187" s="37"/>
      <c r="D187" s="35"/>
    </row>
    <row r="188" spans="3:4" x14ac:dyDescent="0.25">
      <c r="C188" s="37"/>
      <c r="D188" s="35"/>
    </row>
    <row r="189" spans="3:4" x14ac:dyDescent="0.25">
      <c r="C189" s="37"/>
      <c r="D189" s="35"/>
    </row>
    <row r="190" spans="3:4" x14ac:dyDescent="0.25">
      <c r="C190" s="37"/>
      <c r="D190" s="35"/>
    </row>
    <row r="191" spans="3:4" x14ac:dyDescent="0.25">
      <c r="C191" s="37"/>
      <c r="D191" s="35"/>
    </row>
    <row r="192" spans="3:4" x14ac:dyDescent="0.25">
      <c r="C192" s="37"/>
      <c r="D192" s="35"/>
    </row>
    <row r="193" spans="3:4" x14ac:dyDescent="0.25">
      <c r="C193" s="37"/>
      <c r="D193" s="35"/>
    </row>
    <row r="194" spans="3:4" x14ac:dyDescent="0.25">
      <c r="C194" s="37"/>
      <c r="D194" s="35"/>
    </row>
    <row r="195" spans="3:4" x14ac:dyDescent="0.25">
      <c r="C195" s="37"/>
      <c r="D195" s="35"/>
    </row>
    <row r="196" spans="3:4" x14ac:dyDescent="0.25">
      <c r="C196" s="37"/>
      <c r="D196" s="35"/>
    </row>
    <row r="197" spans="3:4" x14ac:dyDescent="0.25">
      <c r="C197" s="37"/>
      <c r="D197" s="35"/>
    </row>
    <row r="198" spans="3:4" x14ac:dyDescent="0.25">
      <c r="C198" s="37"/>
      <c r="D198" s="35"/>
    </row>
    <row r="199" spans="3:4" x14ac:dyDescent="0.25">
      <c r="C199" s="37"/>
      <c r="D199" s="35"/>
    </row>
    <row r="200" spans="3:4" x14ac:dyDescent="0.25">
      <c r="C200" s="37"/>
      <c r="D200" s="35"/>
    </row>
    <row r="201" spans="3:4" x14ac:dyDescent="0.25">
      <c r="C201" s="37"/>
      <c r="D201" s="35"/>
    </row>
    <row r="202" spans="3:4" x14ac:dyDescent="0.25">
      <c r="C202" s="37"/>
      <c r="D202" s="35"/>
    </row>
    <row r="203" spans="3:4" x14ac:dyDescent="0.25">
      <c r="C203" s="37"/>
      <c r="D203" s="35"/>
    </row>
    <row r="204" spans="3:4" x14ac:dyDescent="0.25">
      <c r="C204" s="37"/>
      <c r="D204" s="35"/>
    </row>
    <row r="205" spans="3:4" x14ac:dyDescent="0.25">
      <c r="C205" s="37"/>
      <c r="D205" s="35"/>
    </row>
    <row r="206" spans="3:4" x14ac:dyDescent="0.25">
      <c r="C206" s="37"/>
      <c r="D206" s="35"/>
    </row>
    <row r="207" spans="3:4" x14ac:dyDescent="0.25">
      <c r="C207" s="37"/>
      <c r="D207" s="35"/>
    </row>
    <row r="208" spans="3:4" x14ac:dyDescent="0.25">
      <c r="C208" s="37"/>
      <c r="D208" s="35"/>
    </row>
    <row r="209" spans="3:4" x14ac:dyDescent="0.25">
      <c r="C209" s="37"/>
      <c r="D209" s="35"/>
    </row>
    <row r="210" spans="3:4" x14ac:dyDescent="0.25">
      <c r="C210" s="37"/>
      <c r="D210" s="35"/>
    </row>
    <row r="211" spans="3:4" x14ac:dyDescent="0.25">
      <c r="C211" s="37"/>
      <c r="D211" s="35"/>
    </row>
    <row r="212" spans="3:4" x14ac:dyDescent="0.25">
      <c r="C212" s="37"/>
      <c r="D212" s="35"/>
    </row>
    <row r="213" spans="3:4" x14ac:dyDescent="0.25">
      <c r="C213" s="37"/>
      <c r="D213" s="35"/>
    </row>
    <row r="214" spans="3:4" x14ac:dyDescent="0.25">
      <c r="C214" s="37"/>
      <c r="D214" s="35"/>
    </row>
    <row r="215" spans="3:4" x14ac:dyDescent="0.25">
      <c r="C215" s="37"/>
      <c r="D215" s="35"/>
    </row>
    <row r="216" spans="3:4" x14ac:dyDescent="0.25">
      <c r="C216" s="37"/>
      <c r="D216" s="35"/>
    </row>
    <row r="217" spans="3:4" x14ac:dyDescent="0.25">
      <c r="C217" s="37"/>
      <c r="D217" s="35"/>
    </row>
    <row r="218" spans="3:4" x14ac:dyDescent="0.25">
      <c r="C218" s="37"/>
      <c r="D218" s="35"/>
    </row>
    <row r="219" spans="3:4" x14ac:dyDescent="0.25">
      <c r="C219" s="37"/>
      <c r="D219" s="35"/>
    </row>
    <row r="220" spans="3:4" x14ac:dyDescent="0.25">
      <c r="C220" s="37"/>
      <c r="D220" s="35"/>
    </row>
    <row r="221" spans="3:4" x14ac:dyDescent="0.25">
      <c r="C221" s="37"/>
      <c r="D221" s="35"/>
    </row>
    <row r="222" spans="3:4" x14ac:dyDescent="0.25">
      <c r="C222" s="37"/>
      <c r="D222" s="35"/>
    </row>
    <row r="223" spans="3:4" x14ac:dyDescent="0.25">
      <c r="C223" s="37"/>
      <c r="D223" s="35"/>
    </row>
    <row r="224" spans="3:4" x14ac:dyDescent="0.25">
      <c r="C224" s="37"/>
      <c r="D224" s="35"/>
    </row>
    <row r="225" spans="3:4" x14ac:dyDescent="0.25">
      <c r="C225" s="37"/>
      <c r="D225" s="35"/>
    </row>
    <row r="226" spans="3:4" x14ac:dyDescent="0.25">
      <c r="C226" s="37"/>
      <c r="D226" s="35"/>
    </row>
    <row r="227" spans="3:4" x14ac:dyDescent="0.25">
      <c r="C227" s="37"/>
      <c r="D227" s="35"/>
    </row>
    <row r="228" spans="3:4" x14ac:dyDescent="0.25">
      <c r="C228" s="37"/>
      <c r="D228" s="35"/>
    </row>
    <row r="229" spans="3:4" x14ac:dyDescent="0.25">
      <c r="C229" s="37"/>
      <c r="D229" s="35"/>
    </row>
    <row r="230" spans="3:4" x14ac:dyDescent="0.25">
      <c r="C230" s="37"/>
      <c r="D230" s="35"/>
    </row>
    <row r="231" spans="3:4" x14ac:dyDescent="0.25">
      <c r="C231" s="37"/>
      <c r="D231" s="35"/>
    </row>
    <row r="232" spans="3:4" x14ac:dyDescent="0.25">
      <c r="C232" s="37"/>
      <c r="D232" s="35"/>
    </row>
    <row r="233" spans="3:4" x14ac:dyDescent="0.25">
      <c r="C233" s="37"/>
      <c r="D233" s="35"/>
    </row>
    <row r="234" spans="3:4" x14ac:dyDescent="0.25">
      <c r="C234" s="37"/>
      <c r="D234" s="35"/>
    </row>
    <row r="235" spans="3:4" x14ac:dyDescent="0.25">
      <c r="C235" s="37"/>
      <c r="D235" s="35"/>
    </row>
    <row r="236" spans="3:4" x14ac:dyDescent="0.25">
      <c r="C236" s="37"/>
      <c r="D236" s="35"/>
    </row>
    <row r="237" spans="3:4" x14ac:dyDescent="0.25">
      <c r="C237" s="37"/>
      <c r="D237" s="35"/>
    </row>
    <row r="238" spans="3:4" x14ac:dyDescent="0.25">
      <c r="C238" s="37"/>
      <c r="D238" s="35"/>
    </row>
    <row r="239" spans="3:4" x14ac:dyDescent="0.25">
      <c r="C239" s="37"/>
      <c r="D239" s="35"/>
    </row>
    <row r="240" spans="3:4" x14ac:dyDescent="0.25">
      <c r="C240" s="37"/>
      <c r="D240" s="35"/>
    </row>
    <row r="241" spans="3:4" x14ac:dyDescent="0.25">
      <c r="C241" s="37"/>
      <c r="D241" s="35"/>
    </row>
    <row r="242" spans="3:4" x14ac:dyDescent="0.25">
      <c r="C242" s="37"/>
      <c r="D242" s="35"/>
    </row>
    <row r="243" spans="3:4" x14ac:dyDescent="0.25">
      <c r="C243" s="37"/>
      <c r="D243" s="35"/>
    </row>
    <row r="244" spans="3:4" x14ac:dyDescent="0.25">
      <c r="C244" s="37"/>
      <c r="D244" s="35"/>
    </row>
    <row r="245" spans="3:4" x14ac:dyDescent="0.25">
      <c r="C245" s="37"/>
      <c r="D245" s="35"/>
    </row>
    <row r="246" spans="3:4" x14ac:dyDescent="0.25">
      <c r="C246" s="37"/>
      <c r="D246" s="35"/>
    </row>
    <row r="247" spans="3:4" x14ac:dyDescent="0.25">
      <c r="C247" s="37"/>
      <c r="D247" s="35"/>
    </row>
    <row r="248" spans="3:4" x14ac:dyDescent="0.25">
      <c r="C248" s="37"/>
      <c r="D248" s="35"/>
    </row>
    <row r="249" spans="3:4" x14ac:dyDescent="0.25">
      <c r="C249" s="37"/>
      <c r="D249" s="35"/>
    </row>
    <row r="250" spans="3:4" x14ac:dyDescent="0.25">
      <c r="C250" s="37"/>
      <c r="D250" s="35"/>
    </row>
    <row r="251" spans="3:4" x14ac:dyDescent="0.25">
      <c r="C251" s="37"/>
      <c r="D251" s="35"/>
    </row>
    <row r="252" spans="3:4" x14ac:dyDescent="0.25">
      <c r="C252" s="37"/>
      <c r="D252" s="35"/>
    </row>
    <row r="253" spans="3:4" x14ac:dyDescent="0.25">
      <c r="C253" s="37"/>
      <c r="D253" s="35"/>
    </row>
    <row r="254" spans="3:4" x14ac:dyDescent="0.25">
      <c r="C254" s="37"/>
      <c r="D254" s="35"/>
    </row>
    <row r="255" spans="3:4" x14ac:dyDescent="0.25">
      <c r="C255" s="37"/>
      <c r="D255" s="35"/>
    </row>
    <row r="256" spans="3:4" x14ac:dyDescent="0.25">
      <c r="C256" s="37"/>
      <c r="D256" s="35"/>
    </row>
    <row r="257" spans="3:4" x14ac:dyDescent="0.25">
      <c r="C257" s="37"/>
      <c r="D257" s="35"/>
    </row>
    <row r="258" spans="3:4" x14ac:dyDescent="0.25">
      <c r="C258" s="37"/>
      <c r="D258" s="35"/>
    </row>
    <row r="259" spans="3:4" x14ac:dyDescent="0.25">
      <c r="C259" s="37"/>
      <c r="D259" s="35"/>
    </row>
    <row r="260" spans="3:4" x14ac:dyDescent="0.25">
      <c r="C260" s="37"/>
      <c r="D260" s="35"/>
    </row>
    <row r="261" spans="3:4" x14ac:dyDescent="0.25">
      <c r="C261" s="37"/>
      <c r="D261" s="35"/>
    </row>
    <row r="262" spans="3:4" x14ac:dyDescent="0.25">
      <c r="C262" s="37"/>
      <c r="D262" s="35"/>
    </row>
    <row r="263" spans="3:4" x14ac:dyDescent="0.25">
      <c r="C263" s="37"/>
      <c r="D263" s="35"/>
    </row>
    <row r="264" spans="3:4" x14ac:dyDescent="0.25">
      <c r="C264" s="37"/>
      <c r="D264" s="35"/>
    </row>
    <row r="265" spans="3:4" x14ac:dyDescent="0.25">
      <c r="C265" s="37"/>
      <c r="D265" s="35"/>
    </row>
    <row r="266" spans="3:4" x14ac:dyDescent="0.25">
      <c r="C266" s="37"/>
      <c r="D266" s="35"/>
    </row>
    <row r="267" spans="3:4" x14ac:dyDescent="0.25">
      <c r="C267" s="37"/>
      <c r="D267" s="35"/>
    </row>
    <row r="268" spans="3:4" x14ac:dyDescent="0.25">
      <c r="C268" s="37"/>
      <c r="D268" s="35"/>
    </row>
    <row r="269" spans="3:4" x14ac:dyDescent="0.25">
      <c r="C269" s="37"/>
      <c r="D269" s="35"/>
    </row>
    <row r="270" spans="3:4" x14ac:dyDescent="0.25">
      <c r="C270" s="37"/>
      <c r="D270" s="35"/>
    </row>
    <row r="271" spans="3:4" x14ac:dyDescent="0.25">
      <c r="C271" s="37"/>
      <c r="D271" s="35"/>
    </row>
    <row r="272" spans="3:4" x14ac:dyDescent="0.25">
      <c r="C272" s="37"/>
      <c r="D272" s="35"/>
    </row>
    <row r="273" spans="3:4" x14ac:dyDescent="0.25">
      <c r="C273" s="37"/>
      <c r="D273" s="35"/>
    </row>
    <row r="274" spans="3:4" x14ac:dyDescent="0.25">
      <c r="C274" s="37"/>
      <c r="D274" s="35"/>
    </row>
    <row r="275" spans="3:4" x14ac:dyDescent="0.25">
      <c r="C275" s="37"/>
      <c r="D275" s="35"/>
    </row>
    <row r="276" spans="3:4" x14ac:dyDescent="0.25">
      <c r="C276" s="37"/>
      <c r="D276" s="35"/>
    </row>
    <row r="277" spans="3:4" x14ac:dyDescent="0.25">
      <c r="C277" s="37"/>
      <c r="D277" s="35"/>
    </row>
    <row r="278" spans="3:4" x14ac:dyDescent="0.25">
      <c r="C278" s="37"/>
      <c r="D278" s="35"/>
    </row>
    <row r="279" spans="3:4" x14ac:dyDescent="0.25">
      <c r="C279" s="37"/>
      <c r="D279" s="35"/>
    </row>
    <row r="280" spans="3:4" x14ac:dyDescent="0.25">
      <c r="C280" s="37"/>
      <c r="D280" s="35"/>
    </row>
    <row r="281" spans="3:4" x14ac:dyDescent="0.25">
      <c r="C281" s="37"/>
      <c r="D281" s="35"/>
    </row>
    <row r="282" spans="3:4" x14ac:dyDescent="0.25">
      <c r="C282" s="37"/>
      <c r="D282" s="35"/>
    </row>
    <row r="283" spans="3:4" x14ac:dyDescent="0.25">
      <c r="C283" s="37"/>
      <c r="D283" s="35"/>
    </row>
    <row r="284" spans="3:4" x14ac:dyDescent="0.25">
      <c r="C284" s="37"/>
      <c r="D284" s="35"/>
    </row>
    <row r="285" spans="3:4" x14ac:dyDescent="0.25">
      <c r="C285" s="37"/>
      <c r="D285" s="35"/>
    </row>
    <row r="286" spans="3:4" x14ac:dyDescent="0.25">
      <c r="C286" s="37"/>
      <c r="D286" s="35"/>
    </row>
    <row r="287" spans="3:4" x14ac:dyDescent="0.25">
      <c r="C287" s="37"/>
      <c r="D287" s="35"/>
    </row>
    <row r="288" spans="3:4" x14ac:dyDescent="0.25">
      <c r="C288" s="37"/>
      <c r="D288" s="35"/>
    </row>
    <row r="289" spans="3:4" x14ac:dyDescent="0.25">
      <c r="C289" s="37"/>
      <c r="D289" s="35"/>
    </row>
    <row r="290" spans="3:4" x14ac:dyDescent="0.25">
      <c r="C290" s="37"/>
      <c r="D290" s="35"/>
    </row>
    <row r="291" spans="3:4" x14ac:dyDescent="0.25">
      <c r="C291" s="37"/>
      <c r="D291" s="35"/>
    </row>
    <row r="292" spans="3:4" x14ac:dyDescent="0.25">
      <c r="C292" s="37"/>
      <c r="D292" s="35"/>
    </row>
    <row r="293" spans="3:4" x14ac:dyDescent="0.25">
      <c r="C293" s="37"/>
      <c r="D293" s="35"/>
    </row>
    <row r="294" spans="3:4" x14ac:dyDescent="0.25">
      <c r="C294" s="37"/>
      <c r="D294" s="35"/>
    </row>
    <row r="295" spans="3:4" x14ac:dyDescent="0.25">
      <c r="C295" s="37"/>
      <c r="D295" s="35"/>
    </row>
    <row r="296" spans="3:4" x14ac:dyDescent="0.25">
      <c r="C296" s="37"/>
      <c r="D296" s="35"/>
    </row>
    <row r="297" spans="3:4" x14ac:dyDescent="0.25">
      <c r="C297" s="37"/>
      <c r="D297" s="35"/>
    </row>
    <row r="298" spans="3:4" x14ac:dyDescent="0.25">
      <c r="C298" s="37"/>
      <c r="D298" s="35"/>
    </row>
    <row r="299" spans="3:4" x14ac:dyDescent="0.25">
      <c r="C299" s="37"/>
      <c r="D299" s="35"/>
    </row>
    <row r="300" spans="3:4" x14ac:dyDescent="0.25">
      <c r="C300" s="37"/>
      <c r="D300" s="35"/>
    </row>
    <row r="301" spans="3:4" x14ac:dyDescent="0.25">
      <c r="C301" s="37"/>
      <c r="D301" s="35"/>
    </row>
    <row r="302" spans="3:4" x14ac:dyDescent="0.25">
      <c r="C302" s="37"/>
      <c r="D302" s="35"/>
    </row>
    <row r="303" spans="3:4" x14ac:dyDescent="0.25">
      <c r="C303" s="37"/>
      <c r="D303" s="35"/>
    </row>
    <row r="304" spans="3:4" x14ac:dyDescent="0.25">
      <c r="C304" s="37"/>
      <c r="D304" s="35"/>
    </row>
    <row r="305" spans="3:6" x14ac:dyDescent="0.25">
      <c r="C305" s="37"/>
      <c r="D305" s="35"/>
    </row>
    <row r="306" spans="3:6" x14ac:dyDescent="0.25">
      <c r="C306" s="37"/>
      <c r="D306" s="35"/>
    </row>
    <row r="307" spans="3:6" x14ac:dyDescent="0.25">
      <c r="C307" s="37"/>
      <c r="D307" s="35"/>
    </row>
    <row r="308" spans="3:6" x14ac:dyDescent="0.25">
      <c r="C308" s="37"/>
      <c r="D308" s="35"/>
    </row>
    <row r="309" spans="3:6" x14ac:dyDescent="0.25">
      <c r="C309" s="37"/>
      <c r="D309" s="35"/>
    </row>
    <row r="310" spans="3:6" x14ac:dyDescent="0.25">
      <c r="C310" s="37"/>
      <c r="D310" s="35"/>
    </row>
    <row r="311" spans="3:6" x14ac:dyDescent="0.25">
      <c r="C311" s="37"/>
      <c r="D311" s="35"/>
      <c r="F311" s="36"/>
    </row>
    <row r="312" spans="3:6" x14ac:dyDescent="0.25">
      <c r="C312" s="37"/>
      <c r="D312" s="35"/>
    </row>
    <row r="313" spans="3:6" x14ac:dyDescent="0.25">
      <c r="C313" s="37"/>
      <c r="D313" s="35"/>
    </row>
    <row r="314" spans="3:6" x14ac:dyDescent="0.25">
      <c r="C314" s="37"/>
      <c r="D314" s="35"/>
    </row>
    <row r="315" spans="3:6" x14ac:dyDescent="0.25">
      <c r="C315" s="37"/>
      <c r="D315" s="35"/>
    </row>
    <row r="316" spans="3:6" x14ac:dyDescent="0.25">
      <c r="C316" s="37"/>
      <c r="D316" s="35"/>
    </row>
    <row r="317" spans="3:6" x14ac:dyDescent="0.25">
      <c r="C317" s="37"/>
      <c r="D317" s="35"/>
    </row>
    <row r="318" spans="3:6" x14ac:dyDescent="0.25">
      <c r="C318" s="37"/>
      <c r="D318" s="35"/>
    </row>
    <row r="319" spans="3:6" x14ac:dyDescent="0.25">
      <c r="C319" s="37"/>
      <c r="D319" s="35"/>
    </row>
    <row r="320" spans="3:6" x14ac:dyDescent="0.25">
      <c r="C320" s="37"/>
      <c r="D320" s="35"/>
    </row>
    <row r="321" spans="3:4" x14ac:dyDescent="0.25">
      <c r="C321" s="37"/>
      <c r="D321" s="35"/>
    </row>
    <row r="322" spans="3:4" x14ac:dyDescent="0.25">
      <c r="C322" s="37"/>
      <c r="D322" s="35"/>
    </row>
    <row r="323" spans="3:4" x14ac:dyDescent="0.25">
      <c r="C323" s="37"/>
      <c r="D323" s="35"/>
    </row>
    <row r="324" spans="3:4" x14ac:dyDescent="0.25">
      <c r="C324" s="37"/>
      <c r="D324" s="35"/>
    </row>
    <row r="325" spans="3:4" x14ac:dyDescent="0.25">
      <c r="C325" s="37"/>
      <c r="D325" s="35"/>
    </row>
    <row r="326" spans="3:4" x14ac:dyDescent="0.25">
      <c r="C326" s="37"/>
      <c r="D326" s="35"/>
    </row>
    <row r="327" spans="3:4" x14ac:dyDescent="0.25">
      <c r="C327" s="37"/>
      <c r="D327" s="35"/>
    </row>
    <row r="328" spans="3:4" x14ac:dyDescent="0.25">
      <c r="C328" s="37"/>
      <c r="D328" s="35"/>
    </row>
    <row r="329" spans="3:4" x14ac:dyDescent="0.25">
      <c r="C329" s="37"/>
      <c r="D329" s="35"/>
    </row>
    <row r="330" spans="3:4" x14ac:dyDescent="0.25">
      <c r="C330" s="37"/>
      <c r="D330" s="35"/>
    </row>
    <row r="331" spans="3:4" x14ac:dyDescent="0.25">
      <c r="C331" s="37"/>
      <c r="D331" s="35"/>
    </row>
    <row r="332" spans="3:4" x14ac:dyDescent="0.25">
      <c r="C332" s="37"/>
      <c r="D332" s="35"/>
    </row>
    <row r="333" spans="3:4" x14ac:dyDescent="0.25">
      <c r="C333" s="37"/>
      <c r="D333" s="35"/>
    </row>
    <row r="334" spans="3:4" x14ac:dyDescent="0.25">
      <c r="C334" s="37"/>
      <c r="D334" s="35"/>
    </row>
    <row r="335" spans="3:4" x14ac:dyDescent="0.25">
      <c r="C335" s="37"/>
      <c r="D335" s="35"/>
    </row>
    <row r="336" spans="3:4" x14ac:dyDescent="0.25">
      <c r="C336" s="37"/>
      <c r="D336" s="35"/>
    </row>
    <row r="337" spans="3:4" x14ac:dyDescent="0.25">
      <c r="C337" s="37"/>
      <c r="D337" s="35"/>
    </row>
    <row r="338" spans="3:4" x14ac:dyDescent="0.25">
      <c r="C338" s="37"/>
      <c r="D338" s="35"/>
    </row>
    <row r="339" spans="3:4" x14ac:dyDescent="0.25">
      <c r="C339" s="37"/>
      <c r="D339" s="35"/>
    </row>
    <row r="340" spans="3:4" x14ac:dyDescent="0.25">
      <c r="C340" s="37"/>
      <c r="D340" s="35"/>
    </row>
    <row r="341" spans="3:4" x14ac:dyDescent="0.25">
      <c r="C341" s="37"/>
      <c r="D341" s="35"/>
    </row>
    <row r="342" spans="3:4" x14ac:dyDescent="0.25">
      <c r="C342" s="37"/>
      <c r="D342" s="35"/>
    </row>
    <row r="343" spans="3:4" x14ac:dyDescent="0.25">
      <c r="C343" s="37"/>
      <c r="D343" s="35"/>
    </row>
    <row r="344" spans="3:4" x14ac:dyDescent="0.25">
      <c r="C344" s="37"/>
      <c r="D344" s="35"/>
    </row>
    <row r="345" spans="3:4" x14ac:dyDescent="0.25">
      <c r="C345" s="37"/>
      <c r="D345" s="35"/>
    </row>
    <row r="346" spans="3:4" x14ac:dyDescent="0.25">
      <c r="C346" s="37"/>
      <c r="D346" s="35"/>
    </row>
    <row r="347" spans="3:4" x14ac:dyDescent="0.25">
      <c r="C347" s="37"/>
      <c r="D347" s="35"/>
    </row>
    <row r="348" spans="3:4" x14ac:dyDescent="0.25">
      <c r="C348" s="37"/>
      <c r="D348" s="35"/>
    </row>
    <row r="349" spans="3:4" x14ac:dyDescent="0.25">
      <c r="C349" s="37"/>
      <c r="D349" s="35"/>
    </row>
    <row r="350" spans="3:4" x14ac:dyDescent="0.25">
      <c r="C350" s="37"/>
      <c r="D350" s="35"/>
    </row>
    <row r="351" spans="3:4" x14ac:dyDescent="0.25">
      <c r="C351" s="37"/>
      <c r="D351" s="35"/>
    </row>
    <row r="352" spans="3:4" x14ac:dyDescent="0.25">
      <c r="C352" s="37"/>
      <c r="D352" s="35"/>
    </row>
    <row r="353" spans="3:4" x14ac:dyDescent="0.25">
      <c r="C353" s="37"/>
      <c r="D353" s="35"/>
    </row>
    <row r="354" spans="3:4" x14ac:dyDescent="0.25">
      <c r="C354" s="37"/>
      <c r="D354" s="35"/>
    </row>
    <row r="355" spans="3:4" x14ac:dyDescent="0.25">
      <c r="C355" s="37"/>
      <c r="D355" s="35"/>
    </row>
    <row r="356" spans="3:4" x14ac:dyDescent="0.25">
      <c r="C356" s="37"/>
      <c r="D356" s="35"/>
    </row>
    <row r="357" spans="3:4" x14ac:dyDescent="0.25">
      <c r="C357" s="37"/>
      <c r="D357" s="35"/>
    </row>
    <row r="358" spans="3:4" x14ac:dyDescent="0.25">
      <c r="C358" s="37"/>
      <c r="D358" s="35"/>
    </row>
    <row r="359" spans="3:4" x14ac:dyDescent="0.25">
      <c r="C359" s="37"/>
      <c r="D359" s="35"/>
    </row>
    <row r="360" spans="3:4" x14ac:dyDescent="0.25">
      <c r="C360" s="37"/>
      <c r="D360" s="35"/>
    </row>
    <row r="361" spans="3:4" x14ac:dyDescent="0.25">
      <c r="C361" s="37"/>
      <c r="D361" s="35"/>
    </row>
    <row r="362" spans="3:4" x14ac:dyDescent="0.25">
      <c r="C362" s="37"/>
      <c r="D362" s="35"/>
    </row>
    <row r="363" spans="3:4" x14ac:dyDescent="0.25">
      <c r="C363" s="37"/>
      <c r="D363" s="35"/>
    </row>
    <row r="364" spans="3:4" x14ac:dyDescent="0.25">
      <c r="C364" s="37"/>
      <c r="D364" s="35"/>
    </row>
    <row r="365" spans="3:4" x14ac:dyDescent="0.25">
      <c r="C365" s="37"/>
      <c r="D365" s="35"/>
    </row>
    <row r="366" spans="3:4" x14ac:dyDescent="0.25">
      <c r="C366" s="37"/>
      <c r="D366" s="35"/>
    </row>
    <row r="367" spans="3:4" x14ac:dyDescent="0.25">
      <c r="C367" s="37"/>
      <c r="D367" s="35"/>
    </row>
    <row r="368" spans="3:4" x14ac:dyDescent="0.25">
      <c r="C368" s="37"/>
      <c r="D368" s="35"/>
    </row>
    <row r="369" spans="3:4" x14ac:dyDescent="0.25">
      <c r="C369" s="37"/>
      <c r="D369" s="35"/>
    </row>
    <row r="370" spans="3:4" x14ac:dyDescent="0.25">
      <c r="C370" s="37"/>
      <c r="D370" s="35"/>
    </row>
    <row r="371" spans="3:4" x14ac:dyDescent="0.25">
      <c r="C371" s="37"/>
      <c r="D371" s="35"/>
    </row>
    <row r="372" spans="3:4" x14ac:dyDescent="0.25">
      <c r="C372" s="37"/>
      <c r="D372" s="35"/>
    </row>
    <row r="373" spans="3:4" x14ac:dyDescent="0.25">
      <c r="C373" s="37"/>
      <c r="D373" s="35"/>
    </row>
    <row r="374" spans="3:4" x14ac:dyDescent="0.25">
      <c r="C374" s="37"/>
      <c r="D374" s="35"/>
    </row>
    <row r="375" spans="3:4" x14ac:dyDescent="0.25">
      <c r="C375" s="37"/>
      <c r="D375" s="35"/>
    </row>
    <row r="376" spans="3:4" x14ac:dyDescent="0.25">
      <c r="C376" s="37"/>
      <c r="D376" s="35"/>
    </row>
    <row r="377" spans="3:4" x14ac:dyDescent="0.25">
      <c r="C377" s="37"/>
      <c r="D377" s="35"/>
    </row>
    <row r="378" spans="3:4" x14ac:dyDescent="0.25">
      <c r="C378" s="37"/>
      <c r="D378" s="35"/>
    </row>
    <row r="379" spans="3:4" x14ac:dyDescent="0.25">
      <c r="C379" s="37"/>
      <c r="D379" s="35"/>
    </row>
    <row r="380" spans="3:4" x14ac:dyDescent="0.25">
      <c r="C380" s="37"/>
      <c r="D380" s="35"/>
    </row>
    <row r="381" spans="3:4" x14ac:dyDescent="0.25">
      <c r="C381" s="37"/>
      <c r="D381" s="35"/>
    </row>
    <row r="382" spans="3:4" x14ac:dyDescent="0.25">
      <c r="C382" s="37"/>
      <c r="D382" s="35"/>
    </row>
    <row r="383" spans="3:4" x14ac:dyDescent="0.25">
      <c r="C383" s="37"/>
      <c r="D383" s="35"/>
    </row>
    <row r="384" spans="3:4" x14ac:dyDescent="0.25">
      <c r="C384" s="37"/>
      <c r="D384" s="35"/>
    </row>
    <row r="385" spans="3:4" x14ac:dyDescent="0.25">
      <c r="C385" s="37"/>
      <c r="D385" s="35"/>
    </row>
    <row r="386" spans="3:4" x14ac:dyDescent="0.25">
      <c r="C386" s="37"/>
      <c r="D386" s="35"/>
    </row>
    <row r="387" spans="3:4" x14ac:dyDescent="0.25">
      <c r="C387" s="37"/>
      <c r="D387" s="35"/>
    </row>
    <row r="388" spans="3:4" x14ac:dyDescent="0.25">
      <c r="C388" s="37"/>
      <c r="D388" s="35"/>
    </row>
    <row r="389" spans="3:4" x14ac:dyDescent="0.25">
      <c r="C389" s="37"/>
      <c r="D389" s="35"/>
    </row>
    <row r="390" spans="3:4" x14ac:dyDescent="0.25">
      <c r="C390" s="37"/>
      <c r="D390" s="35"/>
    </row>
    <row r="391" spans="3:4" x14ac:dyDescent="0.25">
      <c r="C391" s="37"/>
      <c r="D391" s="35"/>
    </row>
    <row r="392" spans="3:4" x14ac:dyDescent="0.25">
      <c r="C392" s="37"/>
      <c r="D392" s="35"/>
    </row>
    <row r="393" spans="3:4" x14ac:dyDescent="0.25">
      <c r="C393" s="37"/>
      <c r="D393" s="35"/>
    </row>
    <row r="394" spans="3:4" x14ac:dyDescent="0.25">
      <c r="C394" s="37"/>
      <c r="D394" s="35"/>
    </row>
    <row r="395" spans="3:4" x14ac:dyDescent="0.25">
      <c r="C395" s="37"/>
      <c r="D395" s="35"/>
    </row>
    <row r="396" spans="3:4" x14ac:dyDescent="0.25">
      <c r="C396" s="37"/>
      <c r="D396" s="35"/>
    </row>
    <row r="397" spans="3:4" x14ac:dyDescent="0.25">
      <c r="C397" s="37"/>
      <c r="D397" s="35"/>
    </row>
    <row r="398" spans="3:4" x14ac:dyDescent="0.25">
      <c r="C398" s="37"/>
      <c r="D398" s="35"/>
    </row>
    <row r="399" spans="3:4" x14ac:dyDescent="0.25">
      <c r="C399" s="37"/>
      <c r="D399" s="35"/>
    </row>
    <row r="400" spans="3:4" x14ac:dyDescent="0.25">
      <c r="C400" s="37"/>
      <c r="D400" s="35"/>
    </row>
    <row r="401" spans="3:4" x14ac:dyDescent="0.25">
      <c r="C401" s="37"/>
      <c r="D401" s="35"/>
    </row>
    <row r="402" spans="3:4" x14ac:dyDescent="0.25">
      <c r="C402" s="37"/>
      <c r="D402" s="35"/>
    </row>
    <row r="403" spans="3:4" x14ac:dyDescent="0.25">
      <c r="C403" s="37"/>
      <c r="D403" s="35"/>
    </row>
    <row r="404" spans="3:4" x14ac:dyDescent="0.25">
      <c r="C404" s="37"/>
      <c r="D404" s="35"/>
    </row>
    <row r="405" spans="3:4" x14ac:dyDescent="0.25">
      <c r="C405" s="37"/>
      <c r="D405" s="35"/>
    </row>
    <row r="406" spans="3:4" x14ac:dyDescent="0.25">
      <c r="C406" s="37"/>
      <c r="D406" s="35"/>
    </row>
    <row r="407" spans="3:4" x14ac:dyDescent="0.25">
      <c r="C407" s="37"/>
      <c r="D407" s="35"/>
    </row>
    <row r="408" spans="3:4" x14ac:dyDescent="0.25">
      <c r="C408" s="37"/>
      <c r="D408" s="35"/>
    </row>
    <row r="409" spans="3:4" x14ac:dyDescent="0.25">
      <c r="C409" s="37"/>
      <c r="D409" s="35"/>
    </row>
    <row r="410" spans="3:4" x14ac:dyDescent="0.25">
      <c r="C410" s="37"/>
      <c r="D410" s="35"/>
    </row>
    <row r="411" spans="3:4" x14ac:dyDescent="0.25">
      <c r="C411" s="37"/>
      <c r="D411" s="35"/>
    </row>
    <row r="412" spans="3:4" x14ac:dyDescent="0.25">
      <c r="C412" s="37"/>
      <c r="D412" s="35"/>
    </row>
    <row r="413" spans="3:4" x14ac:dyDescent="0.25">
      <c r="C413" s="37"/>
      <c r="D413" s="35"/>
    </row>
    <row r="414" spans="3:4" x14ac:dyDescent="0.25">
      <c r="C414" s="37"/>
      <c r="D414" s="35"/>
    </row>
    <row r="415" spans="3:4" x14ac:dyDescent="0.25">
      <c r="C415" s="37"/>
      <c r="D415" s="35"/>
    </row>
    <row r="416" spans="3:4" x14ac:dyDescent="0.25">
      <c r="C416" s="37"/>
      <c r="D416" s="35"/>
    </row>
    <row r="417" spans="3:4" x14ac:dyDescent="0.25">
      <c r="C417" s="37"/>
      <c r="D417" s="35"/>
    </row>
    <row r="418" spans="3:4" x14ac:dyDescent="0.25">
      <c r="C418" s="37"/>
      <c r="D418" s="35"/>
    </row>
    <row r="419" spans="3:4" x14ac:dyDescent="0.25">
      <c r="C419" s="37"/>
      <c r="D419" s="35"/>
    </row>
    <row r="420" spans="3:4" x14ac:dyDescent="0.25">
      <c r="C420" s="37"/>
      <c r="D420" s="35"/>
    </row>
    <row r="421" spans="3:4" x14ac:dyDescent="0.25">
      <c r="C421" s="37"/>
      <c r="D421" s="35"/>
    </row>
    <row r="422" spans="3:4" x14ac:dyDescent="0.25">
      <c r="C422" s="37"/>
      <c r="D422" s="35"/>
    </row>
    <row r="423" spans="3:4" x14ac:dyDescent="0.25">
      <c r="C423" s="37"/>
      <c r="D423" s="35"/>
    </row>
    <row r="424" spans="3:4" x14ac:dyDescent="0.25">
      <c r="C424" s="37"/>
      <c r="D424" s="35"/>
    </row>
    <row r="425" spans="3:4" x14ac:dyDescent="0.25">
      <c r="C425" s="37"/>
      <c r="D425" s="35"/>
    </row>
    <row r="426" spans="3:4" x14ac:dyDescent="0.25">
      <c r="C426" s="37"/>
      <c r="D426" s="35"/>
    </row>
    <row r="427" spans="3:4" x14ac:dyDescent="0.25">
      <c r="C427" s="37"/>
      <c r="D427" s="35"/>
    </row>
    <row r="428" spans="3:4" x14ac:dyDescent="0.25">
      <c r="C428" s="37"/>
      <c r="D428" s="35"/>
    </row>
    <row r="429" spans="3:4" x14ac:dyDescent="0.25">
      <c r="C429" s="37"/>
      <c r="D429" s="35"/>
    </row>
    <row r="430" spans="3:4" x14ac:dyDescent="0.25">
      <c r="C430" s="37"/>
      <c r="D430" s="35"/>
    </row>
    <row r="431" spans="3:4" x14ac:dyDescent="0.25">
      <c r="C431" s="37"/>
      <c r="D431" s="35"/>
    </row>
    <row r="432" spans="3:4" x14ac:dyDescent="0.25">
      <c r="C432" s="37"/>
      <c r="D432" s="35"/>
    </row>
    <row r="433" spans="3:4" x14ac:dyDescent="0.25">
      <c r="C433" s="37"/>
      <c r="D433" s="35"/>
    </row>
    <row r="434" spans="3:4" x14ac:dyDescent="0.25">
      <c r="C434" s="37"/>
      <c r="D434" s="35"/>
    </row>
    <row r="435" spans="3:4" x14ac:dyDescent="0.25">
      <c r="C435" s="37"/>
      <c r="D435" s="35"/>
    </row>
    <row r="436" spans="3:4" x14ac:dyDescent="0.25">
      <c r="C436" s="37"/>
      <c r="D436" s="35"/>
    </row>
    <row r="437" spans="3:4" x14ac:dyDescent="0.25">
      <c r="C437" s="37"/>
      <c r="D437" s="35"/>
    </row>
    <row r="438" spans="3:4" x14ac:dyDescent="0.25">
      <c r="C438" s="37"/>
      <c r="D438" s="35"/>
    </row>
    <row r="439" spans="3:4" x14ac:dyDescent="0.25">
      <c r="C439" s="37"/>
      <c r="D439" s="35"/>
    </row>
    <row r="440" spans="3:4" x14ac:dyDescent="0.25">
      <c r="C440" s="37"/>
      <c r="D440" s="35"/>
    </row>
    <row r="441" spans="3:4" x14ac:dyDescent="0.25">
      <c r="C441" s="37"/>
      <c r="D441" s="35"/>
    </row>
    <row r="442" spans="3:4" x14ac:dyDescent="0.25">
      <c r="C442" s="37"/>
      <c r="D442" s="35"/>
    </row>
    <row r="443" spans="3:4" x14ac:dyDescent="0.25">
      <c r="C443" s="37"/>
      <c r="D443" s="35"/>
    </row>
    <row r="444" spans="3:4" x14ac:dyDescent="0.25">
      <c r="C444" s="37"/>
      <c r="D444" s="35"/>
    </row>
    <row r="445" spans="3:4" x14ac:dyDescent="0.25">
      <c r="C445" s="37"/>
      <c r="D445" s="35"/>
    </row>
    <row r="446" spans="3:4" x14ac:dyDescent="0.25">
      <c r="C446" s="37"/>
      <c r="D446" s="35"/>
    </row>
    <row r="447" spans="3:4" x14ac:dyDescent="0.25">
      <c r="C447" s="37"/>
      <c r="D447" s="35"/>
    </row>
    <row r="448" spans="3:4" x14ac:dyDescent="0.25">
      <c r="C448" s="37"/>
      <c r="D448" s="35"/>
    </row>
    <row r="449" spans="3:4" x14ac:dyDescent="0.25">
      <c r="C449" s="37"/>
      <c r="D449" s="35"/>
    </row>
    <row r="450" spans="3:4" x14ac:dyDescent="0.25">
      <c r="C450" s="37"/>
      <c r="D450" s="35"/>
    </row>
    <row r="451" spans="3:4" x14ac:dyDescent="0.25">
      <c r="C451" s="37"/>
      <c r="D451" s="35"/>
    </row>
    <row r="452" spans="3:4" x14ac:dyDescent="0.25">
      <c r="C452" s="37"/>
      <c r="D452" s="35"/>
    </row>
    <row r="453" spans="3:4" x14ac:dyDescent="0.25">
      <c r="C453" s="37"/>
      <c r="D453" s="35"/>
    </row>
    <row r="454" spans="3:4" x14ac:dyDescent="0.25">
      <c r="C454" s="37"/>
      <c r="D454" s="35"/>
    </row>
    <row r="455" spans="3:4" x14ac:dyDescent="0.25">
      <c r="C455" s="37"/>
      <c r="D455" s="35"/>
    </row>
    <row r="456" spans="3:4" x14ac:dyDescent="0.25">
      <c r="C456" s="37"/>
      <c r="D456" s="35"/>
    </row>
    <row r="457" spans="3:4" x14ac:dyDescent="0.25">
      <c r="C457" s="37"/>
      <c r="D457" s="35"/>
    </row>
    <row r="458" spans="3:4" x14ac:dyDescent="0.25">
      <c r="C458" s="37"/>
      <c r="D458" s="35"/>
    </row>
    <row r="459" spans="3:4" x14ac:dyDescent="0.25">
      <c r="C459" s="37"/>
      <c r="D459" s="35"/>
    </row>
    <row r="460" spans="3:4" x14ac:dyDescent="0.25">
      <c r="C460" s="37"/>
      <c r="D460" s="35"/>
    </row>
    <row r="461" spans="3:4" x14ac:dyDescent="0.25">
      <c r="C461" s="37"/>
      <c r="D461" s="35"/>
    </row>
    <row r="462" spans="3:4" x14ac:dyDescent="0.25">
      <c r="C462" s="37"/>
      <c r="D462" s="35"/>
    </row>
    <row r="463" spans="3:4" x14ac:dyDescent="0.25">
      <c r="C463" s="37"/>
      <c r="D463" s="35"/>
    </row>
    <row r="464" spans="3:4" x14ac:dyDescent="0.25">
      <c r="C464" s="37"/>
      <c r="D464" s="35"/>
    </row>
    <row r="465" spans="3:4" x14ac:dyDescent="0.25">
      <c r="C465" s="37"/>
      <c r="D465" s="35"/>
    </row>
    <row r="466" spans="3:4" x14ac:dyDescent="0.25">
      <c r="C466" s="37"/>
      <c r="D466" s="35"/>
    </row>
    <row r="467" spans="3:4" x14ac:dyDescent="0.25">
      <c r="C467" s="37"/>
      <c r="D467" s="35"/>
    </row>
    <row r="468" spans="3:4" x14ac:dyDescent="0.25">
      <c r="C468" s="37"/>
      <c r="D468" s="35"/>
    </row>
    <row r="469" spans="3:4" x14ac:dyDescent="0.25">
      <c r="C469" s="37"/>
      <c r="D469" s="35"/>
    </row>
    <row r="470" spans="3:4" x14ac:dyDescent="0.25">
      <c r="C470" s="37"/>
      <c r="D470" s="35"/>
    </row>
    <row r="471" spans="3:4" x14ac:dyDescent="0.25">
      <c r="C471" s="37"/>
      <c r="D471" s="35"/>
    </row>
    <row r="472" spans="3:4" x14ac:dyDescent="0.25">
      <c r="C472" s="37"/>
      <c r="D472" s="35"/>
    </row>
    <row r="473" spans="3:4" x14ac:dyDescent="0.25">
      <c r="C473" s="37"/>
      <c r="D473" s="35"/>
    </row>
    <row r="474" spans="3:4" x14ac:dyDescent="0.25">
      <c r="C474" s="37"/>
      <c r="D474" s="35"/>
    </row>
    <row r="475" spans="3:4" x14ac:dyDescent="0.25">
      <c r="C475" s="37"/>
      <c r="D475" s="35"/>
    </row>
    <row r="476" spans="3:4" x14ac:dyDescent="0.25">
      <c r="C476" s="37"/>
      <c r="D476" s="35"/>
    </row>
    <row r="477" spans="3:4" x14ac:dyDescent="0.25">
      <c r="C477" s="37"/>
      <c r="D477" s="35"/>
    </row>
    <row r="478" spans="3:4" x14ac:dyDescent="0.25">
      <c r="C478" s="37"/>
      <c r="D478" s="35"/>
    </row>
    <row r="479" spans="3:4" x14ac:dyDescent="0.25">
      <c r="C479" s="37"/>
      <c r="D479" s="35"/>
    </row>
    <row r="480" spans="3:4" x14ac:dyDescent="0.25">
      <c r="C480" s="37"/>
      <c r="D480" s="35"/>
    </row>
    <row r="481" spans="3:4" x14ac:dyDescent="0.25">
      <c r="C481" s="37"/>
      <c r="D481" s="35"/>
    </row>
    <row r="482" spans="3:4" x14ac:dyDescent="0.25">
      <c r="C482" s="37"/>
      <c r="D482" s="35"/>
    </row>
    <row r="483" spans="3:4" x14ac:dyDescent="0.25">
      <c r="C483" s="37"/>
      <c r="D483" s="35"/>
    </row>
    <row r="484" spans="3:4" x14ac:dyDescent="0.25">
      <c r="C484" s="37"/>
      <c r="D484" s="35"/>
    </row>
    <row r="485" spans="3:4" x14ac:dyDescent="0.25">
      <c r="C485" s="37"/>
      <c r="D485" s="35"/>
    </row>
    <row r="486" spans="3:4" x14ac:dyDescent="0.25">
      <c r="C486" s="37"/>
      <c r="D486" s="35"/>
    </row>
    <row r="487" spans="3:4" x14ac:dyDescent="0.25">
      <c r="C487" s="37"/>
      <c r="D487" s="35"/>
    </row>
    <row r="488" spans="3:4" x14ac:dyDescent="0.25">
      <c r="C488" s="37"/>
      <c r="D488" s="35"/>
    </row>
    <row r="489" spans="3:4" x14ac:dyDescent="0.25">
      <c r="C489" s="37"/>
      <c r="D489" s="35"/>
    </row>
    <row r="490" spans="3:4" x14ac:dyDescent="0.25">
      <c r="C490" s="37"/>
      <c r="D490" s="35"/>
    </row>
    <row r="491" spans="3:4" x14ac:dyDescent="0.25">
      <c r="C491" s="37"/>
      <c r="D491" s="35"/>
    </row>
    <row r="492" spans="3:4" x14ac:dyDescent="0.25">
      <c r="C492" s="37"/>
      <c r="D492" s="35"/>
    </row>
    <row r="493" spans="3:4" x14ac:dyDescent="0.25">
      <c r="C493" s="37"/>
      <c r="D493" s="35"/>
    </row>
    <row r="494" spans="3:4" x14ac:dyDescent="0.25">
      <c r="C494" s="37"/>
      <c r="D494" s="35"/>
    </row>
    <row r="495" spans="3:4" x14ac:dyDescent="0.25">
      <c r="C495" s="37"/>
      <c r="D495" s="35"/>
    </row>
    <row r="496" spans="3:4" x14ac:dyDescent="0.25">
      <c r="C496" s="37"/>
      <c r="D496" s="35"/>
    </row>
    <row r="497" spans="3:4" x14ac:dyDescent="0.25">
      <c r="C497" s="37"/>
      <c r="D497" s="35"/>
    </row>
    <row r="498" spans="3:4" x14ac:dyDescent="0.25">
      <c r="C498" s="37"/>
      <c r="D498" s="35"/>
    </row>
    <row r="499" spans="3:4" x14ac:dyDescent="0.25">
      <c r="C499" s="37"/>
      <c r="D499" s="35"/>
    </row>
    <row r="500" spans="3:4" x14ac:dyDescent="0.25">
      <c r="C500" s="37"/>
      <c r="D500" s="35"/>
    </row>
    <row r="501" spans="3:4" x14ac:dyDescent="0.25">
      <c r="C501" s="37"/>
      <c r="D501" s="35"/>
    </row>
    <row r="502" spans="3:4" x14ac:dyDescent="0.25">
      <c r="C502" s="37"/>
      <c r="D502" s="35"/>
    </row>
    <row r="503" spans="3:4" x14ac:dyDescent="0.25">
      <c r="C503" s="37"/>
      <c r="D503" s="35"/>
    </row>
    <row r="504" spans="3:4" x14ac:dyDescent="0.25">
      <c r="C504" s="37"/>
      <c r="D504" s="35"/>
    </row>
    <row r="505" spans="3:4" x14ac:dyDescent="0.25">
      <c r="C505" s="37"/>
      <c r="D505" s="35"/>
    </row>
    <row r="506" spans="3:4" x14ac:dyDescent="0.25">
      <c r="C506" s="37"/>
      <c r="D506" s="35"/>
    </row>
    <row r="507" spans="3:4" x14ac:dyDescent="0.25">
      <c r="C507" s="37"/>
      <c r="D507" s="35"/>
    </row>
    <row r="508" spans="3:4" x14ac:dyDescent="0.25">
      <c r="C508" s="37"/>
      <c r="D508" s="35"/>
    </row>
    <row r="509" spans="3:4" x14ac:dyDescent="0.25">
      <c r="C509" s="37"/>
      <c r="D509" s="35"/>
    </row>
    <row r="510" spans="3:4" x14ac:dyDescent="0.25">
      <c r="C510" s="37"/>
      <c r="D510" s="35"/>
    </row>
    <row r="511" spans="3:4" x14ac:dyDescent="0.25">
      <c r="C511" s="37"/>
      <c r="D511" s="35"/>
    </row>
    <row r="512" spans="3:4" x14ac:dyDescent="0.25">
      <c r="C512" s="37"/>
      <c r="D512" s="35"/>
    </row>
    <row r="513" spans="3:4" x14ac:dyDescent="0.25">
      <c r="C513" s="37"/>
      <c r="D513" s="35"/>
    </row>
    <row r="514" spans="3:4" x14ac:dyDescent="0.25">
      <c r="C514" s="37"/>
      <c r="D514" s="35"/>
    </row>
    <row r="515" spans="3:4" x14ac:dyDescent="0.25">
      <c r="C515" s="37"/>
      <c r="D515" s="35"/>
    </row>
    <row r="516" spans="3:4" x14ac:dyDescent="0.25">
      <c r="C516" s="37"/>
      <c r="D516" s="35"/>
    </row>
    <row r="517" spans="3:4" x14ac:dyDescent="0.25">
      <c r="C517" s="37"/>
      <c r="D517" s="35"/>
    </row>
    <row r="518" spans="3:4" x14ac:dyDescent="0.25">
      <c r="C518" s="37"/>
      <c r="D518" s="35"/>
    </row>
    <row r="519" spans="3:4" x14ac:dyDescent="0.25">
      <c r="C519" s="37"/>
      <c r="D519" s="35"/>
    </row>
    <row r="520" spans="3:4" x14ac:dyDescent="0.25">
      <c r="C520" s="37"/>
      <c r="D520" s="35"/>
    </row>
    <row r="521" spans="3:4" x14ac:dyDescent="0.25">
      <c r="C521" s="37"/>
      <c r="D521" s="35"/>
    </row>
    <row r="522" spans="3:4" x14ac:dyDescent="0.25">
      <c r="C522" s="37"/>
      <c r="D522" s="35"/>
    </row>
    <row r="523" spans="3:4" x14ac:dyDescent="0.25">
      <c r="C523" s="37"/>
      <c r="D523" s="35"/>
    </row>
    <row r="524" spans="3:4" x14ac:dyDescent="0.25">
      <c r="C524" s="37"/>
      <c r="D524" s="35"/>
    </row>
    <row r="525" spans="3:4" x14ac:dyDescent="0.25">
      <c r="C525" s="37"/>
      <c r="D525" s="35"/>
    </row>
    <row r="526" spans="3:4" x14ac:dyDescent="0.25">
      <c r="C526" s="37"/>
      <c r="D526" s="35"/>
    </row>
    <row r="527" spans="3:4" x14ac:dyDescent="0.25">
      <c r="C527" s="37"/>
      <c r="D527" s="35"/>
    </row>
    <row r="528" spans="3:4" x14ac:dyDescent="0.25">
      <c r="C528" s="37"/>
      <c r="D528" s="35"/>
    </row>
    <row r="529" spans="3:4" x14ac:dyDescent="0.25">
      <c r="C529" s="37"/>
      <c r="D529" s="35"/>
    </row>
    <row r="530" spans="3:4" x14ac:dyDescent="0.25">
      <c r="C530" s="37"/>
      <c r="D530" s="35"/>
    </row>
    <row r="531" spans="3:4" x14ac:dyDescent="0.25">
      <c r="C531" s="37"/>
      <c r="D531" s="35"/>
    </row>
    <row r="532" spans="3:4" x14ac:dyDescent="0.25">
      <c r="C532" s="37"/>
      <c r="D532" s="35"/>
    </row>
    <row r="533" spans="3:4" x14ac:dyDescent="0.25">
      <c r="C533" s="37"/>
      <c r="D533" s="35"/>
    </row>
    <row r="534" spans="3:4" x14ac:dyDescent="0.25">
      <c r="C534" s="37"/>
      <c r="D534" s="35"/>
    </row>
    <row r="535" spans="3:4" x14ac:dyDescent="0.25">
      <c r="C535" s="37"/>
      <c r="D535" s="35"/>
    </row>
    <row r="536" spans="3:4" x14ac:dyDescent="0.25">
      <c r="C536" s="37"/>
      <c r="D536" s="35"/>
    </row>
    <row r="537" spans="3:4" x14ac:dyDescent="0.25">
      <c r="C537" s="37"/>
      <c r="D537" s="35"/>
    </row>
    <row r="538" spans="3:4" x14ac:dyDescent="0.25">
      <c r="C538" s="37"/>
      <c r="D538" s="35"/>
    </row>
    <row r="539" spans="3:4" x14ac:dyDescent="0.25">
      <c r="C539" s="37"/>
      <c r="D539" s="35"/>
    </row>
    <row r="540" spans="3:4" x14ac:dyDescent="0.25">
      <c r="C540" s="37"/>
      <c r="D540" s="35"/>
    </row>
    <row r="541" spans="3:4" x14ac:dyDescent="0.25">
      <c r="C541" s="37"/>
      <c r="D541" s="35"/>
    </row>
    <row r="542" spans="3:4" x14ac:dyDescent="0.25">
      <c r="C542" s="37"/>
      <c r="D542" s="35"/>
    </row>
    <row r="543" spans="3:4" x14ac:dyDescent="0.25">
      <c r="C543" s="37"/>
      <c r="D543" s="35"/>
    </row>
    <row r="544" spans="3:4" x14ac:dyDescent="0.25">
      <c r="C544" s="37"/>
      <c r="D544" s="35"/>
    </row>
    <row r="545" spans="3:4" x14ac:dyDescent="0.25">
      <c r="C545" s="37"/>
      <c r="D545" s="35"/>
    </row>
    <row r="546" spans="3:4" x14ac:dyDescent="0.25">
      <c r="C546" s="37"/>
      <c r="D546" s="35"/>
    </row>
    <row r="547" spans="3:4" x14ac:dyDescent="0.25">
      <c r="C547" s="37"/>
      <c r="D547" s="35"/>
    </row>
    <row r="548" spans="3:4" x14ac:dyDescent="0.25">
      <c r="C548" s="37"/>
      <c r="D548" s="35"/>
    </row>
    <row r="549" spans="3:4" x14ac:dyDescent="0.25">
      <c r="C549" s="37"/>
      <c r="D549" s="35"/>
    </row>
    <row r="550" spans="3:4" x14ac:dyDescent="0.25">
      <c r="C550" s="37"/>
      <c r="D550" s="35"/>
    </row>
    <row r="551" spans="3:4" x14ac:dyDescent="0.25">
      <c r="C551" s="37"/>
      <c r="D551" s="35"/>
    </row>
    <row r="552" spans="3:4" x14ac:dyDescent="0.25">
      <c r="C552" s="37"/>
      <c r="D552" s="35"/>
    </row>
    <row r="553" spans="3:4" x14ac:dyDescent="0.25">
      <c r="C553" s="37"/>
      <c r="D553" s="35"/>
    </row>
    <row r="554" spans="3:4" x14ac:dyDescent="0.25">
      <c r="C554" s="37"/>
      <c r="D554" s="35"/>
    </row>
    <row r="555" spans="3:4" x14ac:dyDescent="0.25">
      <c r="C555" s="37"/>
      <c r="D555" s="35"/>
    </row>
    <row r="556" spans="3:4" x14ac:dyDescent="0.25">
      <c r="C556" s="37"/>
      <c r="D556" s="35"/>
    </row>
    <row r="557" spans="3:4" x14ac:dyDescent="0.25">
      <c r="C557" s="37"/>
      <c r="D557" s="35"/>
    </row>
    <row r="558" spans="3:4" x14ac:dyDescent="0.25">
      <c r="C558" s="37"/>
      <c r="D558" s="35"/>
    </row>
    <row r="559" spans="3:4" x14ac:dyDescent="0.25">
      <c r="C559" s="37"/>
      <c r="D559" s="35"/>
    </row>
    <row r="560" spans="3:4" x14ac:dyDescent="0.25">
      <c r="C560" s="37"/>
      <c r="D560" s="35"/>
    </row>
    <row r="561" spans="3:4" x14ac:dyDescent="0.25">
      <c r="C561" s="37"/>
      <c r="D561" s="35"/>
    </row>
    <row r="562" spans="3:4" x14ac:dyDescent="0.25">
      <c r="C562" s="37"/>
      <c r="D562" s="35"/>
    </row>
    <row r="563" spans="3:4" x14ac:dyDescent="0.25">
      <c r="C563" s="37"/>
      <c r="D563" s="35"/>
    </row>
    <row r="564" spans="3:4" x14ac:dyDescent="0.25">
      <c r="C564" s="37"/>
      <c r="D564" s="35"/>
    </row>
    <row r="565" spans="3:4" x14ac:dyDescent="0.25">
      <c r="C565" s="37"/>
      <c r="D565" s="35"/>
    </row>
    <row r="566" spans="3:4" x14ac:dyDescent="0.25">
      <c r="C566" s="37"/>
      <c r="D566" s="35"/>
    </row>
    <row r="567" spans="3:4" x14ac:dyDescent="0.25">
      <c r="C567" s="37"/>
      <c r="D567" s="35"/>
    </row>
    <row r="568" spans="3:4" x14ac:dyDescent="0.25">
      <c r="C568" s="37"/>
      <c r="D568" s="35"/>
    </row>
    <row r="569" spans="3:4" x14ac:dyDescent="0.25">
      <c r="C569" s="37"/>
      <c r="D569" s="35"/>
    </row>
    <row r="570" spans="3:4" x14ac:dyDescent="0.25">
      <c r="C570" s="37"/>
      <c r="D570" s="35"/>
    </row>
    <row r="571" spans="3:4" x14ac:dyDescent="0.25">
      <c r="C571" s="37"/>
      <c r="D571" s="35"/>
    </row>
    <row r="572" spans="3:4" x14ac:dyDescent="0.25">
      <c r="C572" s="37"/>
      <c r="D572" s="35"/>
    </row>
    <row r="573" spans="3:4" x14ac:dyDescent="0.25">
      <c r="C573" s="37"/>
      <c r="D573" s="35"/>
    </row>
    <row r="574" spans="3:4" x14ac:dyDescent="0.25">
      <c r="C574" s="37"/>
      <c r="D574" s="35"/>
    </row>
    <row r="575" spans="3:4" x14ac:dyDescent="0.25">
      <c r="C575" s="37"/>
      <c r="D575" s="35"/>
    </row>
    <row r="576" spans="3:4" x14ac:dyDescent="0.25">
      <c r="C576" s="37"/>
      <c r="D576" s="35"/>
    </row>
    <row r="577" spans="3:4" x14ac:dyDescent="0.25">
      <c r="C577" s="37"/>
      <c r="D577" s="35"/>
    </row>
    <row r="578" spans="3:4" x14ac:dyDescent="0.25">
      <c r="C578" s="37"/>
      <c r="D578" s="35"/>
    </row>
    <row r="579" spans="3:4" x14ac:dyDescent="0.25">
      <c r="C579" s="37"/>
      <c r="D579" s="35"/>
    </row>
    <row r="580" spans="3:4" x14ac:dyDescent="0.25">
      <c r="C580" s="37"/>
      <c r="D580" s="35"/>
    </row>
    <row r="581" spans="3:4" x14ac:dyDescent="0.25">
      <c r="C581" s="37"/>
      <c r="D581" s="35"/>
    </row>
    <row r="582" spans="3:4" x14ac:dyDescent="0.25">
      <c r="C582" s="37"/>
      <c r="D582" s="35"/>
    </row>
    <row r="583" spans="3:4" x14ac:dyDescent="0.25">
      <c r="C583" s="37"/>
      <c r="D583" s="35"/>
    </row>
    <row r="584" spans="3:4" x14ac:dyDescent="0.25">
      <c r="C584" s="37"/>
      <c r="D584" s="35"/>
    </row>
    <row r="585" spans="3:4" x14ac:dyDescent="0.25">
      <c r="C585" s="37"/>
      <c r="D585" s="35"/>
    </row>
    <row r="586" spans="3:4" x14ac:dyDescent="0.25">
      <c r="C586" s="37"/>
      <c r="D586" s="35"/>
    </row>
    <row r="587" spans="3:4" x14ac:dyDescent="0.25">
      <c r="C587" s="37"/>
      <c r="D587" s="35"/>
    </row>
    <row r="588" spans="3:4" x14ac:dyDescent="0.25">
      <c r="C588" s="37"/>
      <c r="D588" s="35"/>
    </row>
    <row r="589" spans="3:4" x14ac:dyDescent="0.25">
      <c r="C589" s="37"/>
      <c r="D589" s="35"/>
    </row>
    <row r="590" spans="3:4" x14ac:dyDescent="0.25">
      <c r="C590" s="37"/>
      <c r="D590" s="35"/>
    </row>
    <row r="591" spans="3:4" x14ac:dyDescent="0.25">
      <c r="C591" s="37"/>
      <c r="D591" s="35"/>
    </row>
    <row r="592" spans="3:4" x14ac:dyDescent="0.25">
      <c r="C592" s="37"/>
      <c r="D592" s="35"/>
    </row>
    <row r="593" spans="3:4" x14ac:dyDescent="0.25">
      <c r="C593" s="37"/>
      <c r="D593" s="35"/>
    </row>
    <row r="594" spans="3:4" x14ac:dyDescent="0.25">
      <c r="C594" s="37"/>
      <c r="D594" s="35"/>
    </row>
    <row r="595" spans="3:4" x14ac:dyDescent="0.25">
      <c r="C595" s="37"/>
      <c r="D595" s="35"/>
    </row>
    <row r="596" spans="3:4" x14ac:dyDescent="0.25">
      <c r="C596" s="37"/>
      <c r="D596" s="35"/>
    </row>
    <row r="597" spans="3:4" x14ac:dyDescent="0.25">
      <c r="C597" s="37"/>
      <c r="D597" s="35"/>
    </row>
    <row r="598" spans="3:4" x14ac:dyDescent="0.25">
      <c r="C598" s="37"/>
      <c r="D598" s="35"/>
    </row>
    <row r="599" spans="3:4" x14ac:dyDescent="0.25">
      <c r="C599" s="37"/>
      <c r="D599" s="35"/>
    </row>
    <row r="600" spans="3:4" x14ac:dyDescent="0.25">
      <c r="C600" s="37"/>
      <c r="D600" s="35"/>
    </row>
    <row r="601" spans="3:4" x14ac:dyDescent="0.25">
      <c r="C601" s="37"/>
      <c r="D601" s="35"/>
    </row>
    <row r="602" spans="3:4" x14ac:dyDescent="0.25">
      <c r="C602" s="37"/>
      <c r="D602" s="35"/>
    </row>
    <row r="603" spans="3:4" x14ac:dyDescent="0.25">
      <c r="C603" s="37"/>
      <c r="D603" s="35"/>
    </row>
    <row r="604" spans="3:4" x14ac:dyDescent="0.25">
      <c r="C604" s="37"/>
      <c r="D604" s="35"/>
    </row>
    <row r="605" spans="3:4" x14ac:dyDescent="0.25">
      <c r="C605" s="37"/>
      <c r="D605" s="35"/>
    </row>
    <row r="606" spans="3:4" x14ac:dyDescent="0.25">
      <c r="C606" s="37"/>
      <c r="D606" s="35"/>
    </row>
    <row r="607" spans="3:4" x14ac:dyDescent="0.25">
      <c r="C607" s="37"/>
      <c r="D607" s="35"/>
    </row>
    <row r="608" spans="3:4" x14ac:dyDescent="0.25">
      <c r="C608" s="37"/>
      <c r="D608" s="35"/>
    </row>
    <row r="609" spans="3:4" x14ac:dyDescent="0.25">
      <c r="C609" s="37"/>
      <c r="D609" s="35"/>
    </row>
    <row r="610" spans="3:4" x14ac:dyDescent="0.25">
      <c r="C610" s="37"/>
      <c r="D610" s="35"/>
    </row>
    <row r="611" spans="3:4" x14ac:dyDescent="0.25">
      <c r="C611" s="37"/>
      <c r="D611" s="35"/>
    </row>
    <row r="612" spans="3:4" x14ac:dyDescent="0.25">
      <c r="C612" s="37"/>
      <c r="D612" s="35"/>
    </row>
    <row r="613" spans="3:4" x14ac:dyDescent="0.25">
      <c r="C613" s="37"/>
      <c r="D613" s="35"/>
    </row>
    <row r="614" spans="3:4" x14ac:dyDescent="0.25">
      <c r="C614" s="37"/>
      <c r="D614" s="35"/>
    </row>
    <row r="615" spans="3:4" x14ac:dyDescent="0.25">
      <c r="C615" s="37"/>
      <c r="D615" s="35"/>
    </row>
    <row r="616" spans="3:4" x14ac:dyDescent="0.25">
      <c r="C616" s="37"/>
      <c r="D616" s="35"/>
    </row>
    <row r="617" spans="3:4" x14ac:dyDescent="0.25">
      <c r="C617" s="37"/>
      <c r="D617" s="35"/>
    </row>
    <row r="618" spans="3:4" x14ac:dyDescent="0.25">
      <c r="C618" s="37"/>
      <c r="D618" s="35"/>
    </row>
    <row r="619" spans="3:4" x14ac:dyDescent="0.25">
      <c r="C619" s="37"/>
      <c r="D619" s="35"/>
    </row>
    <row r="620" spans="3:4" x14ac:dyDescent="0.25">
      <c r="C620" s="37"/>
      <c r="D620" s="35"/>
    </row>
    <row r="621" spans="3:4" x14ac:dyDescent="0.25">
      <c r="C621" s="37"/>
      <c r="D621" s="35"/>
    </row>
    <row r="622" spans="3:4" x14ac:dyDescent="0.25">
      <c r="C622" s="37"/>
      <c r="D622" s="35"/>
    </row>
    <row r="623" spans="3:4" x14ac:dyDescent="0.25">
      <c r="C623" s="37"/>
      <c r="D623" s="35"/>
    </row>
    <row r="624" spans="3:4" x14ac:dyDescent="0.25">
      <c r="C624" s="37"/>
      <c r="D624" s="35"/>
    </row>
    <row r="625" spans="3:4" x14ac:dyDescent="0.25">
      <c r="C625" s="37"/>
      <c r="D625" s="35"/>
    </row>
    <row r="626" spans="3:4" x14ac:dyDescent="0.25">
      <c r="C626" s="37"/>
      <c r="D626" s="35"/>
    </row>
    <row r="627" spans="3:4" x14ac:dyDescent="0.25">
      <c r="C627" s="37"/>
      <c r="D627" s="35"/>
    </row>
    <row r="628" spans="3:4" x14ac:dyDescent="0.25">
      <c r="C628" s="37"/>
      <c r="D628" s="35"/>
    </row>
    <row r="629" spans="3:4" x14ac:dyDescent="0.25">
      <c r="C629" s="37"/>
      <c r="D629" s="35"/>
    </row>
    <row r="630" spans="3:4" x14ac:dyDescent="0.25">
      <c r="C630" s="37"/>
      <c r="D630" s="35"/>
    </row>
    <row r="631" spans="3:4" x14ac:dyDescent="0.25">
      <c r="C631" s="37"/>
      <c r="D631" s="35"/>
    </row>
    <row r="632" spans="3:4" x14ac:dyDescent="0.25">
      <c r="C632" s="37"/>
      <c r="D632" s="35"/>
    </row>
    <row r="633" spans="3:4" x14ac:dyDescent="0.25">
      <c r="C633" s="37"/>
      <c r="D633" s="35"/>
    </row>
    <row r="634" spans="3:4" x14ac:dyDescent="0.25">
      <c r="C634" s="37"/>
      <c r="D634" s="35"/>
    </row>
    <row r="635" spans="3:4" x14ac:dyDescent="0.25">
      <c r="C635" s="37"/>
      <c r="D635" s="35"/>
    </row>
    <row r="636" spans="3:4" x14ac:dyDescent="0.25">
      <c r="C636" s="37"/>
      <c r="D636" s="35"/>
    </row>
    <row r="637" spans="3:4" x14ac:dyDescent="0.25">
      <c r="C637" s="37"/>
      <c r="D637" s="35"/>
    </row>
    <row r="638" spans="3:4" x14ac:dyDescent="0.25">
      <c r="C638" s="37"/>
      <c r="D638" s="35"/>
    </row>
    <row r="639" spans="3:4" x14ac:dyDescent="0.25">
      <c r="C639" s="37"/>
      <c r="D639" s="35"/>
    </row>
    <row r="640" spans="3:4" x14ac:dyDescent="0.25">
      <c r="C640" s="37"/>
      <c r="D640" s="35"/>
    </row>
    <row r="641" spans="3:4" x14ac:dyDescent="0.25">
      <c r="C641" s="37"/>
      <c r="D641" s="35"/>
    </row>
    <row r="642" spans="3:4" x14ac:dyDescent="0.25">
      <c r="C642" s="37"/>
      <c r="D642" s="35"/>
    </row>
    <row r="643" spans="3:4" x14ac:dyDescent="0.25">
      <c r="C643" s="37"/>
      <c r="D643" s="35"/>
    </row>
    <row r="644" spans="3:4" x14ac:dyDescent="0.25">
      <c r="C644" s="37"/>
      <c r="D644" s="35"/>
    </row>
    <row r="645" spans="3:4" x14ac:dyDescent="0.25">
      <c r="C645" s="37"/>
      <c r="D645" s="35"/>
    </row>
    <row r="646" spans="3:4" x14ac:dyDescent="0.25">
      <c r="C646" s="37"/>
      <c r="D646" s="35"/>
    </row>
    <row r="647" spans="3:4" x14ac:dyDescent="0.25">
      <c r="C647" s="37"/>
      <c r="D647" s="35"/>
    </row>
    <row r="648" spans="3:4" x14ac:dyDescent="0.25">
      <c r="C648" s="37"/>
      <c r="D648" s="35"/>
    </row>
    <row r="649" spans="3:4" x14ac:dyDescent="0.25">
      <c r="C649" s="37"/>
      <c r="D649" s="35"/>
    </row>
    <row r="650" spans="3:4" x14ac:dyDescent="0.25">
      <c r="C650" s="37"/>
      <c r="D650" s="35"/>
    </row>
    <row r="651" spans="3:4" x14ac:dyDescent="0.25">
      <c r="C651" s="37"/>
      <c r="D651" s="35"/>
    </row>
    <row r="652" spans="3:4" x14ac:dyDescent="0.25">
      <c r="C652" s="37"/>
      <c r="D652" s="35"/>
    </row>
    <row r="653" spans="3:4" x14ac:dyDescent="0.25">
      <c r="C653" s="37"/>
      <c r="D653" s="35"/>
    </row>
    <row r="654" spans="3:4" x14ac:dyDescent="0.25">
      <c r="C654" s="37"/>
      <c r="D654" s="35"/>
    </row>
    <row r="655" spans="3:4" x14ac:dyDescent="0.25">
      <c r="C655" s="37"/>
      <c r="D655" s="35"/>
    </row>
    <row r="656" spans="3:4" x14ac:dyDescent="0.25">
      <c r="C656" s="37"/>
      <c r="D656" s="35"/>
    </row>
    <row r="657" spans="3:4" x14ac:dyDescent="0.25">
      <c r="C657" s="37"/>
      <c r="D657" s="35"/>
    </row>
    <row r="658" spans="3:4" x14ac:dyDescent="0.25">
      <c r="C658" s="37"/>
      <c r="D658" s="35"/>
    </row>
    <row r="659" spans="3:4" x14ac:dyDescent="0.25">
      <c r="C659" s="37"/>
      <c r="D659" s="35"/>
    </row>
    <row r="660" spans="3:4" x14ac:dyDescent="0.25">
      <c r="C660" s="37"/>
      <c r="D660" s="35"/>
    </row>
    <row r="661" spans="3:4" x14ac:dyDescent="0.25">
      <c r="C661" s="37"/>
      <c r="D661" s="35"/>
    </row>
    <row r="662" spans="3:4" x14ac:dyDescent="0.25">
      <c r="C662" s="37"/>
      <c r="D662" s="35"/>
    </row>
    <row r="663" spans="3:4" x14ac:dyDescent="0.25">
      <c r="C663" s="37"/>
      <c r="D663" s="35"/>
    </row>
    <row r="664" spans="3:4" x14ac:dyDescent="0.25">
      <c r="C664" s="37"/>
      <c r="D664" s="35"/>
    </row>
    <row r="665" spans="3:4" x14ac:dyDescent="0.25">
      <c r="C665" s="37"/>
      <c r="D665" s="35"/>
    </row>
    <row r="666" spans="3:4" x14ac:dyDescent="0.25">
      <c r="C666" s="37"/>
      <c r="D666" s="35"/>
    </row>
    <row r="667" spans="3:4" x14ac:dyDescent="0.25">
      <c r="C667" s="37"/>
      <c r="D667" s="35"/>
    </row>
    <row r="668" spans="3:4" x14ac:dyDescent="0.25">
      <c r="C668" s="37"/>
      <c r="D668" s="35"/>
    </row>
    <row r="669" spans="3:4" x14ac:dyDescent="0.25">
      <c r="C669" s="37"/>
      <c r="D669" s="35"/>
    </row>
    <row r="670" spans="3:4" x14ac:dyDescent="0.25">
      <c r="C670" s="37"/>
      <c r="D670" s="35"/>
    </row>
    <row r="671" spans="3:4" x14ac:dyDescent="0.25">
      <c r="C671" s="37"/>
      <c r="D671" s="35"/>
    </row>
    <row r="672" spans="3:4" x14ac:dyDescent="0.25">
      <c r="C672" s="37"/>
      <c r="D672" s="35"/>
    </row>
    <row r="673" spans="3:4" x14ac:dyDescent="0.25">
      <c r="C673" s="37"/>
      <c r="D673" s="35"/>
    </row>
    <row r="674" spans="3:4" x14ac:dyDescent="0.25">
      <c r="C674" s="37"/>
      <c r="D674" s="35"/>
    </row>
    <row r="675" spans="3:4" x14ac:dyDescent="0.25">
      <c r="C675" s="37"/>
      <c r="D675" s="35"/>
    </row>
    <row r="676" spans="3:4" x14ac:dyDescent="0.25">
      <c r="C676" s="37"/>
      <c r="D676" s="35"/>
    </row>
    <row r="677" spans="3:4" x14ac:dyDescent="0.25">
      <c r="C677" s="37"/>
      <c r="D677" s="35"/>
    </row>
    <row r="678" spans="3:4" x14ac:dyDescent="0.25">
      <c r="C678" s="37"/>
      <c r="D678" s="35"/>
    </row>
    <row r="679" spans="3:4" x14ac:dyDescent="0.25">
      <c r="C679" s="37"/>
      <c r="D679" s="35"/>
    </row>
    <row r="680" spans="3:4" x14ac:dyDescent="0.25">
      <c r="C680" s="37"/>
      <c r="D680" s="35"/>
    </row>
    <row r="681" spans="3:4" x14ac:dyDescent="0.25">
      <c r="C681" s="37"/>
      <c r="D681" s="35"/>
    </row>
    <row r="682" spans="3:4" x14ac:dyDescent="0.25">
      <c r="C682" s="37"/>
      <c r="D682" s="35"/>
    </row>
    <row r="683" spans="3:4" x14ac:dyDescent="0.25">
      <c r="C683" s="37"/>
      <c r="D683" s="35"/>
    </row>
    <row r="684" spans="3:4" x14ac:dyDescent="0.25">
      <c r="C684" s="37"/>
      <c r="D684" s="35"/>
    </row>
    <row r="685" spans="3:4" x14ac:dyDescent="0.25">
      <c r="C685" s="37"/>
      <c r="D685" s="35"/>
    </row>
    <row r="686" spans="3:4" x14ac:dyDescent="0.25">
      <c r="C686" s="37"/>
      <c r="D686" s="35"/>
    </row>
    <row r="687" spans="3:4" x14ac:dyDescent="0.25">
      <c r="C687" s="37"/>
      <c r="D687" s="35"/>
    </row>
    <row r="688" spans="3:4" x14ac:dyDescent="0.25">
      <c r="C688" s="37"/>
      <c r="D688" s="35"/>
    </row>
    <row r="689" spans="3:4" x14ac:dyDescent="0.25">
      <c r="C689" s="37"/>
      <c r="D689" s="35"/>
    </row>
    <row r="690" spans="3:4" x14ac:dyDescent="0.25">
      <c r="C690" s="37"/>
      <c r="D690" s="35"/>
    </row>
    <row r="691" spans="3:4" x14ac:dyDescent="0.25">
      <c r="C691" s="37"/>
      <c r="D691" s="35"/>
    </row>
    <row r="692" spans="3:4" x14ac:dyDescent="0.25">
      <c r="C692" s="37"/>
      <c r="D692" s="35"/>
    </row>
    <row r="693" spans="3:4" x14ac:dyDescent="0.25">
      <c r="C693" s="37"/>
      <c r="D693" s="35"/>
    </row>
    <row r="694" spans="3:4" x14ac:dyDescent="0.25">
      <c r="C694" s="37"/>
      <c r="D694" s="35"/>
    </row>
    <row r="695" spans="3:4" x14ac:dyDescent="0.25">
      <c r="C695" s="37"/>
      <c r="D695" s="35"/>
    </row>
    <row r="696" spans="3:4" x14ac:dyDescent="0.25">
      <c r="C696" s="37"/>
      <c r="D696" s="35"/>
    </row>
    <row r="697" spans="3:4" x14ac:dyDescent="0.25">
      <c r="C697" s="37"/>
      <c r="D697" s="35"/>
    </row>
    <row r="698" spans="3:4" x14ac:dyDescent="0.25">
      <c r="C698" s="37"/>
      <c r="D698" s="35"/>
    </row>
    <row r="699" spans="3:4" x14ac:dyDescent="0.25">
      <c r="C699" s="37"/>
      <c r="D699" s="35"/>
    </row>
    <row r="700" spans="3:4" x14ac:dyDescent="0.25">
      <c r="C700" s="37"/>
      <c r="D700" s="35"/>
    </row>
    <row r="701" spans="3:4" x14ac:dyDescent="0.25">
      <c r="C701" s="37"/>
      <c r="D701" s="35"/>
    </row>
    <row r="702" spans="3:4" x14ac:dyDescent="0.25">
      <c r="C702" s="37"/>
      <c r="D702" s="35"/>
    </row>
    <row r="703" spans="3:4" x14ac:dyDescent="0.25">
      <c r="C703" s="37"/>
      <c r="D703" s="35"/>
    </row>
    <row r="704" spans="3:4" x14ac:dyDescent="0.25">
      <c r="C704" s="37"/>
      <c r="D704" s="35"/>
    </row>
    <row r="705" spans="3:4" x14ac:dyDescent="0.25">
      <c r="C705" s="37"/>
      <c r="D705" s="35"/>
    </row>
    <row r="706" spans="3:4" x14ac:dyDescent="0.25">
      <c r="C706" s="37"/>
      <c r="D706" s="35"/>
    </row>
    <row r="707" spans="3:4" x14ac:dyDescent="0.25">
      <c r="C707" s="37"/>
      <c r="D707" s="35"/>
    </row>
    <row r="708" spans="3:4" x14ac:dyDescent="0.25">
      <c r="C708" s="37"/>
      <c r="D708" s="35"/>
    </row>
    <row r="709" spans="3:4" x14ac:dyDescent="0.25">
      <c r="C709" s="37"/>
      <c r="D709" s="35"/>
    </row>
    <row r="710" spans="3:4" x14ac:dyDescent="0.25">
      <c r="C710" s="37"/>
      <c r="D710" s="35"/>
    </row>
    <row r="711" spans="3:4" x14ac:dyDescent="0.25">
      <c r="C711" s="37"/>
      <c r="D711" s="35"/>
    </row>
    <row r="712" spans="3:4" x14ac:dyDescent="0.25">
      <c r="C712" s="37"/>
      <c r="D712" s="35"/>
    </row>
    <row r="713" spans="3:4" x14ac:dyDescent="0.25">
      <c r="C713" s="37"/>
      <c r="D713" s="35"/>
    </row>
    <row r="714" spans="3:4" x14ac:dyDescent="0.25">
      <c r="C714" s="37"/>
      <c r="D714" s="35"/>
    </row>
    <row r="715" spans="3:4" x14ac:dyDescent="0.25">
      <c r="C715" s="37"/>
      <c r="D715" s="35"/>
    </row>
    <row r="716" spans="3:4" x14ac:dyDescent="0.25">
      <c r="C716" s="37"/>
      <c r="D716" s="35"/>
    </row>
    <row r="717" spans="3:4" x14ac:dyDescent="0.25">
      <c r="C717" s="37"/>
      <c r="D717" s="35"/>
    </row>
    <row r="718" spans="3:4" x14ac:dyDescent="0.25">
      <c r="C718" s="37"/>
      <c r="D718" s="35"/>
    </row>
    <row r="719" spans="3:4" x14ac:dyDescent="0.25">
      <c r="C719" s="37"/>
      <c r="D719" s="35"/>
    </row>
    <row r="720" spans="3:4" x14ac:dyDescent="0.25">
      <c r="C720" s="37"/>
      <c r="D720" s="35"/>
    </row>
    <row r="721" spans="3:4" x14ac:dyDescent="0.25">
      <c r="C721" s="37"/>
      <c r="D721" s="35"/>
    </row>
    <row r="722" spans="3:4" x14ac:dyDescent="0.25">
      <c r="C722" s="37"/>
      <c r="D722" s="35"/>
    </row>
    <row r="723" spans="3:4" x14ac:dyDescent="0.25">
      <c r="C723" s="37"/>
      <c r="D723" s="35"/>
    </row>
    <row r="724" spans="3:4" x14ac:dyDescent="0.25">
      <c r="C724" s="37"/>
      <c r="D724" s="35"/>
    </row>
    <row r="725" spans="3:4" x14ac:dyDescent="0.25">
      <c r="C725" s="37"/>
      <c r="D725" s="35"/>
    </row>
    <row r="726" spans="3:4" x14ac:dyDescent="0.25">
      <c r="C726" s="37"/>
      <c r="D726" s="35"/>
    </row>
    <row r="727" spans="3:4" x14ac:dyDescent="0.25">
      <c r="C727" s="37"/>
      <c r="D727" s="35"/>
    </row>
    <row r="728" spans="3:4" x14ac:dyDescent="0.25">
      <c r="C728" s="37"/>
      <c r="D728" s="35"/>
    </row>
    <row r="729" spans="3:4" x14ac:dyDescent="0.25">
      <c r="C729" s="37"/>
      <c r="D729" s="35"/>
    </row>
    <row r="730" spans="3:4" x14ac:dyDescent="0.25">
      <c r="C730" s="37"/>
      <c r="D730" s="35"/>
    </row>
    <row r="731" spans="3:4" x14ac:dyDescent="0.25">
      <c r="C731" s="37"/>
      <c r="D731" s="35"/>
    </row>
    <row r="732" spans="3:4" x14ac:dyDescent="0.25">
      <c r="C732" s="37"/>
      <c r="D732" s="35"/>
    </row>
    <row r="733" spans="3:4" x14ac:dyDescent="0.25">
      <c r="C733" s="37"/>
      <c r="D733" s="35"/>
    </row>
    <row r="734" spans="3:4" x14ac:dyDescent="0.25">
      <c r="C734" s="37"/>
      <c r="D734" s="35"/>
    </row>
    <row r="735" spans="3:4" x14ac:dyDescent="0.25">
      <c r="C735" s="37"/>
      <c r="D735" s="35"/>
    </row>
    <row r="736" spans="3:4" x14ac:dyDescent="0.25">
      <c r="C736" s="37"/>
      <c r="D736" s="35"/>
    </row>
    <row r="737" spans="3:4" x14ac:dyDescent="0.25">
      <c r="C737" s="37"/>
      <c r="D737" s="35"/>
    </row>
    <row r="738" spans="3:4" x14ac:dyDescent="0.25">
      <c r="C738" s="37"/>
      <c r="D738" s="35"/>
    </row>
    <row r="739" spans="3:4" x14ac:dyDescent="0.25">
      <c r="C739" s="37"/>
      <c r="D739" s="35"/>
    </row>
    <row r="740" spans="3:4" x14ac:dyDescent="0.25">
      <c r="C740" s="37"/>
      <c r="D740" s="35"/>
    </row>
    <row r="741" spans="3:4" x14ac:dyDescent="0.25">
      <c r="C741" s="37"/>
      <c r="D741" s="35"/>
    </row>
    <row r="742" spans="3:4" x14ac:dyDescent="0.25">
      <c r="C742" s="37"/>
      <c r="D742" s="35"/>
    </row>
    <row r="743" spans="3:4" x14ac:dyDescent="0.25">
      <c r="C743" s="37"/>
      <c r="D743" s="35"/>
    </row>
    <row r="744" spans="3:4" x14ac:dyDescent="0.25">
      <c r="C744" s="37"/>
      <c r="D744" s="35"/>
    </row>
    <row r="745" spans="3:4" x14ac:dyDescent="0.25">
      <c r="C745" s="37"/>
      <c r="D745" s="35"/>
    </row>
    <row r="746" spans="3:4" x14ac:dyDescent="0.25">
      <c r="C746" s="37"/>
      <c r="D746" s="35"/>
    </row>
    <row r="747" spans="3:4" x14ac:dyDescent="0.25">
      <c r="C747" s="37"/>
      <c r="D747" s="35"/>
    </row>
    <row r="748" spans="3:4" x14ac:dyDescent="0.25">
      <c r="C748" s="37"/>
      <c r="D748" s="35"/>
    </row>
    <row r="749" spans="3:4" x14ac:dyDescent="0.25">
      <c r="C749" s="37"/>
      <c r="D749" s="35"/>
    </row>
    <row r="750" spans="3:4" x14ac:dyDescent="0.25">
      <c r="C750" s="37"/>
      <c r="D750" s="35"/>
    </row>
    <row r="751" spans="3:4" x14ac:dyDescent="0.25">
      <c r="C751" s="37"/>
      <c r="D751" s="35"/>
    </row>
    <row r="752" spans="3:4" x14ac:dyDescent="0.25">
      <c r="C752" s="37"/>
      <c r="D752" s="35"/>
    </row>
    <row r="753" spans="3:4" x14ac:dyDescent="0.25">
      <c r="C753" s="37"/>
      <c r="D753" s="35"/>
    </row>
    <row r="754" spans="3:4" x14ac:dyDescent="0.25">
      <c r="C754" s="37"/>
      <c r="D754" s="35"/>
    </row>
    <row r="755" spans="3:4" x14ac:dyDescent="0.25">
      <c r="C755" s="37"/>
      <c r="D755" s="35"/>
    </row>
    <row r="756" spans="3:4" x14ac:dyDescent="0.25">
      <c r="C756" s="37"/>
      <c r="D756" s="35"/>
    </row>
    <row r="757" spans="3:4" x14ac:dyDescent="0.25">
      <c r="C757" s="37"/>
      <c r="D757" s="35"/>
    </row>
    <row r="758" spans="3:4" x14ac:dyDescent="0.25">
      <c r="C758" s="37"/>
      <c r="D758" s="35"/>
    </row>
    <row r="759" spans="3:4" x14ac:dyDescent="0.25">
      <c r="C759" s="37"/>
      <c r="D759" s="35"/>
    </row>
    <row r="760" spans="3:4" x14ac:dyDescent="0.25">
      <c r="C760" s="37"/>
      <c r="D760" s="35"/>
    </row>
    <row r="761" spans="3:4" x14ac:dyDescent="0.25">
      <c r="C761" s="37"/>
      <c r="D761" s="35"/>
    </row>
    <row r="762" spans="3:4" x14ac:dyDescent="0.25">
      <c r="C762" s="37"/>
      <c r="D762" s="35"/>
    </row>
    <row r="763" spans="3:4" x14ac:dyDescent="0.25">
      <c r="C763" s="37"/>
      <c r="D763" s="35"/>
    </row>
    <row r="764" spans="3:4" x14ac:dyDescent="0.25">
      <c r="C764" s="37"/>
      <c r="D764" s="35"/>
    </row>
    <row r="765" spans="3:4" x14ac:dyDescent="0.25">
      <c r="C765" s="37"/>
      <c r="D765" s="35"/>
    </row>
    <row r="766" spans="3:4" x14ac:dyDescent="0.25">
      <c r="C766" s="37"/>
      <c r="D766" s="35"/>
    </row>
    <row r="767" spans="3:4" x14ac:dyDescent="0.25">
      <c r="C767" s="37"/>
      <c r="D767" s="35"/>
    </row>
    <row r="768" spans="3:4" x14ac:dyDescent="0.25">
      <c r="C768" s="37"/>
      <c r="D768" s="35"/>
    </row>
    <row r="769" spans="3:4" x14ac:dyDescent="0.25">
      <c r="C769" s="37"/>
      <c r="D769" s="35"/>
    </row>
    <row r="770" spans="3:4" x14ac:dyDescent="0.25">
      <c r="C770" s="37"/>
      <c r="D770" s="35"/>
    </row>
    <row r="771" spans="3:4" x14ac:dyDescent="0.25">
      <c r="C771" s="37"/>
      <c r="D771" s="35"/>
    </row>
    <row r="772" spans="3:4" x14ac:dyDescent="0.25">
      <c r="C772" s="37"/>
      <c r="D772" s="35"/>
    </row>
    <row r="773" spans="3:4" x14ac:dyDescent="0.25">
      <c r="C773" s="37"/>
      <c r="D773" s="35"/>
    </row>
    <row r="774" spans="3:4" x14ac:dyDescent="0.25">
      <c r="C774" s="37"/>
      <c r="D774" s="35"/>
    </row>
    <row r="775" spans="3:4" x14ac:dyDescent="0.25">
      <c r="C775" s="37"/>
      <c r="D775" s="35"/>
    </row>
    <row r="776" spans="3:4" x14ac:dyDescent="0.25">
      <c r="C776" s="37"/>
      <c r="D776" s="35"/>
    </row>
    <row r="777" spans="3:4" x14ac:dyDescent="0.25">
      <c r="C777" s="37"/>
      <c r="D777" s="35"/>
    </row>
    <row r="778" spans="3:4" x14ac:dyDescent="0.25">
      <c r="C778" s="37"/>
      <c r="D778" s="35"/>
    </row>
    <row r="779" spans="3:4" x14ac:dyDescent="0.25">
      <c r="C779" s="37"/>
      <c r="D779" s="35"/>
    </row>
    <row r="780" spans="3:4" x14ac:dyDescent="0.25">
      <c r="C780" s="37"/>
      <c r="D780" s="35"/>
    </row>
    <row r="781" spans="3:4" x14ac:dyDescent="0.25">
      <c r="C781" s="37"/>
      <c r="D781" s="35"/>
    </row>
    <row r="782" spans="3:4" x14ac:dyDescent="0.25">
      <c r="C782" s="37"/>
      <c r="D782" s="35"/>
    </row>
    <row r="783" spans="3:4" x14ac:dyDescent="0.25">
      <c r="C783" s="37"/>
      <c r="D783" s="35"/>
    </row>
    <row r="784" spans="3:4" x14ac:dyDescent="0.25">
      <c r="C784" s="37"/>
      <c r="D784" s="35"/>
    </row>
    <row r="785" spans="3:4" x14ac:dyDescent="0.25">
      <c r="C785" s="37"/>
      <c r="D785" s="35"/>
    </row>
    <row r="786" spans="3:4" x14ac:dyDescent="0.25">
      <c r="C786" s="37"/>
      <c r="D786" s="35"/>
    </row>
    <row r="787" spans="3:4" x14ac:dyDescent="0.25">
      <c r="C787" s="37"/>
      <c r="D787" s="35"/>
    </row>
    <row r="788" spans="3:4" x14ac:dyDescent="0.25">
      <c r="C788" s="37"/>
      <c r="D788" s="35"/>
    </row>
    <row r="789" spans="3:4" x14ac:dyDescent="0.25">
      <c r="C789" s="37"/>
      <c r="D789" s="35"/>
    </row>
    <row r="790" spans="3:4" x14ac:dyDescent="0.25">
      <c r="C790" s="37"/>
      <c r="D790" s="35"/>
    </row>
    <row r="791" spans="3:4" x14ac:dyDescent="0.25">
      <c r="C791" s="37"/>
      <c r="D791" s="35"/>
    </row>
    <row r="792" spans="3:4" x14ac:dyDescent="0.25">
      <c r="C792" s="37"/>
      <c r="D792" s="35"/>
    </row>
    <row r="793" spans="3:4" x14ac:dyDescent="0.25">
      <c r="C793" s="37"/>
      <c r="D793" s="35"/>
    </row>
    <row r="794" spans="3:4" x14ac:dyDescent="0.25">
      <c r="C794" s="37"/>
      <c r="D794" s="35"/>
    </row>
    <row r="795" spans="3:4" x14ac:dyDescent="0.25">
      <c r="C795" s="37"/>
      <c r="D795" s="35"/>
    </row>
    <row r="796" spans="3:4" x14ac:dyDescent="0.25">
      <c r="C796" s="37"/>
      <c r="D796" s="35"/>
    </row>
    <row r="797" spans="3:4" x14ac:dyDescent="0.25">
      <c r="C797" s="37"/>
      <c r="D797" s="35"/>
    </row>
    <row r="798" spans="3:4" x14ac:dyDescent="0.25">
      <c r="C798" s="37"/>
      <c r="D798" s="35"/>
    </row>
    <row r="799" spans="3:4" x14ac:dyDescent="0.25">
      <c r="C799" s="37"/>
      <c r="D799" s="35"/>
    </row>
    <row r="800" spans="3:4" x14ac:dyDescent="0.25">
      <c r="C800" s="37"/>
      <c r="D800" s="35"/>
    </row>
    <row r="801" spans="3:4" x14ac:dyDescent="0.25">
      <c r="C801" s="37"/>
      <c r="D801" s="35"/>
    </row>
    <row r="802" spans="3:4" x14ac:dyDescent="0.25">
      <c r="C802" s="37"/>
      <c r="D802" s="35"/>
    </row>
    <row r="803" spans="3:4" x14ac:dyDescent="0.25">
      <c r="C803" s="37"/>
      <c r="D803" s="35"/>
    </row>
    <row r="804" spans="3:4" x14ac:dyDescent="0.25">
      <c r="C804" s="37"/>
      <c r="D804" s="35"/>
    </row>
    <row r="805" spans="3:4" x14ac:dyDescent="0.25">
      <c r="C805" s="37"/>
      <c r="D805" s="35"/>
    </row>
    <row r="806" spans="3:4" x14ac:dyDescent="0.25">
      <c r="C806" s="37"/>
      <c r="D806" s="35"/>
    </row>
    <row r="807" spans="3:4" x14ac:dyDescent="0.25">
      <c r="C807" s="37"/>
      <c r="D807" s="35"/>
    </row>
    <row r="808" spans="3:4" x14ac:dyDescent="0.25">
      <c r="C808" s="37"/>
      <c r="D808" s="35"/>
    </row>
    <row r="809" spans="3:4" x14ac:dyDescent="0.25">
      <c r="C809" s="37"/>
      <c r="D809" s="35"/>
    </row>
    <row r="810" spans="3:4" x14ac:dyDescent="0.25">
      <c r="C810" s="37"/>
      <c r="D810" s="35"/>
    </row>
    <row r="811" spans="3:4" x14ac:dyDescent="0.25">
      <c r="C811" s="37"/>
      <c r="D811" s="35"/>
    </row>
    <row r="812" spans="3:4" x14ac:dyDescent="0.25">
      <c r="C812" s="37"/>
      <c r="D812" s="35"/>
    </row>
    <row r="813" spans="3:4" x14ac:dyDescent="0.25">
      <c r="C813" s="37"/>
      <c r="D813" s="35"/>
    </row>
    <row r="814" spans="3:4" x14ac:dyDescent="0.25">
      <c r="C814" s="37"/>
      <c r="D814" s="35"/>
    </row>
    <row r="815" spans="3:4" x14ac:dyDescent="0.25">
      <c r="C815" s="37"/>
      <c r="D815" s="35"/>
    </row>
    <row r="816" spans="3:4" x14ac:dyDescent="0.25">
      <c r="C816" s="37"/>
      <c r="D816" s="35"/>
    </row>
    <row r="817" spans="3:4" x14ac:dyDescent="0.25">
      <c r="C817" s="37"/>
      <c r="D817" s="35"/>
    </row>
    <row r="818" spans="3:4" x14ac:dyDescent="0.25">
      <c r="C818" s="37"/>
      <c r="D818" s="35"/>
    </row>
    <row r="819" spans="3:4" x14ac:dyDescent="0.25">
      <c r="C819" s="37"/>
      <c r="D819" s="35"/>
    </row>
    <row r="820" spans="3:4" x14ac:dyDescent="0.25">
      <c r="C820" s="37"/>
      <c r="D820" s="35"/>
    </row>
    <row r="821" spans="3:4" x14ac:dyDescent="0.25">
      <c r="C821" s="37"/>
      <c r="D821" s="35"/>
    </row>
    <row r="822" spans="3:4" x14ac:dyDescent="0.25">
      <c r="C822" s="37"/>
      <c r="D822" s="35"/>
    </row>
    <row r="823" spans="3:4" x14ac:dyDescent="0.25">
      <c r="C823" s="37"/>
      <c r="D823" s="35"/>
    </row>
    <row r="824" spans="3:4" x14ac:dyDescent="0.25">
      <c r="C824" s="37"/>
      <c r="D824" s="35"/>
    </row>
    <row r="825" spans="3:4" x14ac:dyDescent="0.25">
      <c r="C825" s="37"/>
      <c r="D825" s="35"/>
    </row>
    <row r="826" spans="3:4" x14ac:dyDescent="0.25">
      <c r="C826" s="37"/>
      <c r="D826" s="35"/>
    </row>
    <row r="827" spans="3:4" x14ac:dyDescent="0.25">
      <c r="C827" s="37"/>
      <c r="D827" s="35"/>
    </row>
    <row r="828" spans="3:4" x14ac:dyDescent="0.25">
      <c r="C828" s="37"/>
      <c r="D828" s="35"/>
    </row>
    <row r="829" spans="3:4" x14ac:dyDescent="0.25">
      <c r="C829" s="37"/>
      <c r="D829" s="35"/>
    </row>
    <row r="830" spans="3:4" x14ac:dyDescent="0.25">
      <c r="C830" s="37"/>
      <c r="D830" s="35"/>
    </row>
    <row r="831" spans="3:4" x14ac:dyDescent="0.25">
      <c r="C831" s="37"/>
      <c r="D831" s="35"/>
    </row>
    <row r="832" spans="3:4" x14ac:dyDescent="0.25">
      <c r="C832" s="37"/>
      <c r="D832" s="35"/>
    </row>
    <row r="833" spans="3:4" x14ac:dyDescent="0.25">
      <c r="C833" s="37"/>
      <c r="D833" s="35"/>
    </row>
    <row r="834" spans="3:4" x14ac:dyDescent="0.25">
      <c r="C834" s="37"/>
      <c r="D834" s="35"/>
    </row>
    <row r="835" spans="3:4" x14ac:dyDescent="0.25">
      <c r="C835" s="37"/>
      <c r="D835" s="35"/>
    </row>
    <row r="836" spans="3:4" x14ac:dyDescent="0.25">
      <c r="C836" s="37"/>
      <c r="D836" s="35"/>
    </row>
    <row r="837" spans="3:4" x14ac:dyDescent="0.25">
      <c r="C837" s="37"/>
      <c r="D837" s="35"/>
    </row>
    <row r="838" spans="3:4" x14ac:dyDescent="0.25">
      <c r="C838" s="37"/>
      <c r="D838" s="35"/>
    </row>
    <row r="839" spans="3:4" x14ac:dyDescent="0.25">
      <c r="C839" s="37"/>
      <c r="D839" s="35"/>
    </row>
    <row r="840" spans="3:4" x14ac:dyDescent="0.25">
      <c r="C840" s="37"/>
      <c r="D840" s="35"/>
    </row>
    <row r="841" spans="3:4" x14ac:dyDescent="0.25">
      <c r="C841" s="37"/>
      <c r="D841" s="35"/>
    </row>
    <row r="842" spans="3:4" x14ac:dyDescent="0.25">
      <c r="C842" s="37"/>
      <c r="D842" s="35"/>
    </row>
    <row r="843" spans="3:4" x14ac:dyDescent="0.25">
      <c r="C843" s="37"/>
      <c r="D843" s="35"/>
    </row>
    <row r="844" spans="3:4" x14ac:dyDescent="0.25">
      <c r="C844" s="37"/>
      <c r="D844" s="35"/>
    </row>
    <row r="845" spans="3:4" x14ac:dyDescent="0.25">
      <c r="C845" s="37"/>
      <c r="D845" s="35"/>
    </row>
    <row r="846" spans="3:4" x14ac:dyDescent="0.25">
      <c r="C846" s="37"/>
      <c r="D846" s="35"/>
    </row>
    <row r="847" spans="3:4" x14ac:dyDescent="0.25">
      <c r="C847" s="37"/>
      <c r="D847" s="35"/>
    </row>
    <row r="848" spans="3:4" x14ac:dyDescent="0.25">
      <c r="C848" s="37"/>
      <c r="D848" s="35"/>
    </row>
    <row r="849" spans="3:4" x14ac:dyDescent="0.25">
      <c r="C849" s="37"/>
      <c r="D849" s="35"/>
    </row>
    <row r="850" spans="3:4" x14ac:dyDescent="0.25">
      <c r="C850" s="37"/>
      <c r="D850" s="35"/>
    </row>
    <row r="851" spans="3:4" x14ac:dyDescent="0.25">
      <c r="C851" s="37"/>
      <c r="D851" s="35"/>
    </row>
    <row r="852" spans="3:4" x14ac:dyDescent="0.25">
      <c r="C852" s="37"/>
      <c r="D852" s="35"/>
    </row>
    <row r="853" spans="3:4" x14ac:dyDescent="0.25">
      <c r="C853" s="37"/>
      <c r="D853" s="35"/>
    </row>
    <row r="854" spans="3:4" x14ac:dyDescent="0.25">
      <c r="C854" s="37"/>
      <c r="D854" s="35"/>
    </row>
    <row r="855" spans="3:4" x14ac:dyDescent="0.25">
      <c r="C855" s="37"/>
      <c r="D855" s="35"/>
    </row>
    <row r="856" spans="3:4" x14ac:dyDescent="0.25">
      <c r="C856" s="37"/>
      <c r="D856" s="35"/>
    </row>
    <row r="857" spans="3:4" x14ac:dyDescent="0.25">
      <c r="C857" s="37"/>
      <c r="D857" s="35"/>
    </row>
    <row r="858" spans="3:4" x14ac:dyDescent="0.25">
      <c r="C858" s="37"/>
      <c r="D858" s="35"/>
    </row>
    <row r="859" spans="3:4" x14ac:dyDescent="0.25">
      <c r="C859" s="37"/>
      <c r="D859" s="35"/>
    </row>
    <row r="860" spans="3:4" x14ac:dyDescent="0.25">
      <c r="C860" s="37"/>
      <c r="D860" s="35"/>
    </row>
    <row r="861" spans="3:4" x14ac:dyDescent="0.25">
      <c r="C861" s="37"/>
      <c r="D861" s="35"/>
    </row>
    <row r="862" spans="3:4" x14ac:dyDescent="0.25">
      <c r="C862" s="37"/>
      <c r="D862" s="35"/>
    </row>
    <row r="863" spans="3:4" x14ac:dyDescent="0.25">
      <c r="C863" s="37"/>
      <c r="D863" s="35"/>
    </row>
    <row r="864" spans="3:4" x14ac:dyDescent="0.25">
      <c r="C864" s="37"/>
      <c r="D864" s="35"/>
    </row>
    <row r="865" spans="3:4" x14ac:dyDescent="0.25">
      <c r="C865" s="37"/>
      <c r="D865" s="35"/>
    </row>
    <row r="866" spans="3:4" x14ac:dyDescent="0.25">
      <c r="C866" s="37"/>
      <c r="D866" s="35"/>
    </row>
    <row r="867" spans="3:4" x14ac:dyDescent="0.25">
      <c r="C867" s="37"/>
      <c r="D867" s="35"/>
    </row>
    <row r="868" spans="3:4" x14ac:dyDescent="0.25">
      <c r="C868" s="37"/>
      <c r="D868" s="35"/>
    </row>
    <row r="869" spans="3:4" x14ac:dyDescent="0.25">
      <c r="C869" s="37"/>
      <c r="D869" s="35"/>
    </row>
    <row r="870" spans="3:4" x14ac:dyDescent="0.25">
      <c r="C870" s="37"/>
      <c r="D870" s="35"/>
    </row>
    <row r="871" spans="3:4" x14ac:dyDescent="0.25">
      <c r="C871" s="37"/>
      <c r="D871" s="35"/>
    </row>
    <row r="872" spans="3:4" x14ac:dyDescent="0.25">
      <c r="C872" s="37"/>
      <c r="D872" s="35"/>
    </row>
    <row r="873" spans="3:4" x14ac:dyDescent="0.25">
      <c r="C873" s="37"/>
      <c r="D873" s="35"/>
    </row>
    <row r="874" spans="3:4" x14ac:dyDescent="0.25">
      <c r="C874" s="37"/>
      <c r="D874" s="35"/>
    </row>
    <row r="875" spans="3:4" x14ac:dyDescent="0.25">
      <c r="C875" s="37"/>
      <c r="D875" s="35"/>
    </row>
    <row r="876" spans="3:4" x14ac:dyDescent="0.25">
      <c r="C876" s="37"/>
      <c r="D876" s="35"/>
    </row>
    <row r="877" spans="3:4" x14ac:dyDescent="0.25">
      <c r="C877" s="37"/>
      <c r="D877" s="35"/>
    </row>
    <row r="878" spans="3:4" x14ac:dyDescent="0.25">
      <c r="C878" s="37"/>
      <c r="D878" s="35"/>
    </row>
    <row r="879" spans="3:4" x14ac:dyDescent="0.25">
      <c r="C879" s="37"/>
      <c r="D879" s="35"/>
    </row>
    <row r="880" spans="3:4" x14ac:dyDescent="0.25">
      <c r="C880" s="37"/>
      <c r="D880" s="35"/>
    </row>
    <row r="881" spans="3:4" x14ac:dyDescent="0.25">
      <c r="C881" s="37"/>
      <c r="D881" s="35"/>
    </row>
    <row r="882" spans="3:4" x14ac:dyDescent="0.25">
      <c r="C882" s="37"/>
      <c r="D882" s="35"/>
    </row>
    <row r="883" spans="3:4" x14ac:dyDescent="0.25">
      <c r="C883" s="37"/>
      <c r="D883" s="35"/>
    </row>
    <row r="884" spans="3:4" x14ac:dyDescent="0.25">
      <c r="C884" s="37"/>
      <c r="D884" s="35"/>
    </row>
    <row r="885" spans="3:4" x14ac:dyDescent="0.25">
      <c r="C885" s="37"/>
      <c r="D885" s="35"/>
    </row>
    <row r="886" spans="3:4" x14ac:dyDescent="0.25">
      <c r="C886" s="37"/>
      <c r="D886" s="35"/>
    </row>
    <row r="887" spans="3:4" x14ac:dyDescent="0.25">
      <c r="C887" s="37"/>
      <c r="D887" s="35"/>
    </row>
    <row r="888" spans="3:4" x14ac:dyDescent="0.25">
      <c r="C888" s="37"/>
      <c r="D888" s="35"/>
    </row>
    <row r="889" spans="3:4" x14ac:dyDescent="0.25">
      <c r="C889" s="37"/>
      <c r="D889" s="35"/>
    </row>
    <row r="890" spans="3:4" x14ac:dyDescent="0.25">
      <c r="C890" s="37"/>
      <c r="D890" s="35"/>
    </row>
    <row r="891" spans="3:4" x14ac:dyDescent="0.25">
      <c r="C891" s="37"/>
      <c r="D891" s="35"/>
    </row>
    <row r="892" spans="3:4" x14ac:dyDescent="0.25">
      <c r="C892" s="37"/>
      <c r="D892" s="35"/>
    </row>
    <row r="893" spans="3:4" x14ac:dyDescent="0.25">
      <c r="C893" s="37"/>
      <c r="D893" s="35"/>
    </row>
    <row r="894" spans="3:4" x14ac:dyDescent="0.25">
      <c r="C894" s="37"/>
      <c r="D894" s="35"/>
    </row>
    <row r="895" spans="3:4" x14ac:dyDescent="0.25">
      <c r="C895" s="37"/>
      <c r="D895" s="35"/>
    </row>
    <row r="896" spans="3:4" x14ac:dyDescent="0.25">
      <c r="C896" s="37"/>
      <c r="D896" s="35"/>
    </row>
    <row r="897" spans="3:4" x14ac:dyDescent="0.25">
      <c r="C897" s="37"/>
      <c r="D897" s="35"/>
    </row>
    <row r="898" spans="3:4" x14ac:dyDescent="0.25">
      <c r="C898" s="37"/>
      <c r="D898" s="35"/>
    </row>
    <row r="899" spans="3:4" x14ac:dyDescent="0.25">
      <c r="C899" s="37"/>
      <c r="D899" s="35"/>
    </row>
    <row r="900" spans="3:4" x14ac:dyDescent="0.25">
      <c r="C900" s="37"/>
      <c r="D900" s="35"/>
    </row>
    <row r="901" spans="3:4" x14ac:dyDescent="0.25">
      <c r="C901" s="37"/>
      <c r="D901" s="35"/>
    </row>
    <row r="902" spans="3:4" x14ac:dyDescent="0.25">
      <c r="C902" s="37"/>
      <c r="D902" s="35"/>
    </row>
    <row r="903" spans="3:4" x14ac:dyDescent="0.25">
      <c r="C903" s="37"/>
      <c r="D903" s="35"/>
    </row>
    <row r="904" spans="3:4" x14ac:dyDescent="0.25">
      <c r="C904" s="37"/>
      <c r="D904" s="35"/>
    </row>
    <row r="905" spans="3:4" x14ac:dyDescent="0.25">
      <c r="C905" s="37"/>
      <c r="D905" s="35"/>
    </row>
    <row r="906" spans="3:4" x14ac:dyDescent="0.25">
      <c r="C906" s="37"/>
      <c r="D906" s="35"/>
    </row>
    <row r="907" spans="3:4" x14ac:dyDescent="0.25">
      <c r="C907" s="37"/>
      <c r="D907" s="35"/>
    </row>
    <row r="908" spans="3:4" x14ac:dyDescent="0.25">
      <c r="C908" s="37"/>
      <c r="D908" s="35"/>
    </row>
    <row r="909" spans="3:4" x14ac:dyDescent="0.25">
      <c r="C909" s="37"/>
      <c r="D909" s="35"/>
    </row>
    <row r="910" spans="3:4" x14ac:dyDescent="0.25">
      <c r="C910" s="37"/>
      <c r="D910" s="35"/>
    </row>
    <row r="911" spans="3:4" x14ac:dyDescent="0.25">
      <c r="C911" s="37"/>
      <c r="D911" s="35"/>
    </row>
    <row r="912" spans="3:4" x14ac:dyDescent="0.25">
      <c r="C912" s="37"/>
      <c r="D912" s="35"/>
    </row>
    <row r="913" spans="3:4" x14ac:dyDescent="0.25">
      <c r="C913" s="37"/>
      <c r="D913" s="35"/>
    </row>
    <row r="914" spans="3:4" x14ac:dyDescent="0.25">
      <c r="C914" s="37"/>
      <c r="D914" s="35"/>
    </row>
    <row r="915" spans="3:4" x14ac:dyDescent="0.25">
      <c r="C915" s="37"/>
      <c r="D915" s="35"/>
    </row>
    <row r="916" spans="3:4" x14ac:dyDescent="0.25">
      <c r="C916" s="37"/>
      <c r="D916" s="35"/>
    </row>
    <row r="917" spans="3:4" x14ac:dyDescent="0.25">
      <c r="C917" s="37"/>
      <c r="D917" s="35"/>
    </row>
    <row r="918" spans="3:4" x14ac:dyDescent="0.25">
      <c r="C918" s="37"/>
      <c r="D918" s="35"/>
    </row>
    <row r="919" spans="3:4" x14ac:dyDescent="0.25">
      <c r="C919" s="37"/>
      <c r="D919" s="35"/>
    </row>
    <row r="920" spans="3:4" x14ac:dyDescent="0.25">
      <c r="C920" s="37"/>
      <c r="D920" s="35"/>
    </row>
    <row r="921" spans="3:4" x14ac:dyDescent="0.25">
      <c r="C921" s="37"/>
      <c r="D921" s="35"/>
    </row>
    <row r="922" spans="3:4" x14ac:dyDescent="0.25">
      <c r="C922" s="37"/>
      <c r="D922" s="35"/>
    </row>
    <row r="923" spans="3:4" x14ac:dyDescent="0.25">
      <c r="C923" s="37"/>
      <c r="D923" s="35"/>
    </row>
    <row r="924" spans="3:4" x14ac:dyDescent="0.25">
      <c r="C924" s="37"/>
      <c r="D924" s="35"/>
    </row>
    <row r="925" spans="3:4" x14ac:dyDescent="0.25">
      <c r="C925" s="37"/>
      <c r="D925" s="35"/>
    </row>
    <row r="926" spans="3:4" x14ac:dyDescent="0.25">
      <c r="C926" s="37"/>
      <c r="D926" s="35"/>
    </row>
    <row r="927" spans="3:4" x14ac:dyDescent="0.25">
      <c r="C927" s="37"/>
      <c r="D927" s="35"/>
    </row>
    <row r="928" spans="3:4" x14ac:dyDescent="0.25">
      <c r="C928" s="37"/>
      <c r="D928" s="35"/>
    </row>
    <row r="929" spans="3:4" x14ac:dyDescent="0.25">
      <c r="C929" s="37"/>
      <c r="D929" s="35"/>
    </row>
    <row r="930" spans="3:4" x14ac:dyDescent="0.25">
      <c r="C930" s="37"/>
      <c r="D930" s="35"/>
    </row>
    <row r="931" spans="3:4" x14ac:dyDescent="0.25">
      <c r="C931" s="37"/>
      <c r="D931" s="35"/>
    </row>
    <row r="932" spans="3:4" x14ac:dyDescent="0.25">
      <c r="C932" s="37"/>
      <c r="D932" s="35"/>
    </row>
    <row r="933" spans="3:4" x14ac:dyDescent="0.25">
      <c r="C933" s="37"/>
      <c r="D933" s="35"/>
    </row>
    <row r="934" spans="3:4" x14ac:dyDescent="0.25">
      <c r="C934" s="37"/>
      <c r="D934" s="35"/>
    </row>
    <row r="935" spans="3:4" x14ac:dyDescent="0.25">
      <c r="C935" s="37"/>
      <c r="D935" s="35"/>
    </row>
    <row r="936" spans="3:4" x14ac:dyDescent="0.25">
      <c r="C936" s="37"/>
      <c r="D936" s="35"/>
    </row>
    <row r="937" spans="3:4" x14ac:dyDescent="0.25">
      <c r="C937" s="37"/>
      <c r="D937" s="35"/>
    </row>
    <row r="938" spans="3:4" x14ac:dyDescent="0.25">
      <c r="C938" s="37"/>
      <c r="D938" s="35"/>
    </row>
    <row r="939" spans="3:4" x14ac:dyDescent="0.25">
      <c r="C939" s="37"/>
      <c r="D939" s="35"/>
    </row>
    <row r="940" spans="3:4" x14ac:dyDescent="0.25">
      <c r="C940" s="37"/>
      <c r="D940" s="35"/>
    </row>
    <row r="941" spans="3:4" x14ac:dyDescent="0.25">
      <c r="C941" s="37"/>
      <c r="D941" s="35"/>
    </row>
    <row r="942" spans="3:4" x14ac:dyDescent="0.25">
      <c r="C942" s="37"/>
      <c r="D942" s="35"/>
    </row>
    <row r="943" spans="3:4" x14ac:dyDescent="0.25">
      <c r="C943" s="37"/>
      <c r="D943" s="35"/>
    </row>
    <row r="944" spans="3:4" x14ac:dyDescent="0.25">
      <c r="C944" s="37"/>
      <c r="D944" s="35"/>
    </row>
    <row r="945" spans="3:4" x14ac:dyDescent="0.25">
      <c r="C945" s="37"/>
      <c r="D945" s="35"/>
    </row>
    <row r="946" spans="3:4" x14ac:dyDescent="0.25">
      <c r="C946" s="37"/>
      <c r="D946" s="35"/>
    </row>
    <row r="947" spans="3:4" x14ac:dyDescent="0.25">
      <c r="C947" s="37"/>
      <c r="D947" s="35"/>
    </row>
    <row r="948" spans="3:4" x14ac:dyDescent="0.25">
      <c r="C948" s="37"/>
      <c r="D948" s="35"/>
    </row>
    <row r="949" spans="3:4" x14ac:dyDescent="0.25">
      <c r="C949" s="37"/>
      <c r="D949" s="35"/>
    </row>
    <row r="950" spans="3:4" x14ac:dyDescent="0.25">
      <c r="C950" s="37"/>
      <c r="D950" s="35"/>
    </row>
    <row r="951" spans="3:4" x14ac:dyDescent="0.25">
      <c r="C951" s="37"/>
      <c r="D951" s="35"/>
    </row>
    <row r="952" spans="3:4" x14ac:dyDescent="0.25">
      <c r="C952" s="37"/>
      <c r="D952" s="35"/>
    </row>
    <row r="953" spans="3:4" x14ac:dyDescent="0.25">
      <c r="C953" s="37"/>
      <c r="D953" s="35"/>
    </row>
    <row r="954" spans="3:4" x14ac:dyDescent="0.25">
      <c r="C954" s="37"/>
      <c r="D954" s="35"/>
    </row>
    <row r="955" spans="3:4" x14ac:dyDescent="0.25">
      <c r="C955" s="37"/>
      <c r="D955" s="35"/>
    </row>
    <row r="956" spans="3:4" x14ac:dyDescent="0.25">
      <c r="C956" s="37"/>
      <c r="D956" s="35"/>
    </row>
    <row r="957" spans="3:4" x14ac:dyDescent="0.25">
      <c r="C957" s="37"/>
      <c r="D957" s="35"/>
    </row>
    <row r="958" spans="3:4" x14ac:dyDescent="0.25">
      <c r="C958" s="37"/>
      <c r="D958" s="35"/>
    </row>
    <row r="959" spans="3:4" x14ac:dyDescent="0.25">
      <c r="C959" s="37"/>
      <c r="D959" s="35"/>
    </row>
    <row r="960" spans="3:4" x14ac:dyDescent="0.25">
      <c r="C960" s="37"/>
      <c r="D960" s="35"/>
    </row>
    <row r="961" spans="3:4" x14ac:dyDescent="0.25">
      <c r="C961" s="37"/>
      <c r="D961" s="35"/>
    </row>
    <row r="962" spans="3:4" x14ac:dyDescent="0.25">
      <c r="C962" s="37"/>
      <c r="D962" s="35"/>
    </row>
    <row r="963" spans="3:4" x14ac:dyDescent="0.25">
      <c r="C963" s="37"/>
      <c r="D963" s="35"/>
    </row>
    <row r="964" spans="3:4" x14ac:dyDescent="0.25">
      <c r="C964" s="37"/>
      <c r="D964" s="35"/>
    </row>
    <row r="965" spans="3:4" x14ac:dyDescent="0.25">
      <c r="C965" s="37"/>
      <c r="D965" s="35"/>
    </row>
    <row r="966" spans="3:4" x14ac:dyDescent="0.25">
      <c r="C966" s="37"/>
      <c r="D966" s="35"/>
    </row>
    <row r="967" spans="3:4" x14ac:dyDescent="0.25">
      <c r="C967" s="37"/>
      <c r="D967" s="35"/>
    </row>
    <row r="968" spans="3:4" x14ac:dyDescent="0.25">
      <c r="C968" s="37"/>
      <c r="D968" s="35"/>
    </row>
    <row r="969" spans="3:4" x14ac:dyDescent="0.25">
      <c r="C969" s="37"/>
      <c r="D969" s="35"/>
    </row>
    <row r="970" spans="3:4" x14ac:dyDescent="0.25">
      <c r="C970" s="37"/>
      <c r="D970" s="35"/>
    </row>
    <row r="971" spans="3:4" x14ac:dyDescent="0.25">
      <c r="C971" s="37"/>
      <c r="D971" s="35"/>
    </row>
    <row r="972" spans="3:4" x14ac:dyDescent="0.25">
      <c r="C972" s="37"/>
      <c r="D972" s="35"/>
    </row>
    <row r="973" spans="3:4" x14ac:dyDescent="0.25">
      <c r="C973" s="37"/>
      <c r="D973" s="35"/>
    </row>
    <row r="974" spans="3:4" x14ac:dyDescent="0.25">
      <c r="C974" s="37"/>
      <c r="D974" s="35"/>
    </row>
    <row r="975" spans="3:4" x14ac:dyDescent="0.25">
      <c r="C975" s="37"/>
      <c r="D975" s="35"/>
    </row>
    <row r="976" spans="3:4" x14ac:dyDescent="0.25">
      <c r="C976" s="37"/>
      <c r="D976" s="35"/>
    </row>
    <row r="977" spans="3:4" x14ac:dyDescent="0.25">
      <c r="C977" s="37"/>
      <c r="D977" s="35"/>
    </row>
    <row r="978" spans="3:4" x14ac:dyDescent="0.25">
      <c r="C978" s="37"/>
      <c r="D978" s="35"/>
    </row>
    <row r="979" spans="3:4" x14ac:dyDescent="0.25">
      <c r="C979" s="37"/>
      <c r="D979" s="35"/>
    </row>
    <row r="980" spans="3:4" x14ac:dyDescent="0.25">
      <c r="C980" s="37"/>
      <c r="D980" s="35"/>
    </row>
    <row r="981" spans="3:4" x14ac:dyDescent="0.25">
      <c r="C981" s="37"/>
      <c r="D981" s="35"/>
    </row>
    <row r="982" spans="3:4" x14ac:dyDescent="0.25">
      <c r="C982" s="37"/>
      <c r="D982" s="35"/>
    </row>
    <row r="983" spans="3:4" x14ac:dyDescent="0.25">
      <c r="C983" s="37"/>
      <c r="D983" s="35"/>
    </row>
    <row r="984" spans="3:4" x14ac:dyDescent="0.25">
      <c r="C984" s="37"/>
      <c r="D984" s="35"/>
    </row>
    <row r="985" spans="3:4" x14ac:dyDescent="0.25">
      <c r="C985" s="37"/>
      <c r="D985" s="35"/>
    </row>
    <row r="986" spans="3:4" x14ac:dyDescent="0.25">
      <c r="C986" s="37"/>
      <c r="D986" s="35"/>
    </row>
    <row r="987" spans="3:4" x14ac:dyDescent="0.25">
      <c r="C987" s="37"/>
      <c r="D987" s="35"/>
    </row>
    <row r="988" spans="3:4" x14ac:dyDescent="0.25">
      <c r="C988" s="37"/>
      <c r="D988" s="35"/>
    </row>
    <row r="989" spans="3:4" x14ac:dyDescent="0.25">
      <c r="C989" s="37"/>
      <c r="D989" s="35"/>
    </row>
    <row r="990" spans="3:4" x14ac:dyDescent="0.25">
      <c r="C990" s="37"/>
      <c r="D990" s="35"/>
    </row>
    <row r="991" spans="3:4" x14ac:dyDescent="0.25">
      <c r="C991" s="37"/>
      <c r="D991" s="35"/>
    </row>
    <row r="992" spans="3:4" x14ac:dyDescent="0.25">
      <c r="C992" s="37"/>
      <c r="D992" s="35"/>
    </row>
    <row r="993" spans="3:4" x14ac:dyDescent="0.25">
      <c r="C993" s="37"/>
      <c r="D993" s="35"/>
    </row>
    <row r="994" spans="3:4" x14ac:dyDescent="0.25">
      <c r="C994" s="37"/>
      <c r="D994" s="35"/>
    </row>
    <row r="995" spans="3:4" x14ac:dyDescent="0.25">
      <c r="C995" s="37"/>
      <c r="D995" s="35"/>
    </row>
    <row r="996" spans="3:4" x14ac:dyDescent="0.25">
      <c r="C996" s="37"/>
      <c r="D996" s="35"/>
    </row>
    <row r="997" spans="3:4" x14ac:dyDescent="0.25">
      <c r="C997" s="37"/>
      <c r="D997" s="35"/>
    </row>
    <row r="998" spans="3:4" x14ac:dyDescent="0.25">
      <c r="C998" s="37"/>
      <c r="D998" s="35"/>
    </row>
    <row r="999" spans="3:4" x14ac:dyDescent="0.25">
      <c r="C999" s="37"/>
      <c r="D999" s="35"/>
    </row>
    <row r="1000" spans="3:4" x14ac:dyDescent="0.25">
      <c r="C1000" s="37"/>
      <c r="D1000" s="35"/>
    </row>
    <row r="1001" spans="3:4" x14ac:dyDescent="0.25">
      <c r="C1001" s="37"/>
      <c r="D1001" s="35"/>
    </row>
    <row r="1002" spans="3:4" x14ac:dyDescent="0.25">
      <c r="C1002" s="37"/>
      <c r="D1002" s="35"/>
    </row>
    <row r="1003" spans="3:4" x14ac:dyDescent="0.25">
      <c r="C1003" s="37"/>
      <c r="D1003" s="35"/>
    </row>
    <row r="1004" spans="3:4" x14ac:dyDescent="0.25">
      <c r="C1004" s="37"/>
      <c r="D1004" s="35"/>
    </row>
    <row r="1005" spans="3:4" x14ac:dyDescent="0.25">
      <c r="C1005" s="37"/>
      <c r="D1005" s="35"/>
    </row>
    <row r="1006" spans="3:4" x14ac:dyDescent="0.25">
      <c r="C1006" s="37"/>
      <c r="D1006" s="35"/>
    </row>
    <row r="1007" spans="3:4" x14ac:dyDescent="0.25">
      <c r="C1007" s="37"/>
      <c r="D1007" s="35"/>
    </row>
    <row r="1008" spans="3:4" x14ac:dyDescent="0.25">
      <c r="C1008" s="37"/>
      <c r="D1008" s="35"/>
    </row>
    <row r="1009" spans="3:4" x14ac:dyDescent="0.25">
      <c r="C1009" s="37"/>
      <c r="D1009" s="35"/>
    </row>
    <row r="1010" spans="3:4" x14ac:dyDescent="0.25">
      <c r="C1010" s="37"/>
      <c r="D1010" s="35"/>
    </row>
    <row r="1011" spans="3:4" x14ac:dyDescent="0.25">
      <c r="C1011" s="37"/>
      <c r="D1011" s="35"/>
    </row>
    <row r="1012" spans="3:4" x14ac:dyDescent="0.25">
      <c r="C1012" s="37"/>
      <c r="D1012" s="35"/>
    </row>
    <row r="1013" spans="3:4" x14ac:dyDescent="0.25">
      <c r="C1013" s="37"/>
      <c r="D1013" s="35"/>
    </row>
    <row r="1014" spans="3:4" x14ac:dyDescent="0.25">
      <c r="C1014" s="37"/>
      <c r="D1014" s="35"/>
    </row>
    <row r="1015" spans="3:4" x14ac:dyDescent="0.25">
      <c r="C1015" s="37"/>
      <c r="D1015" s="35"/>
    </row>
    <row r="1016" spans="3:4" x14ac:dyDescent="0.25">
      <c r="C1016" s="37"/>
      <c r="D1016" s="35"/>
    </row>
    <row r="1017" spans="3:4" x14ac:dyDescent="0.25">
      <c r="C1017" s="37"/>
      <c r="D1017" s="35"/>
    </row>
    <row r="1018" spans="3:4" x14ac:dyDescent="0.25">
      <c r="C1018" s="37"/>
      <c r="D1018" s="35"/>
    </row>
    <row r="1019" spans="3:4" x14ac:dyDescent="0.25">
      <c r="C1019" s="37"/>
      <c r="D1019" s="35"/>
    </row>
    <row r="1020" spans="3:4" x14ac:dyDescent="0.25">
      <c r="C1020" s="37"/>
      <c r="D1020" s="35"/>
    </row>
    <row r="1021" spans="3:4" x14ac:dyDescent="0.25">
      <c r="C1021" s="37"/>
      <c r="D1021" s="35"/>
    </row>
    <row r="1022" spans="3:4" x14ac:dyDescent="0.25">
      <c r="C1022" s="37"/>
      <c r="D1022" s="35"/>
    </row>
    <row r="1023" spans="3:4" x14ac:dyDescent="0.25">
      <c r="C1023" s="37"/>
      <c r="D1023" s="35"/>
    </row>
    <row r="1024" spans="3:4" x14ac:dyDescent="0.25">
      <c r="C1024" s="37"/>
      <c r="D1024" s="35"/>
    </row>
    <row r="1025" spans="3:4" x14ac:dyDescent="0.25">
      <c r="C1025" s="37"/>
      <c r="D1025" s="35"/>
    </row>
    <row r="1026" spans="3:4" x14ac:dyDescent="0.25">
      <c r="C1026" s="37"/>
      <c r="D1026" s="35"/>
    </row>
    <row r="1027" spans="3:4" x14ac:dyDescent="0.25">
      <c r="C1027" s="37"/>
      <c r="D1027" s="35"/>
    </row>
    <row r="1028" spans="3:4" x14ac:dyDescent="0.25">
      <c r="C1028" s="37"/>
      <c r="D1028" s="35"/>
    </row>
    <row r="1029" spans="3:4" x14ac:dyDescent="0.25">
      <c r="C1029" s="37"/>
      <c r="D1029" s="35"/>
    </row>
    <row r="1030" spans="3:4" x14ac:dyDescent="0.25">
      <c r="C1030" s="37"/>
      <c r="D1030" s="35"/>
    </row>
    <row r="1031" spans="3:4" x14ac:dyDescent="0.25">
      <c r="C1031" s="37"/>
      <c r="D1031" s="35"/>
    </row>
    <row r="1032" spans="3:4" x14ac:dyDescent="0.25">
      <c r="C1032" s="37"/>
      <c r="D1032" s="35"/>
    </row>
    <row r="1033" spans="3:4" x14ac:dyDescent="0.25">
      <c r="C1033" s="37"/>
      <c r="D1033" s="35"/>
    </row>
    <row r="1034" spans="3:4" x14ac:dyDescent="0.25">
      <c r="C1034" s="37"/>
      <c r="D1034" s="35"/>
    </row>
    <row r="1035" spans="3:4" x14ac:dyDescent="0.25">
      <c r="C1035" s="37"/>
      <c r="D1035" s="35"/>
    </row>
    <row r="1036" spans="3:4" x14ac:dyDescent="0.25">
      <c r="C1036" s="37"/>
      <c r="D1036" s="35"/>
    </row>
    <row r="1037" spans="3:4" x14ac:dyDescent="0.25">
      <c r="C1037" s="37"/>
      <c r="D1037" s="35"/>
    </row>
    <row r="1038" spans="3:4" x14ac:dyDescent="0.25">
      <c r="C1038" s="37"/>
      <c r="D1038" s="35"/>
    </row>
    <row r="1039" spans="3:4" x14ac:dyDescent="0.25">
      <c r="C1039" s="37"/>
      <c r="D1039" s="35"/>
    </row>
    <row r="1040" spans="3:4" x14ac:dyDescent="0.25">
      <c r="C1040" s="37"/>
      <c r="D1040" s="35"/>
    </row>
    <row r="1041" spans="3:4" x14ac:dyDescent="0.25">
      <c r="C1041" s="37"/>
      <c r="D1041" s="35"/>
    </row>
    <row r="1042" spans="3:4" x14ac:dyDescent="0.25">
      <c r="C1042" s="37"/>
      <c r="D1042" s="35"/>
    </row>
    <row r="1043" spans="3:4" x14ac:dyDescent="0.25">
      <c r="C1043" s="37"/>
      <c r="D1043" s="35"/>
    </row>
    <row r="1044" spans="3:4" x14ac:dyDescent="0.25">
      <c r="C1044" s="37"/>
      <c r="D1044" s="35"/>
    </row>
    <row r="1045" spans="3:4" x14ac:dyDescent="0.25">
      <c r="C1045" s="37"/>
      <c r="D1045" s="35"/>
    </row>
    <row r="1046" spans="3:4" x14ac:dyDescent="0.25">
      <c r="C1046" s="37"/>
      <c r="D1046" s="35"/>
    </row>
    <row r="1047" spans="3:4" x14ac:dyDescent="0.25">
      <c r="C1047" s="37"/>
      <c r="D1047" s="35"/>
    </row>
    <row r="1048" spans="3:4" x14ac:dyDescent="0.25">
      <c r="C1048" s="37"/>
      <c r="D1048" s="35"/>
    </row>
    <row r="1049" spans="3:4" x14ac:dyDescent="0.25">
      <c r="C1049" s="37"/>
      <c r="D1049" s="35"/>
    </row>
    <row r="1050" spans="3:4" x14ac:dyDescent="0.25">
      <c r="C1050" s="37"/>
      <c r="D1050" s="35"/>
    </row>
    <row r="1051" spans="3:4" x14ac:dyDescent="0.25">
      <c r="C1051" s="37"/>
      <c r="D1051" s="35"/>
    </row>
    <row r="1052" spans="3:4" x14ac:dyDescent="0.25">
      <c r="C1052" s="37"/>
      <c r="D1052" s="35"/>
    </row>
    <row r="1053" spans="3:4" x14ac:dyDescent="0.25">
      <c r="C1053" s="37"/>
      <c r="D1053" s="35"/>
    </row>
    <row r="1054" spans="3:4" x14ac:dyDescent="0.25">
      <c r="C1054" s="37"/>
      <c r="D1054" s="35"/>
    </row>
    <row r="1055" spans="3:4" x14ac:dyDescent="0.25">
      <c r="C1055" s="37"/>
      <c r="D1055" s="35"/>
    </row>
    <row r="1056" spans="3:4" x14ac:dyDescent="0.25">
      <c r="C1056" s="37"/>
      <c r="D1056" s="35"/>
    </row>
    <row r="1057" spans="3:4" x14ac:dyDescent="0.25">
      <c r="C1057" s="37"/>
      <c r="D1057" s="35"/>
    </row>
    <row r="1058" spans="3:4" x14ac:dyDescent="0.25">
      <c r="C1058" s="37"/>
      <c r="D1058" s="35"/>
    </row>
    <row r="1059" spans="3:4" x14ac:dyDescent="0.25">
      <c r="C1059" s="37"/>
      <c r="D1059" s="35"/>
    </row>
    <row r="1060" spans="3:4" x14ac:dyDescent="0.25">
      <c r="C1060" s="37"/>
      <c r="D1060" s="35"/>
    </row>
    <row r="1061" spans="3:4" x14ac:dyDescent="0.25">
      <c r="C1061" s="37"/>
      <c r="D1061" s="35"/>
    </row>
    <row r="1062" spans="3:4" x14ac:dyDescent="0.25">
      <c r="C1062" s="37"/>
      <c r="D1062" s="35"/>
    </row>
    <row r="1063" spans="3:4" x14ac:dyDescent="0.25">
      <c r="C1063" s="37"/>
      <c r="D1063" s="35"/>
    </row>
    <row r="1064" spans="3:4" x14ac:dyDescent="0.25">
      <c r="C1064" s="37"/>
      <c r="D1064" s="35"/>
    </row>
    <row r="1065" spans="3:4" x14ac:dyDescent="0.25">
      <c r="C1065" s="37"/>
      <c r="D1065" s="35"/>
    </row>
    <row r="1066" spans="3:4" x14ac:dyDescent="0.25">
      <c r="C1066" s="37"/>
      <c r="D1066" s="35"/>
    </row>
    <row r="1067" spans="3:4" x14ac:dyDescent="0.25">
      <c r="C1067" s="37"/>
      <c r="D1067" s="35"/>
    </row>
    <row r="1068" spans="3:4" x14ac:dyDescent="0.25">
      <c r="C1068" s="37"/>
      <c r="D1068" s="35"/>
    </row>
    <row r="1069" spans="3:4" x14ac:dyDescent="0.25">
      <c r="C1069" s="37"/>
      <c r="D1069" s="35"/>
    </row>
    <row r="1070" spans="3:4" x14ac:dyDescent="0.25">
      <c r="C1070" s="37"/>
      <c r="D1070" s="35"/>
    </row>
    <row r="1071" spans="3:4" x14ac:dyDescent="0.25">
      <c r="C1071" s="37"/>
      <c r="D1071" s="35"/>
    </row>
    <row r="1072" spans="3:4" x14ac:dyDescent="0.25">
      <c r="C1072" s="37"/>
      <c r="D1072" s="35"/>
    </row>
    <row r="1073" spans="3:4" x14ac:dyDescent="0.25">
      <c r="C1073" s="37"/>
      <c r="D1073" s="35"/>
    </row>
    <row r="1074" spans="3:4" x14ac:dyDescent="0.25">
      <c r="C1074" s="37"/>
      <c r="D1074" s="35"/>
    </row>
    <row r="1075" spans="3:4" x14ac:dyDescent="0.25">
      <c r="C1075" s="37"/>
      <c r="D1075" s="35"/>
    </row>
    <row r="1076" spans="3:4" x14ac:dyDescent="0.25">
      <c r="C1076" s="37"/>
      <c r="D1076" s="35"/>
    </row>
    <row r="1077" spans="3:4" x14ac:dyDescent="0.25">
      <c r="C1077" s="37"/>
      <c r="D1077" s="35"/>
    </row>
    <row r="1078" spans="3:4" x14ac:dyDescent="0.25">
      <c r="C1078" s="37"/>
      <c r="D1078" s="35"/>
    </row>
    <row r="1079" spans="3:4" x14ac:dyDescent="0.25">
      <c r="C1079" s="37"/>
      <c r="D1079" s="35"/>
    </row>
    <row r="1080" spans="3:4" x14ac:dyDescent="0.25">
      <c r="C1080" s="37"/>
      <c r="D1080" s="35"/>
    </row>
    <row r="1081" spans="3:4" x14ac:dyDescent="0.25">
      <c r="C1081" s="37"/>
      <c r="D1081" s="35"/>
    </row>
    <row r="1082" spans="3:4" x14ac:dyDescent="0.25">
      <c r="C1082" s="37"/>
      <c r="D1082" s="35"/>
    </row>
    <row r="1083" spans="3:4" x14ac:dyDescent="0.25">
      <c r="C1083" s="37"/>
      <c r="D1083" s="35"/>
    </row>
    <row r="1084" spans="3:4" x14ac:dyDescent="0.25">
      <c r="C1084" s="37"/>
      <c r="D1084" s="35"/>
    </row>
    <row r="1085" spans="3:4" x14ac:dyDescent="0.25">
      <c r="C1085" s="37"/>
      <c r="D1085" s="35"/>
    </row>
    <row r="1086" spans="3:4" x14ac:dyDescent="0.25">
      <c r="C1086" s="37"/>
      <c r="D1086" s="35"/>
    </row>
    <row r="1087" spans="3:4" x14ac:dyDescent="0.25">
      <c r="C1087" s="37"/>
      <c r="D1087" s="35"/>
    </row>
    <row r="1088" spans="3:4" x14ac:dyDescent="0.25">
      <c r="C1088" s="37"/>
      <c r="D1088" s="35"/>
    </row>
    <row r="1089" spans="3:4" x14ac:dyDescent="0.25">
      <c r="C1089" s="37"/>
      <c r="D1089" s="35"/>
    </row>
    <row r="1090" spans="3:4" x14ac:dyDescent="0.25">
      <c r="C1090" s="37"/>
      <c r="D1090" s="35"/>
    </row>
    <row r="1091" spans="3:4" x14ac:dyDescent="0.25">
      <c r="C1091" s="37"/>
      <c r="D1091" s="35"/>
    </row>
    <row r="1092" spans="3:4" x14ac:dyDescent="0.25">
      <c r="C1092" s="37"/>
      <c r="D1092" s="35"/>
    </row>
    <row r="1093" spans="3:4" x14ac:dyDescent="0.25">
      <c r="C1093" s="37"/>
      <c r="D1093" s="35"/>
    </row>
    <row r="1094" spans="3:4" x14ac:dyDescent="0.25">
      <c r="C1094" s="37"/>
      <c r="D1094" s="35"/>
    </row>
    <row r="1095" spans="3:4" x14ac:dyDescent="0.25">
      <c r="C1095" s="37"/>
      <c r="D1095" s="35"/>
    </row>
    <row r="1096" spans="3:4" x14ac:dyDescent="0.25">
      <c r="C1096" s="37"/>
      <c r="D1096" s="35"/>
    </row>
    <row r="1097" spans="3:4" x14ac:dyDescent="0.25">
      <c r="C1097" s="37"/>
      <c r="D1097" s="35"/>
    </row>
    <row r="1098" spans="3:4" x14ac:dyDescent="0.25">
      <c r="C1098" s="37"/>
      <c r="D1098" s="35"/>
    </row>
    <row r="1099" spans="3:4" x14ac:dyDescent="0.25">
      <c r="C1099" s="37"/>
      <c r="D1099" s="35"/>
    </row>
    <row r="1100" spans="3:4" x14ac:dyDescent="0.25">
      <c r="C1100" s="37"/>
      <c r="D1100" s="35"/>
    </row>
    <row r="1101" spans="3:4" x14ac:dyDescent="0.25">
      <c r="C1101" s="37"/>
      <c r="D1101" s="35"/>
    </row>
    <row r="1102" spans="3:4" x14ac:dyDescent="0.25">
      <c r="C1102" s="37"/>
      <c r="D1102" s="35"/>
    </row>
    <row r="1103" spans="3:4" x14ac:dyDescent="0.25">
      <c r="C1103" s="37"/>
      <c r="D1103" s="35"/>
    </row>
    <row r="1104" spans="3:4" x14ac:dyDescent="0.25">
      <c r="C1104" s="37"/>
      <c r="D1104" s="35"/>
    </row>
    <row r="1105" spans="3:4" x14ac:dyDescent="0.25">
      <c r="C1105" s="37"/>
      <c r="D1105" s="35"/>
    </row>
    <row r="1106" spans="3:4" x14ac:dyDescent="0.25">
      <c r="C1106" s="37"/>
      <c r="D1106" s="35"/>
    </row>
    <row r="1107" spans="3:4" x14ac:dyDescent="0.25">
      <c r="C1107" s="37"/>
      <c r="D1107" s="35"/>
    </row>
    <row r="1108" spans="3:4" x14ac:dyDescent="0.25">
      <c r="C1108" s="37"/>
      <c r="D1108" s="35"/>
    </row>
    <row r="1109" spans="3:4" x14ac:dyDescent="0.25">
      <c r="C1109" s="37"/>
      <c r="D1109" s="35"/>
    </row>
    <row r="1110" spans="3:4" x14ac:dyDescent="0.25">
      <c r="C1110" s="37"/>
      <c r="D1110" s="35"/>
    </row>
    <row r="1111" spans="3:4" x14ac:dyDescent="0.25">
      <c r="C1111" s="37"/>
      <c r="D1111" s="35"/>
    </row>
    <row r="1112" spans="3:4" x14ac:dyDescent="0.25">
      <c r="C1112" s="37"/>
      <c r="D1112" s="35"/>
    </row>
    <row r="1113" spans="3:4" x14ac:dyDescent="0.25">
      <c r="C1113" s="37"/>
      <c r="D1113" s="35"/>
    </row>
    <row r="1114" spans="3:4" x14ac:dyDescent="0.25">
      <c r="C1114" s="37"/>
      <c r="D1114" s="35"/>
    </row>
    <row r="1115" spans="3:4" x14ac:dyDescent="0.25">
      <c r="C1115" s="37"/>
      <c r="D1115" s="35"/>
    </row>
    <row r="1116" spans="3:4" x14ac:dyDescent="0.25">
      <c r="C1116" s="37"/>
      <c r="D1116" s="35"/>
    </row>
    <row r="1117" spans="3:4" x14ac:dyDescent="0.25">
      <c r="C1117" s="37"/>
      <c r="D1117" s="35"/>
    </row>
    <row r="1118" spans="3:4" x14ac:dyDescent="0.25">
      <c r="C1118" s="37"/>
      <c r="D1118" s="35"/>
    </row>
    <row r="1119" spans="3:4" x14ac:dyDescent="0.25">
      <c r="C1119" s="37"/>
      <c r="D1119" s="35"/>
    </row>
    <row r="1120" spans="3:4" x14ac:dyDescent="0.25">
      <c r="C1120" s="37"/>
      <c r="D1120" s="35"/>
    </row>
    <row r="1121" spans="3:4" x14ac:dyDescent="0.25">
      <c r="C1121" s="37"/>
      <c r="D1121" s="35"/>
    </row>
    <row r="1122" spans="3:4" x14ac:dyDescent="0.25">
      <c r="C1122" s="37"/>
      <c r="D1122" s="35"/>
    </row>
    <row r="1123" spans="3:4" x14ac:dyDescent="0.25">
      <c r="C1123" s="37"/>
      <c r="D1123" s="35"/>
    </row>
    <row r="1124" spans="3:4" x14ac:dyDescent="0.25">
      <c r="C1124" s="37"/>
      <c r="D1124" s="35"/>
    </row>
    <row r="1125" spans="3:4" x14ac:dyDescent="0.25">
      <c r="C1125" s="37"/>
      <c r="D1125" s="35"/>
    </row>
    <row r="1126" spans="3:4" x14ac:dyDescent="0.25">
      <c r="C1126" s="37"/>
      <c r="D1126" s="35"/>
    </row>
    <row r="1127" spans="3:4" x14ac:dyDescent="0.25">
      <c r="C1127" s="37"/>
      <c r="D1127" s="35"/>
    </row>
    <row r="1128" spans="3:4" x14ac:dyDescent="0.25">
      <c r="C1128" s="37"/>
      <c r="D1128" s="35"/>
    </row>
    <row r="1129" spans="3:4" x14ac:dyDescent="0.25">
      <c r="C1129" s="37"/>
      <c r="D1129" s="35"/>
    </row>
    <row r="1130" spans="3:4" x14ac:dyDescent="0.25">
      <c r="C1130" s="37"/>
      <c r="D1130" s="35"/>
    </row>
    <row r="1131" spans="3:4" x14ac:dyDescent="0.25">
      <c r="C1131" s="37"/>
      <c r="D1131" s="35"/>
    </row>
    <row r="1132" spans="3:4" x14ac:dyDescent="0.25">
      <c r="C1132" s="37"/>
      <c r="D1132" s="35"/>
    </row>
    <row r="1133" spans="3:4" x14ac:dyDescent="0.25">
      <c r="C1133" s="37"/>
      <c r="D1133" s="35"/>
    </row>
    <row r="1134" spans="3:4" x14ac:dyDescent="0.25">
      <c r="C1134" s="37"/>
      <c r="D1134" s="35"/>
    </row>
    <row r="1135" spans="3:4" x14ac:dyDescent="0.25">
      <c r="C1135" s="37"/>
      <c r="D1135" s="35"/>
    </row>
    <row r="1136" spans="3:4" x14ac:dyDescent="0.25">
      <c r="C1136" s="37"/>
      <c r="D1136" s="35"/>
    </row>
    <row r="1137" spans="3:4" x14ac:dyDescent="0.25">
      <c r="C1137" s="37"/>
      <c r="D1137" s="35"/>
    </row>
    <row r="1138" spans="3:4" x14ac:dyDescent="0.25">
      <c r="C1138" s="37"/>
      <c r="D1138" s="35"/>
    </row>
    <row r="1139" spans="3:4" x14ac:dyDescent="0.25">
      <c r="C1139" s="37"/>
      <c r="D1139" s="35"/>
    </row>
    <row r="1140" spans="3:4" x14ac:dyDescent="0.25">
      <c r="C1140" s="37"/>
      <c r="D1140" s="35"/>
    </row>
    <row r="1141" spans="3:4" x14ac:dyDescent="0.25">
      <c r="C1141" s="37"/>
      <c r="D1141" s="35"/>
    </row>
    <row r="1142" spans="3:4" x14ac:dyDescent="0.25">
      <c r="C1142" s="37"/>
      <c r="D1142" s="35"/>
    </row>
    <row r="1143" spans="3:4" x14ac:dyDescent="0.25">
      <c r="C1143" s="37"/>
      <c r="D1143" s="35"/>
    </row>
    <row r="1144" spans="3:4" x14ac:dyDescent="0.25">
      <c r="C1144" s="37"/>
      <c r="D1144" s="35"/>
    </row>
    <row r="1145" spans="3:4" x14ac:dyDescent="0.25">
      <c r="C1145" s="37"/>
      <c r="D1145" s="35"/>
    </row>
    <row r="1146" spans="3:4" x14ac:dyDescent="0.25">
      <c r="C1146" s="37"/>
      <c r="D1146" s="35"/>
    </row>
    <row r="1147" spans="3:4" x14ac:dyDescent="0.25">
      <c r="C1147" s="37"/>
      <c r="D1147" s="35"/>
    </row>
    <row r="1148" spans="3:4" x14ac:dyDescent="0.25">
      <c r="C1148" s="37"/>
      <c r="D1148" s="35"/>
    </row>
    <row r="1149" spans="3:4" x14ac:dyDescent="0.25">
      <c r="C1149" s="37"/>
      <c r="D1149" s="35"/>
    </row>
    <row r="1150" spans="3:4" x14ac:dyDescent="0.25">
      <c r="C1150" s="37"/>
      <c r="D1150" s="35"/>
    </row>
    <row r="1151" spans="3:4" x14ac:dyDescent="0.25">
      <c r="C1151" s="37"/>
      <c r="D1151" s="35"/>
    </row>
    <row r="1152" spans="3:4" x14ac:dyDescent="0.25">
      <c r="C1152" s="37"/>
      <c r="D1152" s="35"/>
    </row>
    <row r="1153" spans="3:4" x14ac:dyDescent="0.25">
      <c r="C1153" s="37"/>
      <c r="D1153" s="35"/>
    </row>
    <row r="1154" spans="3:4" x14ac:dyDescent="0.25">
      <c r="C1154" s="37"/>
      <c r="D1154" s="35"/>
    </row>
    <row r="1155" spans="3:4" x14ac:dyDescent="0.25">
      <c r="C1155" s="37"/>
      <c r="D1155" s="35"/>
    </row>
    <row r="1156" spans="3:4" x14ac:dyDescent="0.25">
      <c r="C1156" s="37"/>
      <c r="D1156" s="35"/>
    </row>
    <row r="1157" spans="3:4" x14ac:dyDescent="0.25">
      <c r="C1157" s="37"/>
      <c r="D1157" s="35"/>
    </row>
    <row r="1158" spans="3:4" x14ac:dyDescent="0.25">
      <c r="C1158" s="37"/>
      <c r="D1158" s="35"/>
    </row>
    <row r="1159" spans="3:4" x14ac:dyDescent="0.25">
      <c r="C1159" s="37"/>
      <c r="D1159" s="35"/>
    </row>
    <row r="1160" spans="3:4" x14ac:dyDescent="0.25">
      <c r="C1160" s="37"/>
      <c r="D1160" s="35"/>
    </row>
    <row r="1161" spans="3:4" x14ac:dyDescent="0.25">
      <c r="C1161" s="37"/>
      <c r="D1161" s="35"/>
    </row>
    <row r="1162" spans="3:4" x14ac:dyDescent="0.25">
      <c r="C1162" s="37"/>
      <c r="D1162" s="35"/>
    </row>
    <row r="1163" spans="3:4" x14ac:dyDescent="0.25">
      <c r="C1163" s="37"/>
      <c r="D1163" s="35"/>
    </row>
    <row r="1164" spans="3:4" x14ac:dyDescent="0.25">
      <c r="C1164" s="37"/>
      <c r="D1164" s="35"/>
    </row>
    <row r="1165" spans="3:4" x14ac:dyDescent="0.25">
      <c r="C1165" s="37"/>
      <c r="D1165" s="35"/>
    </row>
    <row r="1166" spans="3:4" x14ac:dyDescent="0.25">
      <c r="C1166" s="37"/>
      <c r="D1166" s="35"/>
    </row>
    <row r="1167" spans="3:4" x14ac:dyDescent="0.25">
      <c r="C1167" s="37"/>
      <c r="D1167" s="35"/>
    </row>
    <row r="1168" spans="3:4" x14ac:dyDescent="0.25">
      <c r="C1168" s="37"/>
      <c r="D1168" s="35"/>
    </row>
    <row r="1169" spans="3:4" x14ac:dyDescent="0.25">
      <c r="C1169" s="37"/>
      <c r="D1169" s="35"/>
    </row>
    <row r="1170" spans="3:4" x14ac:dyDescent="0.25">
      <c r="C1170" s="37"/>
      <c r="D1170" s="35"/>
    </row>
    <row r="1171" spans="3:4" x14ac:dyDescent="0.25">
      <c r="C1171" s="37"/>
      <c r="D1171" s="35"/>
    </row>
    <row r="1172" spans="3:4" x14ac:dyDescent="0.25">
      <c r="C1172" s="37"/>
      <c r="D1172" s="35"/>
    </row>
    <row r="1173" spans="3:4" x14ac:dyDescent="0.25">
      <c r="C1173" s="37"/>
      <c r="D1173" s="35"/>
    </row>
    <row r="1174" spans="3:4" x14ac:dyDescent="0.25">
      <c r="C1174" s="37"/>
      <c r="D1174" s="35"/>
    </row>
    <row r="1175" spans="3:4" x14ac:dyDescent="0.25">
      <c r="C1175" s="37"/>
      <c r="D1175" s="35"/>
    </row>
    <row r="1176" spans="3:4" x14ac:dyDescent="0.25">
      <c r="C1176" s="37"/>
      <c r="D1176" s="35"/>
    </row>
    <row r="1177" spans="3:4" x14ac:dyDescent="0.25">
      <c r="C1177" s="37"/>
      <c r="D1177" s="35"/>
    </row>
    <row r="1178" spans="3:4" x14ac:dyDescent="0.25">
      <c r="C1178" s="37"/>
      <c r="D1178" s="35"/>
    </row>
    <row r="1179" spans="3:4" x14ac:dyDescent="0.25">
      <c r="C1179" s="37"/>
      <c r="D1179" s="35"/>
    </row>
    <row r="1180" spans="3:4" x14ac:dyDescent="0.25">
      <c r="C1180" s="37"/>
      <c r="D1180" s="35"/>
    </row>
    <row r="1181" spans="3:4" x14ac:dyDescent="0.25">
      <c r="C1181" s="37"/>
      <c r="D1181" s="35"/>
    </row>
    <row r="1182" spans="3:4" x14ac:dyDescent="0.25">
      <c r="C1182" s="37"/>
      <c r="D1182" s="35"/>
    </row>
    <row r="1183" spans="3:4" x14ac:dyDescent="0.25">
      <c r="C1183" s="37"/>
      <c r="D1183" s="35"/>
    </row>
    <row r="1184" spans="3:4" x14ac:dyDescent="0.25">
      <c r="C1184" s="37"/>
      <c r="D1184" s="35"/>
    </row>
    <row r="1185" spans="3:4" x14ac:dyDescent="0.25">
      <c r="C1185" s="37"/>
      <c r="D1185" s="35"/>
    </row>
    <row r="1186" spans="3:4" x14ac:dyDescent="0.25">
      <c r="C1186" s="37"/>
      <c r="D1186" s="35"/>
    </row>
    <row r="1187" spans="3:4" x14ac:dyDescent="0.25">
      <c r="C1187" s="37"/>
      <c r="D1187" s="35"/>
    </row>
    <row r="1188" spans="3:4" x14ac:dyDescent="0.25">
      <c r="C1188" s="37"/>
      <c r="D1188" s="35"/>
    </row>
    <row r="1189" spans="3:4" x14ac:dyDescent="0.25">
      <c r="C1189" s="37"/>
      <c r="D1189" s="35"/>
    </row>
    <row r="1190" spans="3:4" x14ac:dyDescent="0.25">
      <c r="C1190" s="37"/>
      <c r="D1190" s="35"/>
    </row>
    <row r="1191" spans="3:4" x14ac:dyDescent="0.25">
      <c r="C1191" s="37"/>
      <c r="D1191" s="35"/>
    </row>
    <row r="1192" spans="3:4" x14ac:dyDescent="0.25">
      <c r="C1192" s="37"/>
      <c r="D1192" s="35"/>
    </row>
    <row r="1193" spans="3:4" x14ac:dyDescent="0.25">
      <c r="C1193" s="37"/>
      <c r="D1193" s="35"/>
    </row>
    <row r="1194" spans="3:4" x14ac:dyDescent="0.25">
      <c r="C1194" s="37"/>
      <c r="D1194" s="35"/>
    </row>
    <row r="1195" spans="3:4" x14ac:dyDescent="0.25">
      <c r="C1195" s="37"/>
      <c r="D1195" s="35"/>
    </row>
    <row r="1196" spans="3:4" x14ac:dyDescent="0.25">
      <c r="C1196" s="37"/>
      <c r="D1196" s="35"/>
    </row>
    <row r="1197" spans="3:4" x14ac:dyDescent="0.25">
      <c r="C1197" s="37"/>
      <c r="D1197" s="35"/>
    </row>
    <row r="1198" spans="3:4" x14ac:dyDescent="0.25">
      <c r="C1198" s="37"/>
      <c r="D1198" s="35"/>
    </row>
    <row r="1199" spans="3:4" x14ac:dyDescent="0.25">
      <c r="C1199" s="37"/>
      <c r="D1199" s="35"/>
    </row>
    <row r="1200" spans="3:4" x14ac:dyDescent="0.25">
      <c r="C1200" s="37"/>
      <c r="D1200" s="35"/>
    </row>
    <row r="1201" spans="3:4" x14ac:dyDescent="0.25">
      <c r="C1201" s="37"/>
      <c r="D1201" s="35"/>
    </row>
    <row r="1202" spans="3:4" x14ac:dyDescent="0.25">
      <c r="C1202" s="37"/>
      <c r="D1202" s="35"/>
    </row>
    <row r="1203" spans="3:4" x14ac:dyDescent="0.25">
      <c r="C1203" s="37"/>
      <c r="D1203" s="35"/>
    </row>
    <row r="1204" spans="3:4" x14ac:dyDescent="0.25">
      <c r="C1204" s="37"/>
      <c r="D1204" s="35"/>
    </row>
    <row r="1205" spans="3:4" x14ac:dyDescent="0.25">
      <c r="C1205" s="37"/>
      <c r="D1205" s="35"/>
    </row>
    <row r="1206" spans="3:4" x14ac:dyDescent="0.25">
      <c r="C1206" s="37"/>
      <c r="D1206" s="35"/>
    </row>
    <row r="1207" spans="3:4" x14ac:dyDescent="0.25">
      <c r="C1207" s="37"/>
      <c r="D1207" s="35"/>
    </row>
    <row r="1208" spans="3:4" x14ac:dyDescent="0.25">
      <c r="C1208" s="37"/>
      <c r="D1208" s="35"/>
    </row>
    <row r="1209" spans="3:4" x14ac:dyDescent="0.25">
      <c r="C1209" s="37"/>
      <c r="D1209" s="35"/>
    </row>
    <row r="1210" spans="3:4" x14ac:dyDescent="0.25">
      <c r="C1210" s="37"/>
      <c r="D1210" s="35"/>
    </row>
    <row r="1211" spans="3:4" x14ac:dyDescent="0.25">
      <c r="C1211" s="37"/>
      <c r="D1211" s="35"/>
    </row>
    <row r="1212" spans="3:4" x14ac:dyDescent="0.25">
      <c r="C1212" s="37"/>
      <c r="D1212" s="35"/>
    </row>
    <row r="1213" spans="3:4" x14ac:dyDescent="0.25">
      <c r="C1213" s="37"/>
      <c r="D1213" s="35"/>
    </row>
    <row r="1214" spans="3:4" x14ac:dyDescent="0.25">
      <c r="C1214" s="37"/>
      <c r="D1214" s="35"/>
    </row>
    <row r="1215" spans="3:4" x14ac:dyDescent="0.25">
      <c r="C1215" s="37"/>
      <c r="D1215" s="35"/>
    </row>
    <row r="1216" spans="3:4" x14ac:dyDescent="0.25">
      <c r="C1216" s="37"/>
      <c r="D1216" s="35"/>
    </row>
    <row r="1217" spans="3:4" x14ac:dyDescent="0.25">
      <c r="C1217" s="37"/>
      <c r="D1217" s="35"/>
    </row>
    <row r="1218" spans="3:4" x14ac:dyDescent="0.25">
      <c r="C1218" s="37"/>
      <c r="D1218" s="35"/>
    </row>
    <row r="1219" spans="3:4" x14ac:dyDescent="0.25">
      <c r="C1219" s="37"/>
      <c r="D1219" s="35"/>
    </row>
    <row r="1220" spans="3:4" x14ac:dyDescent="0.25">
      <c r="C1220" s="37"/>
      <c r="D1220" s="35"/>
    </row>
    <row r="1221" spans="3:4" x14ac:dyDescent="0.25">
      <c r="C1221" s="37"/>
      <c r="D1221" s="35"/>
    </row>
    <row r="1222" spans="3:4" x14ac:dyDescent="0.25">
      <c r="C1222" s="37"/>
      <c r="D1222" s="35"/>
    </row>
    <row r="1223" spans="3:4" x14ac:dyDescent="0.25">
      <c r="C1223" s="37"/>
      <c r="D1223" s="35"/>
    </row>
    <row r="1224" spans="3:4" x14ac:dyDescent="0.25">
      <c r="C1224" s="37"/>
      <c r="D1224" s="35"/>
    </row>
    <row r="1225" spans="3:4" x14ac:dyDescent="0.25">
      <c r="C1225" s="37"/>
      <c r="D1225" s="35"/>
    </row>
    <row r="1226" spans="3:4" x14ac:dyDescent="0.25">
      <c r="C1226" s="37"/>
      <c r="D1226" s="35"/>
    </row>
    <row r="1227" spans="3:4" x14ac:dyDescent="0.25">
      <c r="C1227" s="37"/>
      <c r="D1227" s="35"/>
    </row>
    <row r="1228" spans="3:4" x14ac:dyDescent="0.25">
      <c r="C1228" s="37"/>
      <c r="D1228" s="35"/>
    </row>
    <row r="1229" spans="3:4" x14ac:dyDescent="0.25">
      <c r="C1229" s="37"/>
      <c r="D1229" s="35"/>
    </row>
    <row r="1230" spans="3:4" x14ac:dyDescent="0.25">
      <c r="C1230" s="37"/>
      <c r="D1230" s="35"/>
    </row>
    <row r="1231" spans="3:4" x14ac:dyDescent="0.25">
      <c r="C1231" s="37"/>
      <c r="D1231" s="35"/>
    </row>
    <row r="1232" spans="3:4" x14ac:dyDescent="0.25">
      <c r="C1232" s="37"/>
      <c r="D1232" s="35"/>
    </row>
    <row r="1233" spans="3:4" x14ac:dyDescent="0.25">
      <c r="C1233" s="37"/>
      <c r="D1233" s="35"/>
    </row>
    <row r="1234" spans="3:4" x14ac:dyDescent="0.25">
      <c r="C1234" s="37"/>
      <c r="D1234" s="35"/>
    </row>
    <row r="1235" spans="3:4" x14ac:dyDescent="0.25">
      <c r="C1235" s="37"/>
      <c r="D1235" s="35"/>
    </row>
    <row r="1236" spans="3:4" x14ac:dyDescent="0.25">
      <c r="C1236" s="37"/>
      <c r="D1236" s="35"/>
    </row>
    <row r="1237" spans="3:4" x14ac:dyDescent="0.25">
      <c r="C1237" s="37"/>
      <c r="D1237" s="35"/>
    </row>
    <row r="1238" spans="3:4" x14ac:dyDescent="0.25">
      <c r="C1238" s="37"/>
      <c r="D1238" s="35"/>
    </row>
    <row r="1239" spans="3:4" x14ac:dyDescent="0.25">
      <c r="C1239" s="37"/>
      <c r="D1239" s="35"/>
    </row>
    <row r="1240" spans="3:4" x14ac:dyDescent="0.25">
      <c r="C1240" s="37"/>
      <c r="D1240" s="35"/>
    </row>
    <row r="1241" spans="3:4" x14ac:dyDescent="0.25">
      <c r="C1241" s="37"/>
      <c r="D1241" s="35"/>
    </row>
    <row r="1242" spans="3:4" x14ac:dyDescent="0.25">
      <c r="C1242" s="37"/>
      <c r="D1242" s="35"/>
    </row>
    <row r="1243" spans="3:4" x14ac:dyDescent="0.25">
      <c r="C1243" s="37"/>
      <c r="D1243" s="35"/>
    </row>
    <row r="1244" spans="3:4" x14ac:dyDescent="0.25">
      <c r="C1244" s="37"/>
      <c r="D1244" s="35"/>
    </row>
    <row r="1245" spans="3:4" x14ac:dyDescent="0.25">
      <c r="C1245" s="37"/>
      <c r="D1245" s="35"/>
    </row>
    <row r="1246" spans="3:4" x14ac:dyDescent="0.25">
      <c r="C1246" s="37"/>
      <c r="D1246" s="35"/>
    </row>
    <row r="1247" spans="3:4" x14ac:dyDescent="0.25">
      <c r="C1247" s="37"/>
      <c r="D1247" s="35"/>
    </row>
    <row r="1248" spans="3:4" x14ac:dyDescent="0.25">
      <c r="C1248" s="37"/>
      <c r="D1248" s="35"/>
    </row>
    <row r="1249" spans="3:4" x14ac:dyDescent="0.25">
      <c r="C1249" s="37"/>
      <c r="D1249" s="35"/>
    </row>
    <row r="1250" spans="3:4" x14ac:dyDescent="0.25">
      <c r="C1250" s="37"/>
      <c r="D1250" s="35"/>
    </row>
    <row r="1251" spans="3:4" x14ac:dyDescent="0.25">
      <c r="C1251" s="37"/>
      <c r="D1251" s="35"/>
    </row>
    <row r="1252" spans="3:4" x14ac:dyDescent="0.25">
      <c r="C1252" s="37"/>
      <c r="D1252" s="35"/>
    </row>
    <row r="1253" spans="3:4" x14ac:dyDescent="0.25">
      <c r="C1253" s="37"/>
      <c r="D1253" s="35"/>
    </row>
    <row r="1254" spans="3:4" x14ac:dyDescent="0.25">
      <c r="C1254" s="37"/>
      <c r="D1254" s="35"/>
    </row>
    <row r="1255" spans="3:4" x14ac:dyDescent="0.25">
      <c r="C1255" s="37"/>
      <c r="D1255" s="35"/>
    </row>
    <row r="1256" spans="3:4" x14ac:dyDescent="0.25">
      <c r="C1256" s="37"/>
      <c r="D1256" s="35"/>
    </row>
    <row r="1257" spans="3:4" x14ac:dyDescent="0.25">
      <c r="C1257" s="37"/>
      <c r="D1257" s="35"/>
    </row>
    <row r="1258" spans="3:4" x14ac:dyDescent="0.25">
      <c r="C1258" s="37"/>
      <c r="D1258" s="35"/>
    </row>
    <row r="1259" spans="3:4" x14ac:dyDescent="0.25">
      <c r="C1259" s="37"/>
      <c r="D1259" s="35"/>
    </row>
    <row r="1260" spans="3:4" x14ac:dyDescent="0.25">
      <c r="C1260" s="37"/>
      <c r="D1260" s="35"/>
    </row>
    <row r="1261" spans="3:4" x14ac:dyDescent="0.25">
      <c r="C1261" s="37"/>
      <c r="D1261" s="35"/>
    </row>
    <row r="1262" spans="3:4" x14ac:dyDescent="0.25">
      <c r="C1262" s="37"/>
      <c r="D1262" s="35"/>
    </row>
    <row r="1263" spans="3:4" x14ac:dyDescent="0.25">
      <c r="C1263" s="37"/>
      <c r="D1263" s="35"/>
    </row>
    <row r="1264" spans="3:4" x14ac:dyDescent="0.25">
      <c r="C1264" s="37"/>
      <c r="D1264" s="35"/>
    </row>
    <row r="1265" spans="3:4" x14ac:dyDescent="0.25">
      <c r="C1265" s="37"/>
      <c r="D1265" s="35"/>
    </row>
    <row r="1266" spans="3:4" x14ac:dyDescent="0.25">
      <c r="C1266" s="37"/>
      <c r="D1266" s="35"/>
    </row>
    <row r="1267" spans="3:4" x14ac:dyDescent="0.25">
      <c r="C1267" s="37"/>
      <c r="D1267" s="35"/>
    </row>
    <row r="1268" spans="3:4" x14ac:dyDescent="0.25">
      <c r="C1268" s="37"/>
      <c r="D1268" s="35"/>
    </row>
    <row r="1269" spans="3:4" x14ac:dyDescent="0.25">
      <c r="C1269" s="37"/>
      <c r="D1269" s="35"/>
    </row>
    <row r="1270" spans="3:4" x14ac:dyDescent="0.25">
      <c r="C1270" s="37"/>
      <c r="D1270" s="35"/>
    </row>
    <row r="1271" spans="3:4" x14ac:dyDescent="0.25">
      <c r="C1271" s="37"/>
      <c r="D1271" s="35"/>
    </row>
    <row r="1272" spans="3:4" x14ac:dyDescent="0.25">
      <c r="C1272" s="37"/>
      <c r="D1272" s="35"/>
    </row>
    <row r="1273" spans="3:4" x14ac:dyDescent="0.25">
      <c r="C1273" s="37"/>
      <c r="D1273" s="35"/>
    </row>
    <row r="1274" spans="3:4" x14ac:dyDescent="0.25">
      <c r="C1274" s="37"/>
      <c r="D1274" s="35"/>
    </row>
    <row r="1275" spans="3:4" x14ac:dyDescent="0.25">
      <c r="C1275" s="37"/>
      <c r="D1275" s="35"/>
    </row>
    <row r="1276" spans="3:4" x14ac:dyDescent="0.25">
      <c r="C1276" s="37"/>
      <c r="D1276" s="35"/>
    </row>
    <row r="1277" spans="3:4" x14ac:dyDescent="0.25">
      <c r="C1277" s="37"/>
      <c r="D1277" s="35"/>
    </row>
    <row r="1278" spans="3:4" x14ac:dyDescent="0.25">
      <c r="C1278" s="37"/>
      <c r="D1278" s="35"/>
    </row>
    <row r="1279" spans="3:4" x14ac:dyDescent="0.25">
      <c r="C1279" s="37"/>
      <c r="D1279" s="35"/>
    </row>
    <row r="1280" spans="3:4" x14ac:dyDescent="0.25">
      <c r="C1280" s="37"/>
      <c r="D1280" s="35"/>
    </row>
    <row r="1281" spans="3:4" x14ac:dyDescent="0.25">
      <c r="C1281" s="37"/>
      <c r="D1281" s="35"/>
    </row>
    <row r="1282" spans="3:4" x14ac:dyDescent="0.25">
      <c r="C1282" s="37"/>
      <c r="D1282" s="35"/>
    </row>
    <row r="1283" spans="3:4" x14ac:dyDescent="0.25">
      <c r="C1283" s="37"/>
      <c r="D1283" s="35"/>
    </row>
    <row r="1284" spans="3:4" x14ac:dyDescent="0.25">
      <c r="C1284" s="37"/>
      <c r="D1284" s="35"/>
    </row>
    <row r="1285" spans="3:4" x14ac:dyDescent="0.25">
      <c r="C1285" s="37"/>
      <c r="D1285" s="35"/>
    </row>
    <row r="1286" spans="3:4" x14ac:dyDescent="0.25">
      <c r="C1286" s="37"/>
      <c r="D1286" s="35"/>
    </row>
    <row r="1287" spans="3:4" x14ac:dyDescent="0.25">
      <c r="C1287" s="37"/>
      <c r="D1287" s="35"/>
    </row>
    <row r="1288" spans="3:4" x14ac:dyDescent="0.25">
      <c r="C1288" s="37"/>
      <c r="D1288" s="35"/>
    </row>
    <row r="1289" spans="3:4" x14ac:dyDescent="0.25">
      <c r="C1289" s="37"/>
      <c r="D1289" s="35"/>
    </row>
    <row r="1290" spans="3:4" x14ac:dyDescent="0.25">
      <c r="C1290" s="37"/>
      <c r="D1290" s="35"/>
    </row>
    <row r="1291" spans="3:4" x14ac:dyDescent="0.25">
      <c r="C1291" s="37"/>
      <c r="D1291" s="35"/>
    </row>
    <row r="1292" spans="3:4" x14ac:dyDescent="0.25">
      <c r="C1292" s="37"/>
      <c r="D1292" s="35"/>
    </row>
    <row r="1293" spans="3:4" x14ac:dyDescent="0.25">
      <c r="C1293" s="37"/>
      <c r="D1293" s="35"/>
    </row>
    <row r="1294" spans="3:4" x14ac:dyDescent="0.25">
      <c r="C1294" s="37"/>
      <c r="D1294" s="35"/>
    </row>
    <row r="1295" spans="3:4" x14ac:dyDescent="0.25">
      <c r="C1295" s="37"/>
      <c r="D1295" s="35"/>
    </row>
    <row r="1296" spans="3:4" x14ac:dyDescent="0.25">
      <c r="C1296" s="37"/>
      <c r="D1296" s="35"/>
    </row>
    <row r="1297" spans="3:4" x14ac:dyDescent="0.25">
      <c r="C1297" s="37"/>
      <c r="D1297" s="35"/>
    </row>
    <row r="1298" spans="3:4" x14ac:dyDescent="0.25">
      <c r="C1298" s="37"/>
      <c r="D1298" s="35"/>
    </row>
    <row r="1299" spans="3:4" x14ac:dyDescent="0.25">
      <c r="C1299" s="37"/>
      <c r="D1299" s="35"/>
    </row>
    <row r="1300" spans="3:4" x14ac:dyDescent="0.25">
      <c r="C1300" s="37"/>
      <c r="D1300" s="35"/>
    </row>
    <row r="1301" spans="3:4" x14ac:dyDescent="0.25">
      <c r="C1301" s="37"/>
      <c r="D1301" s="35"/>
    </row>
    <row r="1302" spans="3:4" x14ac:dyDescent="0.25">
      <c r="C1302" s="37"/>
      <c r="D1302" s="35"/>
    </row>
    <row r="1303" spans="3:4" x14ac:dyDescent="0.25">
      <c r="C1303" s="37"/>
      <c r="D1303" s="35"/>
    </row>
    <row r="1304" spans="3:4" x14ac:dyDescent="0.25">
      <c r="C1304" s="37"/>
      <c r="D1304" s="35"/>
    </row>
    <row r="1305" spans="3:4" x14ac:dyDescent="0.25">
      <c r="C1305" s="37"/>
      <c r="D1305" s="35"/>
    </row>
    <row r="1306" spans="3:4" x14ac:dyDescent="0.25">
      <c r="C1306" s="37"/>
      <c r="D1306" s="35"/>
    </row>
    <row r="1307" spans="3:4" x14ac:dyDescent="0.25">
      <c r="C1307" s="37"/>
      <c r="D1307" s="35"/>
    </row>
    <row r="1308" spans="3:4" x14ac:dyDescent="0.25">
      <c r="C1308" s="37"/>
      <c r="D1308" s="35"/>
    </row>
    <row r="1309" spans="3:4" x14ac:dyDescent="0.25">
      <c r="C1309" s="37"/>
      <c r="D1309" s="35"/>
    </row>
    <row r="1310" spans="3:4" x14ac:dyDescent="0.25">
      <c r="C1310" s="37"/>
      <c r="D1310" s="35"/>
    </row>
    <row r="1311" spans="3:4" x14ac:dyDescent="0.25">
      <c r="C1311" s="37"/>
      <c r="D1311" s="35"/>
    </row>
    <row r="1312" spans="3:4" x14ac:dyDescent="0.25">
      <c r="C1312" s="37"/>
      <c r="D1312" s="35"/>
    </row>
    <row r="1313" spans="3:4" x14ac:dyDescent="0.25">
      <c r="C1313" s="37"/>
      <c r="D1313" s="35"/>
    </row>
    <row r="1314" spans="3:4" x14ac:dyDescent="0.25">
      <c r="C1314" s="37"/>
      <c r="D1314" s="35"/>
    </row>
    <row r="1315" spans="3:4" x14ac:dyDescent="0.25">
      <c r="C1315" s="37"/>
      <c r="D1315" s="35"/>
    </row>
    <row r="1316" spans="3:4" x14ac:dyDescent="0.25">
      <c r="C1316" s="37"/>
      <c r="D1316" s="35"/>
    </row>
    <row r="1317" spans="3:4" x14ac:dyDescent="0.25">
      <c r="C1317" s="37"/>
      <c r="D1317" s="35"/>
    </row>
    <row r="1318" spans="3:4" x14ac:dyDescent="0.25">
      <c r="C1318" s="37"/>
      <c r="D1318" s="35"/>
    </row>
    <row r="1319" spans="3:4" x14ac:dyDescent="0.25">
      <c r="C1319" s="37"/>
      <c r="D1319" s="35"/>
    </row>
    <row r="1320" spans="3:4" x14ac:dyDescent="0.25">
      <c r="C1320" s="37"/>
      <c r="D1320" s="35"/>
    </row>
    <row r="1321" spans="3:4" x14ac:dyDescent="0.25">
      <c r="C1321" s="37"/>
      <c r="D1321" s="35"/>
    </row>
    <row r="1322" spans="3:4" x14ac:dyDescent="0.25">
      <c r="C1322" s="37"/>
      <c r="D1322" s="35"/>
    </row>
    <row r="1323" spans="3:4" x14ac:dyDescent="0.25">
      <c r="C1323" s="37"/>
      <c r="D1323" s="35"/>
    </row>
    <row r="1324" spans="3:4" x14ac:dyDescent="0.25">
      <c r="C1324" s="37"/>
      <c r="D1324" s="35"/>
    </row>
    <row r="1325" spans="3:4" x14ac:dyDescent="0.25">
      <c r="C1325" s="37"/>
      <c r="D1325" s="35"/>
    </row>
    <row r="1326" spans="3:4" x14ac:dyDescent="0.25">
      <c r="C1326" s="37"/>
      <c r="D1326" s="35"/>
    </row>
    <row r="1327" spans="3:4" x14ac:dyDescent="0.25">
      <c r="C1327" s="37"/>
      <c r="D1327" s="35"/>
    </row>
    <row r="1328" spans="3:4" x14ac:dyDescent="0.25">
      <c r="C1328" s="37"/>
      <c r="D1328" s="35"/>
    </row>
    <row r="1329" spans="3:4" x14ac:dyDescent="0.25">
      <c r="C1329" s="37"/>
      <c r="D1329" s="35"/>
    </row>
    <row r="1330" spans="3:4" x14ac:dyDescent="0.25">
      <c r="C1330" s="37"/>
      <c r="D1330" s="35"/>
    </row>
    <row r="1331" spans="3:4" x14ac:dyDescent="0.25">
      <c r="C1331" s="37"/>
      <c r="D1331" s="35"/>
    </row>
    <row r="1332" spans="3:4" x14ac:dyDescent="0.25">
      <c r="C1332" s="37"/>
      <c r="D1332" s="35"/>
    </row>
    <row r="1333" spans="3:4" x14ac:dyDescent="0.25">
      <c r="C1333" s="37"/>
      <c r="D1333" s="35"/>
    </row>
  </sheetData>
  <mergeCells count="18">
    <mergeCell ref="N2:O2"/>
    <mergeCell ref="D2:E2"/>
    <mergeCell ref="F2:G2"/>
    <mergeCell ref="H2:I2"/>
    <mergeCell ref="J2:K2"/>
    <mergeCell ref="L2:M2"/>
    <mergeCell ref="N29:O29"/>
    <mergeCell ref="D17:E17"/>
    <mergeCell ref="F17:G17"/>
    <mergeCell ref="H17:I17"/>
    <mergeCell ref="J17:K17"/>
    <mergeCell ref="L17:M17"/>
    <mergeCell ref="N17:O17"/>
    <mergeCell ref="D29:E29"/>
    <mergeCell ref="F29:G29"/>
    <mergeCell ref="H29:I29"/>
    <mergeCell ref="J29:K29"/>
    <mergeCell ref="L29:M29"/>
  </mergeCells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17D9A-60E2-4989-A0E6-90F987A06194}">
  <dimension ref="A1:AC51"/>
  <sheetViews>
    <sheetView workbookViewId="0"/>
  </sheetViews>
  <sheetFormatPr defaultRowHeight="15" outlineLevelCol="1" x14ac:dyDescent="0.25"/>
  <cols>
    <col min="1" max="1" width="3.85546875" customWidth="1"/>
    <col min="2" max="2" width="25.140625" bestFit="1" customWidth="1"/>
    <col min="3" max="3" width="21.7109375" style="11" bestFit="1" customWidth="1"/>
    <col min="4" max="4" width="10.28515625" style="6" customWidth="1"/>
    <col min="5" max="5" width="19.5703125" style="11" bestFit="1" customWidth="1"/>
    <col min="6" max="6" width="7.140625" style="6" bestFit="1" customWidth="1"/>
    <col min="7" max="7" width="19.5703125" style="11" bestFit="1" customWidth="1"/>
    <col min="8" max="8" width="9.140625" style="6"/>
    <col min="9" max="9" width="19.5703125" style="11" bestFit="1" customWidth="1"/>
    <col min="10" max="10" width="7.140625" style="6" bestFit="1" customWidth="1"/>
    <col min="11" max="11" width="18" style="11" bestFit="1" customWidth="1"/>
    <col min="12" max="12" width="7.140625" style="5" bestFit="1" customWidth="1"/>
    <col min="13" max="13" width="19.5703125" style="10" bestFit="1" customWidth="1"/>
    <col min="14" max="14" width="8.140625" style="10" bestFit="1" customWidth="1"/>
    <col min="15" max="15" width="19.5703125" style="10" customWidth="1"/>
    <col min="16" max="16" width="7.140625" bestFit="1" customWidth="1"/>
    <col min="17" max="18" width="7.140625" hidden="1" customWidth="1" outlineLevel="1"/>
    <col min="19" max="19" width="18" bestFit="1" customWidth="1" collapsed="1"/>
    <col min="20" max="20" width="16.85546875" bestFit="1" customWidth="1"/>
    <col min="21" max="21" width="18" bestFit="1" customWidth="1"/>
    <col min="22" max="22" width="16.85546875" bestFit="1" customWidth="1"/>
    <col min="23" max="23" width="15.28515625" bestFit="1" customWidth="1"/>
    <col min="25" max="25" width="7.85546875" bestFit="1" customWidth="1"/>
    <col min="26" max="26" width="11.140625" bestFit="1" customWidth="1"/>
    <col min="27" max="27" width="13.28515625" bestFit="1" customWidth="1"/>
    <col min="28" max="28" width="7.85546875" bestFit="1" customWidth="1"/>
    <col min="29" max="29" width="8.140625" bestFit="1" customWidth="1"/>
  </cols>
  <sheetData>
    <row r="1" spans="1:29" ht="9" customHeight="1" x14ac:dyDescent="0.25"/>
    <row r="2" spans="1:29" x14ac:dyDescent="0.25">
      <c r="B2" s="4" t="s">
        <v>1</v>
      </c>
      <c r="C2" s="9" t="s">
        <v>4</v>
      </c>
      <c r="D2" s="112" t="s">
        <v>7</v>
      </c>
      <c r="E2" s="112"/>
      <c r="F2" s="112" t="s">
        <v>8</v>
      </c>
      <c r="G2" s="112"/>
      <c r="H2" s="112" t="s">
        <v>10</v>
      </c>
      <c r="I2" s="112"/>
      <c r="J2" s="112" t="s">
        <v>9</v>
      </c>
      <c r="K2" s="112"/>
      <c r="L2" s="112" t="s">
        <v>21</v>
      </c>
      <c r="M2" s="112"/>
      <c r="N2" s="112" t="s">
        <v>55</v>
      </c>
      <c r="O2" s="112"/>
      <c r="Q2" s="1" t="s">
        <v>46</v>
      </c>
      <c r="S2" s="27" t="s">
        <v>49</v>
      </c>
      <c r="T2" s="27" t="s">
        <v>50</v>
      </c>
      <c r="U2" s="27" t="s">
        <v>51</v>
      </c>
      <c r="V2" s="27" t="s">
        <v>52</v>
      </c>
      <c r="W2" s="27" t="s">
        <v>53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</row>
    <row r="3" spans="1:29" x14ac:dyDescent="0.25">
      <c r="A3" s="29"/>
      <c r="B3" s="21" t="s">
        <v>5</v>
      </c>
      <c r="C3" s="23">
        <v>560796859.01999998</v>
      </c>
      <c r="D3" s="26">
        <v>0.37</v>
      </c>
      <c r="E3" s="23">
        <f>D3*C3</f>
        <v>207494837.83739999</v>
      </c>
      <c r="F3" s="26">
        <v>0.26300000000000001</v>
      </c>
      <c r="G3" s="22">
        <f>F3*C3</f>
        <v>147489573.92226002</v>
      </c>
      <c r="H3" s="26">
        <v>0.27300000000000002</v>
      </c>
      <c r="I3" s="23">
        <f>H3*C3</f>
        <v>153097542.51245999</v>
      </c>
      <c r="J3" s="26">
        <v>4.2999999999999997E-2</v>
      </c>
      <c r="K3" s="23">
        <f>J3*C3</f>
        <v>24114264.937859997</v>
      </c>
      <c r="L3" s="24"/>
      <c r="M3" s="25">
        <f>L3*C3</f>
        <v>0</v>
      </c>
      <c r="N3" s="14">
        <v>5.0999999999999997E-2</v>
      </c>
      <c r="O3" s="12">
        <f>N3*C3</f>
        <v>28600639.810019996</v>
      </c>
      <c r="S3" s="12">
        <f>+E3-'Jan23'!E3</f>
        <v>-122134096.13628003</v>
      </c>
      <c r="T3" s="12">
        <f>+G3-'Jan23'!G3</f>
        <v>-21989453.451000005</v>
      </c>
      <c r="U3" s="12">
        <f>+I3-'Jan23'!I3</f>
        <v>-51365687.758950025</v>
      </c>
      <c r="V3" s="12">
        <f>+K3-'Jan23'!K3</f>
        <v>-24086192.388480008</v>
      </c>
      <c r="W3" s="12">
        <f>+M3-'Jan23'!M3</f>
        <v>0</v>
      </c>
      <c r="Y3" s="28">
        <f>+D3-'Jan23'!D3</f>
        <v>-5.3999999999999992E-2</v>
      </c>
      <c r="Z3" s="28">
        <f>+F3-'Jan23'!F3</f>
        <v>4.5000000000000012E-2</v>
      </c>
      <c r="AA3" s="28">
        <f>+H3-'Jan23'!H3</f>
        <v>1.0000000000000009E-2</v>
      </c>
      <c r="AB3" s="28">
        <f>+J3-'Jan23'!J3</f>
        <v>-1.9000000000000003E-2</v>
      </c>
      <c r="AC3" s="28">
        <f>+L3-'Jan23'!L3</f>
        <v>0</v>
      </c>
    </row>
    <row r="4" spans="1:29" x14ac:dyDescent="0.25">
      <c r="B4" s="3" t="s">
        <v>0</v>
      </c>
      <c r="C4" s="12">
        <v>1463019946</v>
      </c>
      <c r="D4" s="14">
        <v>0.36</v>
      </c>
      <c r="E4" s="12">
        <f t="shared" ref="E4:E14" si="0">D4*C4</f>
        <v>526687180.56</v>
      </c>
      <c r="F4" s="14">
        <v>7.0000000000000007E-2</v>
      </c>
      <c r="G4" s="12">
        <f t="shared" ref="G4:G14" si="1">F4*C4</f>
        <v>102411396.22000001</v>
      </c>
      <c r="H4" s="14">
        <v>0.5</v>
      </c>
      <c r="I4" s="12">
        <f t="shared" ref="I4:I14" si="2">H4*C4</f>
        <v>731509973</v>
      </c>
      <c r="J4" s="14">
        <v>0.05</v>
      </c>
      <c r="K4" s="12">
        <f>J4*C4</f>
        <v>73150997.299999997</v>
      </c>
      <c r="L4" s="14"/>
      <c r="M4" s="12">
        <f>L4*C4</f>
        <v>0</v>
      </c>
      <c r="N4" s="14">
        <v>0.02</v>
      </c>
      <c r="O4" s="12">
        <f t="shared" ref="O4:O14" si="3">N4*C4</f>
        <v>29260398.920000002</v>
      </c>
      <c r="S4" s="12">
        <f>+E4-'Jan23'!E4</f>
        <v>-10352905.135999978</v>
      </c>
      <c r="T4" s="12">
        <f>+G4-'Jan23'!G4</f>
        <v>-152139395.84399998</v>
      </c>
      <c r="U4" s="12">
        <f>+I4-'Jan23'!I4</f>
        <v>95132992.840000033</v>
      </c>
      <c r="V4" s="12">
        <f>+K4-'Jan23'!K4</f>
        <v>-18425202.283999994</v>
      </c>
      <c r="W4" s="12">
        <f>+M4-'Jan23'!M4</f>
        <v>0</v>
      </c>
      <c r="Y4" s="28">
        <f>+D4-'Jan23'!D4</f>
        <v>1.4000000000000012E-2</v>
      </c>
      <c r="Z4" s="28">
        <f>+F4-'Jan23'!F4</f>
        <v>-9.4E-2</v>
      </c>
      <c r="AA4" s="28">
        <f>+H4-'Jan23'!H4</f>
        <v>9.0000000000000024E-2</v>
      </c>
      <c r="AB4" s="28">
        <f>+J4-'Jan23'!J4</f>
        <v>-8.9999999999999941E-3</v>
      </c>
      <c r="AC4" s="28">
        <f>+L4-'Jan23'!L4</f>
        <v>0</v>
      </c>
    </row>
    <row r="5" spans="1:29" x14ac:dyDescent="0.25">
      <c r="B5" s="3" t="s">
        <v>3</v>
      </c>
      <c r="C5" s="12">
        <v>1754804635.77</v>
      </c>
      <c r="D5" s="14">
        <v>0.5</v>
      </c>
      <c r="E5" s="12">
        <f t="shared" si="0"/>
        <v>877402317.88499999</v>
      </c>
      <c r="F5" s="14"/>
      <c r="G5" s="12">
        <f t="shared" si="1"/>
        <v>0</v>
      </c>
      <c r="H5" s="14">
        <v>0.37</v>
      </c>
      <c r="I5" s="12">
        <f t="shared" si="2"/>
        <v>649277715.2349</v>
      </c>
      <c r="J5" s="14">
        <v>0.04</v>
      </c>
      <c r="K5" s="12">
        <f t="shared" ref="K5:K7" si="4">J5*C5</f>
        <v>70192185.430800006</v>
      </c>
      <c r="L5" s="14">
        <v>0.08</v>
      </c>
      <c r="M5" s="12">
        <f>L5*C5</f>
        <v>140384370.86160001</v>
      </c>
      <c r="N5" s="14">
        <v>0.01</v>
      </c>
      <c r="O5" s="12">
        <f t="shared" si="3"/>
        <v>17548046.357700001</v>
      </c>
      <c r="S5" s="12">
        <f>+E5-'Jan23'!E5</f>
        <v>-405576933.55350018</v>
      </c>
      <c r="T5" s="12">
        <f>+G5-'Jan23'!G5</f>
        <v>-93307581.922800004</v>
      </c>
      <c r="U5" s="12">
        <f>+I5-'Jan23'!I5</f>
        <v>-3875358.2247000933</v>
      </c>
      <c r="V5" s="12">
        <f>+K5-'Jan23'!K5</f>
        <v>-69769187.453400001</v>
      </c>
      <c r="W5" s="12">
        <f>+M5-'Jan23'!M5</f>
        <v>-22903897.503300011</v>
      </c>
      <c r="Y5" s="28">
        <f>+D5-'Jan23'!D5</f>
        <v>-5.0000000000000044E-2</v>
      </c>
      <c r="Z5" s="28">
        <f>+F5-'Jan23'!F5</f>
        <v>-0.04</v>
      </c>
      <c r="AA5" s="28">
        <f>+H5-'Jan23'!H5</f>
        <v>8.9999999999999969E-2</v>
      </c>
      <c r="AB5" s="28">
        <f>+J5-'Jan23'!J5</f>
        <v>-2.0000000000000004E-2</v>
      </c>
      <c r="AC5" s="28">
        <f>+L5-'Jan23'!L5</f>
        <v>9.999999999999995E-3</v>
      </c>
    </row>
    <row r="6" spans="1:29" x14ac:dyDescent="0.25">
      <c r="B6" s="3" t="s">
        <v>37</v>
      </c>
      <c r="C6" s="12">
        <v>1523241671.6099999</v>
      </c>
      <c r="D6" s="14">
        <v>0.42</v>
      </c>
      <c r="E6" s="12">
        <f t="shared" si="0"/>
        <v>639761502.07619989</v>
      </c>
      <c r="F6" s="14">
        <v>0.06</v>
      </c>
      <c r="G6" s="12">
        <f t="shared" si="1"/>
        <v>91394500.296599984</v>
      </c>
      <c r="H6" s="14">
        <v>0.48</v>
      </c>
      <c r="I6" s="12">
        <f t="shared" si="2"/>
        <v>731156002.37279987</v>
      </c>
      <c r="J6" s="14">
        <v>0.04</v>
      </c>
      <c r="K6" s="12">
        <f t="shared" si="4"/>
        <v>60929666.864399999</v>
      </c>
      <c r="L6" s="14"/>
      <c r="M6" s="12">
        <f>L6*C6</f>
        <v>0</v>
      </c>
      <c r="N6" s="14"/>
      <c r="O6" s="12">
        <f t="shared" si="3"/>
        <v>0</v>
      </c>
      <c r="S6" s="12">
        <f>+E6-'Jan23'!E6</f>
        <v>-1090938223.3688002</v>
      </c>
      <c r="T6" s="12">
        <f>+G6-'Jan23'!G6</f>
        <v>-740651676.85740006</v>
      </c>
      <c r="U6" s="12">
        <f>+I6-'Jan23'!I6</f>
        <v>-1787912935.5461998</v>
      </c>
      <c r="V6" s="12">
        <f>+K6-'Jan23'!K6</f>
        <v>-92485671.574099988</v>
      </c>
      <c r="W6" s="12">
        <f>+M6-'Jan23'!M6</f>
        <v>0</v>
      </c>
      <c r="Y6" s="28">
        <f>+D6-'Jan23'!D6</f>
        <v>0.10299999999999998</v>
      </c>
      <c r="Z6" s="28">
        <f>+F6-'Jan23'!F6</f>
        <v>-9.240000000000001E-2</v>
      </c>
      <c r="AA6" s="28">
        <f>+H6-'Jan23'!H6</f>
        <v>1.8600000000000005E-2</v>
      </c>
      <c r="AB6" s="28">
        <f>+J6-'Jan23'!J6</f>
        <v>1.1900000000000001E-2</v>
      </c>
      <c r="AC6" s="28">
        <f>+L6-'Jan23'!L6</f>
        <v>0</v>
      </c>
    </row>
    <row r="7" spans="1:29" x14ac:dyDescent="0.25">
      <c r="B7" s="3" t="s">
        <v>22</v>
      </c>
      <c r="C7" s="12">
        <v>1612580000</v>
      </c>
      <c r="D7" s="14">
        <v>0.313</v>
      </c>
      <c r="E7" s="12">
        <f t="shared" si="0"/>
        <v>504737540</v>
      </c>
      <c r="F7" s="14">
        <v>9.0999999999999998E-2</v>
      </c>
      <c r="G7" s="12">
        <f t="shared" si="1"/>
        <v>146744780</v>
      </c>
      <c r="H7" s="14">
        <v>0.51</v>
      </c>
      <c r="I7" s="12">
        <f t="shared" si="2"/>
        <v>822415800</v>
      </c>
      <c r="J7" s="14">
        <v>8.5000000000000006E-2</v>
      </c>
      <c r="K7" s="12">
        <f t="shared" si="4"/>
        <v>137069300</v>
      </c>
      <c r="L7" s="16"/>
      <c r="M7" s="12">
        <f t="shared" ref="M7:M14" si="5">L7*C7</f>
        <v>0</v>
      </c>
      <c r="N7" s="14"/>
      <c r="O7" s="12">
        <f t="shared" si="3"/>
        <v>0</v>
      </c>
      <c r="S7" s="12">
        <f>+E7-'Jan23'!E7</f>
        <v>-354171520.00000012</v>
      </c>
      <c r="T7" s="12">
        <f>+G7-'Jan23'!G7</f>
        <v>-132023950</v>
      </c>
      <c r="U7" s="12">
        <f>+I7-'Jan23'!I7</f>
        <v>-428276340</v>
      </c>
      <c r="V7" s="12">
        <f>+K7-'Jan23'!K7</f>
        <v>14009230</v>
      </c>
      <c r="W7" s="12">
        <f>+M7-'Jan23'!M7</f>
        <v>0</v>
      </c>
      <c r="Y7" s="28">
        <f>+D7-'Jan23'!D7</f>
        <v>-2.9000000000000026E-2</v>
      </c>
      <c r="Z7" s="28">
        <f>+F7-'Jan23'!F7</f>
        <v>-2.0000000000000004E-2</v>
      </c>
      <c r="AA7" s="28">
        <f>+H7-'Jan23'!H7</f>
        <v>1.2000000000000011E-2</v>
      </c>
      <c r="AB7" s="28">
        <f>+J7-'Jan23'!J7</f>
        <v>3.6000000000000004E-2</v>
      </c>
      <c r="AC7" s="28">
        <f>+L7-'Jan23'!L7</f>
        <v>0</v>
      </c>
    </row>
    <row r="8" spans="1:29" x14ac:dyDescent="0.25">
      <c r="B8" s="3" t="s">
        <v>23</v>
      </c>
      <c r="C8" s="12">
        <v>1505869755.22</v>
      </c>
      <c r="D8" s="14">
        <v>0.17</v>
      </c>
      <c r="E8" s="12">
        <f t="shared" si="0"/>
        <v>255997858.38740003</v>
      </c>
      <c r="F8" s="14">
        <v>0.3</v>
      </c>
      <c r="G8" s="12">
        <f t="shared" si="1"/>
        <v>451760926.56599998</v>
      </c>
      <c r="H8" s="14">
        <v>0.43</v>
      </c>
      <c r="I8" s="12">
        <f t="shared" si="2"/>
        <v>647523994.74460006</v>
      </c>
      <c r="J8" s="14">
        <v>0.08</v>
      </c>
      <c r="K8" s="12">
        <f>J8*C8</f>
        <v>120469580.41760001</v>
      </c>
      <c r="L8" s="16"/>
      <c r="M8" s="12">
        <f t="shared" si="5"/>
        <v>0</v>
      </c>
      <c r="N8" s="14">
        <v>0.02</v>
      </c>
      <c r="O8" s="12">
        <f t="shared" si="3"/>
        <v>30117395.104400001</v>
      </c>
      <c r="S8" s="12">
        <f>+E8-'Jan23'!E8</f>
        <v>-280658612.05059999</v>
      </c>
      <c r="T8" s="12">
        <f>+G8-'Jan23'!G8</f>
        <v>-36108592.013999999</v>
      </c>
      <c r="U8" s="12">
        <f>+I8-'Jan23'!I8</f>
        <v>-84280283.125399947</v>
      </c>
      <c r="V8" s="12">
        <f>+K8-'Jan23'!K8</f>
        <v>-6376494.413199991</v>
      </c>
      <c r="W8" s="12">
        <f>+M8-'Jan23'!M8</f>
        <v>0</v>
      </c>
      <c r="Y8" s="28">
        <f>+D8-'Jan23'!D8</f>
        <v>-0.10500000000000001</v>
      </c>
      <c r="Z8" s="28">
        <f>+F8-'Jan23'!F8</f>
        <v>4.9999999999999989E-2</v>
      </c>
      <c r="AA8" s="28">
        <f>+H8-'Jan23'!H8</f>
        <v>5.4999999999999993E-2</v>
      </c>
      <c r="AB8" s="28">
        <f>+J8-'Jan23'!J8</f>
        <v>1.4999999999999999E-2</v>
      </c>
      <c r="AC8" s="28">
        <f>+L8-'Jan23'!L8</f>
        <v>0</v>
      </c>
    </row>
    <row r="9" spans="1:29" x14ac:dyDescent="0.25">
      <c r="B9" s="3" t="s">
        <v>24</v>
      </c>
      <c r="C9" s="12">
        <v>2999816801</v>
      </c>
      <c r="D9" s="14">
        <v>0.36659999999999998</v>
      </c>
      <c r="E9" s="12">
        <f t="shared" si="0"/>
        <v>1099732839.2465999</v>
      </c>
      <c r="F9" s="14">
        <v>0.17330000000000001</v>
      </c>
      <c r="G9" s="12">
        <f t="shared" si="1"/>
        <v>519868251.61330003</v>
      </c>
      <c r="H9" s="14">
        <v>0.41499999999999998</v>
      </c>
      <c r="I9" s="12">
        <f t="shared" si="2"/>
        <v>1244923972.415</v>
      </c>
      <c r="J9" s="14">
        <v>3.3599999999999998E-2</v>
      </c>
      <c r="K9" s="12">
        <f>J9*C9</f>
        <v>100793844.51359999</v>
      </c>
      <c r="L9" s="16"/>
      <c r="M9" s="12">
        <f t="shared" si="5"/>
        <v>0</v>
      </c>
      <c r="N9" s="14">
        <v>1.15E-2</v>
      </c>
      <c r="O9" s="12">
        <f t="shared" si="3"/>
        <v>34497893.211499996</v>
      </c>
      <c r="S9" s="12">
        <f>+E9-'Jan23'!E9</f>
        <v>-1410937014.51</v>
      </c>
      <c r="T9" s="12">
        <f>+G9-'Jan23'!G9</f>
        <v>-281603140.63790005</v>
      </c>
      <c r="U9" s="12">
        <f>+I9-'Jan23'!I9</f>
        <v>-333731800.20099998</v>
      </c>
      <c r="V9" s="12">
        <f>+K9-'Jan23'!K9</f>
        <v>-26712967.890000015</v>
      </c>
      <c r="W9" s="12">
        <f>+M9-'Jan23'!M9</f>
        <v>0</v>
      </c>
      <c r="Y9" s="28">
        <f>+D9-'Jan23'!D9</f>
        <v>-0.12959999999999999</v>
      </c>
      <c r="Z9" s="28">
        <f>+F9-'Jan23'!F9</f>
        <v>1.4899999999999997E-2</v>
      </c>
      <c r="AA9" s="28">
        <f>+H9-'Jan23'!H9</f>
        <v>0.10299999999999998</v>
      </c>
      <c r="AB9" s="28">
        <f>+J9-'Jan23'!J9</f>
        <v>8.3999999999999977E-3</v>
      </c>
      <c r="AC9" s="28">
        <f>+L9-'Jan23'!L9</f>
        <v>0</v>
      </c>
    </row>
    <row r="10" spans="1:29" x14ac:dyDescent="0.25">
      <c r="B10" s="3" t="s">
        <v>25</v>
      </c>
      <c r="C10" s="12">
        <v>657208928</v>
      </c>
      <c r="D10" s="14">
        <v>0.35</v>
      </c>
      <c r="E10" s="12">
        <f t="shared" si="0"/>
        <v>230023124.79999998</v>
      </c>
      <c r="F10" s="14">
        <v>0.17</v>
      </c>
      <c r="G10" s="12">
        <f t="shared" si="1"/>
        <v>111725517.76000001</v>
      </c>
      <c r="H10" s="14">
        <v>0.42</v>
      </c>
      <c r="I10" s="12">
        <f t="shared" si="2"/>
        <v>276027749.75999999</v>
      </c>
      <c r="J10" s="14">
        <v>0.06</v>
      </c>
      <c r="K10" s="12">
        <f>J10*C10</f>
        <v>39432535.68</v>
      </c>
      <c r="L10" s="16"/>
      <c r="M10" s="12">
        <f t="shared" si="5"/>
        <v>0</v>
      </c>
      <c r="N10" s="14"/>
      <c r="O10" s="12">
        <f t="shared" si="3"/>
        <v>0</v>
      </c>
      <c r="S10" s="12">
        <f>+E10-'Jan23'!E10</f>
        <v>-86031286.24999997</v>
      </c>
      <c r="T10" s="12">
        <f>+G10-'Jan23'!G10</f>
        <v>-32756498.719999984</v>
      </c>
      <c r="U10" s="12">
        <f>+I10-'Jan23'!I10</f>
        <v>-103237543.5</v>
      </c>
      <c r="V10" s="12">
        <f>+K10-'Jan23'!K10</f>
        <v>-23778346.530000009</v>
      </c>
      <c r="W10" s="12">
        <f>+M10-'Jan23'!M10</f>
        <v>0</v>
      </c>
      <c r="Y10" s="28">
        <f>+D10-'Jan23'!D10</f>
        <v>0</v>
      </c>
      <c r="Z10" s="28">
        <f>+F10-'Jan23'!F10</f>
        <v>1.0000000000000009E-2</v>
      </c>
      <c r="AA10" s="28">
        <f>+H10-'Jan23'!H10</f>
        <v>0</v>
      </c>
      <c r="AB10" s="28">
        <f>+J10-'Jan23'!J10</f>
        <v>-1.0000000000000009E-2</v>
      </c>
      <c r="AC10" s="28">
        <f>+L10-'Jan23'!L10</f>
        <v>0</v>
      </c>
    </row>
    <row r="11" spans="1:29" x14ac:dyDescent="0.25">
      <c r="B11" s="3" t="s">
        <v>29</v>
      </c>
      <c r="C11" s="12">
        <v>3553528278</v>
      </c>
      <c r="D11" s="14">
        <v>0.27900000000000003</v>
      </c>
      <c r="E11" s="12">
        <f t="shared" si="0"/>
        <v>991434389.56200004</v>
      </c>
      <c r="F11" s="14">
        <v>0.34300000000000003</v>
      </c>
      <c r="G11" s="12">
        <f t="shared" si="1"/>
        <v>1218860199.3540001</v>
      </c>
      <c r="H11" s="14">
        <v>0.34200000000000003</v>
      </c>
      <c r="I11" s="12">
        <f t="shared" si="2"/>
        <v>1215306671.076</v>
      </c>
      <c r="J11" s="14">
        <v>3.5999999999999997E-2</v>
      </c>
      <c r="K11" s="12">
        <f>J11*C11</f>
        <v>127927018.00799999</v>
      </c>
      <c r="L11" s="16"/>
      <c r="M11" s="12">
        <f t="shared" si="5"/>
        <v>0</v>
      </c>
      <c r="N11" s="14"/>
      <c r="O11" s="12">
        <f t="shared" si="3"/>
        <v>0</v>
      </c>
      <c r="S11" s="12">
        <f>+E11-'Jan23'!E11</f>
        <v>-627626429.27600002</v>
      </c>
      <c r="T11" s="12">
        <f>+G11-'Jan23'!G11</f>
        <v>-573156671.34799981</v>
      </c>
      <c r="U11" s="12">
        <f>+I11-'Jan23'!I11</f>
        <v>-38624704.937999964</v>
      </c>
      <c r="V11" s="12">
        <f>+K11-'Jan23'!K11</f>
        <v>-11398690.438000023</v>
      </c>
      <c r="W11" s="12">
        <f>+M11-'Jan23'!M11</f>
        <v>0</v>
      </c>
      <c r="Y11" s="28">
        <f>+D11-'Jan23'!D11</f>
        <v>-5.7999999999999996E-2</v>
      </c>
      <c r="Z11" s="28">
        <f>+F11-'Jan23'!F11</f>
        <v>-2.9999999999999971E-2</v>
      </c>
      <c r="AA11" s="28">
        <f>+H11-'Jan23'!H11</f>
        <v>8.1000000000000016E-2</v>
      </c>
      <c r="AB11" s="28">
        <f>+J11-'Jan23'!J11</f>
        <v>6.9999999999999958E-3</v>
      </c>
      <c r="AC11" s="28">
        <f>+L11-'Jan23'!L11</f>
        <v>0</v>
      </c>
    </row>
    <row r="12" spans="1:29" x14ac:dyDescent="0.25">
      <c r="B12" s="3" t="s">
        <v>47</v>
      </c>
      <c r="C12" s="12">
        <v>1796676000</v>
      </c>
      <c r="D12" s="14">
        <v>0.64200000000000002</v>
      </c>
      <c r="E12" s="12">
        <f t="shared" si="0"/>
        <v>1153465992</v>
      </c>
      <c r="F12" s="14">
        <v>0.11600000000000001</v>
      </c>
      <c r="G12" s="12">
        <f t="shared" si="1"/>
        <v>208414416</v>
      </c>
      <c r="H12" s="14">
        <v>0.24199999999999999</v>
      </c>
      <c r="I12" s="12">
        <f t="shared" si="2"/>
        <v>434795592</v>
      </c>
      <c r="J12" s="14"/>
      <c r="K12" s="12">
        <f t="shared" ref="K12:K14" si="6">J12*C12</f>
        <v>0</v>
      </c>
      <c r="L12" s="16"/>
      <c r="M12" s="12">
        <f t="shared" si="5"/>
        <v>0</v>
      </c>
      <c r="N12" s="14"/>
      <c r="O12" s="12">
        <f t="shared" si="3"/>
        <v>0</v>
      </c>
      <c r="Q12" t="s">
        <v>48</v>
      </c>
      <c r="S12" s="12">
        <f>+E12-'Jan23'!E12</f>
        <v>0</v>
      </c>
      <c r="T12" s="12">
        <f>+G12-'Jan23'!G12</f>
        <v>0</v>
      </c>
      <c r="U12" s="12">
        <f>+I12-'Jan23'!I12</f>
        <v>0</v>
      </c>
      <c r="V12" s="12">
        <f>+K12-'Jan23'!K12</f>
        <v>0</v>
      </c>
      <c r="W12" s="12">
        <f>+M12-'Jan23'!M12</f>
        <v>0</v>
      </c>
      <c r="Y12" s="28">
        <f>+D12-'Jan23'!D12</f>
        <v>0</v>
      </c>
      <c r="Z12" s="28">
        <f>+F12-'Jan23'!F12</f>
        <v>0</v>
      </c>
      <c r="AA12" s="28">
        <f>+H12-'Jan23'!H12</f>
        <v>0</v>
      </c>
      <c r="AB12" s="28">
        <f>+J12-'Jan23'!J12</f>
        <v>0</v>
      </c>
      <c r="AC12" s="28">
        <f>+L12-'Jan23'!L12</f>
        <v>0</v>
      </c>
    </row>
    <row r="13" spans="1:29" x14ac:dyDescent="0.25">
      <c r="B13" s="3" t="s">
        <v>30</v>
      </c>
      <c r="C13" s="34">
        <v>1386320000</v>
      </c>
      <c r="D13" s="14">
        <v>0.27</v>
      </c>
      <c r="E13" s="12">
        <f t="shared" si="0"/>
        <v>374306400</v>
      </c>
      <c r="F13" s="14">
        <v>0.27</v>
      </c>
      <c r="G13" s="12">
        <f t="shared" si="1"/>
        <v>374306400</v>
      </c>
      <c r="H13" s="14">
        <v>0.45</v>
      </c>
      <c r="I13" s="12">
        <f t="shared" si="2"/>
        <v>623844000</v>
      </c>
      <c r="J13" s="14">
        <v>0.01</v>
      </c>
      <c r="K13" s="12">
        <f t="shared" si="6"/>
        <v>13863200</v>
      </c>
      <c r="L13" s="16"/>
      <c r="M13" s="12">
        <f t="shared" si="5"/>
        <v>0</v>
      </c>
      <c r="N13" s="14"/>
      <c r="O13" s="12">
        <f t="shared" si="3"/>
        <v>0</v>
      </c>
      <c r="S13" s="12">
        <f>+E13-'Jan23'!E13</f>
        <v>-130650299.99999994</v>
      </c>
      <c r="T13" s="12">
        <f>+G13-'Jan23'!G13</f>
        <v>-61001100</v>
      </c>
      <c r="U13" s="12">
        <f>+I13-'Jan23'!I13</f>
        <v>-159709500</v>
      </c>
      <c r="V13" s="12">
        <f>+K13-'Jan23'!K13</f>
        <v>-3549100</v>
      </c>
      <c r="W13" s="12">
        <f>+M13-'Jan23'!M13</f>
        <v>0</v>
      </c>
      <c r="Y13" s="28">
        <f>+D13-'Jan23'!D13</f>
        <v>-1.9999999999999962E-2</v>
      </c>
      <c r="Z13" s="28">
        <f>+F13-'Jan23'!F13</f>
        <v>2.0000000000000018E-2</v>
      </c>
      <c r="AA13" s="28">
        <f>+H13-'Jan23'!H13</f>
        <v>0</v>
      </c>
      <c r="AB13" s="28">
        <f>+J13-'Jan23'!J13</f>
        <v>0</v>
      </c>
      <c r="AC13" s="28">
        <f>+L13-'Jan23'!L13</f>
        <v>0</v>
      </c>
    </row>
    <row r="14" spans="1:29" x14ac:dyDescent="0.25">
      <c r="B14" s="3" t="s">
        <v>31</v>
      </c>
      <c r="C14" s="12">
        <v>39847231.119999997</v>
      </c>
      <c r="D14" s="19">
        <v>0.34899999999999998</v>
      </c>
      <c r="E14" s="18">
        <f t="shared" si="0"/>
        <v>13906683.660879998</v>
      </c>
      <c r="F14" s="14">
        <v>0.111</v>
      </c>
      <c r="G14" s="12">
        <f t="shared" si="1"/>
        <v>4423042.6543199997</v>
      </c>
      <c r="H14" s="19">
        <v>0.48399999999999999</v>
      </c>
      <c r="I14" s="18">
        <f t="shared" si="2"/>
        <v>19286059.862079997</v>
      </c>
      <c r="J14" s="14">
        <v>5.6000000000000001E-2</v>
      </c>
      <c r="K14" s="12">
        <f t="shared" si="6"/>
        <v>2231444.9427199997</v>
      </c>
      <c r="L14" s="16"/>
      <c r="M14" s="12">
        <f t="shared" si="5"/>
        <v>0</v>
      </c>
      <c r="N14" s="14"/>
      <c r="O14" s="12">
        <f t="shared" si="3"/>
        <v>0</v>
      </c>
      <c r="S14" s="12">
        <f>+E14-'Jan23'!E14</f>
        <v>-45005.028020003811</v>
      </c>
      <c r="T14" s="12">
        <f>+G14-'Jan23'!G14</f>
        <v>-1579909.45218</v>
      </c>
      <c r="U14" s="12">
        <f>+I14-'Jan23'!I14</f>
        <v>573409.15767999366</v>
      </c>
      <c r="V14" s="12">
        <f>+K14-'Jan23'!K14</f>
        <v>-500933.25748000061</v>
      </c>
      <c r="W14" s="12">
        <f>+M14-'Jan23'!M14</f>
        <v>0</v>
      </c>
      <c r="Y14" s="28">
        <f>+D14-'Jan23'!D14</f>
        <v>1.1999999999999955E-2</v>
      </c>
      <c r="Z14" s="28">
        <f>+F14-'Jan23'!F14</f>
        <v>-3.3999999999999989E-2</v>
      </c>
      <c r="AA14" s="28">
        <f>+H14-'Jan23'!H14</f>
        <v>3.1999999999999973E-2</v>
      </c>
      <c r="AB14" s="28">
        <f>+J14-'Jan23'!J14</f>
        <v>-1.0000000000000002E-2</v>
      </c>
      <c r="AC14" s="28">
        <f>+L14-'Jan23'!L14</f>
        <v>0</v>
      </c>
    </row>
    <row r="15" spans="1:29" s="8" customFormat="1" x14ac:dyDescent="0.25">
      <c r="A15" s="33"/>
      <c r="B15" s="21" t="s">
        <v>45</v>
      </c>
      <c r="C15" s="20">
        <f>SUM(C3:C14)</f>
        <v>18853710105.739998</v>
      </c>
      <c r="D15" s="15">
        <f>+E15/$C15</f>
        <v>0.36464709743905566</v>
      </c>
      <c r="E15" s="17">
        <f>SUM(E3:E14)</f>
        <v>6874950666.015481</v>
      </c>
      <c r="F15" s="15">
        <f>+G15/$C15</f>
        <v>0.17913710274765673</v>
      </c>
      <c r="G15" s="20">
        <f>SUM(G3:G14)</f>
        <v>3377399004.3864799</v>
      </c>
      <c r="H15" s="15">
        <f>+I15/$C15</f>
        <v>0.40040740154795862</v>
      </c>
      <c r="I15" s="17">
        <f>SUM(I3:I14)</f>
        <v>7549165072.9778404</v>
      </c>
      <c r="J15" s="15">
        <f>+K15/$C15</f>
        <v>4.0849998953813395E-2</v>
      </c>
      <c r="K15" s="17">
        <f>SUM(K3:K14)</f>
        <v>770174038.09498</v>
      </c>
      <c r="L15" s="15">
        <f>+M15/$C15</f>
        <v>7.4459811927870944E-3</v>
      </c>
      <c r="M15" s="17">
        <f>SUM(M3:M14)</f>
        <v>140384370.86160001</v>
      </c>
      <c r="N15" s="15">
        <f>+O15/$C15</f>
        <v>7.4268869425858884E-3</v>
      </c>
      <c r="O15" s="17">
        <f>SUM(O3:O14)</f>
        <v>140024373.40362</v>
      </c>
      <c r="S15" s="31">
        <f>+E15-'Jan23'!E15</f>
        <v>-4519122325.3091993</v>
      </c>
      <c r="T15" s="31">
        <f>+G15-'Jan23'!G15</f>
        <v>-2126317970.2472796</v>
      </c>
      <c r="U15" s="31">
        <f>+I15-'Jan23'!I15</f>
        <v>-2895307751.2965698</v>
      </c>
      <c r="V15" s="31">
        <f>+K15-'Jan23'!K15</f>
        <v>-263073556.22866011</v>
      </c>
      <c r="W15" s="31">
        <f>+M15-'Jan23'!M15</f>
        <v>-22903897.503300011</v>
      </c>
      <c r="Y15" s="32">
        <f>+D15-'Jan23'!D15</f>
        <v>-2.9185883615329367E-2</v>
      </c>
      <c r="Z15" s="32">
        <f>+F15-'Jan23'!F15</f>
        <v>-1.1097352012285511E-2</v>
      </c>
      <c r="AA15" s="32">
        <f>+H15-'Jan23'!H15</f>
        <v>3.9397087584077284E-2</v>
      </c>
      <c r="AB15" s="32">
        <f>+J15-'Jan23'!J15</f>
        <v>5.1360816786142002E-3</v>
      </c>
      <c r="AC15" s="32">
        <f>+L15-'Jan23'!L15</f>
        <v>1.8019673664476776E-3</v>
      </c>
    </row>
    <row r="16" spans="1:29" x14ac:dyDescent="0.25">
      <c r="C16" s="10"/>
      <c r="D16" s="10"/>
      <c r="E16" s="10"/>
      <c r="F16" s="5"/>
      <c r="G16" s="10"/>
      <c r="H16" s="10"/>
      <c r="I16" s="10"/>
      <c r="J16" s="5"/>
      <c r="K16" s="10"/>
    </row>
    <row r="17" spans="2:29" x14ac:dyDescent="0.25">
      <c r="B17" s="4" t="s">
        <v>2</v>
      </c>
      <c r="C17" s="9" t="s">
        <v>4</v>
      </c>
      <c r="D17" s="112" t="s">
        <v>7</v>
      </c>
      <c r="E17" s="112"/>
      <c r="F17" s="112" t="s">
        <v>8</v>
      </c>
      <c r="G17" s="112"/>
      <c r="H17" s="112" t="s">
        <v>10</v>
      </c>
      <c r="I17" s="112"/>
      <c r="J17" s="112" t="s">
        <v>9</v>
      </c>
      <c r="K17" s="112"/>
      <c r="L17" s="112" t="s">
        <v>21</v>
      </c>
      <c r="M17" s="112"/>
      <c r="N17" s="112" t="s">
        <v>55</v>
      </c>
      <c r="O17" s="112"/>
      <c r="S17" s="27" t="s">
        <v>49</v>
      </c>
      <c r="T17" s="27" t="s">
        <v>50</v>
      </c>
      <c r="U17" s="27" t="s">
        <v>51</v>
      </c>
      <c r="V17" s="27" t="s">
        <v>52</v>
      </c>
      <c r="W17" s="27" t="s">
        <v>53</v>
      </c>
      <c r="Y17" s="27" t="s">
        <v>49</v>
      </c>
      <c r="Z17" s="27" t="s">
        <v>50</v>
      </c>
      <c r="AA17" s="27" t="s">
        <v>51</v>
      </c>
      <c r="AB17" s="27" t="s">
        <v>52</v>
      </c>
      <c r="AC17" s="27" t="s">
        <v>53</v>
      </c>
    </row>
    <row r="18" spans="2:29" x14ac:dyDescent="0.25">
      <c r="B18" s="21" t="s">
        <v>6</v>
      </c>
      <c r="C18" s="22">
        <v>419296075.86000001</v>
      </c>
      <c r="D18" s="26">
        <v>0.18379999999999999</v>
      </c>
      <c r="E18" s="23">
        <f t="shared" ref="E18:E26" si="7">D18*C18</f>
        <v>77066618.743067995</v>
      </c>
      <c r="F18" s="26">
        <v>0.25600000000000001</v>
      </c>
      <c r="G18" s="22">
        <f>C18*F18</f>
        <v>107339795.42016001</v>
      </c>
      <c r="H18" s="26">
        <v>0.42870000000000003</v>
      </c>
      <c r="I18" s="23">
        <f t="shared" ref="I18:I26" si="8">H18*C18</f>
        <v>179752227.72118202</v>
      </c>
      <c r="J18" s="26">
        <v>6.54E-2</v>
      </c>
      <c r="K18" s="23">
        <f>J18*C18</f>
        <v>27421963.361244</v>
      </c>
      <c r="L18" s="24"/>
      <c r="M18" s="23">
        <f>L18*E18</f>
        <v>0</v>
      </c>
      <c r="N18" s="26">
        <v>6.6100000000000006E-2</v>
      </c>
      <c r="O18" s="23">
        <f>N18*G18</f>
        <v>7095160.4772725776</v>
      </c>
      <c r="S18" s="12">
        <f>+E18-'Jan23'!E18</f>
        <v>-55311491.355297014</v>
      </c>
      <c r="T18" s="12">
        <f>+G18-'Jan23'!G18</f>
        <v>1705822.7777729928</v>
      </c>
      <c r="U18" s="12">
        <f>+I18-'Jan23'!I18</f>
        <v>-60354275.422748983</v>
      </c>
      <c r="V18" s="12">
        <f>+K18-'Jan23'!K18</f>
        <v>-3296202.5520480014</v>
      </c>
      <c r="W18" s="12">
        <f>+M18-'Jan23'!M18</f>
        <v>0</v>
      </c>
      <c r="Y18" s="28">
        <f>+D18-'Jan23'!D18</f>
        <v>-6.2700000000000006E-2</v>
      </c>
      <c r="Z18" s="28">
        <f>+F18-'Jan23'!F18</f>
        <v>5.9299999999999992E-2</v>
      </c>
      <c r="AA18" s="28">
        <f>+H18-'Jan23'!H18</f>
        <v>-1.8399999999999972E-2</v>
      </c>
      <c r="AB18" s="28">
        <f>+J18-'Jan23'!J18</f>
        <v>8.199999999999999E-3</v>
      </c>
      <c r="AC18" s="28">
        <f>+L18-'Jan23'!L18</f>
        <v>0</v>
      </c>
    </row>
    <row r="19" spans="2:29" x14ac:dyDescent="0.25">
      <c r="B19" s="3" t="s">
        <v>26</v>
      </c>
      <c r="C19" s="12">
        <v>456358545.73000002</v>
      </c>
      <c r="D19" s="14">
        <v>0.21</v>
      </c>
      <c r="E19" s="12">
        <f t="shared" si="7"/>
        <v>95835294.603300005</v>
      </c>
      <c r="F19" s="14">
        <v>0.15</v>
      </c>
      <c r="G19" s="12">
        <f t="shared" ref="G19:G26" si="9">C19*F19</f>
        <v>68453781.859500006</v>
      </c>
      <c r="H19" s="14">
        <v>0.46</v>
      </c>
      <c r="I19" s="12">
        <f t="shared" si="8"/>
        <v>209924931.03580001</v>
      </c>
      <c r="J19" s="14">
        <v>0.14000000000000001</v>
      </c>
      <c r="K19" s="12">
        <f t="shared" ref="K19:O26" si="10">J19*C19</f>
        <v>63890196.402200006</v>
      </c>
      <c r="L19" s="16"/>
      <c r="M19" s="12">
        <f t="shared" si="10"/>
        <v>0</v>
      </c>
      <c r="N19" s="26">
        <v>0.04</v>
      </c>
      <c r="O19" s="12">
        <f t="shared" si="10"/>
        <v>2738151.2743800003</v>
      </c>
      <c r="S19" s="12">
        <f>+E19-'Jan23'!E19</f>
        <v>-13410612.096299991</v>
      </c>
      <c r="T19" s="12">
        <f>+G19-'Jan23'!G19</f>
        <v>-6032063.6174999923</v>
      </c>
      <c r="U19" s="12">
        <f>+I19-'Jan23'!I19</f>
        <v>-18498328.427000016</v>
      </c>
      <c r="V19" s="12">
        <f>+K19-'Jan23'!K19</f>
        <v>-5629926.0430000052</v>
      </c>
      <c r="W19" s="12">
        <f>+M19-'Jan23'!M19</f>
        <v>0</v>
      </c>
      <c r="Y19" s="28">
        <f>+D19-'Jan23'!D19</f>
        <v>-1.0000000000000009E-2</v>
      </c>
      <c r="Z19" s="28">
        <f>+F19-'Jan23'!F19</f>
        <v>0</v>
      </c>
      <c r="AA19" s="28">
        <f>+H19-'Jan23'!H19</f>
        <v>0</v>
      </c>
      <c r="AB19" s="28">
        <f>+J19-'Jan23'!J19</f>
        <v>0</v>
      </c>
      <c r="AC19" s="28">
        <f>+L19-'Jan23'!L19</f>
        <v>0</v>
      </c>
    </row>
    <row r="20" spans="2:29" x14ac:dyDescent="0.25">
      <c r="B20" s="3" t="s">
        <v>27</v>
      </c>
      <c r="C20" s="12"/>
      <c r="D20" s="14"/>
      <c r="E20" s="12">
        <f t="shared" si="7"/>
        <v>0</v>
      </c>
      <c r="F20" s="14"/>
      <c r="G20" s="12">
        <f t="shared" si="9"/>
        <v>0</v>
      </c>
      <c r="H20" s="14"/>
      <c r="I20" s="12">
        <f t="shared" si="8"/>
        <v>0</v>
      </c>
      <c r="J20" s="14"/>
      <c r="K20" s="12">
        <f t="shared" si="10"/>
        <v>0</v>
      </c>
      <c r="L20" s="16"/>
      <c r="M20" s="12">
        <f t="shared" si="10"/>
        <v>0</v>
      </c>
      <c r="N20" s="26"/>
      <c r="O20" s="12">
        <f t="shared" si="10"/>
        <v>0</v>
      </c>
      <c r="S20" s="12">
        <f>+E20-'Jan23'!E20</f>
        <v>-147380716.2182</v>
      </c>
      <c r="T20" s="12">
        <f>+G20-'Jan23'!G20</f>
        <v>-312989153.23800004</v>
      </c>
      <c r="U20" s="12">
        <f>+I20-'Jan23'!I20</f>
        <v>-681620822.60720003</v>
      </c>
      <c r="V20" s="12">
        <f>+K20-'Jan23'!K20</f>
        <v>-52044939.657200001</v>
      </c>
      <c r="W20" s="12">
        <f>+M20-'Jan23'!M20</f>
        <v>0</v>
      </c>
      <c r="Y20" s="28">
        <f>+D20-'Jan23'!D20</f>
        <v>-0.1229</v>
      </c>
      <c r="Z20" s="28">
        <f>+F20-'Jan23'!F20</f>
        <v>-0.26100000000000001</v>
      </c>
      <c r="AA20" s="28">
        <f>+H20-'Jan23'!H20</f>
        <v>-0.56840000000000002</v>
      </c>
      <c r="AB20" s="28">
        <f>+J20-'Jan23'!J20</f>
        <v>-4.3400000000000001E-2</v>
      </c>
      <c r="AC20" s="28">
        <f>+L20-'Jan23'!L20</f>
        <v>0</v>
      </c>
    </row>
    <row r="21" spans="2:29" x14ac:dyDescent="0.25">
      <c r="B21" s="3" t="s">
        <v>28</v>
      </c>
      <c r="C21" s="12">
        <v>1296882362</v>
      </c>
      <c r="D21" s="14">
        <v>0.115</v>
      </c>
      <c r="E21" s="12">
        <f t="shared" si="7"/>
        <v>149141471.63</v>
      </c>
      <c r="F21" s="14">
        <v>0.155</v>
      </c>
      <c r="G21" s="12">
        <f t="shared" si="9"/>
        <v>201016766.10999998</v>
      </c>
      <c r="H21" s="14">
        <v>0.6</v>
      </c>
      <c r="I21" s="12">
        <f t="shared" si="8"/>
        <v>778129417.19999993</v>
      </c>
      <c r="J21" s="14">
        <v>0.13</v>
      </c>
      <c r="K21" s="12">
        <f t="shared" si="10"/>
        <v>168594707.06</v>
      </c>
      <c r="L21" s="16"/>
      <c r="M21" s="12">
        <f t="shared" si="10"/>
        <v>0</v>
      </c>
      <c r="N21" s="26"/>
      <c r="O21" s="12">
        <f t="shared" si="10"/>
        <v>0</v>
      </c>
      <c r="S21" s="12">
        <f>+E21-'Jan23'!E21</f>
        <v>-10714183.035000026</v>
      </c>
      <c r="T21" s="12">
        <f>+G21-'Jan23'!G21</f>
        <v>-120084592.391</v>
      </c>
      <c r="U21" s="12">
        <f>+I21-'Jan23'!I21</f>
        <v>-14198610.269999981</v>
      </c>
      <c r="V21" s="12">
        <f>+K21-'Jan23'!K21</f>
        <v>1788806.5400000215</v>
      </c>
      <c r="W21" s="12">
        <f>+M21-'Jan23'!M21</f>
        <v>0</v>
      </c>
      <c r="Y21" s="28">
        <f>+D21-'Jan23'!D21</f>
        <v>0</v>
      </c>
      <c r="Z21" s="28">
        <f>+F21-'Jan23'!F21</f>
        <v>-7.6000000000000012E-2</v>
      </c>
      <c r="AA21" s="28">
        <f>+H21-'Jan23'!H21</f>
        <v>3.0000000000000027E-2</v>
      </c>
      <c r="AB21" s="28">
        <f>+J21-'Jan23'!J21</f>
        <v>1.0000000000000009E-2</v>
      </c>
      <c r="AC21" s="28">
        <f>+L21-'Jan23'!L21</f>
        <v>0</v>
      </c>
    </row>
    <row r="22" spans="2:29" x14ac:dyDescent="0.25">
      <c r="B22" s="3" t="s">
        <v>32</v>
      </c>
      <c r="C22" s="12">
        <v>362100000</v>
      </c>
      <c r="D22" s="14">
        <v>0.06</v>
      </c>
      <c r="E22" s="12">
        <f t="shared" si="7"/>
        <v>21726000</v>
      </c>
      <c r="F22" s="14">
        <v>0.11</v>
      </c>
      <c r="G22" s="12">
        <f t="shared" si="9"/>
        <v>39831000</v>
      </c>
      <c r="H22" s="14">
        <v>0.73</v>
      </c>
      <c r="I22" s="12">
        <f t="shared" si="8"/>
        <v>264333000</v>
      </c>
      <c r="J22" s="14">
        <v>0.1</v>
      </c>
      <c r="K22" s="12">
        <f t="shared" si="10"/>
        <v>36210000</v>
      </c>
      <c r="L22" s="16"/>
      <c r="M22" s="12">
        <f t="shared" si="10"/>
        <v>0</v>
      </c>
      <c r="N22" s="26"/>
      <c r="O22" s="12">
        <f t="shared" si="10"/>
        <v>0</v>
      </c>
      <c r="S22" s="12">
        <f>+E22-'Jan23'!E22</f>
        <v>-38502000</v>
      </c>
      <c r="T22" s="12">
        <f>+G22-'Jan23'!G22</f>
        <v>3025000</v>
      </c>
      <c r="U22" s="12">
        <f>+I22-'Jan23'!I22</f>
        <v>60227000</v>
      </c>
      <c r="V22" s="12">
        <f>+K22-'Jan23'!K22</f>
        <v>2750000</v>
      </c>
      <c r="W22" s="12">
        <f>+M22-'Jan23'!M22</f>
        <v>0</v>
      </c>
      <c r="Y22" s="28">
        <f>+D22-'Jan23'!D22</f>
        <v>-0.12</v>
      </c>
      <c r="Z22" s="28">
        <f>+F22-'Jan23'!F22</f>
        <v>0</v>
      </c>
      <c r="AA22" s="28">
        <f>+H22-'Jan23'!H22</f>
        <v>0.12</v>
      </c>
      <c r="AB22" s="28">
        <f>+J22-'Jan23'!J22</f>
        <v>0</v>
      </c>
      <c r="AC22" s="28">
        <f>+L22-'Jan23'!L22</f>
        <v>0</v>
      </c>
    </row>
    <row r="23" spans="2:29" x14ac:dyDescent="0.25">
      <c r="B23" s="3" t="s">
        <v>33</v>
      </c>
      <c r="C23" s="12">
        <v>781700000</v>
      </c>
      <c r="D23" s="14">
        <v>0.31</v>
      </c>
      <c r="E23" s="12">
        <f t="shared" si="7"/>
        <v>242327000</v>
      </c>
      <c r="F23" s="14">
        <v>0.12</v>
      </c>
      <c r="G23" s="12">
        <f t="shared" si="9"/>
        <v>93804000</v>
      </c>
      <c r="H23" s="14">
        <v>0.53</v>
      </c>
      <c r="I23" s="12">
        <f t="shared" si="8"/>
        <v>414301000</v>
      </c>
      <c r="J23" s="14">
        <v>0.04</v>
      </c>
      <c r="K23" s="12">
        <f t="shared" si="10"/>
        <v>31268000</v>
      </c>
      <c r="L23" s="16"/>
      <c r="M23" s="12">
        <f t="shared" si="10"/>
        <v>0</v>
      </c>
      <c r="N23" s="26"/>
      <c r="O23" s="12">
        <f t="shared" si="10"/>
        <v>0</v>
      </c>
      <c r="S23" s="12">
        <f>+E23-'Jan23'!E23</f>
        <v>133703000</v>
      </c>
      <c r="T23" s="12">
        <f>+G23-'Jan23'!G23</f>
        <v>48544000</v>
      </c>
      <c r="U23" s="12">
        <f>+I23-'Jan23'!I23</f>
        <v>133689000</v>
      </c>
      <c r="V23" s="12">
        <f>+K23-'Jan23'!K23</f>
        <v>13164000</v>
      </c>
      <c r="W23" s="12">
        <f>+M23-'Jan23'!M23</f>
        <v>0</v>
      </c>
      <c r="Y23" s="28">
        <f>+D23-'Jan23'!D23</f>
        <v>7.0000000000000007E-2</v>
      </c>
      <c r="Z23" s="28">
        <f>+F23-'Jan23'!F23</f>
        <v>1.999999999999999E-2</v>
      </c>
      <c r="AA23" s="28">
        <f>+H23-'Jan23'!H23</f>
        <v>-8.9999999999999969E-2</v>
      </c>
      <c r="AB23" s="28">
        <f>+J23-'Jan23'!J23</f>
        <v>0</v>
      </c>
      <c r="AC23" s="28">
        <f>+L23-'Jan23'!L23</f>
        <v>0</v>
      </c>
    </row>
    <row r="24" spans="2:29" x14ac:dyDescent="0.25">
      <c r="B24" s="3" t="s">
        <v>34</v>
      </c>
      <c r="C24" s="12">
        <v>363882168</v>
      </c>
      <c r="D24" s="14">
        <v>0.27810000000000001</v>
      </c>
      <c r="E24" s="12">
        <f t="shared" si="7"/>
        <v>101195630.9208</v>
      </c>
      <c r="F24" s="14">
        <v>0.16139999999999999</v>
      </c>
      <c r="G24" s="12">
        <f t="shared" si="9"/>
        <v>58730581.915199995</v>
      </c>
      <c r="H24" s="14">
        <v>0.47760000000000002</v>
      </c>
      <c r="I24" s="12">
        <f t="shared" si="8"/>
        <v>173790123.4368</v>
      </c>
      <c r="J24" s="14">
        <v>6.9199999999999998E-2</v>
      </c>
      <c r="K24" s="12">
        <f t="shared" si="10"/>
        <v>25180646.025599997</v>
      </c>
      <c r="L24" s="16"/>
      <c r="M24" s="12">
        <f t="shared" si="10"/>
        <v>0</v>
      </c>
      <c r="N24" s="26">
        <v>1.37E-2</v>
      </c>
      <c r="O24" s="12">
        <f t="shared" si="10"/>
        <v>804608.97223823995</v>
      </c>
      <c r="S24" s="12">
        <f>+E24-'Jan23'!E24</f>
        <v>-27309756.096299991</v>
      </c>
      <c r="T24" s="12">
        <f>+G24-'Jan23'!G24</f>
        <v>2377337.1149999946</v>
      </c>
      <c r="U24" s="12">
        <f>+I24-'Jan23'!I24</f>
        <v>3846265.8231000006</v>
      </c>
      <c r="V24" s="12">
        <f>+K24-'Jan23'!K24</f>
        <v>617396.75729999691</v>
      </c>
      <c r="W24" s="12">
        <f>+M24-'Jan23'!M24</f>
        <v>0</v>
      </c>
      <c r="Y24" s="28">
        <f>+D24-'Jan23'!D24</f>
        <v>-5.6199999999999972E-2</v>
      </c>
      <c r="Z24" s="28">
        <f>+F24-'Jan23'!F24</f>
        <v>1.479999999999998E-2</v>
      </c>
      <c r="AA24" s="28">
        <f>+H24-'Jan23'!H24</f>
        <v>3.5500000000000032E-2</v>
      </c>
      <c r="AB24" s="28">
        <f>+J24-'Jan23'!J24</f>
        <v>5.2999999999999992E-3</v>
      </c>
      <c r="AC24" s="28">
        <f>+L24-'Jan23'!L24</f>
        <v>0</v>
      </c>
    </row>
    <row r="25" spans="2:29" x14ac:dyDescent="0.25">
      <c r="B25" s="3" t="s">
        <v>35</v>
      </c>
      <c r="C25" s="12">
        <v>197952921</v>
      </c>
      <c r="D25" s="14">
        <v>0.14699999999999999</v>
      </c>
      <c r="E25" s="12">
        <f t="shared" si="7"/>
        <v>29099079.386999998</v>
      </c>
      <c r="F25" s="14">
        <v>0.38</v>
      </c>
      <c r="G25" s="12">
        <f t="shared" si="9"/>
        <v>75222109.980000004</v>
      </c>
      <c r="H25" s="14">
        <v>0.42299999999999999</v>
      </c>
      <c r="I25" s="12">
        <f t="shared" si="8"/>
        <v>83734085.583000004</v>
      </c>
      <c r="J25" s="14">
        <v>5.1999999999999998E-2</v>
      </c>
      <c r="K25" s="12">
        <f t="shared" si="10"/>
        <v>10293551.891999999</v>
      </c>
      <c r="L25" s="16"/>
      <c r="M25" s="12">
        <f t="shared" si="10"/>
        <v>0</v>
      </c>
      <c r="N25" s="26"/>
      <c r="O25" s="12">
        <f t="shared" si="10"/>
        <v>0</v>
      </c>
      <c r="S25" s="12">
        <f>+E25-'Jan23'!E25</f>
        <v>3097864.4129999988</v>
      </c>
      <c r="T25" s="12">
        <f>+G25-'Jan23'!G25</f>
        <v>-25068290.633999988</v>
      </c>
      <c r="U25" s="12">
        <f>+I25-'Jan23'!I25</f>
        <v>15429306.563999996</v>
      </c>
      <c r="V25" s="12">
        <f>+K25-'Jan23'!K25</f>
        <v>-1468902.501000002</v>
      </c>
      <c r="W25" s="12">
        <f>+M25-'Jan23'!M25</f>
        <v>0</v>
      </c>
      <c r="Y25" s="28">
        <f>+D25-'Jan23'!D25</f>
        <v>2.0999999999999991E-2</v>
      </c>
      <c r="Z25" s="28">
        <f>+F25-'Jan23'!F25</f>
        <v>-0.10599999999999998</v>
      </c>
      <c r="AA25" s="28">
        <f>+H25-'Jan23'!H25</f>
        <v>9.1999999999999971E-2</v>
      </c>
      <c r="AB25" s="28">
        <f>+J25-'Jan23'!J25</f>
        <v>-5.0000000000000044E-3</v>
      </c>
      <c r="AC25" s="28">
        <f>+L25-'Jan23'!L25</f>
        <v>0</v>
      </c>
    </row>
    <row r="26" spans="2:29" x14ac:dyDescent="0.25">
      <c r="B26" s="3" t="s">
        <v>36</v>
      </c>
      <c r="C26" s="12">
        <v>320700000</v>
      </c>
      <c r="D26" s="19">
        <v>0.13</v>
      </c>
      <c r="E26" s="18">
        <f t="shared" si="7"/>
        <v>41691000</v>
      </c>
      <c r="F26" s="14">
        <v>0.14000000000000001</v>
      </c>
      <c r="G26" s="12">
        <f t="shared" si="9"/>
        <v>44898000.000000007</v>
      </c>
      <c r="H26" s="19">
        <v>0.66</v>
      </c>
      <c r="I26" s="18">
        <f t="shared" si="8"/>
        <v>211662000</v>
      </c>
      <c r="J26" s="14">
        <v>7.0000000000000007E-2</v>
      </c>
      <c r="K26" s="12">
        <f t="shared" si="10"/>
        <v>22449000.000000004</v>
      </c>
      <c r="L26" s="16"/>
      <c r="M26" s="12">
        <f t="shared" si="10"/>
        <v>0</v>
      </c>
      <c r="N26" s="26"/>
      <c r="O26" s="12">
        <f t="shared" si="10"/>
        <v>0</v>
      </c>
      <c r="S26" s="12">
        <f>+E26-'Jan23'!E26</f>
        <v>-14922600</v>
      </c>
      <c r="T26" s="12">
        <f>+G26-'Jan23'!G26</f>
        <v>7155600.0000000075</v>
      </c>
      <c r="U26" s="12">
        <f>+I26-'Jan23'!I26</f>
        <v>16659600</v>
      </c>
      <c r="V26" s="12">
        <f>+K26-'Jan23'!K26</f>
        <v>-2712599.9999999963</v>
      </c>
      <c r="W26" s="12">
        <f>+M26-'Jan23'!M26</f>
        <v>0</v>
      </c>
      <c r="Y26" s="28">
        <f>+D26-'Jan23'!D26</f>
        <v>-4.9999999999999989E-2</v>
      </c>
      <c r="Z26" s="28">
        <f>+F26-'Jan23'!F26</f>
        <v>2.0000000000000018E-2</v>
      </c>
      <c r="AA26" s="28">
        <f>+H26-'Jan23'!H26</f>
        <v>4.0000000000000036E-2</v>
      </c>
      <c r="AB26" s="28">
        <f>+J26-'Jan23'!J26</f>
        <v>-9.999999999999995E-3</v>
      </c>
      <c r="AC26" s="28">
        <f>+L26-'Jan23'!L26</f>
        <v>0</v>
      </c>
    </row>
    <row r="27" spans="2:29" s="8" customFormat="1" x14ac:dyDescent="0.25">
      <c r="B27" s="21" t="s">
        <v>45</v>
      </c>
      <c r="C27" s="20">
        <f>SUM(C18:C26)</f>
        <v>4198872072.5900002</v>
      </c>
      <c r="D27" s="15">
        <f>+E27/$C27</f>
        <v>0.18054422287187194</v>
      </c>
      <c r="E27" s="17">
        <f>SUM(E18:E26)</f>
        <v>758082095.28416789</v>
      </c>
      <c r="F27" s="15">
        <f>+G27/$C27</f>
        <v>0.16416219007588861</v>
      </c>
      <c r="G27" s="20">
        <f>SUM(G18:G26)</f>
        <v>689296035.28486001</v>
      </c>
      <c r="H27" s="15">
        <f>+I27/$C27</f>
        <v>0.55148781504753686</v>
      </c>
      <c r="I27" s="17">
        <f>SUM(I18:I26)</f>
        <v>2315626784.9767818</v>
      </c>
      <c r="J27" s="15">
        <f>+K27/$C27</f>
        <v>9.1764659194147238E-2</v>
      </c>
      <c r="K27" s="17">
        <f>SUM(K18:K26)</f>
        <v>385308064.74104404</v>
      </c>
      <c r="L27" s="15">
        <f>+M27/$C27</f>
        <v>0</v>
      </c>
      <c r="M27" s="17">
        <f>SUM(M18:M26)</f>
        <v>0</v>
      </c>
      <c r="N27" s="15">
        <f>+O27/$C27</f>
        <v>2.5335186545297639E-3</v>
      </c>
      <c r="O27" s="17">
        <f>SUM(O18:O26)</f>
        <v>10637920.723890819</v>
      </c>
      <c r="S27" s="31">
        <f>+E27-'Jan23'!E27</f>
        <v>-170750494.38809705</v>
      </c>
      <c r="T27" s="31">
        <f>+G27-'Jan23'!G27</f>
        <v>-401366339.98772681</v>
      </c>
      <c r="U27" s="31">
        <f>+I27-'Jan23'!I27</f>
        <v>-544820864.339849</v>
      </c>
      <c r="V27" s="31">
        <f>+K27-'Jan23'!K27</f>
        <v>-46832367.455947936</v>
      </c>
      <c r="W27" s="31">
        <f>+M27-'Jan23'!M27</f>
        <v>0</v>
      </c>
      <c r="Y27" s="32">
        <f>+D27-'Jan23'!D27</f>
        <v>5.7980628119027877E-3</v>
      </c>
      <c r="Z27" s="32">
        <f>+F27-'Jan23'!F27</f>
        <v>-4.1029858652739892E-2</v>
      </c>
      <c r="AA27" s="32">
        <f>+H27-'Jan23'!H27</f>
        <v>1.3336754965743824E-2</v>
      </c>
      <c r="AB27" s="32">
        <f>+J27-'Jan23'!J27</f>
        <v>1.0463806949368715E-2</v>
      </c>
      <c r="AC27" s="32">
        <f>+L27-'Jan23'!L27</f>
        <v>0</v>
      </c>
    </row>
    <row r="28" spans="2:29" x14ac:dyDescent="0.25">
      <c r="C28" s="10"/>
      <c r="D28" s="10"/>
      <c r="E28" s="10"/>
      <c r="F28" s="5"/>
      <c r="G28" s="10"/>
      <c r="H28" s="10"/>
      <c r="I28" s="10"/>
      <c r="J28" s="5"/>
      <c r="K28" s="10"/>
    </row>
    <row r="29" spans="2:29" x14ac:dyDescent="0.25">
      <c r="B29" s="4" t="s">
        <v>38</v>
      </c>
      <c r="C29" s="9" t="s">
        <v>4</v>
      </c>
      <c r="D29" s="113" t="s">
        <v>7</v>
      </c>
      <c r="E29" s="113"/>
      <c r="F29" s="112" t="s">
        <v>8</v>
      </c>
      <c r="G29" s="112"/>
      <c r="H29" s="112" t="s">
        <v>10</v>
      </c>
      <c r="I29" s="112"/>
      <c r="J29" s="112" t="s">
        <v>9</v>
      </c>
      <c r="K29" s="112"/>
      <c r="L29" s="112" t="s">
        <v>40</v>
      </c>
      <c r="M29" s="112"/>
      <c r="N29" s="112" t="s">
        <v>55</v>
      </c>
      <c r="O29" s="112"/>
      <c r="S29" s="27" t="s">
        <v>49</v>
      </c>
      <c r="T29" s="27" t="s">
        <v>50</v>
      </c>
      <c r="U29" s="27" t="s">
        <v>51</v>
      </c>
      <c r="V29" s="27" t="s">
        <v>52</v>
      </c>
      <c r="W29" s="27" t="s">
        <v>54</v>
      </c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</row>
    <row r="30" spans="2:29" x14ac:dyDescent="0.25">
      <c r="B30" s="3" t="s">
        <v>39</v>
      </c>
      <c r="C30" s="12">
        <v>246961105.56</v>
      </c>
      <c r="D30" s="14">
        <v>0.16400000000000001</v>
      </c>
      <c r="E30" s="12">
        <f>D30*C30</f>
        <v>40501621.311840005</v>
      </c>
      <c r="F30" s="14">
        <v>0.127</v>
      </c>
      <c r="G30" s="12">
        <f>F30*C30</f>
        <v>31364060.406120002</v>
      </c>
      <c r="H30" s="14">
        <v>0.58299999999999996</v>
      </c>
      <c r="I30" s="12">
        <f>H30*C30</f>
        <v>143978324.54148</v>
      </c>
      <c r="J30" s="14">
        <v>9.7000000000000003E-2</v>
      </c>
      <c r="K30" s="12">
        <f>J30*C30</f>
        <v>23955227.239320002</v>
      </c>
      <c r="L30" s="14">
        <v>6.5000000000000002E-2</v>
      </c>
      <c r="M30" s="12">
        <f>L30*C30</f>
        <v>16052471.861400001</v>
      </c>
      <c r="N30" s="14">
        <v>2.1000000000000001E-2</v>
      </c>
      <c r="O30" s="12">
        <f>N30*E30</f>
        <v>850534.04754864017</v>
      </c>
      <c r="S30" s="12">
        <f>+E30-'Jan23'!E30</f>
        <v>16815835.253690004</v>
      </c>
      <c r="T30" s="12">
        <f>+G30-'Jan23'!G30</f>
        <v>198552.43487000093</v>
      </c>
      <c r="U30" s="12">
        <f>+I30-'Jan23'!I30</f>
        <v>-17334344.717710018</v>
      </c>
      <c r="V30" s="12">
        <f>+K30-'Jan23'!K30</f>
        <v>-4218391.9666900001</v>
      </c>
      <c r="W30" s="12">
        <f>+M30-'Jan23'!M30</f>
        <v>-1400212.6025000028</v>
      </c>
      <c r="Y30" s="28">
        <f>+D30-'Jan23'!D30</f>
        <v>6.9000000000000006E-2</v>
      </c>
      <c r="Z30" s="28">
        <f>+F30-'Jan23'!F30</f>
        <v>2.0000000000000018E-3</v>
      </c>
      <c r="AA30" s="28">
        <f>+H30-'Jan23'!H30</f>
        <v>-6.4000000000000057E-2</v>
      </c>
      <c r="AB30" s="28">
        <f>+J30-'Jan23'!J30</f>
        <v>-1.6E-2</v>
      </c>
      <c r="AC30" s="28">
        <f>+L30-'Jan23'!L30</f>
        <v>-5.0000000000000044E-3</v>
      </c>
    </row>
    <row r="31" spans="2:29" x14ac:dyDescent="0.25">
      <c r="B31" s="3" t="s">
        <v>56</v>
      </c>
      <c r="C31" s="12">
        <v>91520000</v>
      </c>
      <c r="D31" s="14">
        <v>0.1038</v>
      </c>
      <c r="E31" s="12">
        <f>D31*C31</f>
        <v>9499776</v>
      </c>
      <c r="F31" s="14"/>
      <c r="G31" s="12">
        <f>F31*C31</f>
        <v>0</v>
      </c>
      <c r="H31" s="14">
        <v>0.68579999999999997</v>
      </c>
      <c r="I31" s="12">
        <f>H31*C31</f>
        <v>62764416</v>
      </c>
      <c r="J31" s="14">
        <v>6.3700000000000007E-2</v>
      </c>
      <c r="K31" s="12">
        <f>J31*C31</f>
        <v>5829824.0000000009</v>
      </c>
      <c r="L31" s="14"/>
      <c r="M31" s="12">
        <f>L31*C31</f>
        <v>0</v>
      </c>
      <c r="N31" s="14">
        <v>0.29480000000000001</v>
      </c>
      <c r="O31" s="12">
        <f>N31*E31</f>
        <v>2800533.9648000002</v>
      </c>
      <c r="S31" s="12">
        <f>+E31-'Jan23'!E31</f>
        <v>-4503087</v>
      </c>
      <c r="T31" s="12">
        <f>+G31-'Jan23'!G31</f>
        <v>0</v>
      </c>
      <c r="U31" s="12">
        <f>+I31-'Jan23'!I31</f>
        <v>-12929041</v>
      </c>
      <c r="V31" s="12">
        <f>+K31-'Jan23'!K31</f>
        <v>-20945015</v>
      </c>
      <c r="W31" s="12">
        <f>+M31-'Jan23'!M31</f>
        <v>-9786161</v>
      </c>
      <c r="Y31" s="28">
        <f>+D31-'Jan23'!D31</f>
        <v>-1.1099999999999999E-2</v>
      </c>
      <c r="Z31" s="28">
        <f>+F31-'Jan23'!F31</f>
        <v>0</v>
      </c>
      <c r="AA31" s="28">
        <f>+H31-'Jan23'!H31</f>
        <v>6.469999999999998E-2</v>
      </c>
      <c r="AB31" s="28">
        <f>+J31-'Jan23'!J31</f>
        <v>-0.156</v>
      </c>
      <c r="AC31" s="28">
        <f>+L31-'Jan23'!L31</f>
        <v>-8.0299999999999996E-2</v>
      </c>
    </row>
    <row r="32" spans="2:29" x14ac:dyDescent="0.25">
      <c r="B32" s="3" t="s">
        <v>42</v>
      </c>
      <c r="C32" s="12">
        <v>234299800</v>
      </c>
      <c r="D32" s="14">
        <v>0.08</v>
      </c>
      <c r="E32" s="12">
        <f>D32*C32</f>
        <v>18743984</v>
      </c>
      <c r="F32" s="14">
        <v>0.13</v>
      </c>
      <c r="G32" s="12">
        <f>F32*C32</f>
        <v>30458974</v>
      </c>
      <c r="H32" s="14">
        <v>0.6</v>
      </c>
      <c r="I32" s="12">
        <f>H32*C32</f>
        <v>140579880</v>
      </c>
      <c r="J32" s="14">
        <v>0.06</v>
      </c>
      <c r="K32" s="12">
        <f>J32*C32</f>
        <v>14057988</v>
      </c>
      <c r="L32" s="14">
        <v>0.09</v>
      </c>
      <c r="M32" s="12">
        <f>L32*C32</f>
        <v>21086982</v>
      </c>
      <c r="N32" s="14">
        <v>0.04</v>
      </c>
      <c r="O32" s="12">
        <f>N32*E32</f>
        <v>749759.36</v>
      </c>
      <c r="S32" s="12">
        <f>+E32-'Jan23'!E32</f>
        <v>-1193951.5199999996</v>
      </c>
      <c r="T32" s="12">
        <f>+G32-'Jan23'!G32</f>
        <v>552070.72000000253</v>
      </c>
      <c r="U32" s="12">
        <f>+I32-'Jan23'!I32</f>
        <v>-7708515.4300000072</v>
      </c>
      <c r="V32" s="12">
        <f>+K32-'Jan23'!K32</f>
        <v>6581262.1800000006</v>
      </c>
      <c r="W32" s="12">
        <f>+M32-'Jan23'!M32</f>
        <v>-3835437.4000000022</v>
      </c>
      <c r="Y32" s="28">
        <f>+D32-'Jan23'!D32</f>
        <v>0</v>
      </c>
      <c r="Z32" s="28">
        <f>+F32-'Jan23'!F32</f>
        <v>1.0000000000000009E-2</v>
      </c>
      <c r="AA32" s="28">
        <f>+H32-'Jan23'!H32</f>
        <v>5.0000000000000044E-3</v>
      </c>
      <c r="AB32" s="28">
        <f>+J32-'Jan23'!J32</f>
        <v>0.03</v>
      </c>
      <c r="AC32" s="28">
        <f>+L32-'Jan23'!L32</f>
        <v>-1.0000000000000009E-2</v>
      </c>
    </row>
    <row r="33" spans="1:29" x14ac:dyDescent="0.25">
      <c r="B33" s="3" t="s">
        <v>43</v>
      </c>
      <c r="C33" s="12">
        <v>896050300</v>
      </c>
      <c r="D33" s="14">
        <v>0.04</v>
      </c>
      <c r="E33" s="12">
        <f>D33*C33</f>
        <v>35842012</v>
      </c>
      <c r="F33" s="14">
        <v>0.16</v>
      </c>
      <c r="G33" s="12">
        <f>F33*C33</f>
        <v>143368048</v>
      </c>
      <c r="H33" s="14">
        <v>0.67</v>
      </c>
      <c r="I33" s="12">
        <f>H33*C33</f>
        <v>600353701</v>
      </c>
      <c r="J33" s="14">
        <v>0.13</v>
      </c>
      <c r="K33" s="12">
        <f>J33*C33</f>
        <v>116486539</v>
      </c>
      <c r="L33" s="14"/>
      <c r="M33" s="12">
        <f>L33*C33</f>
        <v>0</v>
      </c>
      <c r="N33" s="14"/>
      <c r="O33" s="12">
        <f>N33*E33</f>
        <v>0</v>
      </c>
      <c r="S33" s="12">
        <f>+E33-'Jan23'!E33</f>
        <v>-46300483.585000008</v>
      </c>
      <c r="T33" s="12">
        <f>+G33-'Jan23'!G33</f>
        <v>-12219502.460999995</v>
      </c>
      <c r="U33" s="12">
        <f>+I33-'Jan23'!I33</f>
        <v>1196674.3799999952</v>
      </c>
      <c r="V33" s="12">
        <f>+K33-'Jan23'!K33</f>
        <v>520662.88000001013</v>
      </c>
      <c r="W33" s="12">
        <f>+M33-'Jan23'!M33</f>
        <v>0</v>
      </c>
      <c r="Y33" s="28">
        <f>+D33-'Jan23'!D33</f>
        <v>-4.5000000000000005E-2</v>
      </c>
      <c r="Z33" s="28">
        <f>+F33-'Jan23'!F33</f>
        <v>-1.0000000000000009E-3</v>
      </c>
      <c r="AA33" s="28">
        <f>+H33-'Jan23'!H33</f>
        <v>5.0000000000000044E-2</v>
      </c>
      <c r="AB33" s="28">
        <f>+J33-'Jan23'!J33</f>
        <v>1.0000000000000009E-2</v>
      </c>
      <c r="AC33" s="28">
        <f>+L33-'Jan23'!L33</f>
        <v>0</v>
      </c>
    </row>
    <row r="34" spans="1:29" x14ac:dyDescent="0.25">
      <c r="B34" s="3" t="s">
        <v>44</v>
      </c>
      <c r="C34" s="12">
        <v>26600000</v>
      </c>
      <c r="D34" s="14">
        <v>0.52</v>
      </c>
      <c r="E34" s="12">
        <f>D34*C34</f>
        <v>13832000</v>
      </c>
      <c r="F34" s="14"/>
      <c r="G34" s="12">
        <f>F34*C34</f>
        <v>0</v>
      </c>
      <c r="H34" s="14">
        <v>0.25</v>
      </c>
      <c r="I34" s="12">
        <f>H34*C34</f>
        <v>6650000</v>
      </c>
      <c r="J34" s="14"/>
      <c r="K34" s="12">
        <f>J34*C34</f>
        <v>0</v>
      </c>
      <c r="L34" s="14">
        <v>0.22</v>
      </c>
      <c r="M34" s="12">
        <f>L34*C34</f>
        <v>5852000</v>
      </c>
      <c r="N34" s="14"/>
      <c r="O34" s="12">
        <f>N34*E34</f>
        <v>0</v>
      </c>
      <c r="S34" s="12">
        <f>+E34-'Jan23'!E34</f>
        <v>3800000</v>
      </c>
      <c r="T34" s="12">
        <f>+G34-'Jan23'!G34</f>
        <v>0</v>
      </c>
      <c r="U34" s="12">
        <f>+I34-'Jan23'!I34</f>
        <v>-2326000</v>
      </c>
      <c r="V34" s="12">
        <f>+K34-'Jan23'!K34</f>
        <v>0</v>
      </c>
      <c r="W34" s="12">
        <f>+M34-'Jan23'!M34</f>
        <v>-1540000.0000000009</v>
      </c>
      <c r="Y34" s="28">
        <f>+D34-'Jan23'!D34</f>
        <v>0.14000000000000001</v>
      </c>
      <c r="Z34" s="28">
        <f>+F34-'Jan23'!F34</f>
        <v>0</v>
      </c>
      <c r="AA34" s="28">
        <f>+H34-'Jan23'!H34</f>
        <v>-9.0000000000000024E-2</v>
      </c>
      <c r="AB34" s="28">
        <f>+J34-'Jan23'!J34</f>
        <v>0</v>
      </c>
      <c r="AC34" s="28">
        <f>+L34-'Jan23'!L34</f>
        <v>-6.0000000000000026E-2</v>
      </c>
    </row>
    <row r="35" spans="1:29" s="8" customFormat="1" x14ac:dyDescent="0.25">
      <c r="A35"/>
      <c r="B35" s="3" t="s">
        <v>45</v>
      </c>
      <c r="C35" s="17">
        <f>SUM(C30:C34)</f>
        <v>1495431205.5599999</v>
      </c>
      <c r="D35" s="15">
        <f>+E35/$C35</f>
        <v>7.9187456348080568E-2</v>
      </c>
      <c r="E35" s="17">
        <f>SUM(E30:E34)</f>
        <v>118419393.31184</v>
      </c>
      <c r="F35" s="15">
        <f>+G35/$C35</f>
        <v>0.13721198383664951</v>
      </c>
      <c r="G35" s="17">
        <f>SUM(G30:G34)</f>
        <v>205191082.40612</v>
      </c>
      <c r="H35" s="15">
        <f>+I35/$C35</f>
        <v>0.63816129955915279</v>
      </c>
      <c r="I35" s="17">
        <f>SUM(I30:I34)</f>
        <v>954326321.54148006</v>
      </c>
      <c r="J35" s="15">
        <f>+K35/$C35</f>
        <v>0.10721294141998379</v>
      </c>
      <c r="K35" s="17">
        <f>SUM(K30:K34)</f>
        <v>160329578.23932001</v>
      </c>
      <c r="L35" s="15">
        <f>+M35/$C35</f>
        <v>2.8748533333768988E-2</v>
      </c>
      <c r="M35" s="17">
        <f>SUM(M30:M34)</f>
        <v>42991453.861400001</v>
      </c>
      <c r="N35" s="15">
        <f>+O35/$C35</f>
        <v>2.9428484279225972E-3</v>
      </c>
      <c r="O35" s="17">
        <f>SUM(O30:O34)</f>
        <v>4400827.3723486401</v>
      </c>
      <c r="S35" s="31">
        <f>+E35-'Jan23'!E35</f>
        <v>-31381686.851310015</v>
      </c>
      <c r="T35" s="31">
        <f>+G35-'Jan23'!G35</f>
        <v>-11468879.306129992</v>
      </c>
      <c r="U35" s="31">
        <f>+I35-'Jan23'!I35</f>
        <v>-39101226.76770997</v>
      </c>
      <c r="V35" s="31">
        <f>+K35-'Jan23'!K35</f>
        <v>-18061481.906689972</v>
      </c>
      <c r="W35" s="31">
        <f>+M35-'Jan23'!M35</f>
        <v>-16561811.002500005</v>
      </c>
      <c r="Y35" s="32">
        <f>+D35-'Jan23'!D35</f>
        <v>-1.3672095025598144E-2</v>
      </c>
      <c r="Z35" s="32">
        <f>+F35-'Jan23'!F35</f>
        <v>2.9075661159883859E-3</v>
      </c>
      <c r="AA35" s="32">
        <f>+H35-'Jan23'!H35</f>
        <v>2.2349742274150208E-2</v>
      </c>
      <c r="AB35" s="32">
        <f>+J35-'Jan23'!J35</f>
        <v>-3.3691304595511035E-3</v>
      </c>
      <c r="AC35" s="32">
        <f>+L35-'Jan23'!L35</f>
        <v>-8.167685508423176E-3</v>
      </c>
    </row>
    <row r="37" spans="1:29" x14ac:dyDescent="0.25">
      <c r="E37"/>
    </row>
    <row r="39" spans="1:29" x14ac:dyDescent="0.25">
      <c r="A39" s="8"/>
      <c r="C39" s="30"/>
    </row>
    <row r="40" spans="1:29" x14ac:dyDescent="0.25">
      <c r="C40" s="30"/>
    </row>
    <row r="41" spans="1:29" x14ac:dyDescent="0.25">
      <c r="C41" s="30"/>
    </row>
    <row r="42" spans="1:29" x14ac:dyDescent="0.25">
      <c r="C42" s="30"/>
    </row>
    <row r="43" spans="1:29" x14ac:dyDescent="0.25">
      <c r="C43" s="30"/>
    </row>
    <row r="44" spans="1:29" x14ac:dyDescent="0.25">
      <c r="C44" s="30"/>
    </row>
    <row r="45" spans="1:29" x14ac:dyDescent="0.25">
      <c r="C45" s="30"/>
    </row>
    <row r="46" spans="1:29" x14ac:dyDescent="0.25">
      <c r="C46" s="30"/>
    </row>
    <row r="47" spans="1:29" x14ac:dyDescent="0.25">
      <c r="C47" s="30"/>
    </row>
    <row r="48" spans="1:29" x14ac:dyDescent="0.25">
      <c r="C48" s="30"/>
    </row>
    <row r="49" spans="3:3" x14ac:dyDescent="0.25">
      <c r="C49" s="30"/>
    </row>
    <row r="50" spans="3:3" x14ac:dyDescent="0.25">
      <c r="C50" s="30"/>
    </row>
    <row r="51" spans="3:3" x14ac:dyDescent="0.25">
      <c r="C51" s="30"/>
    </row>
  </sheetData>
  <mergeCells count="18">
    <mergeCell ref="N29:O29"/>
    <mergeCell ref="D17:E17"/>
    <mergeCell ref="F17:G17"/>
    <mergeCell ref="H17:I17"/>
    <mergeCell ref="J17:K17"/>
    <mergeCell ref="L17:M17"/>
    <mergeCell ref="N17:O17"/>
    <mergeCell ref="D29:E29"/>
    <mergeCell ref="F29:G29"/>
    <mergeCell ref="H29:I29"/>
    <mergeCell ref="J29:K29"/>
    <mergeCell ref="L29:M29"/>
    <mergeCell ref="N2:O2"/>
    <mergeCell ref="D2:E2"/>
    <mergeCell ref="F2:G2"/>
    <mergeCell ref="H2:I2"/>
    <mergeCell ref="J2:K2"/>
    <mergeCell ref="L2:M2"/>
  </mergeCells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E104-D783-4558-913F-D267350AEFE6}">
  <dimension ref="A1:AC51"/>
  <sheetViews>
    <sheetView workbookViewId="0"/>
  </sheetViews>
  <sheetFormatPr defaultRowHeight="15" outlineLevelCol="1" x14ac:dyDescent="0.25"/>
  <cols>
    <col min="1" max="1" width="3.85546875" customWidth="1"/>
    <col min="2" max="2" width="25.140625" bestFit="1" customWidth="1"/>
    <col min="3" max="3" width="21.7109375" style="11" bestFit="1" customWidth="1"/>
    <col min="4" max="4" width="10.28515625" style="6" customWidth="1"/>
    <col min="5" max="5" width="19.5703125" style="11" bestFit="1" customWidth="1"/>
    <col min="6" max="6" width="7.140625" style="6" bestFit="1" customWidth="1"/>
    <col min="7" max="7" width="19.5703125" style="11" bestFit="1" customWidth="1"/>
    <col min="8" max="8" width="9.140625" style="6" bestFit="1"/>
    <col min="9" max="9" width="19.5703125" style="11" bestFit="1" customWidth="1"/>
    <col min="10" max="10" width="7.140625" style="6" bestFit="1" customWidth="1"/>
    <col min="11" max="11" width="18" style="11" bestFit="1" customWidth="1"/>
    <col min="12" max="12" width="7.140625" style="5" bestFit="1" customWidth="1"/>
    <col min="13" max="13" width="19.5703125" style="10" bestFit="1" customWidth="1"/>
    <col min="14" max="14" width="8.140625" style="10" bestFit="1" customWidth="1"/>
    <col min="15" max="15" width="19.5703125" style="10" customWidth="1"/>
    <col min="16" max="16" width="7.140625" bestFit="1" customWidth="1"/>
    <col min="17" max="18" width="7.140625" hidden="1" customWidth="1" outlineLevel="1"/>
    <col min="19" max="19" width="18" bestFit="1" customWidth="1" collapsed="1"/>
    <col min="20" max="20" width="16.85546875" bestFit="1" customWidth="1"/>
    <col min="21" max="21" width="18" bestFit="1" customWidth="1"/>
    <col min="22" max="22" width="16.85546875" bestFit="1" customWidth="1"/>
    <col min="23" max="23" width="15.28515625" bestFit="1" customWidth="1"/>
    <col min="25" max="25" width="7.85546875" bestFit="1" customWidth="1"/>
    <col min="26" max="26" width="11.140625" bestFit="1" customWidth="1"/>
    <col min="27" max="27" width="13.28515625" bestFit="1" customWidth="1"/>
    <col min="28" max="28" width="7.85546875" bestFit="1" customWidth="1"/>
    <col min="29" max="29" width="8.140625" bestFit="1" customWidth="1"/>
  </cols>
  <sheetData>
    <row r="1" spans="1:29" ht="9" customHeight="1" x14ac:dyDescent="0.25"/>
    <row r="2" spans="1:29" x14ac:dyDescent="0.25">
      <c r="B2" s="4" t="s">
        <v>1</v>
      </c>
      <c r="C2" s="9" t="s">
        <v>4</v>
      </c>
      <c r="D2" s="112" t="s">
        <v>7</v>
      </c>
      <c r="E2" s="112"/>
      <c r="F2" s="112" t="s">
        <v>8</v>
      </c>
      <c r="G2" s="112"/>
      <c r="H2" s="112" t="s">
        <v>10</v>
      </c>
      <c r="I2" s="112"/>
      <c r="J2" s="112" t="s">
        <v>9</v>
      </c>
      <c r="K2" s="112"/>
      <c r="L2" s="112" t="s">
        <v>21</v>
      </c>
      <c r="M2" s="112"/>
      <c r="N2" s="112" t="s">
        <v>55</v>
      </c>
      <c r="O2" s="112"/>
      <c r="Q2" s="1" t="s">
        <v>46</v>
      </c>
      <c r="S2" s="27" t="s">
        <v>49</v>
      </c>
      <c r="T2" s="27" t="s">
        <v>50</v>
      </c>
      <c r="U2" s="27" t="s">
        <v>51</v>
      </c>
      <c r="V2" s="27" t="s">
        <v>52</v>
      </c>
      <c r="W2" s="27" t="s">
        <v>53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</row>
    <row r="3" spans="1:29" x14ac:dyDescent="0.25">
      <c r="A3" s="29"/>
      <c r="B3" s="21" t="s">
        <v>5</v>
      </c>
      <c r="C3" s="23">
        <v>644609535.87</v>
      </c>
      <c r="D3" s="26">
        <v>0.35</v>
      </c>
      <c r="E3" s="23">
        <f>D3*C3</f>
        <v>225613337.55449998</v>
      </c>
      <c r="F3" s="26">
        <v>0.25800000000000001</v>
      </c>
      <c r="G3" s="22">
        <f>F3*C3</f>
        <v>166309260.25446001</v>
      </c>
      <c r="H3" s="26">
        <v>0.28999999999999998</v>
      </c>
      <c r="I3" s="23">
        <f>H3*C3</f>
        <v>186936765.4023</v>
      </c>
      <c r="J3" s="26">
        <v>6.9000000000000006E-2</v>
      </c>
      <c r="K3" s="23">
        <f>J3*C3</f>
        <v>44478057.975030005</v>
      </c>
      <c r="L3" s="24"/>
      <c r="M3" s="25">
        <f>L3*C3</f>
        <v>0</v>
      </c>
      <c r="N3" s="14">
        <v>3.3000000000000002E-2</v>
      </c>
      <c r="O3" s="12">
        <f>N3*C3</f>
        <v>21272114.683710001</v>
      </c>
      <c r="S3" s="12">
        <f>+E3-'Jan23'!E3</f>
        <v>-104015596.41918004</v>
      </c>
      <c r="T3" s="12">
        <f>+G3-'Jan23'!G3</f>
        <v>-3169767.1188000143</v>
      </c>
      <c r="U3" s="12">
        <f>+I3-'Jan23'!I3</f>
        <v>-17526464.869110018</v>
      </c>
      <c r="V3" s="12">
        <f>+K3-'Jan23'!K3</f>
        <v>-3722399.3513099998</v>
      </c>
      <c r="W3" s="12">
        <f>+M3-'Jan23'!M3</f>
        <v>0</v>
      </c>
      <c r="Y3" s="28">
        <f>+D3-'Jan23'!D3</f>
        <v>-7.400000000000001E-2</v>
      </c>
      <c r="Z3" s="28">
        <f>+F3-'Jan23'!F3</f>
        <v>4.0000000000000008E-2</v>
      </c>
      <c r="AA3" s="28">
        <f>+H3-'Jan23'!H3</f>
        <v>2.6999999999999968E-2</v>
      </c>
      <c r="AB3" s="28">
        <f>+J3-'Jan23'!J3</f>
        <v>7.0000000000000062E-3</v>
      </c>
      <c r="AC3" s="28">
        <f>+L3-'Jan23'!L3</f>
        <v>0</v>
      </c>
    </row>
    <row r="4" spans="1:29" x14ac:dyDescent="0.25">
      <c r="B4" s="3" t="s">
        <v>0</v>
      </c>
      <c r="C4" s="12">
        <v>1510555882</v>
      </c>
      <c r="D4" s="14">
        <v>0.34399999999999997</v>
      </c>
      <c r="E4" s="12">
        <f t="shared" ref="E4:E14" si="0">D4*C4</f>
        <v>519631223.40799993</v>
      </c>
      <c r="F4" s="14">
        <v>0.126</v>
      </c>
      <c r="G4" s="12">
        <f t="shared" ref="G4:G14" si="1">F4*C4</f>
        <v>190330041.132</v>
      </c>
      <c r="H4" s="14">
        <v>0.44</v>
      </c>
      <c r="I4" s="12">
        <f t="shared" ref="I4:I14" si="2">H4*C4</f>
        <v>664644588.08000004</v>
      </c>
      <c r="J4" s="14">
        <v>0.05</v>
      </c>
      <c r="K4" s="12">
        <f>J4*C4</f>
        <v>75527794.100000009</v>
      </c>
      <c r="L4" s="14"/>
      <c r="M4" s="12">
        <f>L4*C4</f>
        <v>0</v>
      </c>
      <c r="N4" s="14">
        <v>0.04</v>
      </c>
      <c r="O4" s="12">
        <f t="shared" ref="O4:O14" si="3">N4*C4</f>
        <v>60422235.280000001</v>
      </c>
      <c r="S4" s="12">
        <f>+E4-'Jan23'!E4</f>
        <v>-17408862.288000047</v>
      </c>
      <c r="T4" s="12">
        <f>+G4-'Jan23'!G4</f>
        <v>-64220750.932000011</v>
      </c>
      <c r="U4" s="12">
        <f>+I4-'Jan23'!I4</f>
        <v>28267607.920000076</v>
      </c>
      <c r="V4" s="12">
        <f>+K4-'Jan23'!K4</f>
        <v>-16048405.483999982</v>
      </c>
      <c r="W4" s="12">
        <f>+M4-'Jan23'!M4</f>
        <v>0</v>
      </c>
      <c r="Y4" s="28">
        <f>+D4-'Jan23'!D4</f>
        <v>-2.0000000000000018E-3</v>
      </c>
      <c r="Z4" s="28">
        <f>+F4-'Jan23'!F4</f>
        <v>-3.8000000000000006E-2</v>
      </c>
      <c r="AA4" s="28">
        <f>+H4-'Jan23'!H4</f>
        <v>3.0000000000000027E-2</v>
      </c>
      <c r="AB4" s="28">
        <f>+J4-'Jan23'!J4</f>
        <v>-8.9999999999999941E-3</v>
      </c>
      <c r="AC4" s="28">
        <f>+L4-'Jan23'!L4</f>
        <v>0</v>
      </c>
    </row>
    <row r="5" spans="1:29" x14ac:dyDescent="0.25">
      <c r="B5" s="3" t="s">
        <v>3</v>
      </c>
      <c r="C5" s="12">
        <v>2020023359.8099999</v>
      </c>
      <c r="D5" s="14">
        <v>0.54</v>
      </c>
      <c r="E5" s="12">
        <f t="shared" si="0"/>
        <v>1090812614.2974</v>
      </c>
      <c r="F5" s="14">
        <v>0.01</v>
      </c>
      <c r="G5" s="12">
        <f t="shared" si="1"/>
        <v>20200233.598099999</v>
      </c>
      <c r="H5" s="14">
        <v>0.31</v>
      </c>
      <c r="I5" s="12">
        <f t="shared" si="2"/>
        <v>626207241.54110003</v>
      </c>
      <c r="J5" s="14">
        <v>0.05</v>
      </c>
      <c r="K5" s="12">
        <f t="shared" ref="K5:K7" si="4">J5*C5</f>
        <v>101001167.9905</v>
      </c>
      <c r="L5" s="14">
        <v>0.08</v>
      </c>
      <c r="M5" s="12">
        <f>L5*C5</f>
        <v>161601868.78479999</v>
      </c>
      <c r="N5" s="14">
        <v>0.01</v>
      </c>
      <c r="O5" s="12">
        <f t="shared" si="3"/>
        <v>20200233.598099999</v>
      </c>
      <c r="S5" s="12">
        <f>+E5-'Jan23'!E5</f>
        <v>-192166637.14110017</v>
      </c>
      <c r="T5" s="12">
        <f>+G5-'Jan23'!G5</f>
        <v>-73107348.324699998</v>
      </c>
      <c r="U5" s="12">
        <f>+I5-'Jan23'!I5</f>
        <v>-26945831.918500066</v>
      </c>
      <c r="V5" s="12">
        <f>+K5-'Jan23'!K5</f>
        <v>-38960204.893700004</v>
      </c>
      <c r="W5" s="12">
        <f>+M5-'Jan23'!M5</f>
        <v>-1686399.5801000297</v>
      </c>
      <c r="Y5" s="28">
        <f>+D5-'Jan23'!D5</f>
        <v>-1.0000000000000009E-2</v>
      </c>
      <c r="Z5" s="28">
        <f>+F5-'Jan23'!F5</f>
        <v>-0.03</v>
      </c>
      <c r="AA5" s="28">
        <f>+H5-'Jan23'!H5</f>
        <v>2.9999999999999971E-2</v>
      </c>
      <c r="AB5" s="28">
        <f>+J5-'Jan23'!J5</f>
        <v>-1.0000000000000002E-2</v>
      </c>
      <c r="AC5" s="28">
        <f>+L5-'Jan23'!L5</f>
        <v>9.999999999999995E-3</v>
      </c>
    </row>
    <row r="6" spans="1:29" x14ac:dyDescent="0.25">
      <c r="B6" s="3" t="s">
        <v>37</v>
      </c>
      <c r="C6" s="12">
        <v>4612620792</v>
      </c>
      <c r="D6" s="14">
        <v>0.32269999999999999</v>
      </c>
      <c r="E6" s="12">
        <f t="shared" si="0"/>
        <v>1488492729.5783999</v>
      </c>
      <c r="F6" s="14">
        <v>0.18029999999999999</v>
      </c>
      <c r="G6" s="12">
        <f t="shared" si="1"/>
        <v>831655528.79759991</v>
      </c>
      <c r="H6" s="14">
        <v>0.43309999999999998</v>
      </c>
      <c r="I6" s="12">
        <f t="shared" si="2"/>
        <v>1997726065.0151999</v>
      </c>
      <c r="J6" s="14">
        <v>2.93E-2</v>
      </c>
      <c r="K6" s="12">
        <f t="shared" si="4"/>
        <v>135149789.20559999</v>
      </c>
      <c r="L6" s="14"/>
      <c r="M6" s="12">
        <f>L6*C6</f>
        <v>0</v>
      </c>
      <c r="N6" s="14">
        <v>3.4599999999999999E-2</v>
      </c>
      <c r="O6" s="12">
        <f t="shared" si="3"/>
        <v>159596679.4032</v>
      </c>
      <c r="S6" s="12">
        <f>+E6-'Jan23'!E6</f>
        <v>-242206995.86660004</v>
      </c>
      <c r="T6" s="12">
        <f>+G6-'Jan23'!G6</f>
        <v>-390648.35640013218</v>
      </c>
      <c r="U6" s="12">
        <f>+I6-'Jan23'!I6</f>
        <v>-521342872.90379977</v>
      </c>
      <c r="V6" s="12">
        <f>+K6-'Jan23'!K6</f>
        <v>-18265549.232899994</v>
      </c>
      <c r="W6" s="12">
        <f>+M6-'Jan23'!M6</f>
        <v>0</v>
      </c>
      <c r="Y6" s="28">
        <f>+D6-'Jan23'!D6</f>
        <v>5.6999999999999829E-3</v>
      </c>
      <c r="Z6" s="28">
        <f>+F6-'Jan23'!F6</f>
        <v>2.789999999999998E-2</v>
      </c>
      <c r="AA6" s="28">
        <f>+H6-'Jan23'!H6</f>
        <v>-2.8299999999999992E-2</v>
      </c>
      <c r="AB6" s="28">
        <f>+J6-'Jan23'!J6</f>
        <v>1.1999999999999997E-3</v>
      </c>
      <c r="AC6" s="28">
        <f>+L6-'Jan23'!L6</f>
        <v>0</v>
      </c>
    </row>
    <row r="7" spans="1:29" x14ac:dyDescent="0.25">
      <c r="B7" s="3" t="s">
        <v>22</v>
      </c>
      <c r="C7" s="12">
        <v>2014210000</v>
      </c>
      <c r="D7" s="14">
        <v>0.315</v>
      </c>
      <c r="E7" s="12">
        <f t="shared" si="0"/>
        <v>634476150</v>
      </c>
      <c r="F7" s="14">
        <v>0.123</v>
      </c>
      <c r="G7" s="12">
        <f t="shared" si="1"/>
        <v>247747830</v>
      </c>
      <c r="H7" s="14">
        <v>0.502</v>
      </c>
      <c r="I7" s="12">
        <f t="shared" si="2"/>
        <v>1011133420</v>
      </c>
      <c r="J7" s="14">
        <v>0.06</v>
      </c>
      <c r="K7" s="12">
        <f t="shared" si="4"/>
        <v>120852600</v>
      </c>
      <c r="L7" s="16"/>
      <c r="M7" s="12">
        <f t="shared" ref="M7:M14" si="5">L7*C7</f>
        <v>0</v>
      </c>
      <c r="N7" s="14"/>
      <c r="O7" s="12">
        <f t="shared" si="3"/>
        <v>0</v>
      </c>
      <c r="S7" s="12">
        <f>+E7-'Jan23'!E7</f>
        <v>-224432910.00000012</v>
      </c>
      <c r="T7" s="12">
        <f>+G7-'Jan23'!G7</f>
        <v>-31020900</v>
      </c>
      <c r="U7" s="12">
        <f>+I7-'Jan23'!I7</f>
        <v>-239558720</v>
      </c>
      <c r="V7" s="12">
        <f>+K7-'Jan23'!K7</f>
        <v>-2207470</v>
      </c>
      <c r="W7" s="12">
        <f>+M7-'Jan23'!M7</f>
        <v>0</v>
      </c>
      <c r="Y7" s="28">
        <f>+D7-'Jan23'!D7</f>
        <v>-2.7000000000000024E-2</v>
      </c>
      <c r="Z7" s="28">
        <f>+F7-'Jan23'!F7</f>
        <v>1.1999999999999997E-2</v>
      </c>
      <c r="AA7" s="28">
        <f>+H7-'Jan23'!H7</f>
        <v>4.0000000000000036E-3</v>
      </c>
      <c r="AB7" s="28">
        <f>+J7-'Jan23'!J7</f>
        <v>1.0999999999999996E-2</v>
      </c>
      <c r="AC7" s="28">
        <f>+L7-'Jan23'!L7</f>
        <v>0</v>
      </c>
    </row>
    <row r="8" spans="1:29" x14ac:dyDescent="0.25">
      <c r="B8" s="3" t="s">
        <v>23</v>
      </c>
      <c r="C8" s="12">
        <v>1718031392</v>
      </c>
      <c r="D8" s="14">
        <v>0.24</v>
      </c>
      <c r="E8" s="12">
        <f t="shared" si="0"/>
        <v>412327534.07999998</v>
      </c>
      <c r="F8" s="14">
        <v>0.28000000000000003</v>
      </c>
      <c r="G8" s="12">
        <f t="shared" si="1"/>
        <v>481048789.76000005</v>
      </c>
      <c r="H8" s="14">
        <v>0.38</v>
      </c>
      <c r="I8" s="12">
        <f t="shared" si="2"/>
        <v>652851928.96000004</v>
      </c>
      <c r="J8" s="14">
        <v>7.0000000000000007E-2</v>
      </c>
      <c r="K8" s="12">
        <f>J8*C8</f>
        <v>120262197.44000001</v>
      </c>
      <c r="L8" s="16"/>
      <c r="M8" s="12">
        <f t="shared" si="5"/>
        <v>0</v>
      </c>
      <c r="N8" s="14">
        <v>0.03</v>
      </c>
      <c r="O8" s="12">
        <f t="shared" si="3"/>
        <v>51540941.759999998</v>
      </c>
      <c r="S8" s="12">
        <f>+E8-'Jan23'!E8</f>
        <v>-124328936.35800004</v>
      </c>
      <c r="T8" s="12">
        <f>+G8-'Jan23'!G8</f>
        <v>-6820728.8199999332</v>
      </c>
      <c r="U8" s="12">
        <f>+I8-'Jan23'!I8</f>
        <v>-78952348.909999967</v>
      </c>
      <c r="V8" s="12">
        <f>+K8-'Jan23'!K8</f>
        <v>-6583877.3907999843</v>
      </c>
      <c r="W8" s="12">
        <f>+M8-'Jan23'!M8</f>
        <v>0</v>
      </c>
      <c r="Y8" s="28">
        <f>+D8-'Jan23'!D8</f>
        <v>-3.5000000000000031E-2</v>
      </c>
      <c r="Z8" s="28">
        <f>+F8-'Jan23'!F8</f>
        <v>3.0000000000000027E-2</v>
      </c>
      <c r="AA8" s="28">
        <f>+H8-'Jan23'!H8</f>
        <v>5.0000000000000044E-3</v>
      </c>
      <c r="AB8" s="28">
        <f>+J8-'Jan23'!J8</f>
        <v>5.0000000000000044E-3</v>
      </c>
      <c r="AC8" s="28">
        <f>+L8-'Jan23'!L8</f>
        <v>0</v>
      </c>
    </row>
    <row r="9" spans="1:29" x14ac:dyDescent="0.25">
      <c r="B9" s="3" t="s">
        <v>24</v>
      </c>
      <c r="C9" s="12">
        <v>3491332917</v>
      </c>
      <c r="D9" s="14">
        <v>0.4254</v>
      </c>
      <c r="E9" s="12">
        <f t="shared" si="0"/>
        <v>1485213022.8917999</v>
      </c>
      <c r="F9" s="14">
        <v>0.1757</v>
      </c>
      <c r="G9" s="12">
        <f t="shared" si="1"/>
        <v>613427193.51689994</v>
      </c>
      <c r="H9" s="14">
        <v>0.35959999999999998</v>
      </c>
      <c r="I9" s="12">
        <f t="shared" si="2"/>
        <v>1255483316.9531999</v>
      </c>
      <c r="J9" s="14">
        <v>2.9499999999999998E-2</v>
      </c>
      <c r="K9" s="12">
        <f>J9*C9</f>
        <v>102994321.05149999</v>
      </c>
      <c r="L9" s="16"/>
      <c r="M9" s="12">
        <f t="shared" si="5"/>
        <v>0</v>
      </c>
      <c r="N9" s="14">
        <v>9.7999999999999997E-3</v>
      </c>
      <c r="O9" s="12">
        <f t="shared" si="3"/>
        <v>34215062.586599998</v>
      </c>
      <c r="S9" s="12">
        <f>+E9-'Jan23'!E9</f>
        <v>-1025456830.8648</v>
      </c>
      <c r="T9" s="12">
        <f>+G9-'Jan23'!G9</f>
        <v>-188044198.73430014</v>
      </c>
      <c r="U9" s="12">
        <f>+I9-'Jan23'!I9</f>
        <v>-323172455.66280007</v>
      </c>
      <c r="V9" s="12">
        <f>+K9-'Jan23'!K9</f>
        <v>-24512491.352100015</v>
      </c>
      <c r="W9" s="12">
        <f>+M9-'Jan23'!M9</f>
        <v>0</v>
      </c>
      <c r="Y9" s="28">
        <f>+D9-'Jan23'!D9</f>
        <v>-7.0799999999999974E-2</v>
      </c>
      <c r="Z9" s="28">
        <f>+F9-'Jan23'!F9</f>
        <v>1.7299999999999982E-2</v>
      </c>
      <c r="AA9" s="28">
        <f>+H9-'Jan23'!H9</f>
        <v>4.7599999999999976E-2</v>
      </c>
      <c r="AB9" s="28">
        <f>+J9-'Jan23'!J9</f>
        <v>4.2999999999999983E-3</v>
      </c>
      <c r="AC9" s="28">
        <f>+L9-'Jan23'!L9</f>
        <v>0</v>
      </c>
    </row>
    <row r="10" spans="1:29" x14ac:dyDescent="0.25">
      <c r="B10" s="3" t="s">
        <v>25</v>
      </c>
      <c r="C10" s="12">
        <v>736845297</v>
      </c>
      <c r="D10" s="14">
        <v>0.33</v>
      </c>
      <c r="E10" s="12">
        <f t="shared" si="0"/>
        <v>243158948.01000002</v>
      </c>
      <c r="F10" s="14">
        <v>0.18</v>
      </c>
      <c r="G10" s="12">
        <f t="shared" si="1"/>
        <v>132632153.45999999</v>
      </c>
      <c r="H10" s="14">
        <v>0.43</v>
      </c>
      <c r="I10" s="12">
        <f t="shared" si="2"/>
        <v>316843477.70999998</v>
      </c>
      <c r="J10" s="14">
        <v>0.06</v>
      </c>
      <c r="K10" s="12">
        <f>J10*C10</f>
        <v>44210717.82</v>
      </c>
      <c r="L10" s="16"/>
      <c r="M10" s="12">
        <f t="shared" si="5"/>
        <v>0</v>
      </c>
      <c r="N10" s="14"/>
      <c r="O10" s="12">
        <f t="shared" si="3"/>
        <v>0</v>
      </c>
      <c r="S10" s="12">
        <f>+E10-'Jan23'!E10</f>
        <v>-72895463.039999932</v>
      </c>
      <c r="T10" s="12">
        <f>+G10-'Jan23'!G10</f>
        <v>-11849863.019999996</v>
      </c>
      <c r="U10" s="12">
        <f>+I10-'Jan23'!I10</f>
        <v>-62421815.550000012</v>
      </c>
      <c r="V10" s="12">
        <f>+K10-'Jan23'!K10</f>
        <v>-19000164.390000008</v>
      </c>
      <c r="W10" s="12">
        <f>+M10-'Jan23'!M10</f>
        <v>0</v>
      </c>
      <c r="Y10" s="28">
        <f>+D10-'Jan23'!D10</f>
        <v>-1.9999999999999962E-2</v>
      </c>
      <c r="Z10" s="28">
        <f>+F10-'Jan23'!F10</f>
        <v>1.999999999999999E-2</v>
      </c>
      <c r="AA10" s="28">
        <f>+H10-'Jan23'!H10</f>
        <v>1.0000000000000009E-2</v>
      </c>
      <c r="AB10" s="28">
        <f>+J10-'Jan23'!J10</f>
        <v>-1.0000000000000009E-2</v>
      </c>
      <c r="AC10" s="28">
        <f>+L10-'Jan23'!L10</f>
        <v>0</v>
      </c>
    </row>
    <row r="11" spans="1:29" x14ac:dyDescent="0.25">
      <c r="B11" s="3" t="s">
        <v>29</v>
      </c>
      <c r="C11" s="12">
        <v>4175177193</v>
      </c>
      <c r="D11" s="14">
        <v>0.32200000000000001</v>
      </c>
      <c r="E11" s="12">
        <f t="shared" si="0"/>
        <v>1344407056.1460001</v>
      </c>
      <c r="F11" s="14">
        <v>0.375</v>
      </c>
      <c r="G11" s="12">
        <f t="shared" si="1"/>
        <v>1565691447.375</v>
      </c>
      <c r="H11" s="14">
        <v>0.27200000000000002</v>
      </c>
      <c r="I11" s="12">
        <f t="shared" si="2"/>
        <v>1135648196.4960001</v>
      </c>
      <c r="J11" s="14">
        <v>3.1E-2</v>
      </c>
      <c r="K11" s="12">
        <f>J11*C11</f>
        <v>129430492.983</v>
      </c>
      <c r="L11" s="16"/>
      <c r="M11" s="12">
        <f t="shared" si="5"/>
        <v>0</v>
      </c>
      <c r="N11" s="14"/>
      <c r="O11" s="12">
        <f t="shared" si="3"/>
        <v>0</v>
      </c>
      <c r="S11" s="12">
        <f>+E11-'Jan23'!E11</f>
        <v>-274653762.69199991</v>
      </c>
      <c r="T11" s="12">
        <f>+G11-'Jan23'!G11</f>
        <v>-226325423.3269999</v>
      </c>
      <c r="U11" s="12">
        <f>+I11-'Jan23'!I11</f>
        <v>-118283179.51799989</v>
      </c>
      <c r="V11" s="12">
        <f>+K11-'Jan23'!K11</f>
        <v>-9895215.4630000144</v>
      </c>
      <c r="W11" s="12">
        <f>+M11-'Jan23'!M11</f>
        <v>0</v>
      </c>
      <c r="Y11" s="28">
        <f>+D11-'Jan23'!D11</f>
        <v>-1.5000000000000013E-2</v>
      </c>
      <c r="Z11" s="28">
        <f>+F11-'Jan23'!F11</f>
        <v>2.0000000000000018E-3</v>
      </c>
      <c r="AA11" s="28">
        <f>+H11-'Jan23'!H11</f>
        <v>1.100000000000001E-2</v>
      </c>
      <c r="AB11" s="28">
        <f>+J11-'Jan23'!J11</f>
        <v>1.9999999999999983E-3</v>
      </c>
      <c r="AC11" s="28">
        <f>+L11-'Jan23'!L11</f>
        <v>0</v>
      </c>
    </row>
    <row r="12" spans="1:29" x14ac:dyDescent="0.25">
      <c r="B12" s="3" t="s">
        <v>47</v>
      </c>
      <c r="C12" s="12"/>
      <c r="D12" s="14"/>
      <c r="E12" s="12">
        <f t="shared" si="0"/>
        <v>0</v>
      </c>
      <c r="F12" s="14"/>
      <c r="G12" s="12">
        <f t="shared" si="1"/>
        <v>0</v>
      </c>
      <c r="H12" s="14"/>
      <c r="I12" s="12">
        <f t="shared" si="2"/>
        <v>0</v>
      </c>
      <c r="J12" s="14"/>
      <c r="K12" s="12">
        <f t="shared" ref="K12:K14" si="6">J12*C12</f>
        <v>0</v>
      </c>
      <c r="L12" s="16"/>
      <c r="M12" s="12">
        <f t="shared" si="5"/>
        <v>0</v>
      </c>
      <c r="N12" s="14"/>
      <c r="O12" s="12">
        <f t="shared" si="3"/>
        <v>0</v>
      </c>
      <c r="Q12" t="s">
        <v>48</v>
      </c>
      <c r="S12" s="12">
        <f>+E12-'Jan23'!E12</f>
        <v>-1153465992</v>
      </c>
      <c r="T12" s="12">
        <f>+G12-'Jan23'!G12</f>
        <v>-208414416</v>
      </c>
      <c r="U12" s="12">
        <f>+I12-'Jan23'!I12</f>
        <v>-434795592</v>
      </c>
      <c r="V12" s="12">
        <f>+K12-'Jan23'!K12</f>
        <v>0</v>
      </c>
      <c r="W12" s="12">
        <f>+M12-'Jan23'!M12</f>
        <v>0</v>
      </c>
      <c r="Y12" s="28">
        <f>+D12-'Jan23'!D12</f>
        <v>-0.64200000000000002</v>
      </c>
      <c r="Z12" s="28">
        <f>+F12-'Jan23'!F12</f>
        <v>-0.11600000000000001</v>
      </c>
      <c r="AA12" s="28">
        <f>+H12-'Jan23'!H12</f>
        <v>-0.24199999999999999</v>
      </c>
      <c r="AB12" s="28">
        <f>+J12-'Jan23'!J12</f>
        <v>0</v>
      </c>
      <c r="AC12" s="28">
        <f>+L12-'Jan23'!L12</f>
        <v>0</v>
      </c>
    </row>
    <row r="13" spans="1:29" x14ac:dyDescent="0.25">
      <c r="B13" s="3" t="s">
        <v>30</v>
      </c>
      <c r="C13" s="34">
        <v>1577490000</v>
      </c>
      <c r="D13" s="14">
        <v>0.27</v>
      </c>
      <c r="E13" s="12">
        <f t="shared" si="0"/>
        <v>425922300</v>
      </c>
      <c r="F13" s="14">
        <v>0.27</v>
      </c>
      <c r="G13" s="12">
        <f t="shared" si="1"/>
        <v>425922300</v>
      </c>
      <c r="H13" s="14">
        <v>0.45</v>
      </c>
      <c r="I13" s="12">
        <f t="shared" si="2"/>
        <v>709870500</v>
      </c>
      <c r="J13" s="14">
        <v>0.01</v>
      </c>
      <c r="K13" s="12">
        <f t="shared" si="6"/>
        <v>15774900</v>
      </c>
      <c r="L13" s="16"/>
      <c r="M13" s="12">
        <f t="shared" si="5"/>
        <v>0</v>
      </c>
      <c r="N13" s="14"/>
      <c r="O13" s="12">
        <f t="shared" si="3"/>
        <v>0</v>
      </c>
      <c r="S13" s="12">
        <f>+E13-'Jan23'!E13</f>
        <v>-79034399.99999994</v>
      </c>
      <c r="T13" s="12">
        <f>+G13-'Jan23'!G13</f>
        <v>-9385200</v>
      </c>
      <c r="U13" s="12">
        <f>+I13-'Jan23'!I13</f>
        <v>-73683000</v>
      </c>
      <c r="V13" s="12">
        <f>+K13-'Jan23'!K13</f>
        <v>-1637400</v>
      </c>
      <c r="W13" s="12">
        <f>+M13-'Jan23'!M13</f>
        <v>0</v>
      </c>
      <c r="Y13" s="28">
        <f>+D13-'Jan23'!D13</f>
        <v>-1.9999999999999962E-2</v>
      </c>
      <c r="Z13" s="28">
        <f>+F13-'Jan23'!F13</f>
        <v>2.0000000000000018E-2</v>
      </c>
      <c r="AA13" s="28">
        <f>+H13-'Jan23'!H13</f>
        <v>0</v>
      </c>
      <c r="AB13" s="28">
        <f>+J13-'Jan23'!J13</f>
        <v>0</v>
      </c>
      <c r="AC13" s="28">
        <f>+L13-'Jan23'!L13</f>
        <v>0</v>
      </c>
    </row>
    <row r="14" spans="1:29" x14ac:dyDescent="0.25">
      <c r="B14" s="3" t="s">
        <v>31</v>
      </c>
      <c r="C14" s="12">
        <v>40858283.270000003</v>
      </c>
      <c r="D14" s="19">
        <v>0.34</v>
      </c>
      <c r="E14" s="18">
        <f t="shared" si="0"/>
        <v>13891816.311800001</v>
      </c>
      <c r="F14" s="14">
        <v>0.13</v>
      </c>
      <c r="G14" s="12">
        <f t="shared" si="1"/>
        <v>5311576.8251000009</v>
      </c>
      <c r="H14" s="19">
        <v>0.46899999999999997</v>
      </c>
      <c r="I14" s="18">
        <f t="shared" si="2"/>
        <v>19162534.853629999</v>
      </c>
      <c r="J14" s="14">
        <v>6.0999999999999999E-2</v>
      </c>
      <c r="K14" s="12">
        <f t="shared" si="6"/>
        <v>2492355.27947</v>
      </c>
      <c r="L14" s="16"/>
      <c r="M14" s="12">
        <f t="shared" si="5"/>
        <v>0</v>
      </c>
      <c r="N14" s="14"/>
      <c r="O14" s="12">
        <f t="shared" si="3"/>
        <v>0</v>
      </c>
      <c r="S14" s="12">
        <f>+E14-'Jan23'!E14</f>
        <v>-59872.377100000158</v>
      </c>
      <c r="T14" s="12">
        <f>+G14-'Jan23'!G14</f>
        <v>-691375.28139999881</v>
      </c>
      <c r="U14" s="12">
        <f>+I14-'Jan23'!I14</f>
        <v>449884.14922999591</v>
      </c>
      <c r="V14" s="12">
        <f>+K14-'Jan23'!K14</f>
        <v>-240022.92073000036</v>
      </c>
      <c r="W14" s="12">
        <f>+M14-'Jan23'!M14</f>
        <v>0</v>
      </c>
      <c r="Y14" s="28">
        <f>+D14-'Jan23'!D14</f>
        <v>3.0000000000000027E-3</v>
      </c>
      <c r="Z14" s="28">
        <f>+F14-'Jan23'!F14</f>
        <v>-1.4999999999999986E-2</v>
      </c>
      <c r="AA14" s="28">
        <f>+H14-'Jan23'!H14</f>
        <v>1.699999999999996E-2</v>
      </c>
      <c r="AB14" s="28">
        <f>+J14-'Jan23'!J14</f>
        <v>-5.0000000000000044E-3</v>
      </c>
      <c r="AC14" s="28">
        <f>+L14-'Jan23'!L14</f>
        <v>0</v>
      </c>
    </row>
    <row r="15" spans="1:29" s="8" customFormat="1" x14ac:dyDescent="0.25">
      <c r="A15" s="33"/>
      <c r="B15" s="21" t="s">
        <v>45</v>
      </c>
      <c r="C15" s="20">
        <f>SUM(C3:C14)</f>
        <v>22541754651.950001</v>
      </c>
      <c r="D15" s="15">
        <f>+E15/$C15</f>
        <v>0.34974858230904798</v>
      </c>
      <c r="E15" s="17">
        <f>SUM(E3:E14)</f>
        <v>7883946732.2778997</v>
      </c>
      <c r="F15" s="15">
        <f>+G15/$C15</f>
        <v>0.20762697611537917</v>
      </c>
      <c r="G15" s="20">
        <f>SUM(G3:G14)</f>
        <v>4680276354.7191601</v>
      </c>
      <c r="H15" s="15">
        <f>+I15/$C15</f>
        <v>0.38047206916385762</v>
      </c>
      <c r="I15" s="17">
        <f>SUM(I3:I14)</f>
        <v>8576508035.0114298</v>
      </c>
      <c r="J15" s="15">
        <f>+K15/$C15</f>
        <v>3.9578746535949963E-2</v>
      </c>
      <c r="K15" s="17">
        <f>SUM(K3:K14)</f>
        <v>892174393.84510005</v>
      </c>
      <c r="L15" s="15">
        <f>+M15/$C15</f>
        <v>7.1690013168881879E-3</v>
      </c>
      <c r="M15" s="17">
        <f>SUM(M3:M14)</f>
        <v>161601868.78479999</v>
      </c>
      <c r="N15" s="15">
        <f>+O15/$C15</f>
        <v>1.5404624558877053E-2</v>
      </c>
      <c r="O15" s="17">
        <f>SUM(O3:O14)</f>
        <v>347247267.31161004</v>
      </c>
      <c r="S15" s="31">
        <f>+E15-'Jan23'!E15</f>
        <v>-3510126259.0467806</v>
      </c>
      <c r="T15" s="31">
        <f>+G15-'Jan23'!G15</f>
        <v>-823440619.91459942</v>
      </c>
      <c r="U15" s="31">
        <f>+I15-'Jan23'!I15</f>
        <v>-1867964789.2629805</v>
      </c>
      <c r="V15" s="31">
        <f>+K15-'Jan23'!K15</f>
        <v>-141073200.47854006</v>
      </c>
      <c r="W15" s="31">
        <f>+M15-'Jan23'!M15</f>
        <v>-1686399.5801000297</v>
      </c>
      <c r="Y15" s="32">
        <f>+D15-'Jan23'!D15</f>
        <v>-4.4084398745337039E-2</v>
      </c>
      <c r="Z15" s="32">
        <f>+F15-'Jan23'!F15</f>
        <v>1.7392521355436924E-2</v>
      </c>
      <c r="AA15" s="32">
        <f>+H15-'Jan23'!H15</f>
        <v>1.9461755199976283E-2</v>
      </c>
      <c r="AB15" s="32">
        <f>+J15-'Jan23'!J15</f>
        <v>3.8648292607507684E-3</v>
      </c>
      <c r="AC15" s="32">
        <f>+L15-'Jan23'!L15</f>
        <v>1.5249874905487711E-3</v>
      </c>
    </row>
    <row r="16" spans="1:29" x14ac:dyDescent="0.25">
      <c r="C16" s="10"/>
      <c r="D16" s="10"/>
      <c r="E16" s="10"/>
      <c r="F16" s="5"/>
      <c r="G16" s="10"/>
      <c r="H16" s="10"/>
      <c r="I16" s="10"/>
      <c r="J16" s="5"/>
      <c r="K16" s="10"/>
    </row>
    <row r="17" spans="2:29" x14ac:dyDescent="0.25">
      <c r="B17" s="4" t="s">
        <v>2</v>
      </c>
      <c r="C17" s="9" t="s">
        <v>4</v>
      </c>
      <c r="D17" s="112" t="s">
        <v>7</v>
      </c>
      <c r="E17" s="112"/>
      <c r="F17" s="112" t="s">
        <v>8</v>
      </c>
      <c r="G17" s="112"/>
      <c r="H17" s="112" t="s">
        <v>10</v>
      </c>
      <c r="I17" s="112"/>
      <c r="J17" s="112" t="s">
        <v>9</v>
      </c>
      <c r="K17" s="112"/>
      <c r="L17" s="112" t="s">
        <v>21</v>
      </c>
      <c r="M17" s="112"/>
      <c r="N17" s="112" t="s">
        <v>55</v>
      </c>
      <c r="O17" s="112"/>
      <c r="S17" s="27" t="s">
        <v>49</v>
      </c>
      <c r="T17" s="27" t="s">
        <v>50</v>
      </c>
      <c r="U17" s="27" t="s">
        <v>51</v>
      </c>
      <c r="V17" s="27" t="s">
        <v>52</v>
      </c>
      <c r="W17" s="27" t="s">
        <v>53</v>
      </c>
      <c r="Y17" s="27" t="s">
        <v>49</v>
      </c>
      <c r="Z17" s="27" t="s">
        <v>50</v>
      </c>
      <c r="AA17" s="27" t="s">
        <v>51</v>
      </c>
      <c r="AB17" s="27" t="s">
        <v>52</v>
      </c>
      <c r="AC17" s="27" t="s">
        <v>53</v>
      </c>
    </row>
    <row r="18" spans="2:29" x14ac:dyDescent="0.25">
      <c r="B18" s="21" t="s">
        <v>6</v>
      </c>
      <c r="C18" s="22">
        <v>514140473.37</v>
      </c>
      <c r="D18" s="26">
        <v>0.25729999999999997</v>
      </c>
      <c r="E18" s="23">
        <f t="shared" ref="E18:E26" si="7">D18*C18</f>
        <v>132288343.79810099</v>
      </c>
      <c r="F18" s="26">
        <v>0.20660000000000001</v>
      </c>
      <c r="G18" s="22">
        <f>C18*F18</f>
        <v>106221421.798242</v>
      </c>
      <c r="H18" s="26">
        <v>0.42730000000000001</v>
      </c>
      <c r="I18" s="23">
        <f t="shared" ref="I18:I26" si="8">H18*C18</f>
        <v>219692224.27100101</v>
      </c>
      <c r="J18" s="26">
        <v>5.4100000000000002E-2</v>
      </c>
      <c r="K18" s="23">
        <f>J18*C18</f>
        <v>27814999.609317001</v>
      </c>
      <c r="L18" s="24"/>
      <c r="M18" s="23">
        <f>L18*E18</f>
        <v>0</v>
      </c>
      <c r="N18" s="26">
        <v>5.4699999999999999E-2</v>
      </c>
      <c r="O18" s="23">
        <f>N18*G18</f>
        <v>5810311.7723638378</v>
      </c>
      <c r="S18" s="12">
        <f>+E18-'Jan23'!E18</f>
        <v>-89766.300264015794</v>
      </c>
      <c r="T18" s="12">
        <f>+G18-'Jan23'!G18</f>
        <v>587449.15585498512</v>
      </c>
      <c r="U18" s="12">
        <f>+I18-'Jan23'!I18</f>
        <v>-20414278.87292999</v>
      </c>
      <c r="V18" s="12">
        <f>+K18-'Jan23'!K18</f>
        <v>-2903166.303975001</v>
      </c>
      <c r="W18" s="12">
        <f>+M18-'Jan23'!M18</f>
        <v>0</v>
      </c>
      <c r="Y18" s="28">
        <f>+D18-'Jan23'!D18</f>
        <v>1.0799999999999976E-2</v>
      </c>
      <c r="Z18" s="28">
        <f>+F18-'Jan23'!F18</f>
        <v>9.8999999999999921E-3</v>
      </c>
      <c r="AA18" s="28">
        <f>+H18-'Jan23'!H18</f>
        <v>-1.9799999999999984E-2</v>
      </c>
      <c r="AB18" s="28">
        <f>+J18-'Jan23'!J18</f>
        <v>-3.0999999999999986E-3</v>
      </c>
      <c r="AC18" s="28">
        <f>+L18-'Jan23'!L18</f>
        <v>0</v>
      </c>
    </row>
    <row r="19" spans="2:29" x14ac:dyDescent="0.25">
      <c r="B19" s="3" t="s">
        <v>26</v>
      </c>
      <c r="C19" s="12">
        <v>488568984.70999998</v>
      </c>
      <c r="D19" s="14">
        <v>0.25</v>
      </c>
      <c r="E19" s="12">
        <f t="shared" si="7"/>
        <v>122142246.17749999</v>
      </c>
      <c r="F19" s="14">
        <v>0.13500000000000001</v>
      </c>
      <c r="G19" s="12">
        <f t="shared" ref="G19:G26" si="9">C19*F19</f>
        <v>65956812.935850002</v>
      </c>
      <c r="H19" s="14">
        <v>0.44</v>
      </c>
      <c r="I19" s="12">
        <f t="shared" si="8"/>
        <v>214970353.27239999</v>
      </c>
      <c r="J19" s="14">
        <v>0.13</v>
      </c>
      <c r="K19" s="12">
        <f t="shared" ref="K19:O26" si="10">J19*C19</f>
        <v>63513968.0123</v>
      </c>
      <c r="L19" s="16"/>
      <c r="M19" s="12">
        <f t="shared" si="10"/>
        <v>0</v>
      </c>
      <c r="N19" s="26">
        <v>4.4999999999999998E-2</v>
      </c>
      <c r="O19" s="12">
        <f t="shared" si="10"/>
        <v>2968056.5821132502</v>
      </c>
      <c r="S19" s="12">
        <f>+E19-'Jan23'!E19</f>
        <v>12896339.477899998</v>
      </c>
      <c r="T19" s="12">
        <f>+G19-'Jan23'!G19</f>
        <v>-8529032.5411499962</v>
      </c>
      <c r="U19" s="12">
        <f>+I19-'Jan23'!I19</f>
        <v>-13452906.190400034</v>
      </c>
      <c r="V19" s="12">
        <f>+K19-'Jan23'!K19</f>
        <v>-6006154.4329000115</v>
      </c>
      <c r="W19" s="12">
        <f>+M19-'Jan23'!M19</f>
        <v>0</v>
      </c>
      <c r="Y19" s="28">
        <f>+D19-'Jan23'!D19</f>
        <v>0.03</v>
      </c>
      <c r="Z19" s="28">
        <f>+F19-'Jan23'!F19</f>
        <v>-1.4999999999999986E-2</v>
      </c>
      <c r="AA19" s="28">
        <f>+H19-'Jan23'!H19</f>
        <v>-2.0000000000000018E-2</v>
      </c>
      <c r="AB19" s="28">
        <f>+J19-'Jan23'!J19</f>
        <v>-1.0000000000000009E-2</v>
      </c>
      <c r="AC19" s="28">
        <f>+L19-'Jan23'!L19</f>
        <v>0</v>
      </c>
    </row>
    <row r="20" spans="2:29" x14ac:dyDescent="0.25">
      <c r="B20" s="3" t="s">
        <v>27</v>
      </c>
      <c r="C20" s="12">
        <v>1120169493</v>
      </c>
      <c r="D20" s="14">
        <v>0.16470000000000001</v>
      </c>
      <c r="E20" s="12">
        <f t="shared" si="7"/>
        <v>184491915.49710003</v>
      </c>
      <c r="F20" s="14">
        <v>0.24640000000000001</v>
      </c>
      <c r="G20" s="12">
        <f t="shared" si="9"/>
        <v>276009763.07520002</v>
      </c>
      <c r="H20" s="14">
        <v>0.53869999999999996</v>
      </c>
      <c r="I20" s="12">
        <f t="shared" si="8"/>
        <v>603435305.87909997</v>
      </c>
      <c r="J20" s="14">
        <v>4.5400000000000003E-2</v>
      </c>
      <c r="K20" s="12">
        <f t="shared" si="10"/>
        <v>50855694.982200004</v>
      </c>
      <c r="L20" s="16"/>
      <c r="M20" s="12">
        <f t="shared" si="10"/>
        <v>0</v>
      </c>
      <c r="N20" s="26">
        <v>4.7999999999999996E-3</v>
      </c>
      <c r="O20" s="12">
        <f t="shared" si="10"/>
        <v>1324846.8627609599</v>
      </c>
      <c r="S20" s="12">
        <f>+E20-'Jan23'!E20</f>
        <v>37111199.278900027</v>
      </c>
      <c r="T20" s="12">
        <f>+G20-'Jan23'!G20</f>
        <v>-36979390.162800014</v>
      </c>
      <c r="U20" s="12">
        <f>+I20-'Jan23'!I20</f>
        <v>-78185516.728100061</v>
      </c>
      <c r="V20" s="12">
        <f>+K20-'Jan23'!K20</f>
        <v>-1189244.674999997</v>
      </c>
      <c r="W20" s="12">
        <f>+M20-'Jan23'!M20</f>
        <v>0</v>
      </c>
      <c r="Y20" s="28">
        <f>+D20-'Jan23'!D20</f>
        <v>4.1800000000000018E-2</v>
      </c>
      <c r="Z20" s="28">
        <f>+F20-'Jan23'!F20</f>
        <v>-1.4600000000000002E-2</v>
      </c>
      <c r="AA20" s="28">
        <f>+H20-'Jan23'!H20</f>
        <v>-2.970000000000006E-2</v>
      </c>
      <c r="AB20" s="28">
        <f>+J20-'Jan23'!J20</f>
        <v>2.0000000000000018E-3</v>
      </c>
      <c r="AC20" s="28">
        <f>+L20-'Jan23'!L20</f>
        <v>0</v>
      </c>
    </row>
    <row r="21" spans="2:29" x14ac:dyDescent="0.25">
      <c r="B21" s="3" t="s">
        <v>28</v>
      </c>
      <c r="C21" s="12">
        <v>1372338294</v>
      </c>
      <c r="D21" s="14">
        <v>0.13</v>
      </c>
      <c r="E21" s="12">
        <f t="shared" si="7"/>
        <v>178403978.22</v>
      </c>
      <c r="F21" s="14">
        <v>0.23</v>
      </c>
      <c r="G21" s="12">
        <f t="shared" si="9"/>
        <v>315637807.62</v>
      </c>
      <c r="H21" s="14">
        <v>0.51</v>
      </c>
      <c r="I21" s="12">
        <f t="shared" si="8"/>
        <v>699892529.94000006</v>
      </c>
      <c r="J21" s="14">
        <v>0.12</v>
      </c>
      <c r="K21" s="12">
        <f t="shared" si="10"/>
        <v>164680595.28</v>
      </c>
      <c r="L21" s="16"/>
      <c r="M21" s="12">
        <f t="shared" si="10"/>
        <v>0</v>
      </c>
      <c r="N21" s="26">
        <v>0.01</v>
      </c>
      <c r="O21" s="12">
        <f t="shared" si="10"/>
        <v>3156378.0762</v>
      </c>
      <c r="S21" s="12">
        <f>+E21-'Jan23'!E21</f>
        <v>18548323.554999977</v>
      </c>
      <c r="T21" s="12">
        <f>+G21-'Jan23'!G21</f>
        <v>-5463550.8809999824</v>
      </c>
      <c r="U21" s="12">
        <f>+I21-'Jan23'!I21</f>
        <v>-92435497.529999852</v>
      </c>
      <c r="V21" s="12">
        <f>+K21-'Jan23'!K21</f>
        <v>-2125305.2399999797</v>
      </c>
      <c r="W21" s="12">
        <f>+M21-'Jan23'!M21</f>
        <v>0</v>
      </c>
      <c r="Y21" s="28">
        <f>+D21-'Jan23'!D21</f>
        <v>1.4999999999999999E-2</v>
      </c>
      <c r="Z21" s="28">
        <f>+F21-'Jan23'!F21</f>
        <v>-1.0000000000000009E-3</v>
      </c>
      <c r="AA21" s="28">
        <f>+H21-'Jan23'!H21</f>
        <v>-5.9999999999999942E-2</v>
      </c>
      <c r="AB21" s="28">
        <f>+J21-'Jan23'!J21</f>
        <v>0</v>
      </c>
      <c r="AC21" s="28">
        <f>+L21-'Jan23'!L21</f>
        <v>0</v>
      </c>
    </row>
    <row r="22" spans="2:29" x14ac:dyDescent="0.25">
      <c r="B22" s="3" t="s">
        <v>32</v>
      </c>
      <c r="C22" s="12">
        <v>350600000</v>
      </c>
      <c r="D22" s="14">
        <v>0.12</v>
      </c>
      <c r="E22" s="12">
        <f t="shared" si="7"/>
        <v>42072000</v>
      </c>
      <c r="F22" s="14">
        <v>0.11</v>
      </c>
      <c r="G22" s="12">
        <f t="shared" si="9"/>
        <v>38566000</v>
      </c>
      <c r="H22" s="14">
        <v>0.67</v>
      </c>
      <c r="I22" s="12">
        <f t="shared" si="8"/>
        <v>234902000</v>
      </c>
      <c r="J22" s="14">
        <v>0.1</v>
      </c>
      <c r="K22" s="12">
        <f t="shared" si="10"/>
        <v>35060000</v>
      </c>
      <c r="L22" s="16"/>
      <c r="M22" s="12">
        <f t="shared" si="10"/>
        <v>0</v>
      </c>
      <c r="N22" s="26"/>
      <c r="O22" s="12">
        <f t="shared" si="10"/>
        <v>0</v>
      </c>
      <c r="S22" s="12">
        <f>+E22-'Jan23'!E22</f>
        <v>-18156000</v>
      </c>
      <c r="T22" s="12">
        <f>+G22-'Jan23'!G22</f>
        <v>1760000</v>
      </c>
      <c r="U22" s="12">
        <f>+I22-'Jan23'!I22</f>
        <v>30796000</v>
      </c>
      <c r="V22" s="12">
        <f>+K22-'Jan23'!K22</f>
        <v>1600000</v>
      </c>
      <c r="W22" s="12">
        <f>+M22-'Jan23'!M22</f>
        <v>0</v>
      </c>
      <c r="Y22" s="28">
        <f>+D22-'Jan23'!D22</f>
        <v>-0.06</v>
      </c>
      <c r="Z22" s="28">
        <f>+F22-'Jan23'!F22</f>
        <v>0</v>
      </c>
      <c r="AA22" s="28">
        <f>+H22-'Jan23'!H22</f>
        <v>6.0000000000000053E-2</v>
      </c>
      <c r="AB22" s="28">
        <f>+J22-'Jan23'!J22</f>
        <v>0</v>
      </c>
      <c r="AC22" s="28">
        <f>+L22-'Jan23'!L22</f>
        <v>0</v>
      </c>
    </row>
    <row r="23" spans="2:29" x14ac:dyDescent="0.25">
      <c r="B23" s="3" t="s">
        <v>33</v>
      </c>
      <c r="C23" s="12">
        <v>804000000</v>
      </c>
      <c r="D23" s="14">
        <v>0.28999999999999998</v>
      </c>
      <c r="E23" s="12">
        <f t="shared" si="7"/>
        <v>233159999.99999997</v>
      </c>
      <c r="F23" s="14">
        <v>0.11</v>
      </c>
      <c r="G23" s="12">
        <f t="shared" si="9"/>
        <v>88440000</v>
      </c>
      <c r="H23" s="14">
        <v>0.56000000000000005</v>
      </c>
      <c r="I23" s="12">
        <f t="shared" si="8"/>
        <v>450240000.00000006</v>
      </c>
      <c r="J23" s="14">
        <v>0.04</v>
      </c>
      <c r="K23" s="12">
        <f t="shared" si="10"/>
        <v>32160000</v>
      </c>
      <c r="L23" s="16"/>
      <c r="M23" s="12">
        <f t="shared" si="10"/>
        <v>0</v>
      </c>
      <c r="N23" s="26"/>
      <c r="O23" s="12">
        <f t="shared" si="10"/>
        <v>0</v>
      </c>
      <c r="S23" s="12">
        <f>+E23-'Jan23'!E23</f>
        <v>124535999.99999997</v>
      </c>
      <c r="T23" s="12">
        <f>+G23-'Jan23'!G23</f>
        <v>43180000</v>
      </c>
      <c r="U23" s="12">
        <f>+I23-'Jan23'!I23</f>
        <v>169628000.00000006</v>
      </c>
      <c r="V23" s="12">
        <f>+K23-'Jan23'!K23</f>
        <v>14056000</v>
      </c>
      <c r="W23" s="12">
        <f>+M23-'Jan23'!M23</f>
        <v>0</v>
      </c>
      <c r="Y23" s="28">
        <f>+D23-'Jan23'!D23</f>
        <v>4.9999999999999989E-2</v>
      </c>
      <c r="Z23" s="28">
        <f>+F23-'Jan23'!F23</f>
        <v>9.999999999999995E-3</v>
      </c>
      <c r="AA23" s="28">
        <f>+H23-'Jan23'!H23</f>
        <v>-5.9999999999999942E-2</v>
      </c>
      <c r="AB23" s="28">
        <f>+J23-'Jan23'!J23</f>
        <v>0</v>
      </c>
      <c r="AC23" s="28">
        <f>+L23-'Jan23'!L23</f>
        <v>0</v>
      </c>
    </row>
    <row r="24" spans="2:29" x14ac:dyDescent="0.25">
      <c r="B24" s="3" t="s">
        <v>34</v>
      </c>
      <c r="C24" s="12">
        <v>389324326</v>
      </c>
      <c r="D24" s="14">
        <v>0.31159999999999999</v>
      </c>
      <c r="E24" s="12">
        <f t="shared" si="7"/>
        <v>121313459.9816</v>
      </c>
      <c r="F24" s="14">
        <v>0.15490000000000001</v>
      </c>
      <c r="G24" s="12">
        <f t="shared" si="9"/>
        <v>60306338.097400002</v>
      </c>
      <c r="H24" s="14">
        <v>0.45440000000000003</v>
      </c>
      <c r="I24" s="12">
        <f t="shared" si="8"/>
        <v>176908973.7344</v>
      </c>
      <c r="J24" s="14">
        <v>6.6100000000000006E-2</v>
      </c>
      <c r="K24" s="12">
        <f t="shared" si="10"/>
        <v>25734337.948600002</v>
      </c>
      <c r="L24" s="16"/>
      <c r="M24" s="12">
        <f t="shared" si="10"/>
        <v>0</v>
      </c>
      <c r="N24" s="26">
        <v>1.2999999999999999E-2</v>
      </c>
      <c r="O24" s="12">
        <f t="shared" si="10"/>
        <v>783982.39526619995</v>
      </c>
      <c r="S24" s="12">
        <f>+E24-'Jan23'!E24</f>
        <v>-7191927.03549999</v>
      </c>
      <c r="T24" s="12">
        <f>+G24-'Jan23'!G24</f>
        <v>3953093.2972000018</v>
      </c>
      <c r="U24" s="12">
        <f>+I24-'Jan23'!I24</f>
        <v>6965116.1207000017</v>
      </c>
      <c r="V24" s="12">
        <f>+K24-'Jan23'!K24</f>
        <v>1171088.6803000011</v>
      </c>
      <c r="W24" s="12">
        <f>+M24-'Jan23'!M24</f>
        <v>0</v>
      </c>
      <c r="Y24" s="28">
        <f>+D24-'Jan23'!D24</f>
        <v>-2.2699999999999998E-2</v>
      </c>
      <c r="Z24" s="28">
        <f>+F24-'Jan23'!F24</f>
        <v>8.3000000000000018E-3</v>
      </c>
      <c r="AA24" s="28">
        <f>+H24-'Jan23'!H24</f>
        <v>1.2300000000000033E-2</v>
      </c>
      <c r="AB24" s="28">
        <f>+J24-'Jan23'!J24</f>
        <v>2.2000000000000075E-3</v>
      </c>
      <c r="AC24" s="28">
        <f>+L24-'Jan23'!L24</f>
        <v>0</v>
      </c>
    </row>
    <row r="25" spans="2:29" x14ac:dyDescent="0.25">
      <c r="B25" s="3" t="s">
        <v>35</v>
      </c>
      <c r="C25" s="12">
        <v>194635843</v>
      </c>
      <c r="D25" s="14">
        <v>0.123</v>
      </c>
      <c r="E25" s="12">
        <f t="shared" si="7"/>
        <v>23940208.688999999</v>
      </c>
      <c r="F25" s="14">
        <v>0.46700000000000003</v>
      </c>
      <c r="G25" s="12">
        <f t="shared" si="9"/>
        <v>90894938.681000009</v>
      </c>
      <c r="H25" s="14">
        <v>0.35699999999999998</v>
      </c>
      <c r="I25" s="12">
        <f t="shared" si="8"/>
        <v>69484995.95099999</v>
      </c>
      <c r="J25" s="14">
        <v>5.2999999999999999E-2</v>
      </c>
      <c r="K25" s="12">
        <f t="shared" si="10"/>
        <v>10315699.679</v>
      </c>
      <c r="L25" s="16"/>
      <c r="M25" s="12">
        <f t="shared" si="10"/>
        <v>0</v>
      </c>
      <c r="N25" s="26"/>
      <c r="O25" s="12">
        <f t="shared" si="10"/>
        <v>0</v>
      </c>
      <c r="S25" s="12">
        <f>+E25-'Jan23'!E25</f>
        <v>-2061006.2850000001</v>
      </c>
      <c r="T25" s="12">
        <f>+G25-'Jan23'!G25</f>
        <v>-9395461.9329999834</v>
      </c>
      <c r="U25" s="12">
        <f>+I25-'Jan23'!I25</f>
        <v>1180216.9319999814</v>
      </c>
      <c r="V25" s="12">
        <f>+K25-'Jan23'!K25</f>
        <v>-1446754.7140000015</v>
      </c>
      <c r="W25" s="12">
        <f>+M25-'Jan23'!M25</f>
        <v>0</v>
      </c>
      <c r="Y25" s="28">
        <f>+D25-'Jan23'!D25</f>
        <v>-3.0000000000000027E-3</v>
      </c>
      <c r="Z25" s="28">
        <f>+F25-'Jan23'!F25</f>
        <v>-1.8999999999999961E-2</v>
      </c>
      <c r="AA25" s="28">
        <f>+H25-'Jan23'!H25</f>
        <v>2.5999999999999968E-2</v>
      </c>
      <c r="AB25" s="28">
        <f>+J25-'Jan23'!J25</f>
        <v>-4.0000000000000036E-3</v>
      </c>
      <c r="AC25" s="28">
        <f>+L25-'Jan23'!L25</f>
        <v>0</v>
      </c>
    </row>
    <row r="26" spans="2:29" x14ac:dyDescent="0.25">
      <c r="B26" s="3" t="s">
        <v>36</v>
      </c>
      <c r="C26" s="12">
        <v>313880000</v>
      </c>
      <c r="D26" s="19">
        <v>0.15</v>
      </c>
      <c r="E26" s="18">
        <f t="shared" si="7"/>
        <v>47082000</v>
      </c>
      <c r="F26" s="14">
        <v>0.13</v>
      </c>
      <c r="G26" s="12">
        <f t="shared" si="9"/>
        <v>40804400</v>
      </c>
      <c r="H26" s="19">
        <v>0.65</v>
      </c>
      <c r="I26" s="18">
        <f t="shared" si="8"/>
        <v>204022000</v>
      </c>
      <c r="J26" s="14">
        <v>7.0000000000000007E-2</v>
      </c>
      <c r="K26" s="12">
        <f t="shared" si="10"/>
        <v>21971600.000000004</v>
      </c>
      <c r="L26" s="16"/>
      <c r="M26" s="12">
        <f t="shared" si="10"/>
        <v>0</v>
      </c>
      <c r="N26" s="26"/>
      <c r="O26" s="12">
        <f t="shared" si="10"/>
        <v>0</v>
      </c>
      <c r="S26" s="12">
        <f>+E26-'Jan23'!E26</f>
        <v>-9531600</v>
      </c>
      <c r="T26" s="12">
        <f>+G26-'Jan23'!G26</f>
        <v>3062000</v>
      </c>
      <c r="U26" s="12">
        <f>+I26-'Jan23'!I26</f>
        <v>9019600</v>
      </c>
      <c r="V26" s="12">
        <f>+K26-'Jan23'!K26</f>
        <v>-3189999.9999999963</v>
      </c>
      <c r="W26" s="12">
        <f>+M26-'Jan23'!M26</f>
        <v>0</v>
      </c>
      <c r="Y26" s="28">
        <f>+D26-'Jan23'!D26</f>
        <v>-0.03</v>
      </c>
      <c r="Z26" s="28">
        <f>+F26-'Jan23'!F26</f>
        <v>1.0000000000000009E-2</v>
      </c>
      <c r="AA26" s="28">
        <f>+H26-'Jan23'!H26</f>
        <v>3.0000000000000027E-2</v>
      </c>
      <c r="AB26" s="28">
        <f>+J26-'Jan23'!J26</f>
        <v>-9.999999999999995E-3</v>
      </c>
      <c r="AC26" s="28">
        <f>+L26-'Jan23'!L26</f>
        <v>0</v>
      </c>
    </row>
    <row r="27" spans="2:29" s="8" customFormat="1" x14ac:dyDescent="0.25">
      <c r="B27" s="21" t="s">
        <v>45</v>
      </c>
      <c r="C27" s="20">
        <f>SUM(C18:C26)</f>
        <v>5547657414.0799999</v>
      </c>
      <c r="D27" s="15">
        <f>+E27/$C27</f>
        <v>0.19555896685506044</v>
      </c>
      <c r="E27" s="17">
        <f>SUM(E18:E26)</f>
        <v>1084894152.363301</v>
      </c>
      <c r="F27" s="15">
        <f>+G27/$C27</f>
        <v>0.19518823917631278</v>
      </c>
      <c r="G27" s="20">
        <f>SUM(G18:G26)</f>
        <v>1082837482.2076919</v>
      </c>
      <c r="H27" s="15">
        <f>+I27/$C27</f>
        <v>0.51797509625500882</v>
      </c>
      <c r="I27" s="17">
        <f>SUM(I18:I26)</f>
        <v>2873548383.0479012</v>
      </c>
      <c r="J27" s="15">
        <f>+K27/$C27</f>
        <v>7.7889974679172899E-2</v>
      </c>
      <c r="K27" s="17">
        <f>SUM(K18:K26)</f>
        <v>432106895.51141703</v>
      </c>
      <c r="L27" s="15">
        <f>+M27/$C27</f>
        <v>0</v>
      </c>
      <c r="M27" s="17">
        <f>SUM(M18:M26)</f>
        <v>0</v>
      </c>
      <c r="N27" s="15">
        <f>+O27/$C27</f>
        <v>2.5314424883305766E-3</v>
      </c>
      <c r="O27" s="17">
        <f>SUM(O18:O26)</f>
        <v>14043575.688704247</v>
      </c>
      <c r="S27" s="31">
        <f>+E27-'Jan23'!E27</f>
        <v>156061562.69103611</v>
      </c>
      <c r="T27" s="31">
        <f>+G27-'Jan23'!G27</f>
        <v>-7824893.0648949146</v>
      </c>
      <c r="U27" s="31">
        <f>+I27-'Jan23'!I27</f>
        <v>13100733.731270313</v>
      </c>
      <c r="V27" s="31">
        <f>+K27-'Jan23'!K27</f>
        <v>-33536.685574948788</v>
      </c>
      <c r="W27" s="31">
        <f>+M27-'Jan23'!M27</f>
        <v>0</v>
      </c>
      <c r="Y27" s="32">
        <f>+D27-'Jan23'!D27</f>
        <v>2.0812806795091288E-2</v>
      </c>
      <c r="Z27" s="32">
        <f>+F27-'Jan23'!F27</f>
        <v>-1.0003809552315723E-2</v>
      </c>
      <c r="AA27" s="32">
        <f>+H27-'Jan23'!H27</f>
        <v>-2.0175963826784216E-2</v>
      </c>
      <c r="AB27" s="32">
        <f>+J27-'Jan23'!J27</f>
        <v>-3.4108775656056245E-3</v>
      </c>
      <c r="AC27" s="32">
        <f>+L27-'Jan23'!L27</f>
        <v>0</v>
      </c>
    </row>
    <row r="28" spans="2:29" x14ac:dyDescent="0.25">
      <c r="C28" s="10"/>
      <c r="D28" s="10"/>
      <c r="E28" s="10"/>
      <c r="F28" s="5"/>
      <c r="G28" s="10"/>
      <c r="H28" s="10"/>
      <c r="I28" s="10"/>
      <c r="J28" s="5"/>
      <c r="K28" s="10"/>
    </row>
    <row r="29" spans="2:29" x14ac:dyDescent="0.25">
      <c r="B29" s="4" t="s">
        <v>38</v>
      </c>
      <c r="C29" s="9" t="s">
        <v>4</v>
      </c>
      <c r="D29" s="113" t="s">
        <v>7</v>
      </c>
      <c r="E29" s="113"/>
      <c r="F29" s="112" t="s">
        <v>8</v>
      </c>
      <c r="G29" s="112"/>
      <c r="H29" s="112" t="s">
        <v>10</v>
      </c>
      <c r="I29" s="112"/>
      <c r="J29" s="112" t="s">
        <v>9</v>
      </c>
      <c r="K29" s="112"/>
      <c r="L29" s="112" t="s">
        <v>40</v>
      </c>
      <c r="M29" s="112"/>
      <c r="N29" s="112" t="s">
        <v>55</v>
      </c>
      <c r="O29" s="112"/>
      <c r="S29" s="27" t="s">
        <v>49</v>
      </c>
      <c r="T29" s="27" t="s">
        <v>50</v>
      </c>
      <c r="U29" s="27" t="s">
        <v>51</v>
      </c>
      <c r="V29" s="27" t="s">
        <v>52</v>
      </c>
      <c r="W29" s="27" t="s">
        <v>54</v>
      </c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</row>
    <row r="30" spans="2:29" x14ac:dyDescent="0.25">
      <c r="B30" s="3" t="s">
        <v>39</v>
      </c>
      <c r="C30" s="12">
        <v>246521906.37</v>
      </c>
      <c r="D30" s="14">
        <v>0.13200000000000001</v>
      </c>
      <c r="E30" s="12">
        <f>D30*C30</f>
        <v>32540891.640840001</v>
      </c>
      <c r="F30" s="14">
        <v>0.128</v>
      </c>
      <c r="G30" s="12">
        <f>F30*C30</f>
        <v>31554804.015360001</v>
      </c>
      <c r="H30" s="14">
        <v>0.63700000000000001</v>
      </c>
      <c r="I30" s="12">
        <f>H30*C30</f>
        <v>157034454.35769001</v>
      </c>
      <c r="J30" s="14">
        <v>9.7000000000000003E-2</v>
      </c>
      <c r="K30" s="12">
        <f>J30*C30</f>
        <v>23912624.917890001</v>
      </c>
      <c r="L30" s="14">
        <v>6.8000000000000005E-2</v>
      </c>
      <c r="M30" s="12">
        <f>L30*C30</f>
        <v>16763489.633160001</v>
      </c>
      <c r="N30" s="14">
        <v>3.1E-2</v>
      </c>
      <c r="O30" s="12">
        <f>N30*E30</f>
        <v>1008767.64086604</v>
      </c>
      <c r="S30" s="12">
        <f>+E30-'Jan23'!E30</f>
        <v>8855105.5826900005</v>
      </c>
      <c r="T30" s="12">
        <f>+G30-'Jan23'!G30</f>
        <v>389296.04411000013</v>
      </c>
      <c r="U30" s="12">
        <f>+I30-'Jan23'!I30</f>
        <v>-4278214.9015000165</v>
      </c>
      <c r="V30" s="12">
        <f>+K30-'Jan23'!K30</f>
        <v>-4260994.2881200016</v>
      </c>
      <c r="W30" s="12">
        <f>+M30-'Jan23'!M30</f>
        <v>-689194.83074000292</v>
      </c>
      <c r="Y30" s="28">
        <f>+D30-'Jan23'!D30</f>
        <v>3.7000000000000005E-2</v>
      </c>
      <c r="Z30" s="28">
        <f>+F30-'Jan23'!F30</f>
        <v>3.0000000000000027E-3</v>
      </c>
      <c r="AA30" s="28">
        <f>+H30-'Jan23'!H30</f>
        <v>-1.0000000000000009E-2</v>
      </c>
      <c r="AB30" s="28">
        <f>+J30-'Jan23'!J30</f>
        <v>-1.6E-2</v>
      </c>
      <c r="AC30" s="28">
        <f>+L30-'Jan23'!L30</f>
        <v>-2.0000000000000018E-3</v>
      </c>
    </row>
    <row r="31" spans="2:29" x14ac:dyDescent="0.25">
      <c r="B31" s="3" t="s">
        <v>41</v>
      </c>
      <c r="C31" s="12">
        <v>91520000</v>
      </c>
      <c r="D31" s="14">
        <v>0.1038</v>
      </c>
      <c r="E31" s="12">
        <f>D31*C31</f>
        <v>9499776</v>
      </c>
      <c r="F31" s="14"/>
      <c r="G31" s="12">
        <f>F31*C31</f>
        <v>0</v>
      </c>
      <c r="H31" s="14">
        <v>0.68579999999999997</v>
      </c>
      <c r="I31" s="12">
        <f>H31*C31</f>
        <v>62764416</v>
      </c>
      <c r="J31" s="14">
        <v>0.28060000000000002</v>
      </c>
      <c r="K31" s="12">
        <f>J31*C31</f>
        <v>25680512</v>
      </c>
      <c r="L31" s="14">
        <v>6.3700000000000007E-2</v>
      </c>
      <c r="M31" s="12">
        <f>L31*C31</f>
        <v>5829824.0000000009</v>
      </c>
      <c r="N31" s="14">
        <v>1.49E-2</v>
      </c>
      <c r="O31" s="12">
        <f>N31*E31</f>
        <v>141546.6624</v>
      </c>
      <c r="S31" s="12">
        <f>+E31-'Jan23'!E31</f>
        <v>-4503087</v>
      </c>
      <c r="T31" s="12">
        <f>+G31-'Jan23'!G31</f>
        <v>0</v>
      </c>
      <c r="U31" s="12">
        <f>+I31-'Jan23'!I31</f>
        <v>-12929041</v>
      </c>
      <c r="V31" s="12">
        <f>+K31-'Jan23'!K31</f>
        <v>-1094327</v>
      </c>
      <c r="W31" s="12">
        <f>+M31-'Jan23'!M31</f>
        <v>-3956336.9999999991</v>
      </c>
      <c r="Y31" s="28">
        <f>+D31-'Jan23'!D31</f>
        <v>-1.1099999999999999E-2</v>
      </c>
      <c r="Z31" s="28">
        <f>+F31-'Jan23'!F31</f>
        <v>0</v>
      </c>
      <c r="AA31" s="28">
        <f>+H31-'Jan23'!H31</f>
        <v>6.469999999999998E-2</v>
      </c>
      <c r="AB31" s="28">
        <f>+J31-'Jan23'!J31</f>
        <v>6.090000000000001E-2</v>
      </c>
      <c r="AC31" s="28">
        <f>+L31-'Jan23'!L31</f>
        <v>-1.659999999999999E-2</v>
      </c>
    </row>
    <row r="32" spans="2:29" x14ac:dyDescent="0.25">
      <c r="B32" s="3" t="s">
        <v>42</v>
      </c>
      <c r="C32" s="12">
        <v>241535211</v>
      </c>
      <c r="D32" s="14">
        <v>0.08</v>
      </c>
      <c r="E32" s="12">
        <f>D32*C32</f>
        <v>19322816.879999999</v>
      </c>
      <c r="F32" s="14">
        <v>0.13</v>
      </c>
      <c r="G32" s="12">
        <f>F32*C32</f>
        <v>31399577.43</v>
      </c>
      <c r="H32" s="14">
        <v>0.62</v>
      </c>
      <c r="I32" s="12">
        <f>H32*C32</f>
        <v>149751830.81999999</v>
      </c>
      <c r="J32" s="14">
        <v>0.05</v>
      </c>
      <c r="K32" s="12">
        <f>J32*C32</f>
        <v>12076760.550000001</v>
      </c>
      <c r="L32" s="14">
        <v>0.09</v>
      </c>
      <c r="M32" s="12">
        <f>L32*C32</f>
        <v>21738168.989999998</v>
      </c>
      <c r="N32" s="14">
        <v>0.04</v>
      </c>
      <c r="O32" s="12">
        <f>N32*E32</f>
        <v>772912.67519999994</v>
      </c>
      <c r="S32" s="12">
        <f>+E32-'Jan23'!E32</f>
        <v>-615118.6400000006</v>
      </c>
      <c r="T32" s="12">
        <f>+G32-'Jan23'!G32</f>
        <v>1492674.1500000022</v>
      </c>
      <c r="U32" s="12">
        <f>+I32-'Jan23'!I32</f>
        <v>1463435.3899999857</v>
      </c>
      <c r="V32" s="12">
        <f>+K32-'Jan23'!K32</f>
        <v>4600034.7300000014</v>
      </c>
      <c r="W32" s="12">
        <f>+M32-'Jan23'!M32</f>
        <v>-3184250.4100000039</v>
      </c>
      <c r="Y32" s="28">
        <f>+D32-'Jan23'!D32</f>
        <v>0</v>
      </c>
      <c r="Z32" s="28">
        <f>+F32-'Jan23'!F32</f>
        <v>1.0000000000000009E-2</v>
      </c>
      <c r="AA32" s="28">
        <f>+H32-'Jan23'!H32</f>
        <v>2.5000000000000022E-2</v>
      </c>
      <c r="AB32" s="28">
        <f>+J32-'Jan23'!J32</f>
        <v>2.0000000000000004E-2</v>
      </c>
      <c r="AC32" s="28">
        <f>+L32-'Jan23'!L32</f>
        <v>-1.0000000000000009E-2</v>
      </c>
    </row>
    <row r="33" spans="1:29" x14ac:dyDescent="0.25">
      <c r="B33" s="3" t="s">
        <v>43</v>
      </c>
      <c r="C33" s="12">
        <v>916705344</v>
      </c>
      <c r="D33" s="14">
        <v>0.06</v>
      </c>
      <c r="E33" s="12">
        <f>D33*C33</f>
        <v>55002320.640000001</v>
      </c>
      <c r="F33" s="14">
        <v>0.16</v>
      </c>
      <c r="G33" s="12">
        <f>F33*C33</f>
        <v>146672855.03999999</v>
      </c>
      <c r="H33" s="14">
        <v>0.64</v>
      </c>
      <c r="I33" s="12">
        <f>H33*C33</f>
        <v>586691420.15999997</v>
      </c>
      <c r="J33" s="14">
        <v>0.13</v>
      </c>
      <c r="K33" s="12">
        <f>J33*C33</f>
        <v>119171694.72</v>
      </c>
      <c r="L33" s="14"/>
      <c r="M33" s="12">
        <f>L33*C33</f>
        <v>0</v>
      </c>
      <c r="N33" s="14">
        <v>0.01</v>
      </c>
      <c r="O33" s="12">
        <f>N33*E33</f>
        <v>550023.20640000002</v>
      </c>
      <c r="S33" s="12">
        <f>+E33-'Jan23'!E33</f>
        <v>-27140174.945000008</v>
      </c>
      <c r="T33" s="12">
        <f>+G33-'Jan23'!G33</f>
        <v>-8914695.4210000038</v>
      </c>
      <c r="U33" s="12">
        <f>+I33-'Jan23'!I33</f>
        <v>-12465606.460000038</v>
      </c>
      <c r="V33" s="12">
        <f>+K33-'Jan23'!K33</f>
        <v>3205818.6000000089</v>
      </c>
      <c r="W33" s="12">
        <f>+M33-'Jan23'!M33</f>
        <v>0</v>
      </c>
      <c r="Y33" s="28">
        <f>+D33-'Jan23'!D33</f>
        <v>-2.5000000000000008E-2</v>
      </c>
      <c r="Z33" s="28">
        <f>+F33-'Jan23'!F33</f>
        <v>-1.0000000000000009E-3</v>
      </c>
      <c r="AA33" s="28">
        <f>+H33-'Jan23'!H33</f>
        <v>2.0000000000000018E-2</v>
      </c>
      <c r="AB33" s="28">
        <f>+J33-'Jan23'!J33</f>
        <v>1.0000000000000009E-2</v>
      </c>
      <c r="AC33" s="28">
        <f>+L33-'Jan23'!L33</f>
        <v>0</v>
      </c>
    </row>
    <row r="34" spans="1:29" x14ac:dyDescent="0.25">
      <c r="B34" s="3" t="s">
        <v>44</v>
      </c>
      <c r="C34" s="12">
        <v>26900000</v>
      </c>
      <c r="D34" s="14">
        <v>0.43</v>
      </c>
      <c r="E34" s="12">
        <f>D34*C34</f>
        <v>11567000</v>
      </c>
      <c r="F34" s="14"/>
      <c r="G34" s="12">
        <f>F34*C34</f>
        <v>0</v>
      </c>
      <c r="H34" s="14">
        <v>0.32</v>
      </c>
      <c r="I34" s="12">
        <f>H34*C34</f>
        <v>8608000</v>
      </c>
      <c r="J34" s="14"/>
      <c r="K34" s="12">
        <f>J34*C34</f>
        <v>0</v>
      </c>
      <c r="L34" s="14">
        <v>0.25</v>
      </c>
      <c r="M34" s="12">
        <f>L34*C34</f>
        <v>6725000</v>
      </c>
      <c r="N34" s="14"/>
      <c r="O34" s="12">
        <f>N34*E34</f>
        <v>0</v>
      </c>
      <c r="S34" s="12">
        <f>+E34-'Jan23'!E34</f>
        <v>1535000</v>
      </c>
      <c r="T34" s="12">
        <f>+G34-'Jan23'!G34</f>
        <v>0</v>
      </c>
      <c r="U34" s="12">
        <f>+I34-'Jan23'!I34</f>
        <v>-368000</v>
      </c>
      <c r="V34" s="12">
        <f>+K34-'Jan23'!K34</f>
        <v>0</v>
      </c>
      <c r="W34" s="12">
        <f>+M34-'Jan23'!M34</f>
        <v>-667000.00000000093</v>
      </c>
      <c r="Y34" s="28">
        <f>+D34-'Jan23'!D34</f>
        <v>4.9999999999999989E-2</v>
      </c>
      <c r="Z34" s="28">
        <f>+F34-'Jan23'!F34</f>
        <v>0</v>
      </c>
      <c r="AA34" s="28">
        <f>+H34-'Jan23'!H34</f>
        <v>-2.0000000000000018E-2</v>
      </c>
      <c r="AB34" s="28">
        <f>+J34-'Jan23'!J34</f>
        <v>0</v>
      </c>
      <c r="AC34" s="28">
        <f>+L34-'Jan23'!L34</f>
        <v>-3.0000000000000027E-2</v>
      </c>
    </row>
    <row r="35" spans="1:29" s="8" customFormat="1" x14ac:dyDescent="0.25">
      <c r="A35"/>
      <c r="B35" s="3" t="s">
        <v>45</v>
      </c>
      <c r="C35" s="17">
        <f>SUM(C30:C34)</f>
        <v>1523182461.3699999</v>
      </c>
      <c r="D35" s="15">
        <f>+E35/$C35</f>
        <v>8.399046628056174E-2</v>
      </c>
      <c r="E35" s="17">
        <f>SUM(E30:E34)</f>
        <v>127932805.16084</v>
      </c>
      <c r="F35" s="15">
        <f>+G35/$C35</f>
        <v>0.13762450776699098</v>
      </c>
      <c r="G35" s="17">
        <f>SUM(G30:G34)</f>
        <v>209627236.48536</v>
      </c>
      <c r="H35" s="15">
        <f>+I35/$C35</f>
        <v>0.6334435603137607</v>
      </c>
      <c r="I35" s="17">
        <f>SUM(I30:I34)</f>
        <v>964850121.33769</v>
      </c>
      <c r="J35" s="15">
        <f>+K35/$C35</f>
        <v>0.11872615183950791</v>
      </c>
      <c r="K35" s="17">
        <f>SUM(K30:K34)</f>
        <v>180841592.18788999</v>
      </c>
      <c r="L35" s="15">
        <f>+M35/$C35</f>
        <v>3.3519610367124461E-2</v>
      </c>
      <c r="M35" s="17">
        <f>SUM(M30:M34)</f>
        <v>51056482.623160005</v>
      </c>
      <c r="N35" s="15">
        <f>+O35/$C35</f>
        <v>1.6237386180520477E-3</v>
      </c>
      <c r="O35" s="17">
        <f>SUM(O30:O34)</f>
        <v>2473250.18486604</v>
      </c>
      <c r="S35" s="31">
        <f>+E35-'Jan23'!E35</f>
        <v>-21868275.002310008</v>
      </c>
      <c r="T35" s="31">
        <f>+G35-'Jan23'!G35</f>
        <v>-7032725.2268899977</v>
      </c>
      <c r="U35" s="31">
        <f>+I35-'Jan23'!I35</f>
        <v>-28577426.971500039</v>
      </c>
      <c r="V35" s="31">
        <f>+K35-'Jan23'!K35</f>
        <v>2450532.0418800116</v>
      </c>
      <c r="W35" s="31">
        <f>+M35-'Jan23'!M35</f>
        <v>-8496782.2407400012</v>
      </c>
      <c r="Y35" s="32">
        <f>+D35-'Jan23'!D35</f>
        <v>-8.8690850931169712E-3</v>
      </c>
      <c r="Z35" s="32">
        <f>+F35-'Jan23'!F35</f>
        <v>3.3200900463298544E-3</v>
      </c>
      <c r="AA35" s="32">
        <f>+H35-'Jan23'!H35</f>
        <v>1.7632003028758114E-2</v>
      </c>
      <c r="AB35" s="32">
        <f>+J35-'Jan23'!J35</f>
        <v>8.1440799599730163E-3</v>
      </c>
      <c r="AC35" s="32">
        <f>+L35-'Jan23'!L35</f>
        <v>-3.3966084750677028E-3</v>
      </c>
    </row>
    <row r="37" spans="1:29" x14ac:dyDescent="0.25">
      <c r="E37"/>
    </row>
    <row r="39" spans="1:29" x14ac:dyDescent="0.25">
      <c r="A39" s="8"/>
      <c r="C39" s="30"/>
    </row>
    <row r="40" spans="1:29" x14ac:dyDescent="0.25">
      <c r="C40" s="30"/>
    </row>
    <row r="41" spans="1:29" x14ac:dyDescent="0.25">
      <c r="C41" s="30"/>
    </row>
    <row r="42" spans="1:29" x14ac:dyDescent="0.25">
      <c r="C42" s="30"/>
    </row>
    <row r="43" spans="1:29" x14ac:dyDescent="0.25">
      <c r="C43" s="30"/>
    </row>
    <row r="44" spans="1:29" x14ac:dyDescent="0.25">
      <c r="C44" s="30"/>
    </row>
    <row r="45" spans="1:29" x14ac:dyDescent="0.25">
      <c r="C45" s="30"/>
    </row>
    <row r="46" spans="1:29" x14ac:dyDescent="0.25">
      <c r="C46" s="30"/>
    </row>
    <row r="47" spans="1:29" x14ac:dyDescent="0.25">
      <c r="C47" s="30"/>
    </row>
    <row r="48" spans="1:29" x14ac:dyDescent="0.25">
      <c r="C48" s="30"/>
    </row>
    <row r="49" spans="3:3" x14ac:dyDescent="0.25">
      <c r="C49" s="30"/>
    </row>
    <row r="50" spans="3:3" x14ac:dyDescent="0.25">
      <c r="C50" s="30"/>
    </row>
    <row r="51" spans="3:3" x14ac:dyDescent="0.25">
      <c r="C51" s="30"/>
    </row>
  </sheetData>
  <mergeCells count="18">
    <mergeCell ref="N2:O2"/>
    <mergeCell ref="D2:E2"/>
    <mergeCell ref="F2:G2"/>
    <mergeCell ref="H2:I2"/>
    <mergeCell ref="J2:K2"/>
    <mergeCell ref="L2:M2"/>
    <mergeCell ref="N29:O29"/>
    <mergeCell ref="D17:E17"/>
    <mergeCell ref="F17:G17"/>
    <mergeCell ref="H17:I17"/>
    <mergeCell ref="J17:K17"/>
    <mergeCell ref="L17:M17"/>
    <mergeCell ref="N17:O17"/>
    <mergeCell ref="D29:E29"/>
    <mergeCell ref="F29:G29"/>
    <mergeCell ref="H29:I29"/>
    <mergeCell ref="J29:K29"/>
    <mergeCell ref="L29:M2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B5B5E-384C-4E1B-8CEF-FAF453457A82}">
  <dimension ref="A1:AC51"/>
  <sheetViews>
    <sheetView workbookViewId="0"/>
  </sheetViews>
  <sheetFormatPr defaultRowHeight="15" outlineLevelCol="1" x14ac:dyDescent="0.25"/>
  <cols>
    <col min="1" max="1" width="2.85546875" customWidth="1"/>
    <col min="2" max="2" width="25.140625" bestFit="1" customWidth="1"/>
    <col min="3" max="3" width="21.7109375" style="11" bestFit="1" customWidth="1"/>
    <col min="4" max="4" width="10.28515625" style="6" customWidth="1"/>
    <col min="5" max="5" width="19.5703125" style="11" bestFit="1" customWidth="1"/>
    <col min="6" max="6" width="7.140625" style="6" bestFit="1" customWidth="1"/>
    <col min="7" max="7" width="19.5703125" style="11" bestFit="1" customWidth="1"/>
    <col min="8" max="8" width="9.140625" style="6" bestFit="1" customWidth="1"/>
    <col min="9" max="9" width="19.5703125" style="11" bestFit="1" customWidth="1"/>
    <col min="10" max="10" width="7.140625" style="6" bestFit="1" customWidth="1"/>
    <col min="11" max="11" width="18" style="11" bestFit="1" customWidth="1"/>
    <col min="12" max="12" width="7.140625" style="5" bestFit="1" customWidth="1"/>
    <col min="13" max="13" width="19.5703125" style="10" bestFit="1" customWidth="1"/>
    <col min="14" max="14" width="8.140625" style="10" bestFit="1" customWidth="1"/>
    <col min="15" max="15" width="19.5703125" style="10" customWidth="1"/>
    <col min="16" max="16" width="7.140625" bestFit="1" customWidth="1"/>
    <col min="17" max="18" width="7.140625" hidden="1" customWidth="1" outlineLevel="1"/>
    <col min="19" max="19" width="18" bestFit="1" customWidth="1" collapsed="1"/>
    <col min="20" max="20" width="16.85546875" bestFit="1" customWidth="1"/>
    <col min="21" max="21" width="18" bestFit="1" customWidth="1"/>
    <col min="22" max="22" width="16.85546875" bestFit="1" customWidth="1"/>
    <col min="23" max="23" width="15.28515625" bestFit="1" customWidth="1"/>
    <col min="25" max="25" width="7.85546875" bestFit="1" customWidth="1"/>
    <col min="26" max="26" width="11.140625" bestFit="1" customWidth="1"/>
    <col min="27" max="27" width="13.28515625" bestFit="1" customWidth="1"/>
    <col min="28" max="28" width="7.85546875" bestFit="1" customWidth="1"/>
    <col min="29" max="29" width="8.140625" bestFit="1" customWidth="1"/>
  </cols>
  <sheetData>
    <row r="1" spans="1:29" ht="9" customHeight="1" x14ac:dyDescent="0.25"/>
    <row r="2" spans="1:29" x14ac:dyDescent="0.25">
      <c r="B2" s="4" t="s">
        <v>1</v>
      </c>
      <c r="C2" s="9" t="s">
        <v>4</v>
      </c>
      <c r="D2" s="112" t="s">
        <v>7</v>
      </c>
      <c r="E2" s="112"/>
      <c r="F2" s="112" t="s">
        <v>8</v>
      </c>
      <c r="G2" s="112"/>
      <c r="H2" s="112" t="s">
        <v>10</v>
      </c>
      <c r="I2" s="112"/>
      <c r="J2" s="112" t="s">
        <v>9</v>
      </c>
      <c r="K2" s="112"/>
      <c r="L2" s="112" t="s">
        <v>21</v>
      </c>
      <c r="M2" s="112"/>
      <c r="N2" s="112" t="s">
        <v>55</v>
      </c>
      <c r="O2" s="112"/>
      <c r="Q2" s="1" t="s">
        <v>46</v>
      </c>
      <c r="S2" s="27" t="s">
        <v>49</v>
      </c>
      <c r="T2" s="27" t="s">
        <v>50</v>
      </c>
      <c r="U2" s="27" t="s">
        <v>51</v>
      </c>
      <c r="V2" s="27" t="s">
        <v>52</v>
      </c>
      <c r="W2" s="27" t="s">
        <v>53</v>
      </c>
      <c r="Y2" s="27" t="s">
        <v>49</v>
      </c>
      <c r="Z2" s="27" t="s">
        <v>50</v>
      </c>
      <c r="AA2" s="27" t="s">
        <v>51</v>
      </c>
      <c r="AB2" s="27" t="s">
        <v>52</v>
      </c>
      <c r="AC2" s="27" t="s">
        <v>53</v>
      </c>
    </row>
    <row r="3" spans="1:29" x14ac:dyDescent="0.25">
      <c r="A3" s="29"/>
      <c r="B3" s="21" t="s">
        <v>5</v>
      </c>
      <c r="C3" s="23">
        <v>777426731.07000005</v>
      </c>
      <c r="D3" s="26">
        <v>0.42399999999999999</v>
      </c>
      <c r="E3" s="23">
        <f>D3*C3</f>
        <v>329628933.97368002</v>
      </c>
      <c r="F3" s="26">
        <v>0.218</v>
      </c>
      <c r="G3" s="22">
        <f>F3*C3</f>
        <v>169479027.37326002</v>
      </c>
      <c r="H3" s="26">
        <v>0.26300000000000001</v>
      </c>
      <c r="I3" s="23">
        <f>H3*C3</f>
        <v>204463230.27141002</v>
      </c>
      <c r="J3" s="26">
        <v>6.2E-2</v>
      </c>
      <c r="K3" s="23">
        <f>J3*C3</f>
        <v>48200457.326340005</v>
      </c>
      <c r="L3" s="24"/>
      <c r="M3" s="25">
        <f>L3*C3</f>
        <v>0</v>
      </c>
      <c r="N3" s="14">
        <v>3.3000000000000002E-2</v>
      </c>
      <c r="O3" s="12">
        <f>N3*C3</f>
        <v>25655082.125310004</v>
      </c>
      <c r="S3" s="12">
        <f>+E3-'Dez22'!E3</f>
        <v>-71483362.051319897</v>
      </c>
      <c r="T3" s="12">
        <f>+G3-'Dez22'!G3</f>
        <v>8189662.0242600143</v>
      </c>
      <c r="U3" s="12">
        <f>+I3-'Dez22'!I3</f>
        <v>951517.97240999341</v>
      </c>
      <c r="V3" s="12">
        <f>+K3-'Dez22'!K3</f>
        <v>-30333108.000660002</v>
      </c>
      <c r="W3" s="12">
        <f>+M3-'Dez22'!M3</f>
        <v>0</v>
      </c>
      <c r="Y3" s="28">
        <f>+D3-'Dez22'!D3</f>
        <v>-5.0999999999999934E-2</v>
      </c>
      <c r="Z3" s="28">
        <f>+F3-'Dez22'!F3</f>
        <v>2.6999999999999996E-2</v>
      </c>
      <c r="AA3" s="28">
        <f>+H3-'Dez22'!H3</f>
        <v>2.1999999999999992E-2</v>
      </c>
      <c r="AB3" s="28">
        <f>+J3-'Dez22'!J3</f>
        <v>-3.1000000000000014E-2</v>
      </c>
      <c r="AC3" s="28">
        <f>+L3-'Dez22'!L3</f>
        <v>0</v>
      </c>
    </row>
    <row r="4" spans="1:29" x14ac:dyDescent="0.25">
      <c r="B4" s="3" t="s">
        <v>0</v>
      </c>
      <c r="C4" s="12">
        <v>1552138976</v>
      </c>
      <c r="D4" s="14">
        <v>0.34599999999999997</v>
      </c>
      <c r="E4" s="12">
        <f t="shared" ref="E4:E14" si="0">D4*C4</f>
        <v>537040085.69599998</v>
      </c>
      <c r="F4" s="14">
        <v>0.16400000000000001</v>
      </c>
      <c r="G4" s="12">
        <f t="shared" ref="G4:G14" si="1">F4*C4</f>
        <v>254550792.06400001</v>
      </c>
      <c r="H4" s="14">
        <v>0.41</v>
      </c>
      <c r="I4" s="12">
        <f t="shared" ref="I4:I14" si="2">H4*C4</f>
        <v>636376980.15999997</v>
      </c>
      <c r="J4" s="14">
        <v>5.8999999999999997E-2</v>
      </c>
      <c r="K4" s="12">
        <f>J4*C4</f>
        <v>91576199.583999991</v>
      </c>
      <c r="L4" s="14"/>
      <c r="M4" s="12">
        <f>L4*C4</f>
        <v>0</v>
      </c>
      <c r="N4" s="14">
        <v>2.1000000000000001E-2</v>
      </c>
      <c r="O4" s="12">
        <f t="shared" ref="O4:O14" si="3">N4*C4</f>
        <v>32594918.496000003</v>
      </c>
      <c r="S4" s="12">
        <f>+E4-'Dez22'!E4</f>
        <v>80090211.674000025</v>
      </c>
      <c r="T4" s="12">
        <f>+G4-'Dez22'!G4</f>
        <v>-41393253.862999976</v>
      </c>
      <c r="U4" s="12">
        <f>+I4-'Dez22'!I4</f>
        <v>-7646332.2200000286</v>
      </c>
      <c r="V4" s="12">
        <f>+K4-'Dez22'!K4</f>
        <v>36374201.379999995</v>
      </c>
      <c r="W4" s="12">
        <f>+M4-'Dez22'!M4</f>
        <v>0</v>
      </c>
      <c r="Y4" s="28">
        <f>+D4-'Dez22'!D4</f>
        <v>4.7999999999999987E-2</v>
      </c>
      <c r="Z4" s="28">
        <f>+F4-'Dez22'!F4</f>
        <v>-2.8999999999999998E-2</v>
      </c>
      <c r="AA4" s="28">
        <f>+H4-'Dez22'!H4</f>
        <v>-1.0000000000000009E-2</v>
      </c>
      <c r="AB4" s="28">
        <f>+J4-'Dez22'!J4</f>
        <v>2.3E-2</v>
      </c>
      <c r="AC4" s="28">
        <f>+L4-'Dez22'!L4</f>
        <v>0</v>
      </c>
    </row>
    <row r="5" spans="1:29" x14ac:dyDescent="0.25">
      <c r="B5" s="3" t="s">
        <v>3</v>
      </c>
      <c r="C5" s="12">
        <v>2332689548.0700002</v>
      </c>
      <c r="D5" s="14">
        <v>0.55000000000000004</v>
      </c>
      <c r="E5" s="12">
        <f t="shared" si="0"/>
        <v>1282979251.4385002</v>
      </c>
      <c r="F5" s="14">
        <f>0.03+0.01</f>
        <v>0.04</v>
      </c>
      <c r="G5" s="12">
        <f t="shared" si="1"/>
        <v>93307581.922800004</v>
      </c>
      <c r="H5" s="14">
        <f>0.21+0.07</f>
        <v>0.28000000000000003</v>
      </c>
      <c r="I5" s="12">
        <f t="shared" si="2"/>
        <v>653153073.45960009</v>
      </c>
      <c r="J5" s="14">
        <f>0.05+0.01</f>
        <v>6.0000000000000005E-2</v>
      </c>
      <c r="K5" s="12">
        <f t="shared" ref="K5:K7" si="4">J5*C5</f>
        <v>139961372.88420001</v>
      </c>
      <c r="L5" s="14">
        <v>7.0000000000000007E-2</v>
      </c>
      <c r="M5" s="12">
        <f>L5*C5</f>
        <v>163288268.36490002</v>
      </c>
      <c r="N5" s="14"/>
      <c r="O5" s="12">
        <f t="shared" si="3"/>
        <v>0</v>
      </c>
      <c r="S5" s="12">
        <f>+E5-'Dez22'!E5</f>
        <v>-52057231.921499968</v>
      </c>
      <c r="T5" s="12">
        <f>+G5-'Dez22'!G5</f>
        <v>19138888.402800009</v>
      </c>
      <c r="U5" s="12">
        <f>+I5-'Dez22'!I5</f>
        <v>-63810963.900399804</v>
      </c>
      <c r="V5" s="12">
        <f>+K5-'Dez22'!K5</f>
        <v>16346883.684200004</v>
      </c>
      <c r="W5" s="12">
        <f>+M5-'Dez22'!M5</f>
        <v>-9772016.5151000023</v>
      </c>
      <c r="Y5" s="28">
        <f>+D5-'Dez22'!D5</f>
        <v>1.0000000000000009E-2</v>
      </c>
      <c r="Z5" s="28">
        <f>+F5-'Dez22'!F5</f>
        <v>1.0000000000000002E-2</v>
      </c>
      <c r="AA5" s="28">
        <f>+H5-'Dez22'!H5</f>
        <v>-9.9999999999999534E-3</v>
      </c>
      <c r="AB5" s="28">
        <f>+J5-'Dez22'!J5</f>
        <v>1.0000000000000002E-2</v>
      </c>
      <c r="AC5" s="28">
        <f>+L5-'Dez22'!L5</f>
        <v>0</v>
      </c>
    </row>
    <row r="6" spans="1:29" x14ac:dyDescent="0.25">
      <c r="B6" s="3" t="s">
        <v>37</v>
      </c>
      <c r="C6" s="12">
        <v>5459620585</v>
      </c>
      <c r="D6" s="14">
        <v>0.317</v>
      </c>
      <c r="E6" s="12">
        <f t="shared" si="0"/>
        <v>1730699725.4449999</v>
      </c>
      <c r="F6" s="14">
        <v>0.15240000000000001</v>
      </c>
      <c r="G6" s="12">
        <f t="shared" si="1"/>
        <v>832046177.15400004</v>
      </c>
      <c r="H6" s="14">
        <v>0.46139999999999998</v>
      </c>
      <c r="I6" s="12">
        <f t="shared" si="2"/>
        <v>2519068937.9189997</v>
      </c>
      <c r="J6" s="14">
        <v>2.81E-2</v>
      </c>
      <c r="K6" s="12">
        <f t="shared" si="4"/>
        <v>153415338.43849999</v>
      </c>
      <c r="L6" s="14"/>
      <c r="M6" s="12">
        <f>L6*C6</f>
        <v>0</v>
      </c>
      <c r="N6" s="14">
        <v>4.1200000000000001E-2</v>
      </c>
      <c r="O6" s="12">
        <f t="shared" si="3"/>
        <v>224936368.102</v>
      </c>
      <c r="S6" s="12">
        <f>+E6-'Dez22'!E6</f>
        <v>-103379125.18779993</v>
      </c>
      <c r="T6" s="12">
        <f>+G6-'Dez22'!G6</f>
        <v>65573943.726600051</v>
      </c>
      <c r="U6" s="12">
        <f>+I6-'Dez22'!I6</f>
        <v>-171254283.19200039</v>
      </c>
      <c r="V6" s="12">
        <f>+K6-'Dez22'!K6</f>
        <v>-18742620.589300007</v>
      </c>
      <c r="W6" s="12">
        <f>+M6-'Dez22'!M6</f>
        <v>0</v>
      </c>
      <c r="Y6" s="28">
        <f>+D6-'Dez22'!D6</f>
        <v>-5.7999999999999718E-3</v>
      </c>
      <c r="Z6" s="28">
        <f>+F6-'Dez22'!F6</f>
        <v>1.7500000000000016E-2</v>
      </c>
      <c r="AA6" s="28">
        <f>+H6-'Dez22'!H6</f>
        <v>-1.21E-2</v>
      </c>
      <c r="AB6" s="28">
        <f>+J6-'Dez22'!J6</f>
        <v>-2.2000000000000006E-3</v>
      </c>
      <c r="AC6" s="28">
        <f>+L6-'Dez22'!L6</f>
        <v>0</v>
      </c>
    </row>
    <row r="7" spans="1:29" x14ac:dyDescent="0.25">
      <c r="B7" s="3" t="s">
        <v>22</v>
      </c>
      <c r="C7" s="12">
        <v>2511430000</v>
      </c>
      <c r="D7" s="14">
        <v>0.34200000000000003</v>
      </c>
      <c r="E7" s="12">
        <f t="shared" si="0"/>
        <v>858909060.00000012</v>
      </c>
      <c r="F7" s="14">
        <v>0.111</v>
      </c>
      <c r="G7" s="12">
        <f t="shared" si="1"/>
        <v>278768730</v>
      </c>
      <c r="H7" s="14">
        <v>0.498</v>
      </c>
      <c r="I7" s="12">
        <f t="shared" si="2"/>
        <v>1250692140</v>
      </c>
      <c r="J7" s="14">
        <v>4.9000000000000002E-2</v>
      </c>
      <c r="K7" s="12">
        <f t="shared" si="4"/>
        <v>123060070</v>
      </c>
      <c r="L7" s="16"/>
      <c r="M7" s="12">
        <f t="shared" ref="M7:M14" si="5">L7*C7</f>
        <v>0</v>
      </c>
      <c r="N7" s="14"/>
      <c r="O7" s="12">
        <f t="shared" si="3"/>
        <v>0</v>
      </c>
      <c r="S7" s="12">
        <f>+E7-'Dez22'!E7</f>
        <v>-169522079.99999988</v>
      </c>
      <c r="T7" s="12">
        <f>+G7-'Dez22'!G7</f>
        <v>-133171920</v>
      </c>
      <c r="U7" s="12">
        <f>+I7-'Dez22'!I7</f>
        <v>-33426300</v>
      </c>
      <c r="V7" s="12">
        <f>+K7-'Dez22'!K7</f>
        <v>6580300</v>
      </c>
      <c r="W7" s="12">
        <f>+M7-'Dez22'!M7</f>
        <v>0</v>
      </c>
      <c r="Y7" s="28">
        <f>+D7-'Dez22'!D7</f>
        <v>-1.9999999999999962E-2</v>
      </c>
      <c r="Z7" s="28">
        <f>+F7-'Dez22'!F7</f>
        <v>-3.3999999999999989E-2</v>
      </c>
      <c r="AA7" s="28">
        <f>+H7-'Dez22'!H7</f>
        <v>4.5999999999999985E-2</v>
      </c>
      <c r="AB7" s="28">
        <f>+J7-'Dez22'!J7</f>
        <v>8.0000000000000002E-3</v>
      </c>
      <c r="AC7" s="28">
        <f>+L7-'Dez22'!L7</f>
        <v>0</v>
      </c>
    </row>
    <row r="8" spans="1:29" x14ac:dyDescent="0.25">
      <c r="B8" s="3" t="s">
        <v>23</v>
      </c>
      <c r="C8" s="12">
        <v>1951478074.3199999</v>
      </c>
      <c r="D8" s="14">
        <v>0.27500000000000002</v>
      </c>
      <c r="E8" s="12">
        <f t="shared" si="0"/>
        <v>536656470.43800002</v>
      </c>
      <c r="F8" s="14">
        <v>0.25</v>
      </c>
      <c r="G8" s="12">
        <f t="shared" si="1"/>
        <v>487869518.57999998</v>
      </c>
      <c r="H8" s="14">
        <v>0.375</v>
      </c>
      <c r="I8" s="12">
        <f t="shared" si="2"/>
        <v>731804277.87</v>
      </c>
      <c r="J8" s="14">
        <v>6.5000000000000002E-2</v>
      </c>
      <c r="K8" s="12">
        <f>J8*C8</f>
        <v>126846074.8308</v>
      </c>
      <c r="L8" s="16"/>
      <c r="M8" s="12">
        <f t="shared" si="5"/>
        <v>0</v>
      </c>
      <c r="N8" s="14">
        <v>3.5000000000000003E-2</v>
      </c>
      <c r="O8" s="12">
        <f t="shared" si="3"/>
        <v>68301732.601199999</v>
      </c>
      <c r="S8" s="12">
        <f>+E8-'Dez22'!E8</f>
        <v>-67572715.421999991</v>
      </c>
      <c r="T8" s="12">
        <f>+G8-'Dez22'!G8</f>
        <v>39570445.199999988</v>
      </c>
      <c r="U8" s="12">
        <f>+I8-'Dez22'!I8</f>
        <v>10627507.649999976</v>
      </c>
      <c r="V8" s="12">
        <f>+K8-'Dez22'!K8</f>
        <v>-9592773.5892000198</v>
      </c>
      <c r="W8" s="12">
        <f>+M8-'Dez22'!M8</f>
        <v>0</v>
      </c>
      <c r="Y8" s="28">
        <f>+D8-'Dez22'!D8</f>
        <v>-3.4999999999999976E-2</v>
      </c>
      <c r="Z8" s="28">
        <f>+F8-'Dez22'!F8</f>
        <v>1.999999999999999E-2</v>
      </c>
      <c r="AA8" s="28">
        <f>+H8-'Dez22'!H8</f>
        <v>5.0000000000000044E-3</v>
      </c>
      <c r="AB8" s="28">
        <f>+J8-'Dez22'!J8</f>
        <v>-5.0000000000000044E-3</v>
      </c>
      <c r="AC8" s="28">
        <f>+L8-'Dez22'!L8</f>
        <v>0</v>
      </c>
    </row>
    <row r="9" spans="1:29" x14ac:dyDescent="0.25">
      <c r="B9" s="3" t="s">
        <v>24</v>
      </c>
      <c r="C9" s="12">
        <v>5059794143</v>
      </c>
      <c r="D9" s="14">
        <v>0.49619999999999997</v>
      </c>
      <c r="E9" s="12">
        <f t="shared" si="0"/>
        <v>2510669853.7565999</v>
      </c>
      <c r="F9" s="14">
        <v>0.15840000000000001</v>
      </c>
      <c r="G9" s="12">
        <f t="shared" si="1"/>
        <v>801471392.25120008</v>
      </c>
      <c r="H9" s="14">
        <v>0.312</v>
      </c>
      <c r="I9" s="12">
        <f t="shared" si="2"/>
        <v>1578655772.6159999</v>
      </c>
      <c r="J9" s="14">
        <v>2.52E-2</v>
      </c>
      <c r="K9" s="12">
        <f>J9*C9</f>
        <v>127506812.40360001</v>
      </c>
      <c r="L9" s="16"/>
      <c r="M9" s="12">
        <f t="shared" si="5"/>
        <v>0</v>
      </c>
      <c r="N9" s="14">
        <v>8.2000000000000007E-3</v>
      </c>
      <c r="O9" s="12">
        <f t="shared" si="3"/>
        <v>41490311.972600006</v>
      </c>
      <c r="S9" s="12">
        <f>+E9-'Dez22'!E9</f>
        <v>155793351.06790018</v>
      </c>
      <c r="T9" s="12">
        <f>+G9-'Dez22'!G9</f>
        <v>254796253.97130013</v>
      </c>
      <c r="U9" s="12">
        <f>+I9-'Dez22'!I9</f>
        <v>485305496.05620003</v>
      </c>
      <c r="V9" s="12">
        <f>+K9-'Dez22'!K9</f>
        <v>22965005.914700016</v>
      </c>
      <c r="W9" s="12">
        <f>+M9-'Dez22'!M9</f>
        <v>0</v>
      </c>
      <c r="Y9" s="28">
        <f>+D9-'Dez22'!D9</f>
        <v>-7.3699999999999988E-2</v>
      </c>
      <c r="Z9" s="28">
        <f>+F9-'Dez22'!F9</f>
        <v>2.6100000000000012E-2</v>
      </c>
      <c r="AA9" s="28">
        <f>+H9-'Dez22'!H9</f>
        <v>4.7399999999999998E-2</v>
      </c>
      <c r="AB9" s="28">
        <f>+J9-'Dez22'!J9</f>
        <v>-9.9999999999999395E-5</v>
      </c>
      <c r="AC9" s="28">
        <f>+L9-'Dez22'!L9</f>
        <v>0</v>
      </c>
    </row>
    <row r="10" spans="1:29" x14ac:dyDescent="0.25">
      <c r="B10" s="3" t="s">
        <v>25</v>
      </c>
      <c r="C10" s="12">
        <v>903012603</v>
      </c>
      <c r="D10" s="14">
        <v>0.35</v>
      </c>
      <c r="E10" s="12">
        <f t="shared" si="0"/>
        <v>316054411.04999995</v>
      </c>
      <c r="F10" s="14">
        <v>0.16</v>
      </c>
      <c r="G10" s="12">
        <f t="shared" si="1"/>
        <v>144482016.47999999</v>
      </c>
      <c r="H10" s="14">
        <v>0.42</v>
      </c>
      <c r="I10" s="12">
        <f t="shared" si="2"/>
        <v>379265293.25999999</v>
      </c>
      <c r="J10" s="14">
        <v>7.0000000000000007E-2</v>
      </c>
      <c r="K10" s="12">
        <f>J10*C10</f>
        <v>63210882.210000008</v>
      </c>
      <c r="L10" s="16"/>
      <c r="M10" s="12">
        <f t="shared" si="5"/>
        <v>0</v>
      </c>
      <c r="N10" s="14"/>
      <c r="O10" s="12">
        <f t="shared" si="3"/>
        <v>0</v>
      </c>
      <c r="S10" s="12">
        <f>+E10-'Dez22'!E10</f>
        <v>-16420181.590000033</v>
      </c>
      <c r="T10" s="12">
        <f>+G10-'Dez22'!G10</f>
        <v>-11365448.819999993</v>
      </c>
      <c r="U10" s="12">
        <f>+I10-'Dez22'!I10</f>
        <v>-88277102.640000045</v>
      </c>
      <c r="V10" s="12">
        <f>+K10-'Dez22'!K10</f>
        <v>-19907765.949999988</v>
      </c>
      <c r="W10" s="12">
        <f>+M10-'Dez22'!M10</f>
        <v>0</v>
      </c>
      <c r="Y10" s="28">
        <f>+D10-'Dez22'!D10</f>
        <v>2.9999999999999971E-2</v>
      </c>
      <c r="Z10" s="28">
        <f>+F10-'Dez22'!F10</f>
        <v>1.0000000000000009E-2</v>
      </c>
      <c r="AA10" s="28">
        <f>+H10-'Dez22'!H10</f>
        <v>-3.0000000000000027E-2</v>
      </c>
      <c r="AB10" s="28">
        <f>+J10-'Dez22'!J10</f>
        <v>-9.999999999999995E-3</v>
      </c>
      <c r="AC10" s="28">
        <f>+L10-'Dez22'!L10</f>
        <v>0</v>
      </c>
    </row>
    <row r="11" spans="1:29" x14ac:dyDescent="0.25">
      <c r="B11" s="3" t="s">
        <v>29</v>
      </c>
      <c r="C11" s="12">
        <v>4804334774</v>
      </c>
      <c r="D11" s="14">
        <v>0.33700000000000002</v>
      </c>
      <c r="E11" s="12">
        <f t="shared" si="0"/>
        <v>1619060818.8380001</v>
      </c>
      <c r="F11" s="14">
        <v>0.373</v>
      </c>
      <c r="G11" s="12">
        <f t="shared" si="1"/>
        <v>1792016870.7019999</v>
      </c>
      <c r="H11" s="14">
        <v>0.26100000000000001</v>
      </c>
      <c r="I11" s="12">
        <f t="shared" si="2"/>
        <v>1253931376.0139999</v>
      </c>
      <c r="J11" s="14">
        <v>2.9000000000000001E-2</v>
      </c>
      <c r="K11" s="12">
        <f>J11*C11</f>
        <v>139325708.44600001</v>
      </c>
      <c r="L11" s="16"/>
      <c r="M11" s="12">
        <f t="shared" si="5"/>
        <v>0</v>
      </c>
      <c r="N11" s="14"/>
      <c r="O11" s="12">
        <f t="shared" si="3"/>
        <v>0</v>
      </c>
      <c r="S11" s="12">
        <f>+E11-'Dez22'!E11</f>
        <v>-361175559.16700006</v>
      </c>
      <c r="T11" s="12">
        <f>+G11-'Dez22'!G11</f>
        <v>140949072.68199992</v>
      </c>
      <c r="U11" s="12">
        <f>+I11-'Dez22'!I11</f>
        <v>-156791109.63600016</v>
      </c>
      <c r="V11" s="12">
        <f>+K11-'Dez22'!K11</f>
        <v>3478357.976000011</v>
      </c>
      <c r="W11" s="12">
        <f>+M11-'Dez22'!M11</f>
        <v>0</v>
      </c>
      <c r="Y11" s="28">
        <f>+D11-'Dez22'!D11</f>
        <v>-4.1999999999999982E-2</v>
      </c>
      <c r="Z11" s="28">
        <f>+F11-'Dez22'!F11</f>
        <v>5.6999999999999995E-2</v>
      </c>
      <c r="AA11" s="28">
        <f>+H11-'Dez22'!H11</f>
        <v>-9.000000000000008E-3</v>
      </c>
      <c r="AB11" s="28">
        <f>+J11-'Dez22'!J11</f>
        <v>3.0000000000000027E-3</v>
      </c>
      <c r="AC11" s="28">
        <f>+L11-'Dez22'!L11</f>
        <v>0</v>
      </c>
    </row>
    <row r="12" spans="1:29" x14ac:dyDescent="0.25">
      <c r="B12" s="3" t="s">
        <v>47</v>
      </c>
      <c r="C12" s="12">
        <v>1796676000</v>
      </c>
      <c r="D12" s="14">
        <v>0.64200000000000002</v>
      </c>
      <c r="E12" s="12">
        <f t="shared" si="0"/>
        <v>1153465992</v>
      </c>
      <c r="F12" s="14">
        <v>0.11600000000000001</v>
      </c>
      <c r="G12" s="12">
        <f t="shared" si="1"/>
        <v>208414416</v>
      </c>
      <c r="H12" s="14">
        <v>0.24199999999999999</v>
      </c>
      <c r="I12" s="12">
        <f t="shared" si="2"/>
        <v>434795592</v>
      </c>
      <c r="J12" s="14"/>
      <c r="K12" s="12">
        <f t="shared" ref="K12:K14" si="6">J12*C12</f>
        <v>0</v>
      </c>
      <c r="L12" s="16"/>
      <c r="M12" s="12">
        <f t="shared" si="5"/>
        <v>0</v>
      </c>
      <c r="N12" s="14"/>
      <c r="O12" s="12">
        <f t="shared" si="3"/>
        <v>0</v>
      </c>
      <c r="Q12" t="s">
        <v>48</v>
      </c>
      <c r="S12" s="12" t="e">
        <f>+E12-'Dez22'!#REF!</f>
        <v>#REF!</v>
      </c>
      <c r="T12" s="12" t="e">
        <f>+G12-'Dez22'!#REF!</f>
        <v>#REF!</v>
      </c>
      <c r="U12" s="12" t="e">
        <f>+I12-'Dez22'!#REF!</f>
        <v>#REF!</v>
      </c>
      <c r="V12" s="12" t="e">
        <f>+K12-'Dez22'!#REF!</f>
        <v>#REF!</v>
      </c>
      <c r="W12" s="12" t="e">
        <f>+M12-'Dez22'!#REF!</f>
        <v>#REF!</v>
      </c>
      <c r="Y12" s="28" t="e">
        <f>+D12-'Dez22'!#REF!</f>
        <v>#REF!</v>
      </c>
      <c r="Z12" s="28" t="e">
        <f>+F12-'Dez22'!#REF!</f>
        <v>#REF!</v>
      </c>
      <c r="AA12" s="28" t="e">
        <f>+H12-'Dez22'!#REF!</f>
        <v>#REF!</v>
      </c>
      <c r="AB12" s="28" t="e">
        <f>+J12-'Dez22'!#REF!</f>
        <v>#REF!</v>
      </c>
      <c r="AC12" s="28" t="e">
        <f>+L12-'Dez22'!#REF!</f>
        <v>#REF!</v>
      </c>
    </row>
    <row r="13" spans="1:29" x14ac:dyDescent="0.25">
      <c r="B13" s="3" t="s">
        <v>30</v>
      </c>
      <c r="C13" s="12">
        <v>1741230000</v>
      </c>
      <c r="D13" s="14">
        <v>0.28999999999999998</v>
      </c>
      <c r="E13" s="12">
        <f t="shared" si="0"/>
        <v>504956699.99999994</v>
      </c>
      <c r="F13" s="14">
        <v>0.25</v>
      </c>
      <c r="G13" s="12">
        <f t="shared" si="1"/>
        <v>435307500</v>
      </c>
      <c r="H13" s="14">
        <v>0.45</v>
      </c>
      <c r="I13" s="12">
        <f t="shared" si="2"/>
        <v>783553500</v>
      </c>
      <c r="J13" s="14">
        <v>0.01</v>
      </c>
      <c r="K13" s="12">
        <f t="shared" si="6"/>
        <v>17412300</v>
      </c>
      <c r="L13" s="16"/>
      <c r="M13" s="12">
        <f t="shared" si="5"/>
        <v>0</v>
      </c>
      <c r="N13" s="14"/>
      <c r="O13" s="12">
        <f t="shared" si="3"/>
        <v>0</v>
      </c>
      <c r="S13" s="12">
        <f>+E13-'Dez22'!E12</f>
        <v>-134349000.00000006</v>
      </c>
      <c r="T13" s="12">
        <f>+G13-'Dez22'!G12</f>
        <v>-10269200</v>
      </c>
      <c r="U13" s="12">
        <f>+I13-'Dez22'!I12</f>
        <v>-49481200</v>
      </c>
      <c r="V13" s="12">
        <f>+K13-'Dez22'!K12</f>
        <v>-1960600</v>
      </c>
      <c r="W13" s="12">
        <f>+M13-'Dez22'!M12</f>
        <v>0</v>
      </c>
      <c r="Y13" s="28">
        <f>+D13-'Dez22'!D12</f>
        <v>-4.0000000000000036E-2</v>
      </c>
      <c r="Z13" s="28">
        <f>+F13-'Dez22'!F12</f>
        <v>1.999999999999999E-2</v>
      </c>
      <c r="AA13" s="28">
        <f>+H13-'Dez22'!H12</f>
        <v>2.0000000000000018E-2</v>
      </c>
      <c r="AB13" s="28">
        <f>+J13-'Dez22'!J12</f>
        <v>0</v>
      </c>
      <c r="AC13" s="28">
        <f>+L13-'Dez22'!L12</f>
        <v>0</v>
      </c>
    </row>
    <row r="14" spans="1:29" x14ac:dyDescent="0.25">
      <c r="B14" s="3" t="s">
        <v>31</v>
      </c>
      <c r="C14" s="12">
        <v>41399669.700000003</v>
      </c>
      <c r="D14" s="19">
        <v>0.33700000000000002</v>
      </c>
      <c r="E14" s="18">
        <f t="shared" si="0"/>
        <v>13951688.688900001</v>
      </c>
      <c r="F14" s="14">
        <v>0.14499999999999999</v>
      </c>
      <c r="G14" s="12">
        <f t="shared" si="1"/>
        <v>6002952.1064999998</v>
      </c>
      <c r="H14" s="19">
        <v>0.45200000000000001</v>
      </c>
      <c r="I14" s="18">
        <f t="shared" si="2"/>
        <v>18712650.704400003</v>
      </c>
      <c r="J14" s="14">
        <v>6.6000000000000003E-2</v>
      </c>
      <c r="K14" s="12">
        <f t="shared" si="6"/>
        <v>2732378.2002000003</v>
      </c>
      <c r="L14" s="16"/>
      <c r="M14" s="12">
        <f t="shared" si="5"/>
        <v>0</v>
      </c>
      <c r="N14" s="14"/>
      <c r="O14" s="12">
        <f t="shared" si="3"/>
        <v>0</v>
      </c>
      <c r="S14" s="12">
        <f>+E14-'Dez22'!E13</f>
        <v>185679.74490000121</v>
      </c>
      <c r="T14" s="12">
        <f>+G14-'Dez22'!G13</f>
        <v>155443.8825000003</v>
      </c>
      <c r="U14" s="12">
        <f>+I14-'Dez22'!I13</f>
        <v>561010.59240000322</v>
      </c>
      <c r="V14" s="12">
        <f>+K14-'Dez22'!K13</f>
        <v>-110160.51979999989</v>
      </c>
      <c r="W14" s="12">
        <f>+M14-'Dez22'!M13</f>
        <v>0</v>
      </c>
      <c r="Y14" s="28">
        <f>+D14-'Dez22'!D13</f>
        <v>-2.0000000000000018E-3</v>
      </c>
      <c r="Z14" s="28">
        <f>+F14-'Dez22'!F13</f>
        <v>1.0000000000000009E-3</v>
      </c>
      <c r="AA14" s="28">
        <f>+H14-'Dez22'!H13</f>
        <v>5.0000000000000044E-3</v>
      </c>
      <c r="AB14" s="28">
        <f>+J14-'Dez22'!J13</f>
        <v>-4.0000000000000036E-3</v>
      </c>
      <c r="AC14" s="28">
        <f>+L14-'Dez22'!L13</f>
        <v>0</v>
      </c>
    </row>
    <row r="15" spans="1:29" s="8" customFormat="1" x14ac:dyDescent="0.25">
      <c r="B15" s="21" t="s">
        <v>45</v>
      </c>
      <c r="C15" s="20">
        <f>SUM(C3:C14)</f>
        <v>28931231104.16</v>
      </c>
      <c r="D15" s="15">
        <f>+E15/$C15</f>
        <v>0.39383298105438502</v>
      </c>
      <c r="E15" s="17">
        <f>SUM(E3:E14)</f>
        <v>11394072991.32468</v>
      </c>
      <c r="F15" s="15">
        <f>+G15/$C15</f>
        <v>0.19023445475994225</v>
      </c>
      <c r="G15" s="20">
        <f>SUM(G3:G14)</f>
        <v>5503716974.6337595</v>
      </c>
      <c r="H15" s="15">
        <f>+I15/$C15</f>
        <v>0.36101031396388134</v>
      </c>
      <c r="I15" s="17">
        <f>SUM(I3:I14)</f>
        <v>10444472824.27441</v>
      </c>
      <c r="J15" s="15">
        <f>+K15/$C15</f>
        <v>3.5713917275199195E-2</v>
      </c>
      <c r="K15" s="17">
        <f>SUM(K3:K14)</f>
        <v>1033247594.3236401</v>
      </c>
      <c r="L15" s="15">
        <f>+M15/$C15</f>
        <v>5.6440138263394168E-3</v>
      </c>
      <c r="M15" s="17">
        <f>SUM(M3:M14)</f>
        <v>163288268.36490002</v>
      </c>
      <c r="N15" s="15">
        <f>+O15/$C15</f>
        <v>1.3583190147777842E-2</v>
      </c>
      <c r="O15" s="17">
        <f>SUM(O3:O14)</f>
        <v>392978413.29710996</v>
      </c>
      <c r="S15" s="17">
        <f>+E15-'Dez22'!E14</f>
        <v>413575979.14718056</v>
      </c>
      <c r="T15" s="17">
        <f>+G15-'Dez22'!G14</f>
        <v>540588303.20645905</v>
      </c>
      <c r="U15" s="17">
        <f>+I15-'Dez22'!I14</f>
        <v>361553832.68261147</v>
      </c>
      <c r="V15" s="17">
        <f>+K15-'Dez22'!K14</f>
        <v>5097720.305940032</v>
      </c>
      <c r="W15" s="17">
        <f>+M15-'Dez22'!M14</f>
        <v>-9772016.5151000023</v>
      </c>
      <c r="Y15" s="14">
        <f>+D15-'Dez22'!D14</f>
        <v>-2.6339812866123524E-3</v>
      </c>
      <c r="Z15" s="14">
        <f>+F15-'Dez22'!F14</f>
        <v>1.1033408952446366E-2</v>
      </c>
      <c r="AA15" s="14">
        <f>+H15-'Dez22'!H14</f>
        <v>-3.0482764344794133E-3</v>
      </c>
      <c r="AB15" s="14">
        <f>+J15-'Dez22'!J14</f>
        <v>-1.408943095420917E-3</v>
      </c>
      <c r="AC15" s="14">
        <f>+L15-'Dez22'!L14</f>
        <v>-6.0458178569426212E-4</v>
      </c>
    </row>
    <row r="16" spans="1:29" x14ac:dyDescent="0.25">
      <c r="C16" s="10"/>
      <c r="D16" s="10"/>
      <c r="E16" s="10"/>
      <c r="F16" s="5"/>
      <c r="G16" s="10"/>
      <c r="H16" s="10"/>
      <c r="I16" s="10"/>
      <c r="J16" s="5"/>
      <c r="K16" s="10"/>
    </row>
    <row r="17" spans="2:29" x14ac:dyDescent="0.25">
      <c r="B17" s="4" t="s">
        <v>2</v>
      </c>
      <c r="C17" s="9" t="s">
        <v>4</v>
      </c>
      <c r="D17" s="112" t="s">
        <v>7</v>
      </c>
      <c r="E17" s="112"/>
      <c r="F17" s="112" t="s">
        <v>8</v>
      </c>
      <c r="G17" s="112"/>
      <c r="H17" s="112" t="s">
        <v>10</v>
      </c>
      <c r="I17" s="112"/>
      <c r="J17" s="112" t="s">
        <v>9</v>
      </c>
      <c r="K17" s="112"/>
      <c r="L17" s="112" t="s">
        <v>21</v>
      </c>
      <c r="M17" s="112"/>
      <c r="N17" s="112" t="s">
        <v>55</v>
      </c>
      <c r="O17" s="112"/>
      <c r="S17" s="27" t="s">
        <v>49</v>
      </c>
      <c r="T17" s="27" t="s">
        <v>50</v>
      </c>
      <c r="U17" s="27" t="s">
        <v>51</v>
      </c>
      <c r="V17" s="27" t="s">
        <v>52</v>
      </c>
      <c r="W17" s="27" t="s">
        <v>53</v>
      </c>
      <c r="Y17" s="27" t="s">
        <v>49</v>
      </c>
      <c r="Z17" s="27" t="s">
        <v>50</v>
      </c>
      <c r="AA17" s="27" t="s">
        <v>51</v>
      </c>
      <c r="AB17" s="27" t="s">
        <v>52</v>
      </c>
      <c r="AC17" s="27" t="s">
        <v>53</v>
      </c>
    </row>
    <row r="18" spans="2:29" x14ac:dyDescent="0.25">
      <c r="B18" s="21" t="s">
        <v>6</v>
      </c>
      <c r="C18" s="22">
        <v>537030872.61000001</v>
      </c>
      <c r="D18" s="26">
        <v>0.2465</v>
      </c>
      <c r="E18" s="23">
        <f t="shared" ref="E18:E26" si="7">D18*C18</f>
        <v>132378110.09836501</v>
      </c>
      <c r="F18" s="26">
        <v>0.19670000000000001</v>
      </c>
      <c r="G18" s="22">
        <f>C18*F18</f>
        <v>105633972.64238702</v>
      </c>
      <c r="H18" s="26">
        <v>0.4471</v>
      </c>
      <c r="I18" s="23">
        <f t="shared" ref="I18:I26" si="8">H18*C18</f>
        <v>240106503.143931</v>
      </c>
      <c r="J18" s="26">
        <v>5.7200000000000001E-2</v>
      </c>
      <c r="K18" s="23">
        <f>J18*C18</f>
        <v>30718165.913292002</v>
      </c>
      <c r="L18" s="24"/>
      <c r="M18" s="23">
        <f>L18*E18</f>
        <v>0</v>
      </c>
      <c r="N18" s="26">
        <v>5.2499999999999998E-2</v>
      </c>
      <c r="O18" s="23">
        <f>N18*G18</f>
        <v>5545783.5637253178</v>
      </c>
      <c r="S18" s="12">
        <f>+E18-'Dez22'!E17</f>
        <v>-30458942.334134996</v>
      </c>
      <c r="T18" s="12">
        <f>+G18-'Dez22'!G17</f>
        <v>12340189.302887008</v>
      </c>
      <c r="U18" s="12">
        <f>+I18-'Dez22'!I17</f>
        <v>1609459.8519310057</v>
      </c>
      <c r="V18" s="12">
        <f>+K18-'Dez22'!K17</f>
        <v>2834731.5542920008</v>
      </c>
      <c r="W18" s="12">
        <f>+M18-'Dez22'!M17</f>
        <v>0</v>
      </c>
      <c r="Y18" s="28">
        <f>+D18-'Dez22'!D17</f>
        <v>-4.8999999999999988E-2</v>
      </c>
      <c r="Z18" s="28">
        <f>+F18-'Dez22'!F17</f>
        <v>2.7400000000000008E-2</v>
      </c>
      <c r="AA18" s="28">
        <f>+H18-'Dez22'!H17</f>
        <v>1.4299999999999979E-2</v>
      </c>
      <c r="AB18" s="28">
        <f>+J18-'Dez22'!J17</f>
        <v>6.6000000000000017E-3</v>
      </c>
      <c r="AC18" s="28">
        <f>+L18-'Dez22'!L17</f>
        <v>0</v>
      </c>
    </row>
    <row r="19" spans="2:29" x14ac:dyDescent="0.25">
      <c r="B19" s="3" t="s">
        <v>26</v>
      </c>
      <c r="C19" s="12">
        <v>496572303.18000001</v>
      </c>
      <c r="D19" s="14">
        <v>0.22</v>
      </c>
      <c r="E19" s="12">
        <f t="shared" si="7"/>
        <v>109245906.6996</v>
      </c>
      <c r="F19" s="14">
        <v>0.15</v>
      </c>
      <c r="G19" s="12">
        <f t="shared" ref="G19:G26" si="9">C19*F19</f>
        <v>74485845.476999998</v>
      </c>
      <c r="H19" s="14">
        <v>0.46</v>
      </c>
      <c r="I19" s="12">
        <f t="shared" si="8"/>
        <v>228423259.46280003</v>
      </c>
      <c r="J19" s="14">
        <v>0.14000000000000001</v>
      </c>
      <c r="K19" s="12">
        <f t="shared" ref="K19:O26" si="10">J19*C19</f>
        <v>69520122.445200011</v>
      </c>
      <c r="L19" s="16"/>
      <c r="M19" s="12">
        <f t="shared" si="10"/>
        <v>0</v>
      </c>
      <c r="N19" s="26">
        <v>0.03</v>
      </c>
      <c r="O19" s="12">
        <f t="shared" si="10"/>
        <v>2234575.3643100001</v>
      </c>
      <c r="S19" s="12">
        <f>+E19-'Dez22'!E18</f>
        <v>-5622743.7803999931</v>
      </c>
      <c r="T19" s="12">
        <f>+G19-'Dez22'!G18</f>
        <v>12265326.466999993</v>
      </c>
      <c r="U19" s="12">
        <f>+I19-'Dez22'!I18</f>
        <v>8258346.0428000093</v>
      </c>
      <c r="V19" s="12">
        <f>+K19-'Dez22'!K18</f>
        <v>2513409.6652000025</v>
      </c>
      <c r="W19" s="12">
        <f>+M19-'Dez22'!M18</f>
        <v>0</v>
      </c>
      <c r="Y19" s="28">
        <f>+D19-'Dez22'!D18</f>
        <v>-1.999999999999999E-2</v>
      </c>
      <c r="Z19" s="28">
        <f>+F19-'Dez22'!F18</f>
        <v>1.999999999999999E-2</v>
      </c>
      <c r="AA19" s="28">
        <f>+H19-'Dez22'!H18</f>
        <v>0</v>
      </c>
      <c r="AB19" s="28">
        <f>+J19-'Dez22'!J18</f>
        <v>0</v>
      </c>
      <c r="AC19" s="28">
        <f>+L19-'Dez22'!L18</f>
        <v>0</v>
      </c>
    </row>
    <row r="20" spans="2:29" x14ac:dyDescent="0.25">
      <c r="B20" s="3" t="s">
        <v>27</v>
      </c>
      <c r="C20" s="12">
        <v>1199192158</v>
      </c>
      <c r="D20" s="14">
        <v>0.1229</v>
      </c>
      <c r="E20" s="12">
        <f t="shared" si="7"/>
        <v>147380716.2182</v>
      </c>
      <c r="F20" s="14">
        <v>0.26100000000000001</v>
      </c>
      <c r="G20" s="12">
        <f t="shared" si="9"/>
        <v>312989153.23800004</v>
      </c>
      <c r="H20" s="14">
        <v>0.56840000000000002</v>
      </c>
      <c r="I20" s="12">
        <f t="shared" si="8"/>
        <v>681620822.60720003</v>
      </c>
      <c r="J20" s="14">
        <v>4.3400000000000001E-2</v>
      </c>
      <c r="K20" s="12">
        <f t="shared" si="10"/>
        <v>52044939.657200001</v>
      </c>
      <c r="L20" s="16"/>
      <c r="M20" s="12">
        <f t="shared" si="10"/>
        <v>0</v>
      </c>
      <c r="N20" s="26">
        <v>4.3E-3</v>
      </c>
      <c r="O20" s="12">
        <f t="shared" si="10"/>
        <v>1345853.3589234001</v>
      </c>
      <c r="S20" s="12">
        <f>+E20-'Dez22'!E19</f>
        <v>4462577.9609000087</v>
      </c>
      <c r="T20" s="12">
        <f>+G20-'Dez22'!G19</f>
        <v>45673103.851200014</v>
      </c>
      <c r="U20" s="12">
        <f>+I20-'Dez22'!I19</f>
        <v>74581329.82190001</v>
      </c>
      <c r="V20" s="12">
        <f>+K20-'Dez22'!K19</f>
        <v>4851830.7713000029</v>
      </c>
      <c r="W20" s="12">
        <f>+M20-'Dez22'!M19</f>
        <v>0</v>
      </c>
      <c r="Y20" s="28">
        <f>+D20-'Dez22'!D19</f>
        <v>-5.1999999999999963E-3</v>
      </c>
      <c r="Z20" s="28">
        <f>+F20-'Dez22'!F19</f>
        <v>2.1400000000000002E-2</v>
      </c>
      <c r="AA20" s="28">
        <f>+H20-'Dez22'!H19</f>
        <v>2.4299999999999988E-2</v>
      </c>
      <c r="AB20" s="28">
        <f>+J20-'Dez22'!J19</f>
        <v>1.1000000000000038E-3</v>
      </c>
      <c r="AC20" s="28">
        <f>+L20-'Dez22'!L19</f>
        <v>0</v>
      </c>
    </row>
    <row r="21" spans="2:29" x14ac:dyDescent="0.25">
      <c r="B21" s="3" t="s">
        <v>28</v>
      </c>
      <c r="C21" s="12">
        <v>1390049171</v>
      </c>
      <c r="D21" s="14">
        <v>0.115</v>
      </c>
      <c r="E21" s="12">
        <f t="shared" si="7"/>
        <v>159855654.66500002</v>
      </c>
      <c r="F21" s="14">
        <v>0.23100000000000001</v>
      </c>
      <c r="G21" s="12">
        <f t="shared" si="9"/>
        <v>321101358.50099999</v>
      </c>
      <c r="H21" s="14">
        <v>0.56999999999999995</v>
      </c>
      <c r="I21" s="12">
        <f t="shared" si="8"/>
        <v>792328027.46999991</v>
      </c>
      <c r="J21" s="14">
        <v>0.12</v>
      </c>
      <c r="K21" s="12">
        <f t="shared" si="10"/>
        <v>166805900.51999998</v>
      </c>
      <c r="L21" s="16"/>
      <c r="M21" s="12">
        <f t="shared" si="10"/>
        <v>0</v>
      </c>
      <c r="N21" s="26"/>
      <c r="O21" s="12">
        <f t="shared" si="10"/>
        <v>0</v>
      </c>
      <c r="S21" s="12">
        <f>+E21-'Dez22'!E20</f>
        <v>27892771.961000025</v>
      </c>
      <c r="T21" s="12">
        <f>+G21-'Dez22'!G20</f>
        <v>23120655.620999992</v>
      </c>
      <c r="U21" s="12">
        <f>+I21-'Dez22'!I20</f>
        <v>26091934.349999905</v>
      </c>
      <c r="V21" s="12">
        <f>+K21-'Dez22'!K20</f>
        <v>-17658344.120000035</v>
      </c>
      <c r="W21" s="12">
        <f>+M21-'Dez22'!M20</f>
        <v>0</v>
      </c>
      <c r="Y21" s="28">
        <f>+D21-'Dez22'!D20</f>
        <v>2.2000000000000006E-2</v>
      </c>
      <c r="Z21" s="28">
        <f>+F21-'Dez22'!F20</f>
        <v>2.1000000000000019E-2</v>
      </c>
      <c r="AA21" s="28">
        <f>+H21-'Dez22'!H20</f>
        <v>2.9999999999999916E-2</v>
      </c>
      <c r="AB21" s="28">
        <f>+J21-'Dez22'!J20</f>
        <v>-1.0000000000000009E-2</v>
      </c>
      <c r="AC21" s="28">
        <f>+L21-'Dez22'!L20</f>
        <v>0</v>
      </c>
    </row>
    <row r="22" spans="2:29" x14ac:dyDescent="0.25">
      <c r="B22" s="3" t="s">
        <v>32</v>
      </c>
      <c r="C22" s="12">
        <v>334600000</v>
      </c>
      <c r="D22" s="14">
        <v>0.18</v>
      </c>
      <c r="E22" s="12">
        <f t="shared" si="7"/>
        <v>60228000</v>
      </c>
      <c r="F22" s="14">
        <v>0.11</v>
      </c>
      <c r="G22" s="12">
        <f t="shared" si="9"/>
        <v>36806000</v>
      </c>
      <c r="H22" s="14">
        <v>0.61</v>
      </c>
      <c r="I22" s="12">
        <f t="shared" si="8"/>
        <v>204106000</v>
      </c>
      <c r="J22" s="14">
        <v>0.1</v>
      </c>
      <c r="K22" s="12">
        <f t="shared" si="10"/>
        <v>33460000</v>
      </c>
      <c r="L22" s="16"/>
      <c r="M22" s="12">
        <f t="shared" si="10"/>
        <v>0</v>
      </c>
      <c r="N22" s="26"/>
      <c r="O22" s="12">
        <f t="shared" si="10"/>
        <v>0</v>
      </c>
      <c r="S22" s="12">
        <f>+E22-'Dez22'!E21</f>
        <v>38164000</v>
      </c>
      <c r="T22" s="12">
        <f>+G22-'Dez22'!G21</f>
        <v>2134000</v>
      </c>
      <c r="U22" s="12">
        <f>+I22-'Dez22'!I21</f>
        <v>-19686000</v>
      </c>
      <c r="V22" s="12">
        <f>+K22-'Dez22'!K21</f>
        <v>-1212000</v>
      </c>
      <c r="W22" s="12">
        <f>+M22-'Dez22'!M21</f>
        <v>0</v>
      </c>
      <c r="Y22" s="28">
        <f>+D22-'Dez22'!D21</f>
        <v>0.10999999999999999</v>
      </c>
      <c r="Z22" s="28">
        <f>+F22-'Dez22'!F21</f>
        <v>0</v>
      </c>
      <c r="AA22" s="28">
        <f>+H22-'Dez22'!H21</f>
        <v>-9.9999999999999978E-2</v>
      </c>
      <c r="AB22" s="28">
        <f>+J22-'Dez22'!J21</f>
        <v>-9.999999999999995E-3</v>
      </c>
      <c r="AC22" s="28">
        <f>+L22-'Dez22'!L21</f>
        <v>0</v>
      </c>
    </row>
    <row r="23" spans="2:29" x14ac:dyDescent="0.25">
      <c r="B23" s="3" t="s">
        <v>33</v>
      </c>
      <c r="C23" s="12">
        <v>452600000</v>
      </c>
      <c r="D23" s="14">
        <v>0.24</v>
      </c>
      <c r="E23" s="12">
        <f t="shared" si="7"/>
        <v>108624000</v>
      </c>
      <c r="F23" s="14">
        <v>0.1</v>
      </c>
      <c r="G23" s="12">
        <f t="shared" si="9"/>
        <v>45260000</v>
      </c>
      <c r="H23" s="14">
        <v>0.62</v>
      </c>
      <c r="I23" s="12">
        <f t="shared" si="8"/>
        <v>280612000</v>
      </c>
      <c r="J23" s="14">
        <v>0.04</v>
      </c>
      <c r="K23" s="12">
        <f t="shared" si="10"/>
        <v>18104000</v>
      </c>
      <c r="L23" s="16"/>
      <c r="M23" s="12">
        <f t="shared" si="10"/>
        <v>0</v>
      </c>
      <c r="N23" s="26"/>
      <c r="O23" s="12">
        <f t="shared" si="10"/>
        <v>0</v>
      </c>
      <c r="S23" s="12">
        <f>+E23-'Dez22'!E22</f>
        <v>44854000</v>
      </c>
      <c r="T23" s="12">
        <f>+G23-'Dez22'!G22</f>
        <v>-24887000</v>
      </c>
      <c r="U23" s="12">
        <f>+I23-'Dez22'!I22</f>
        <v>-191286000</v>
      </c>
      <c r="V23" s="12">
        <f>+K23-'Dez22'!K22</f>
        <v>-13781000</v>
      </c>
      <c r="W23" s="12">
        <f>+M23-'Dez22'!M22</f>
        <v>0</v>
      </c>
      <c r="Y23" s="28">
        <f>+D23-'Dez22'!D22</f>
        <v>0.13999999999999999</v>
      </c>
      <c r="Z23" s="28">
        <f>+F23-'Dez22'!F22</f>
        <v>-9.999999999999995E-3</v>
      </c>
      <c r="AA23" s="28">
        <f>+H23-'Dez22'!H22</f>
        <v>-0.12</v>
      </c>
      <c r="AB23" s="28">
        <f>+J23-'Dez22'!J22</f>
        <v>-1.0000000000000002E-2</v>
      </c>
      <c r="AC23" s="28">
        <f>+L23-'Dez22'!L22</f>
        <v>0</v>
      </c>
    </row>
    <row r="24" spans="2:29" x14ac:dyDescent="0.25">
      <c r="B24" s="3" t="s">
        <v>34</v>
      </c>
      <c r="C24" s="12">
        <v>384401397</v>
      </c>
      <c r="D24" s="14">
        <v>0.33429999999999999</v>
      </c>
      <c r="E24" s="12">
        <f t="shared" si="7"/>
        <v>128505387.01709999</v>
      </c>
      <c r="F24" s="14">
        <v>0.14660000000000001</v>
      </c>
      <c r="G24" s="12">
        <f t="shared" si="9"/>
        <v>56353244.8002</v>
      </c>
      <c r="H24" s="14">
        <v>0.44209999999999999</v>
      </c>
      <c r="I24" s="12">
        <f t="shared" si="8"/>
        <v>169943857.6137</v>
      </c>
      <c r="J24" s="14">
        <v>6.3899999999999998E-2</v>
      </c>
      <c r="K24" s="12">
        <f t="shared" si="10"/>
        <v>24563249.268300001</v>
      </c>
      <c r="L24" s="16"/>
      <c r="M24" s="12">
        <f t="shared" si="10"/>
        <v>0</v>
      </c>
      <c r="N24" s="26">
        <v>1.3100000000000001E-2</v>
      </c>
      <c r="O24" s="12">
        <f t="shared" si="10"/>
        <v>738227.50688262004</v>
      </c>
      <c r="S24" s="12">
        <f>+E24-'Dez22'!E23</f>
        <v>-13860940.0229</v>
      </c>
      <c r="T24" s="12">
        <f>+G24-'Dez22'!G23</f>
        <v>6594477.3249999955</v>
      </c>
      <c r="U24" s="12">
        <f>+I24-'Dez22'!I23</f>
        <v>45321236.212099999</v>
      </c>
      <c r="V24" s="12">
        <f>+K24-'Dez22'!K23</f>
        <v>-576560.67730000243</v>
      </c>
      <c r="W24" s="12">
        <f>+M24-'Dez22'!M23</f>
        <v>0</v>
      </c>
      <c r="Y24" s="28">
        <f>+D24-'Dez22'!D23</f>
        <v>-7.569999999999999E-2</v>
      </c>
      <c r="Z24" s="28">
        <f>+F24-'Dez22'!F23</f>
        <v>3.2999999999999974E-3</v>
      </c>
      <c r="AA24" s="28">
        <f>+H24-'Dez22'!H23</f>
        <v>8.3199999999999996E-2</v>
      </c>
      <c r="AB24" s="28">
        <f>+J24-'Dez22'!J23</f>
        <v>-8.5000000000000075E-3</v>
      </c>
      <c r="AC24" s="28">
        <f>+L24-'Dez22'!L23</f>
        <v>0</v>
      </c>
    </row>
    <row r="25" spans="2:29" x14ac:dyDescent="0.25">
      <c r="B25" s="3" t="s">
        <v>35</v>
      </c>
      <c r="C25" s="12">
        <v>206358849</v>
      </c>
      <c r="D25" s="14">
        <v>0.126</v>
      </c>
      <c r="E25" s="12">
        <f t="shared" si="7"/>
        <v>26001214.973999999</v>
      </c>
      <c r="F25" s="14">
        <v>0.48599999999999999</v>
      </c>
      <c r="G25" s="12">
        <f t="shared" si="9"/>
        <v>100290400.61399999</v>
      </c>
      <c r="H25" s="14">
        <v>0.33100000000000002</v>
      </c>
      <c r="I25" s="12">
        <f t="shared" si="8"/>
        <v>68304779.019000009</v>
      </c>
      <c r="J25" s="14">
        <v>5.7000000000000002E-2</v>
      </c>
      <c r="K25" s="12">
        <f t="shared" si="10"/>
        <v>11762454.393000001</v>
      </c>
      <c r="L25" s="16"/>
      <c r="M25" s="12">
        <f t="shared" si="10"/>
        <v>0</v>
      </c>
      <c r="N25" s="26"/>
      <c r="O25" s="12">
        <f t="shared" si="10"/>
        <v>0</v>
      </c>
      <c r="S25" s="12">
        <f>+E25-'Dez22'!E24</f>
        <v>9906739.9339999985</v>
      </c>
      <c r="T25" s="12">
        <f>+G25-'Dez22'!G24</f>
        <v>2516464.7459999919</v>
      </c>
      <c r="U25" s="12">
        <f>+I25-'Dez22'!I24</f>
        <v>-6534529.9169999957</v>
      </c>
      <c r="V25" s="12">
        <f>+K25-'Dez22'!K24</f>
        <v>-107220.94899999909</v>
      </c>
      <c r="W25" s="12">
        <f>+M25-'Dez22'!M24</f>
        <v>0</v>
      </c>
      <c r="Y25" s="28">
        <f>+D25-'Dez22'!D24</f>
        <v>4.5999999999999999E-2</v>
      </c>
      <c r="Z25" s="28">
        <f>+F25-'Dez22'!F24</f>
        <v>0</v>
      </c>
      <c r="AA25" s="28">
        <f>+H25-'Dez22'!H24</f>
        <v>-4.0999999999999981E-2</v>
      </c>
      <c r="AB25" s="28">
        <f>+J25-'Dez22'!J24</f>
        <v>-1.9999999999999948E-3</v>
      </c>
      <c r="AC25" s="28">
        <f>+L25-'Dez22'!L24</f>
        <v>0</v>
      </c>
    </row>
    <row r="26" spans="2:29" x14ac:dyDescent="0.25">
      <c r="B26" s="3" t="s">
        <v>36</v>
      </c>
      <c r="C26" s="12">
        <v>314520000</v>
      </c>
      <c r="D26" s="19">
        <v>0.18</v>
      </c>
      <c r="E26" s="18">
        <f t="shared" si="7"/>
        <v>56613600</v>
      </c>
      <c r="F26" s="14">
        <v>0.12</v>
      </c>
      <c r="G26" s="12">
        <f t="shared" si="9"/>
        <v>37742400</v>
      </c>
      <c r="H26" s="19">
        <v>0.62</v>
      </c>
      <c r="I26" s="18">
        <f t="shared" si="8"/>
        <v>195002400</v>
      </c>
      <c r="J26" s="14">
        <v>0.08</v>
      </c>
      <c r="K26" s="12">
        <f t="shared" si="10"/>
        <v>25161600</v>
      </c>
      <c r="L26" s="16"/>
      <c r="M26" s="12">
        <f t="shared" si="10"/>
        <v>0</v>
      </c>
      <c r="N26" s="26"/>
      <c r="O26" s="12">
        <f t="shared" si="10"/>
        <v>0</v>
      </c>
      <c r="S26" s="12">
        <f>+E26-'Dez22'!E25</f>
        <v>26685600</v>
      </c>
      <c r="T26" s="12">
        <f>+G26-'Dez22'!G25</f>
        <v>-7149600</v>
      </c>
      <c r="U26" s="12">
        <f>+I26-'Dez22'!I25</f>
        <v>-5515200</v>
      </c>
      <c r="V26" s="12">
        <f>+K26-'Dez22'!K25</f>
        <v>1219200</v>
      </c>
      <c r="W26" s="12">
        <f>+M26-'Dez22'!M25</f>
        <v>0</v>
      </c>
      <c r="Y26" s="28">
        <f>+D26-'Dez22'!D25</f>
        <v>7.9999999999999988E-2</v>
      </c>
      <c r="Z26" s="28">
        <f>+F26-'Dez22'!F25</f>
        <v>-0.03</v>
      </c>
      <c r="AA26" s="28">
        <f>+H26-'Dez22'!H25</f>
        <v>-5.0000000000000044E-2</v>
      </c>
      <c r="AB26" s="28">
        <f>+J26-'Dez22'!J25</f>
        <v>0</v>
      </c>
      <c r="AC26" s="28">
        <f>+L26-'Dez22'!L25</f>
        <v>0</v>
      </c>
    </row>
    <row r="27" spans="2:29" s="8" customFormat="1" x14ac:dyDescent="0.25">
      <c r="B27" s="21" t="s">
        <v>45</v>
      </c>
      <c r="C27" s="20">
        <f>SUM(C18:C26)</f>
        <v>5315324750.79</v>
      </c>
      <c r="D27" s="15">
        <f>+E27/$C27</f>
        <v>0.17474616005996915</v>
      </c>
      <c r="E27" s="17">
        <f>SUM(E18:E26)</f>
        <v>928832589.67226493</v>
      </c>
      <c r="F27" s="15">
        <f>+G27/$C27</f>
        <v>0.20519204872862851</v>
      </c>
      <c r="G27" s="20">
        <f>SUM(G18:G26)</f>
        <v>1090662375.2725868</v>
      </c>
      <c r="H27" s="15">
        <f>+I27/$C27</f>
        <v>0.53815106008179303</v>
      </c>
      <c r="I27" s="17">
        <f>SUM(I18:I26)</f>
        <v>2860447649.3166308</v>
      </c>
      <c r="J27" s="15">
        <f>+K27/$C27</f>
        <v>8.1300852244778524E-2</v>
      </c>
      <c r="K27" s="17">
        <f>SUM(K18:K26)</f>
        <v>432140432.19699198</v>
      </c>
      <c r="L27" s="15">
        <f>+M27/$C27</f>
        <v>0</v>
      </c>
      <c r="M27" s="17">
        <f>SUM(M18:M26)</f>
        <v>0</v>
      </c>
      <c r="N27" s="15">
        <f>+O27/$C27</f>
        <v>1.8558489379929643E-3</v>
      </c>
      <c r="O27" s="17">
        <f>SUM(O18:O26)</f>
        <v>9864439.7938413396</v>
      </c>
      <c r="S27" s="17">
        <f>+E27-'Dez22'!E26</f>
        <v>102023063.71846497</v>
      </c>
      <c r="T27" s="17">
        <f>+G27-'Dez22'!G26</f>
        <v>72607617.313086748</v>
      </c>
      <c r="U27" s="17">
        <f>+I27-'Dez22'!I26</f>
        <v>-67159423.638268948</v>
      </c>
      <c r="V27" s="17">
        <f>+K27-'Dez22'!K26</f>
        <v>-21915953.755508125</v>
      </c>
      <c r="W27" s="17">
        <f>+M27-'Dez22'!M26</f>
        <v>0</v>
      </c>
      <c r="Y27" s="14">
        <f>+D27-'Dez22'!D26</f>
        <v>2.0631635654693919E-2</v>
      </c>
      <c r="Z27" s="14">
        <f>+F27-'Dez22'!F26</f>
        <v>1.543005407761025E-2</v>
      </c>
      <c r="AA27" s="14">
        <f>+H27-'Dez22'!H26</f>
        <v>-7.545085803172813E-3</v>
      </c>
      <c r="AB27" s="14">
        <f>+J27-'Dez22'!J26</f>
        <v>-3.3337362277274935E-3</v>
      </c>
      <c r="AC27" s="14">
        <f>+L27-'Dez22'!L26</f>
        <v>0</v>
      </c>
    </row>
    <row r="28" spans="2:29" x14ac:dyDescent="0.25">
      <c r="C28" s="10"/>
      <c r="D28" s="10"/>
      <c r="E28" s="10"/>
      <c r="F28" s="5"/>
      <c r="G28" s="10"/>
      <c r="H28" s="10"/>
      <c r="I28" s="10"/>
      <c r="J28" s="5"/>
      <c r="K28" s="10"/>
    </row>
    <row r="29" spans="2:29" x14ac:dyDescent="0.25">
      <c r="B29" s="4" t="s">
        <v>38</v>
      </c>
      <c r="C29" s="9" t="s">
        <v>4</v>
      </c>
      <c r="D29" s="113" t="s">
        <v>7</v>
      </c>
      <c r="E29" s="113"/>
      <c r="F29" s="112" t="s">
        <v>8</v>
      </c>
      <c r="G29" s="112"/>
      <c r="H29" s="112" t="s">
        <v>10</v>
      </c>
      <c r="I29" s="112"/>
      <c r="J29" s="112" t="s">
        <v>9</v>
      </c>
      <c r="K29" s="112"/>
      <c r="L29" s="112" t="s">
        <v>40</v>
      </c>
      <c r="M29" s="112"/>
      <c r="N29" s="112" t="s">
        <v>55</v>
      </c>
      <c r="O29" s="112"/>
      <c r="S29" s="27" t="s">
        <v>49</v>
      </c>
      <c r="T29" s="27" t="s">
        <v>50</v>
      </c>
      <c r="U29" s="27" t="s">
        <v>51</v>
      </c>
      <c r="V29" s="27" t="s">
        <v>52</v>
      </c>
      <c r="W29" s="27" t="s">
        <v>54</v>
      </c>
      <c r="Y29" s="27" t="s">
        <v>49</v>
      </c>
      <c r="Z29" s="27" t="s">
        <v>50</v>
      </c>
      <c r="AA29" s="27" t="s">
        <v>51</v>
      </c>
      <c r="AB29" s="27" t="s">
        <v>52</v>
      </c>
      <c r="AC29" s="27" t="s">
        <v>54</v>
      </c>
    </row>
    <row r="30" spans="2:29" x14ac:dyDescent="0.25">
      <c r="B30" s="3" t="s">
        <v>39</v>
      </c>
      <c r="C30" s="12">
        <v>249324063.77000001</v>
      </c>
      <c r="D30" s="14">
        <v>9.5000000000000001E-2</v>
      </c>
      <c r="E30" s="12">
        <f>D30*C30</f>
        <v>23685786.058150001</v>
      </c>
      <c r="F30" s="14">
        <v>0.125</v>
      </c>
      <c r="G30" s="12">
        <f>F30*C30</f>
        <v>31165507.971250001</v>
      </c>
      <c r="H30" s="14">
        <v>0.64700000000000002</v>
      </c>
      <c r="I30" s="12">
        <f>H30*C30</f>
        <v>161312669.25919002</v>
      </c>
      <c r="J30" s="14">
        <v>0.113</v>
      </c>
      <c r="K30" s="12">
        <f>J30*C30</f>
        <v>28173619.206010003</v>
      </c>
      <c r="L30" s="14">
        <v>7.0000000000000007E-2</v>
      </c>
      <c r="M30" s="12">
        <f>L30*C30</f>
        <v>17452684.463900004</v>
      </c>
      <c r="N30" s="14">
        <v>2.8000000000000001E-2</v>
      </c>
      <c r="O30" s="12">
        <f>N30*E30</f>
        <v>663202.00962820009</v>
      </c>
      <c r="S30" s="12">
        <f>+E30-'Dez22'!E29</f>
        <v>-13685464.416850001</v>
      </c>
      <c r="T30" s="12">
        <f>+G30-'Dez22'!G29</f>
        <v>2703959.5962500013</v>
      </c>
      <c r="U30" s="12">
        <f>+I30-'Dez22'!I29</f>
        <v>4897899.0591900349</v>
      </c>
      <c r="V30" s="12">
        <f>+K30-'Dez22'!K29</f>
        <v>3176954.9810100012</v>
      </c>
      <c r="W30" s="12">
        <f>+M30-'Dez22'!M29</f>
        <v>-1851670.0860999972</v>
      </c>
      <c r="Y30" s="28">
        <f>+D30-'Dez22'!D29</f>
        <v>-5.5999999999999994E-2</v>
      </c>
      <c r="Z30" s="28">
        <f>+F30-'Dez22'!F29</f>
        <v>9.999999999999995E-3</v>
      </c>
      <c r="AA30" s="28">
        <f>+H30-'Dez22'!H29</f>
        <v>1.5000000000000013E-2</v>
      </c>
      <c r="AB30" s="28">
        <f>+J30-'Dez22'!J29</f>
        <v>1.1999999999999997E-2</v>
      </c>
      <c r="AC30" s="28">
        <f>+L30-'Dez22'!L29</f>
        <v>-7.9999999999999932E-3</v>
      </c>
    </row>
    <row r="31" spans="2:29" x14ac:dyDescent="0.25">
      <c r="B31" s="3" t="s">
        <v>41</v>
      </c>
      <c r="C31" s="12">
        <v>121870000</v>
      </c>
      <c r="D31" s="14">
        <v>0.1149</v>
      </c>
      <c r="E31" s="12">
        <f>D31*C31</f>
        <v>14002863</v>
      </c>
      <c r="F31" s="14"/>
      <c r="G31" s="12">
        <f>F31*C31</f>
        <v>0</v>
      </c>
      <c r="H31" s="14">
        <v>0.62109999999999999</v>
      </c>
      <c r="I31" s="12">
        <f>H31*C31</f>
        <v>75693457</v>
      </c>
      <c r="J31" s="14">
        <v>0.21970000000000001</v>
      </c>
      <c r="K31" s="12">
        <f>J31*C31</f>
        <v>26774839</v>
      </c>
      <c r="L31" s="14">
        <v>8.0299999999999996E-2</v>
      </c>
      <c r="M31" s="12">
        <f>L31*C31</f>
        <v>9786161</v>
      </c>
      <c r="N31" s="14"/>
      <c r="O31" s="12">
        <f>N31*E31</f>
        <v>0</v>
      </c>
      <c r="S31" s="12">
        <f>+E31-'Dez22'!E30</f>
        <v>0</v>
      </c>
      <c r="T31" s="12">
        <f>+G31-'Dez22'!G30</f>
        <v>0</v>
      </c>
      <c r="U31" s="12">
        <f>+I31-'Dez22'!I30</f>
        <v>0</v>
      </c>
      <c r="V31" s="12">
        <f>+K31-'Dez22'!K30</f>
        <v>26774839</v>
      </c>
      <c r="W31" s="12">
        <f>+M31-'Dez22'!M30</f>
        <v>0</v>
      </c>
      <c r="Y31" s="28">
        <f>+D31-'Dez22'!D30</f>
        <v>0</v>
      </c>
      <c r="Z31" s="28">
        <f>+F31-'Dez22'!F30</f>
        <v>0</v>
      </c>
      <c r="AA31" s="28">
        <f>+H31-'Dez22'!H30</f>
        <v>0</v>
      </c>
      <c r="AB31" s="28">
        <f>+J31-'Dez22'!J30</f>
        <v>0.21970000000000001</v>
      </c>
      <c r="AC31" s="28">
        <f>+L31-'Dez22'!L30</f>
        <v>0</v>
      </c>
    </row>
    <row r="32" spans="2:29" x14ac:dyDescent="0.25">
      <c r="B32" s="3" t="s">
        <v>42</v>
      </c>
      <c r="C32" s="12">
        <v>249224194</v>
      </c>
      <c r="D32" s="14">
        <v>0.08</v>
      </c>
      <c r="E32" s="12">
        <f>D32*C32</f>
        <v>19937935.52</v>
      </c>
      <c r="F32" s="14">
        <v>0.12</v>
      </c>
      <c r="G32" s="12">
        <f>F32*C32</f>
        <v>29906903.279999997</v>
      </c>
      <c r="H32" s="14">
        <v>0.59499999999999997</v>
      </c>
      <c r="I32" s="12">
        <f>H32*C32</f>
        <v>148288395.43000001</v>
      </c>
      <c r="J32" s="14">
        <v>0.03</v>
      </c>
      <c r="K32" s="12">
        <f>J32*C32</f>
        <v>7476725.8199999994</v>
      </c>
      <c r="L32" s="14">
        <v>0.1</v>
      </c>
      <c r="M32" s="12">
        <f>L32*C32</f>
        <v>24922419.400000002</v>
      </c>
      <c r="N32" s="14"/>
      <c r="O32" s="12">
        <f>N32*E32</f>
        <v>0</v>
      </c>
      <c r="S32" s="12">
        <f>+E32-'Dez22'!E31</f>
        <v>2489570.7399999984</v>
      </c>
      <c r="T32" s="12">
        <f>+G32-'Dez22'!G31</f>
        <v>2488044.3399999961</v>
      </c>
      <c r="U32" s="12">
        <f>+I32-'Dez22'!I31</f>
        <v>11194100.729999989</v>
      </c>
      <c r="V32" s="12">
        <f>+K32-'Dez22'!K31</f>
        <v>-1144.8000000007451</v>
      </c>
      <c r="W32" s="12">
        <f>+M32-'Dez22'!M31</f>
        <v>-2496439.5399999991</v>
      </c>
      <c r="Y32" s="28">
        <f>+D32-'Dez22'!D31</f>
        <v>9.999999999999995E-3</v>
      </c>
      <c r="Z32" s="28">
        <f>+F32-'Dez22'!F31</f>
        <v>9.999999999999995E-3</v>
      </c>
      <c r="AA32" s="28">
        <f>+H32-'Dez22'!H31</f>
        <v>4.4999999999999929E-2</v>
      </c>
      <c r="AB32" s="28">
        <f>+J32-'Dez22'!J31</f>
        <v>0</v>
      </c>
      <c r="AC32" s="28">
        <f>+L32-'Dez22'!L31</f>
        <v>-9.999999999999995E-3</v>
      </c>
    </row>
    <row r="33" spans="2:29" x14ac:dyDescent="0.25">
      <c r="B33" s="3" t="s">
        <v>43</v>
      </c>
      <c r="C33" s="12">
        <v>966382301</v>
      </c>
      <c r="D33" s="14">
        <v>8.5000000000000006E-2</v>
      </c>
      <c r="E33" s="12">
        <f>D33*C33</f>
        <v>82142495.585000008</v>
      </c>
      <c r="F33" s="14">
        <v>0.161</v>
      </c>
      <c r="G33" s="12">
        <f>F33*C33</f>
        <v>155587550.461</v>
      </c>
      <c r="H33" s="14">
        <v>0.62</v>
      </c>
      <c r="I33" s="12">
        <f>H33*C33</f>
        <v>599157026.62</v>
      </c>
      <c r="J33" s="14">
        <v>0.12</v>
      </c>
      <c r="K33" s="12">
        <f>J33*C33</f>
        <v>115965876.11999999</v>
      </c>
      <c r="L33" s="14"/>
      <c r="M33" s="12">
        <f>L33*C33</f>
        <v>0</v>
      </c>
      <c r="N33" s="14"/>
      <c r="O33" s="12">
        <f>N33*E33</f>
        <v>0</v>
      </c>
      <c r="S33" s="12">
        <f>+E33-'Dez22'!E32</f>
        <v>5890059.4849999994</v>
      </c>
      <c r="T33" s="12">
        <f>+G33-'Dez22'!G32</f>
        <v>1199902.0609999895</v>
      </c>
      <c r="U33" s="12">
        <f>+I33-'Dez22'!I32</f>
        <v>6082523.6200000048</v>
      </c>
      <c r="V33" s="12">
        <f>+K33-'Dez22'!K32</f>
        <v>2999304.1199999899</v>
      </c>
      <c r="W33" s="12">
        <f>+M33-'Dez22'!M32</f>
        <v>0</v>
      </c>
      <c r="Y33" s="28">
        <f>+D33-'Dez22'!D32</f>
        <v>4.0000000000000036E-3</v>
      </c>
      <c r="Z33" s="28">
        <f>+F33-'Dez22'!F32</f>
        <v>-3.0000000000000027E-3</v>
      </c>
      <c r="AA33" s="28">
        <f>+H33-'Dez22'!H32</f>
        <v>-1.0000000000000009E-2</v>
      </c>
      <c r="AB33" s="28">
        <f>+J33-'Dez22'!J32</f>
        <v>0</v>
      </c>
      <c r="AC33" s="28">
        <f>+L33-'Dez22'!L32</f>
        <v>0</v>
      </c>
    </row>
    <row r="34" spans="2:29" x14ac:dyDescent="0.25">
      <c r="B34" s="3" t="s">
        <v>44</v>
      </c>
      <c r="C34" s="12">
        <v>26400000</v>
      </c>
      <c r="D34" s="14">
        <v>0.38</v>
      </c>
      <c r="E34" s="12">
        <f>D34*C34</f>
        <v>10032000</v>
      </c>
      <c r="F34" s="14"/>
      <c r="G34" s="12">
        <f>F34*C34</f>
        <v>0</v>
      </c>
      <c r="H34" s="14">
        <v>0.34</v>
      </c>
      <c r="I34" s="12">
        <f>H34*C34</f>
        <v>8976000</v>
      </c>
      <c r="J34" s="14"/>
      <c r="K34" s="12">
        <f>J34*C34</f>
        <v>0</v>
      </c>
      <c r="L34" s="14">
        <v>0.28000000000000003</v>
      </c>
      <c r="M34" s="12">
        <f>L34*C34</f>
        <v>7392000.0000000009</v>
      </c>
      <c r="N34" s="14"/>
      <c r="O34" s="12">
        <f>N34*E34</f>
        <v>0</v>
      </c>
      <c r="S34" s="12">
        <f>+E34-'Dez22'!E33</f>
        <v>722000</v>
      </c>
      <c r="T34" s="12">
        <f>+G34-'Dez22'!G33</f>
        <v>0</v>
      </c>
      <c r="U34" s="12">
        <f>+I34-'Dez22'!I33</f>
        <v>-334000</v>
      </c>
      <c r="V34" s="12">
        <f>+K34-'Dez22'!K33</f>
        <v>0</v>
      </c>
      <c r="W34" s="12">
        <f>+M34-'Dez22'!M33</f>
        <v>-853999.99999999907</v>
      </c>
      <c r="Y34" s="28">
        <f>+D34-'Dez22'!D33</f>
        <v>3.0000000000000027E-2</v>
      </c>
      <c r="Z34" s="28">
        <f>+F34-'Dez22'!F33</f>
        <v>0</v>
      </c>
      <c r="AA34" s="28">
        <f>+H34-'Dez22'!H33</f>
        <v>-9.9999999999999534E-3</v>
      </c>
      <c r="AB34" s="28">
        <f>+J34-'Dez22'!J33</f>
        <v>0</v>
      </c>
      <c r="AC34" s="28">
        <f>+L34-'Dez22'!L33</f>
        <v>-2.9999999999999971E-2</v>
      </c>
    </row>
    <row r="35" spans="2:29" s="8" customFormat="1" x14ac:dyDescent="0.25">
      <c r="B35" s="3" t="s">
        <v>45</v>
      </c>
      <c r="C35" s="17">
        <f>SUM(C30:C34)</f>
        <v>1613200558.77</v>
      </c>
      <c r="D35" s="15">
        <f>+E35/$C35</f>
        <v>9.2859551373678711E-2</v>
      </c>
      <c r="E35" s="17">
        <f>SUM(E30:E34)</f>
        <v>149801080.16315001</v>
      </c>
      <c r="F35" s="15">
        <f>+G35/$C35</f>
        <v>0.13430441772066112</v>
      </c>
      <c r="G35" s="17">
        <f>SUM(G30:G34)</f>
        <v>216659961.71224999</v>
      </c>
      <c r="H35" s="15">
        <f>+I35/$C35</f>
        <v>0.61581155728500259</v>
      </c>
      <c r="I35" s="17">
        <f>SUM(I30:I34)</f>
        <v>993427548.30919003</v>
      </c>
      <c r="J35" s="15">
        <f>+K35/$C35</f>
        <v>0.11058207187953489</v>
      </c>
      <c r="K35" s="17">
        <f>SUM(K30:K34)</f>
        <v>178391060.14600998</v>
      </c>
      <c r="L35" s="15">
        <f>+M35/$C35</f>
        <v>3.6916218842192164E-2</v>
      </c>
      <c r="M35" s="17">
        <f>SUM(M30:M34)</f>
        <v>59553264.863900006</v>
      </c>
      <c r="N35" s="15">
        <f>+O35/$C35</f>
        <v>4.1110945940526128E-4</v>
      </c>
      <c r="O35" s="17">
        <f>SUM(O30:O34)</f>
        <v>663202.00962820009</v>
      </c>
      <c r="S35" s="17">
        <f>+E35-'Dez22'!E34</f>
        <v>-4583834.1918500066</v>
      </c>
      <c r="T35" s="17">
        <f>+G35-'Dez22'!G34</f>
        <v>6391905.9972499907</v>
      </c>
      <c r="U35" s="17">
        <f>+I35-'Dez22'!I34</f>
        <v>21840523.409190059</v>
      </c>
      <c r="V35" s="17">
        <f>+K35-'Dez22'!K34</f>
        <v>32949953.301009983</v>
      </c>
      <c r="W35" s="17">
        <f>+M35-'Dez22'!M34</f>
        <v>-5202109.6260999963</v>
      </c>
      <c r="Y35" s="14">
        <f>+D35-'Dez22'!D34</f>
        <v>-4.4452067760442915E-3</v>
      </c>
      <c r="Z35" s="14">
        <f>+F35-'Dez22'!F34</f>
        <v>1.7779827808219184E-3</v>
      </c>
      <c r="AA35" s="14">
        <f>+H35-'Dez22'!H34</f>
        <v>3.4457644594578785E-3</v>
      </c>
      <c r="AB35" s="14">
        <f>+J35-'Dez22'!J34</f>
        <v>1.8914360784144393E-2</v>
      </c>
      <c r="AC35" s="14">
        <f>+L35-'Dez22'!L34</f>
        <v>-3.8973935497243137E-3</v>
      </c>
    </row>
    <row r="37" spans="2:29" x14ac:dyDescent="0.25">
      <c r="E37"/>
    </row>
    <row r="39" spans="2:29" x14ac:dyDescent="0.25">
      <c r="C39" s="30"/>
    </row>
    <row r="40" spans="2:29" x14ac:dyDescent="0.25">
      <c r="C40" s="30"/>
    </row>
    <row r="41" spans="2:29" x14ac:dyDescent="0.25">
      <c r="C41" s="30"/>
    </row>
    <row r="42" spans="2:29" x14ac:dyDescent="0.25">
      <c r="C42" s="30"/>
    </row>
    <row r="43" spans="2:29" x14ac:dyDescent="0.25">
      <c r="C43" s="30"/>
    </row>
    <row r="44" spans="2:29" x14ac:dyDescent="0.25">
      <c r="C44" s="30"/>
    </row>
    <row r="45" spans="2:29" x14ac:dyDescent="0.25">
      <c r="C45" s="30"/>
    </row>
    <row r="46" spans="2:29" x14ac:dyDescent="0.25">
      <c r="C46" s="30"/>
    </row>
    <row r="47" spans="2:29" x14ac:dyDescent="0.25">
      <c r="C47" s="30"/>
    </row>
    <row r="48" spans="2:29" x14ac:dyDescent="0.25">
      <c r="C48" s="30"/>
    </row>
    <row r="49" spans="3:3" x14ac:dyDescent="0.25">
      <c r="C49" s="30"/>
    </row>
    <row r="50" spans="3:3" x14ac:dyDescent="0.25">
      <c r="C50" s="30"/>
    </row>
    <row r="51" spans="3:3" x14ac:dyDescent="0.25">
      <c r="C51" s="30"/>
    </row>
  </sheetData>
  <mergeCells count="18">
    <mergeCell ref="J17:K17"/>
    <mergeCell ref="L17:M17"/>
    <mergeCell ref="J29:K29"/>
    <mergeCell ref="L29:M29"/>
    <mergeCell ref="N2:O2"/>
    <mergeCell ref="N17:O17"/>
    <mergeCell ref="N29:O29"/>
    <mergeCell ref="J2:K2"/>
    <mergeCell ref="L2:M2"/>
    <mergeCell ref="D29:E29"/>
    <mergeCell ref="F29:G29"/>
    <mergeCell ref="H29:I29"/>
    <mergeCell ref="D2:E2"/>
    <mergeCell ref="F2:G2"/>
    <mergeCell ref="H2:I2"/>
    <mergeCell ref="D17:E17"/>
    <mergeCell ref="F17:G17"/>
    <mergeCell ref="H17:I17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B6639-F7F1-4E47-85E7-21F28D07F80D}">
  <dimension ref="B1:S34"/>
  <sheetViews>
    <sheetView workbookViewId="0"/>
  </sheetViews>
  <sheetFormatPr defaultRowHeight="15" x14ac:dyDescent="0.25"/>
  <cols>
    <col min="1" max="1" width="2.42578125" customWidth="1"/>
    <col min="2" max="2" width="25.140625" bestFit="1" customWidth="1"/>
    <col min="3" max="3" width="21.7109375" style="11" bestFit="1" customWidth="1"/>
    <col min="4" max="4" width="7.140625" style="6" bestFit="1" customWidth="1"/>
    <col min="5" max="5" width="19.5703125" style="11" bestFit="1" customWidth="1"/>
    <col min="6" max="6" width="7.140625" style="6" bestFit="1" customWidth="1"/>
    <col min="7" max="7" width="19.5703125" style="11" bestFit="1" customWidth="1"/>
    <col min="8" max="8" width="7.140625" style="6" bestFit="1" customWidth="1"/>
    <col min="9" max="9" width="19.5703125" style="11" bestFit="1" customWidth="1"/>
    <col min="10" max="10" width="7.140625" style="6" bestFit="1" customWidth="1"/>
    <col min="11" max="11" width="18" style="11" bestFit="1" customWidth="1"/>
    <col min="12" max="12" width="7.140625" style="5" bestFit="1" customWidth="1"/>
    <col min="13" max="13" width="19.5703125" style="10" bestFit="1" customWidth="1"/>
    <col min="14" max="14" width="7.140625" bestFit="1" customWidth="1"/>
    <col min="15" max="16" width="7.140625" customWidth="1"/>
    <col min="17" max="17" width="15.85546875" bestFit="1" customWidth="1"/>
    <col min="18" max="18" width="16.28515625" bestFit="1" customWidth="1"/>
    <col min="19" max="19" width="5" bestFit="1" customWidth="1"/>
  </cols>
  <sheetData>
    <row r="1" spans="2:19" ht="9" customHeight="1" x14ac:dyDescent="0.25"/>
    <row r="2" spans="2:19" x14ac:dyDescent="0.25">
      <c r="B2" s="4" t="s">
        <v>1</v>
      </c>
      <c r="C2" s="9" t="s">
        <v>4</v>
      </c>
      <c r="D2" s="112" t="s">
        <v>7</v>
      </c>
      <c r="E2" s="112"/>
      <c r="F2" s="112" t="s">
        <v>8</v>
      </c>
      <c r="G2" s="112"/>
      <c r="H2" s="112" t="s">
        <v>10</v>
      </c>
      <c r="I2" s="112"/>
      <c r="J2" s="112" t="s">
        <v>9</v>
      </c>
      <c r="K2" s="112"/>
      <c r="L2" s="112" t="s">
        <v>21</v>
      </c>
      <c r="M2" s="112"/>
      <c r="O2" s="1" t="s">
        <v>46</v>
      </c>
      <c r="Q2" s="1"/>
      <c r="R2" s="1" t="s">
        <v>20</v>
      </c>
      <c r="S2" s="1"/>
    </row>
    <row r="3" spans="2:19" x14ac:dyDescent="0.25">
      <c r="B3" s="21" t="s">
        <v>5</v>
      </c>
      <c r="C3" s="23">
        <v>844446939</v>
      </c>
      <c r="D3" s="26">
        <f>1-F3-H3-J3</f>
        <v>0.47499999999999992</v>
      </c>
      <c r="E3" s="23">
        <f>D3*C3</f>
        <v>401112296.02499992</v>
      </c>
      <c r="F3" s="26">
        <f>(8.7+7.1+2.7+0.6)%</f>
        <v>0.191</v>
      </c>
      <c r="G3" s="22">
        <f>F3*C3</f>
        <v>161289365.34900001</v>
      </c>
      <c r="H3" s="26">
        <f>(23.5+0.6)%</f>
        <v>0.24100000000000002</v>
      </c>
      <c r="I3" s="23">
        <f>H3*C3</f>
        <v>203511712.29900002</v>
      </c>
      <c r="J3" s="26">
        <f>(5.4+3.9)%</f>
        <v>9.3000000000000013E-2</v>
      </c>
      <c r="K3" s="23">
        <f>J3*C3</f>
        <v>78533565.327000007</v>
      </c>
      <c r="L3" s="24"/>
      <c r="M3" s="25">
        <f>L3*C3</f>
        <v>0</v>
      </c>
      <c r="Q3" t="s">
        <v>11</v>
      </c>
      <c r="R3" s="2" t="s">
        <v>10</v>
      </c>
      <c r="S3" t="s">
        <v>9</v>
      </c>
    </row>
    <row r="4" spans="2:19" x14ac:dyDescent="0.25">
      <c r="B4" s="3" t="s">
        <v>0</v>
      </c>
      <c r="C4" s="12">
        <v>1533388839</v>
      </c>
      <c r="D4" s="14">
        <v>0.29799999999999999</v>
      </c>
      <c r="E4" s="12">
        <f t="shared" ref="E4:E8" si="0">D4*C4</f>
        <v>456949874.02199996</v>
      </c>
      <c r="F4" s="14">
        <v>0.193</v>
      </c>
      <c r="G4" s="12">
        <f t="shared" ref="G4:G8" si="1">F4*C4</f>
        <v>295944045.92699999</v>
      </c>
      <c r="H4" s="14">
        <v>0.42</v>
      </c>
      <c r="I4" s="12">
        <f t="shared" ref="I4:I8" si="2">H4*C4</f>
        <v>644023312.38</v>
      </c>
      <c r="J4" s="14">
        <v>3.5999999999999997E-2</v>
      </c>
      <c r="K4" s="12">
        <f>J4*C4</f>
        <v>55201998.203999996</v>
      </c>
      <c r="L4" s="16"/>
      <c r="M4" s="13"/>
      <c r="Q4" t="s">
        <v>12</v>
      </c>
      <c r="R4" s="2" t="s">
        <v>16</v>
      </c>
    </row>
    <row r="5" spans="2:19" x14ac:dyDescent="0.25">
      <c r="B5" s="3" t="s">
        <v>3</v>
      </c>
      <c r="C5" s="12">
        <v>2472289784</v>
      </c>
      <c r="D5" s="14">
        <v>0.54</v>
      </c>
      <c r="E5" s="12">
        <f t="shared" si="0"/>
        <v>1335036483.3600001</v>
      </c>
      <c r="F5" s="14">
        <v>0.03</v>
      </c>
      <c r="G5" s="12">
        <f t="shared" si="1"/>
        <v>74168693.519999996</v>
      </c>
      <c r="H5" s="14">
        <v>0.28999999999999998</v>
      </c>
      <c r="I5" s="12">
        <f t="shared" si="2"/>
        <v>716964037.3599999</v>
      </c>
      <c r="J5" s="14">
        <v>0.05</v>
      </c>
      <c r="K5" s="12">
        <f t="shared" ref="K5:K7" si="3">J5*C5</f>
        <v>123614489.2</v>
      </c>
      <c r="L5" s="14">
        <v>7.0000000000000007E-2</v>
      </c>
      <c r="M5" s="12">
        <f>L5*C5</f>
        <v>173060284.88000003</v>
      </c>
      <c r="Q5" t="s">
        <v>13</v>
      </c>
      <c r="R5" s="2" t="s">
        <v>17</v>
      </c>
    </row>
    <row r="6" spans="2:19" x14ac:dyDescent="0.25">
      <c r="B6" s="3" t="s">
        <v>37</v>
      </c>
      <c r="C6" s="12">
        <v>5681780826</v>
      </c>
      <c r="D6" s="14">
        <v>0.32279999999999998</v>
      </c>
      <c r="E6" s="12">
        <f t="shared" si="0"/>
        <v>1834078850.6327999</v>
      </c>
      <c r="F6" s="14">
        <v>0.13489999999999999</v>
      </c>
      <c r="G6" s="12">
        <f t="shared" si="1"/>
        <v>766472233.42739999</v>
      </c>
      <c r="H6" s="14">
        <v>0.47349999999999998</v>
      </c>
      <c r="I6" s="12">
        <f t="shared" si="2"/>
        <v>2690323221.1110001</v>
      </c>
      <c r="J6" s="14">
        <v>3.0300000000000001E-2</v>
      </c>
      <c r="K6" s="12">
        <f t="shared" si="3"/>
        <v>172157959.02779999</v>
      </c>
      <c r="L6" s="14"/>
      <c r="M6" s="12"/>
      <c r="Q6" t="s">
        <v>14</v>
      </c>
      <c r="R6" s="2" t="s">
        <v>18</v>
      </c>
    </row>
    <row r="7" spans="2:19" x14ac:dyDescent="0.25">
      <c r="B7" s="3" t="s">
        <v>22</v>
      </c>
      <c r="C7" s="12">
        <v>2840970000</v>
      </c>
      <c r="D7" s="14">
        <v>0.36199999999999999</v>
      </c>
      <c r="E7" s="12">
        <f t="shared" si="0"/>
        <v>1028431140</v>
      </c>
      <c r="F7" s="14">
        <v>0.14499999999999999</v>
      </c>
      <c r="G7" s="12">
        <f t="shared" si="1"/>
        <v>411940650</v>
      </c>
      <c r="H7" s="14">
        <v>0.45200000000000001</v>
      </c>
      <c r="I7" s="12">
        <f t="shared" si="2"/>
        <v>1284118440</v>
      </c>
      <c r="J7" s="14">
        <v>4.1000000000000002E-2</v>
      </c>
      <c r="K7" s="12">
        <f t="shared" si="3"/>
        <v>116479770</v>
      </c>
      <c r="L7" s="16"/>
      <c r="M7" s="13"/>
      <c r="Q7" t="s">
        <v>15</v>
      </c>
      <c r="R7" s="2" t="s">
        <v>19</v>
      </c>
    </row>
    <row r="8" spans="2:19" x14ac:dyDescent="0.25">
      <c r="B8" s="3" t="s">
        <v>23</v>
      </c>
      <c r="C8" s="12">
        <v>1949126406</v>
      </c>
      <c r="D8" s="14">
        <v>0.31</v>
      </c>
      <c r="E8" s="12">
        <f t="shared" si="0"/>
        <v>604229185.86000001</v>
      </c>
      <c r="F8" s="14">
        <v>0.23</v>
      </c>
      <c r="G8" s="12">
        <f t="shared" si="1"/>
        <v>448299073.38</v>
      </c>
      <c r="H8" s="14">
        <v>0.37</v>
      </c>
      <c r="I8" s="12">
        <f t="shared" si="2"/>
        <v>721176770.22000003</v>
      </c>
      <c r="J8" s="14">
        <v>7.0000000000000007E-2</v>
      </c>
      <c r="K8" s="12">
        <f>J8*C8</f>
        <v>136438848.42000002</v>
      </c>
      <c r="L8" s="16"/>
      <c r="M8" s="13"/>
    </row>
    <row r="9" spans="2:19" x14ac:dyDescent="0.25">
      <c r="B9" s="3" t="s">
        <v>24</v>
      </c>
      <c r="C9" s="12">
        <v>4132087213</v>
      </c>
      <c r="D9" s="14">
        <v>0.56989999999999996</v>
      </c>
      <c r="E9" s="12">
        <f t="shared" ref="E9:E11" si="4">D9*C9</f>
        <v>2354876502.6886997</v>
      </c>
      <c r="F9" s="14">
        <v>0.1323</v>
      </c>
      <c r="G9" s="12">
        <f t="shared" ref="G9:G11" si="5">F9*C9</f>
        <v>546675138.27989995</v>
      </c>
      <c r="H9" s="14">
        <v>0.2646</v>
      </c>
      <c r="I9" s="12">
        <f t="shared" ref="I9:I11" si="6">H9*C9</f>
        <v>1093350276.5597999</v>
      </c>
      <c r="J9" s="14">
        <v>2.53E-2</v>
      </c>
      <c r="K9" s="12">
        <f>J9*C9</f>
        <v>104541806.48889999</v>
      </c>
      <c r="L9" s="16"/>
      <c r="M9" s="13"/>
    </row>
    <row r="10" spans="2:19" x14ac:dyDescent="0.25">
      <c r="B10" s="3" t="s">
        <v>25</v>
      </c>
      <c r="C10" s="12">
        <v>1038983102</v>
      </c>
      <c r="D10" s="14">
        <v>0.32</v>
      </c>
      <c r="E10" s="12">
        <f t="shared" si="4"/>
        <v>332474592.63999999</v>
      </c>
      <c r="F10" s="14">
        <v>0.15</v>
      </c>
      <c r="G10" s="12">
        <f t="shared" si="5"/>
        <v>155847465.29999998</v>
      </c>
      <c r="H10" s="14">
        <v>0.45</v>
      </c>
      <c r="I10" s="12">
        <f t="shared" si="6"/>
        <v>467542395.90000004</v>
      </c>
      <c r="J10" s="14">
        <v>0.08</v>
      </c>
      <c r="K10" s="12">
        <f>J10*C10</f>
        <v>83118648.159999996</v>
      </c>
      <c r="L10" s="16"/>
      <c r="M10" s="13"/>
    </row>
    <row r="11" spans="2:19" x14ac:dyDescent="0.25">
      <c r="B11" s="3" t="s">
        <v>29</v>
      </c>
      <c r="C11" s="12">
        <v>5224898095</v>
      </c>
      <c r="D11" s="14">
        <v>0.379</v>
      </c>
      <c r="E11" s="12">
        <f t="shared" si="4"/>
        <v>1980236378.0050001</v>
      </c>
      <c r="F11" s="14">
        <v>0.316</v>
      </c>
      <c r="G11" s="12">
        <f t="shared" si="5"/>
        <v>1651067798.02</v>
      </c>
      <c r="H11" s="14">
        <v>0.27</v>
      </c>
      <c r="I11" s="12">
        <f t="shared" si="6"/>
        <v>1410722485.6500001</v>
      </c>
      <c r="J11" s="14">
        <v>2.5999999999999999E-2</v>
      </c>
      <c r="K11" s="12">
        <f>J11*C11</f>
        <v>135847350.47</v>
      </c>
      <c r="L11" s="16"/>
      <c r="M11" s="13"/>
    </row>
    <row r="12" spans="2:19" x14ac:dyDescent="0.25">
      <c r="B12" s="3" t="s">
        <v>30</v>
      </c>
      <c r="C12" s="12">
        <v>1937290000</v>
      </c>
      <c r="D12" s="14">
        <v>0.33</v>
      </c>
      <c r="E12" s="12">
        <f t="shared" ref="E12:E13" si="7">D12*C12</f>
        <v>639305700</v>
      </c>
      <c r="F12" s="14">
        <v>0.23</v>
      </c>
      <c r="G12" s="12">
        <f t="shared" ref="G12:G13" si="8">F12*C12</f>
        <v>445576700</v>
      </c>
      <c r="H12" s="14">
        <v>0.43</v>
      </c>
      <c r="I12" s="12">
        <f t="shared" ref="I12:I13" si="9">H12*C12</f>
        <v>833034700</v>
      </c>
      <c r="J12" s="14">
        <v>0.01</v>
      </c>
      <c r="K12" s="12">
        <f t="shared" ref="K12:K13" si="10">J12*C12</f>
        <v>19372900</v>
      </c>
      <c r="L12" s="16"/>
      <c r="M12" s="13"/>
    </row>
    <row r="13" spans="2:19" x14ac:dyDescent="0.25">
      <c r="B13" s="3" t="s">
        <v>31</v>
      </c>
      <c r="C13" s="12">
        <v>40607696</v>
      </c>
      <c r="D13" s="19">
        <v>0.33900000000000002</v>
      </c>
      <c r="E13" s="18">
        <f t="shared" si="7"/>
        <v>13766008.944</v>
      </c>
      <c r="F13" s="14">
        <v>0.14399999999999999</v>
      </c>
      <c r="G13" s="12">
        <f t="shared" si="8"/>
        <v>5847508.2239999995</v>
      </c>
      <c r="H13" s="19">
        <v>0.44700000000000001</v>
      </c>
      <c r="I13" s="18">
        <f t="shared" si="9"/>
        <v>18151640.112</v>
      </c>
      <c r="J13" s="14">
        <v>7.0000000000000007E-2</v>
      </c>
      <c r="K13" s="12">
        <f t="shared" si="10"/>
        <v>2842538.72</v>
      </c>
      <c r="L13" s="16"/>
      <c r="M13" s="13"/>
    </row>
    <row r="14" spans="2:19" s="8" customFormat="1" x14ac:dyDescent="0.25">
      <c r="B14" s="21" t="s">
        <v>45</v>
      </c>
      <c r="C14" s="20">
        <f>SUM(C3:C13)</f>
        <v>27695868900</v>
      </c>
      <c r="D14" s="15">
        <f>+E14/$C14</f>
        <v>0.39646696234099738</v>
      </c>
      <c r="E14" s="17">
        <f>SUM(E3:E13)</f>
        <v>10980497012.1775</v>
      </c>
      <c r="F14" s="15">
        <f>+G14/$C14</f>
        <v>0.17920104580749588</v>
      </c>
      <c r="G14" s="20">
        <f>SUM(G3:G13)</f>
        <v>4963128671.4273005</v>
      </c>
      <c r="H14" s="15">
        <f>+I14/$C14</f>
        <v>0.36405859039836075</v>
      </c>
      <c r="I14" s="17">
        <f>SUM(I3:I13)</f>
        <v>10082918991.591799</v>
      </c>
      <c r="J14" s="15">
        <f>+K14/$C14</f>
        <v>3.7122860370620112E-2</v>
      </c>
      <c r="K14" s="17">
        <f>SUM(K3:K13)</f>
        <v>1028149874.0177001</v>
      </c>
      <c r="L14" s="15">
        <f>+M14/$C14</f>
        <v>6.248595612033679E-3</v>
      </c>
      <c r="M14" s="17">
        <f>SUM(M3:M13)</f>
        <v>173060284.88000003</v>
      </c>
    </row>
    <row r="15" spans="2:19" x14ac:dyDescent="0.25">
      <c r="C15" s="10"/>
      <c r="D15" s="10"/>
      <c r="E15" s="10"/>
      <c r="F15" s="5"/>
      <c r="G15" s="10"/>
      <c r="H15" s="10"/>
      <c r="I15" s="10"/>
      <c r="J15" s="5"/>
      <c r="K15" s="10"/>
    </row>
    <row r="16" spans="2:19" x14ac:dyDescent="0.25">
      <c r="B16" s="4" t="s">
        <v>2</v>
      </c>
      <c r="C16" s="9" t="s">
        <v>4</v>
      </c>
      <c r="D16" s="112" t="s">
        <v>7</v>
      </c>
      <c r="E16" s="112"/>
      <c r="F16" s="112" t="s">
        <v>8</v>
      </c>
      <c r="G16" s="112"/>
      <c r="H16" s="112" t="s">
        <v>10</v>
      </c>
      <c r="I16" s="112"/>
      <c r="J16" s="112" t="s">
        <v>9</v>
      </c>
      <c r="K16" s="112"/>
      <c r="L16" s="112" t="s">
        <v>21</v>
      </c>
      <c r="M16" s="112"/>
    </row>
    <row r="17" spans="2:18" x14ac:dyDescent="0.25">
      <c r="B17" s="21" t="s">
        <v>6</v>
      </c>
      <c r="C17" s="22">
        <v>551056015</v>
      </c>
      <c r="D17" s="26">
        <v>0.29549999999999998</v>
      </c>
      <c r="E17" s="23">
        <f t="shared" ref="E17:E20" si="11">D17*C17</f>
        <v>162837052.4325</v>
      </c>
      <c r="F17" s="26">
        <v>0.16930000000000001</v>
      </c>
      <c r="G17" s="22">
        <f>C17*F17</f>
        <v>93293783.33950001</v>
      </c>
      <c r="H17" s="26">
        <v>0.43280000000000002</v>
      </c>
      <c r="I17" s="23">
        <f t="shared" ref="I17:I20" si="12">H17*C17</f>
        <v>238497043.292</v>
      </c>
      <c r="J17" s="26">
        <v>5.0599999999999999E-2</v>
      </c>
      <c r="K17" s="23">
        <f>J17*C17</f>
        <v>27883434.359000001</v>
      </c>
      <c r="L17" s="24"/>
      <c r="M17" s="25"/>
    </row>
    <row r="18" spans="2:18" x14ac:dyDescent="0.25">
      <c r="B18" s="3" t="s">
        <v>26</v>
      </c>
      <c r="C18" s="12">
        <v>478619377</v>
      </c>
      <c r="D18" s="14">
        <v>0.24</v>
      </c>
      <c r="E18" s="12">
        <f t="shared" si="11"/>
        <v>114868650.47999999</v>
      </c>
      <c r="F18" s="14">
        <v>0.13</v>
      </c>
      <c r="G18" s="12">
        <f t="shared" ref="G18:G20" si="13">C18*F18</f>
        <v>62220519.010000005</v>
      </c>
      <c r="H18" s="14">
        <v>0.46</v>
      </c>
      <c r="I18" s="12">
        <f t="shared" si="12"/>
        <v>220164913.42000002</v>
      </c>
      <c r="J18" s="14">
        <v>0.14000000000000001</v>
      </c>
      <c r="K18" s="12">
        <f t="shared" ref="K18:K20" si="14">J18*C18</f>
        <v>67006712.780000009</v>
      </c>
      <c r="L18" s="16"/>
      <c r="M18" s="13"/>
    </row>
    <row r="19" spans="2:18" x14ac:dyDescent="0.25">
      <c r="B19" s="3" t="s">
        <v>27</v>
      </c>
      <c r="C19" s="12">
        <v>1115676333</v>
      </c>
      <c r="D19" s="14">
        <v>0.12809999999999999</v>
      </c>
      <c r="E19" s="12">
        <f t="shared" si="11"/>
        <v>142918138.25729999</v>
      </c>
      <c r="F19" s="14">
        <v>0.23960000000000001</v>
      </c>
      <c r="G19" s="12">
        <f t="shared" si="13"/>
        <v>267316049.38680002</v>
      </c>
      <c r="H19" s="14">
        <v>0.54410000000000003</v>
      </c>
      <c r="I19" s="12">
        <f t="shared" si="12"/>
        <v>607039492.78530002</v>
      </c>
      <c r="J19" s="14">
        <v>4.2299999999999997E-2</v>
      </c>
      <c r="K19" s="12">
        <f t="shared" si="14"/>
        <v>47193108.885899998</v>
      </c>
      <c r="L19" s="16"/>
      <c r="M19" s="13"/>
    </row>
    <row r="20" spans="2:18" x14ac:dyDescent="0.25">
      <c r="B20" s="3" t="s">
        <v>28</v>
      </c>
      <c r="C20" s="12">
        <v>1418955728</v>
      </c>
      <c r="D20" s="14">
        <v>9.2999999999999999E-2</v>
      </c>
      <c r="E20" s="12">
        <f t="shared" si="11"/>
        <v>131962882.704</v>
      </c>
      <c r="F20" s="14">
        <v>0.21</v>
      </c>
      <c r="G20" s="12">
        <f t="shared" si="13"/>
        <v>297980702.88</v>
      </c>
      <c r="H20" s="14">
        <v>0.54</v>
      </c>
      <c r="I20" s="12">
        <f t="shared" si="12"/>
        <v>766236093.12</v>
      </c>
      <c r="J20" s="14">
        <v>0.13</v>
      </c>
      <c r="K20" s="12">
        <f t="shared" si="14"/>
        <v>184464244.64000002</v>
      </c>
      <c r="L20" s="16"/>
      <c r="M20" s="13"/>
    </row>
    <row r="21" spans="2:18" x14ac:dyDescent="0.25">
      <c r="B21" s="3" t="s">
        <v>32</v>
      </c>
      <c r="C21" s="12">
        <v>315200000</v>
      </c>
      <c r="D21" s="14">
        <v>7.0000000000000007E-2</v>
      </c>
      <c r="E21" s="12">
        <f t="shared" ref="E21:E25" si="15">D21*C21</f>
        <v>22064000.000000004</v>
      </c>
      <c r="F21" s="14">
        <v>0.11</v>
      </c>
      <c r="G21" s="12">
        <f t="shared" ref="G21:G25" si="16">C21*F21</f>
        <v>34672000</v>
      </c>
      <c r="H21" s="14">
        <v>0.71</v>
      </c>
      <c r="I21" s="12">
        <f t="shared" ref="I21:I25" si="17">H21*C21</f>
        <v>223792000</v>
      </c>
      <c r="J21" s="14">
        <v>0.11</v>
      </c>
      <c r="K21" s="12">
        <f t="shared" ref="K21:K25" si="18">J21*C21</f>
        <v>34672000</v>
      </c>
      <c r="L21" s="16"/>
      <c r="M21" s="13"/>
    </row>
    <row r="22" spans="2:18" x14ac:dyDescent="0.25">
      <c r="B22" s="3" t="s">
        <v>33</v>
      </c>
      <c r="C22" s="12">
        <v>637700000</v>
      </c>
      <c r="D22" s="14">
        <v>0.1</v>
      </c>
      <c r="E22" s="12">
        <f t="shared" si="15"/>
        <v>63770000</v>
      </c>
      <c r="F22" s="14">
        <v>0.11</v>
      </c>
      <c r="G22" s="12">
        <f t="shared" si="16"/>
        <v>70147000</v>
      </c>
      <c r="H22" s="14">
        <v>0.74</v>
      </c>
      <c r="I22" s="12">
        <f t="shared" si="17"/>
        <v>471898000</v>
      </c>
      <c r="J22" s="14">
        <v>0.05</v>
      </c>
      <c r="K22" s="12">
        <f t="shared" si="18"/>
        <v>31885000</v>
      </c>
      <c r="L22" s="16"/>
      <c r="M22" s="13"/>
      <c r="R22" s="7"/>
    </row>
    <row r="23" spans="2:18" x14ac:dyDescent="0.25">
      <c r="B23" s="3" t="s">
        <v>34</v>
      </c>
      <c r="C23" s="12">
        <v>347234944</v>
      </c>
      <c r="D23" s="14">
        <v>0.41</v>
      </c>
      <c r="E23" s="12">
        <f t="shared" si="15"/>
        <v>142366327.03999999</v>
      </c>
      <c r="F23" s="14">
        <v>0.14330000000000001</v>
      </c>
      <c r="G23" s="12">
        <f t="shared" si="16"/>
        <v>49758767.475200005</v>
      </c>
      <c r="H23" s="14">
        <v>0.3589</v>
      </c>
      <c r="I23" s="12">
        <f t="shared" si="17"/>
        <v>124622621.4016</v>
      </c>
      <c r="J23" s="14">
        <v>7.2400000000000006E-2</v>
      </c>
      <c r="K23" s="12">
        <f t="shared" si="18"/>
        <v>25139809.945600003</v>
      </c>
      <c r="L23" s="16"/>
      <c r="M23" s="13"/>
      <c r="R23" s="7"/>
    </row>
    <row r="24" spans="2:18" x14ac:dyDescent="0.25">
      <c r="B24" s="3" t="s">
        <v>35</v>
      </c>
      <c r="C24" s="12">
        <v>201180938</v>
      </c>
      <c r="D24" s="14">
        <v>0.08</v>
      </c>
      <c r="E24" s="12">
        <f t="shared" si="15"/>
        <v>16094475.040000001</v>
      </c>
      <c r="F24" s="14">
        <v>0.48599999999999999</v>
      </c>
      <c r="G24" s="12">
        <f t="shared" si="16"/>
        <v>97773935.868000001</v>
      </c>
      <c r="H24" s="14">
        <v>0.372</v>
      </c>
      <c r="I24" s="12">
        <f t="shared" si="17"/>
        <v>74839308.936000004</v>
      </c>
      <c r="J24" s="14">
        <v>5.8999999999999997E-2</v>
      </c>
      <c r="K24" s="12">
        <f t="shared" si="18"/>
        <v>11869675.342</v>
      </c>
      <c r="L24" s="16"/>
      <c r="M24" s="13"/>
    </row>
    <row r="25" spans="2:18" x14ac:dyDescent="0.25">
      <c r="B25" s="3" t="s">
        <v>36</v>
      </c>
      <c r="C25" s="12">
        <v>299280000</v>
      </c>
      <c r="D25" s="19">
        <v>0.1</v>
      </c>
      <c r="E25" s="18">
        <f t="shared" si="15"/>
        <v>29928000</v>
      </c>
      <c r="F25" s="14">
        <v>0.15</v>
      </c>
      <c r="G25" s="12">
        <f t="shared" si="16"/>
        <v>44892000</v>
      </c>
      <c r="H25" s="19">
        <v>0.67</v>
      </c>
      <c r="I25" s="18">
        <f t="shared" si="17"/>
        <v>200517600</v>
      </c>
      <c r="J25" s="14">
        <v>0.08</v>
      </c>
      <c r="K25" s="12">
        <f t="shared" si="18"/>
        <v>23942400</v>
      </c>
      <c r="L25" s="16"/>
      <c r="M25" s="13"/>
    </row>
    <row r="26" spans="2:18" s="8" customFormat="1" x14ac:dyDescent="0.25">
      <c r="B26" s="21" t="s">
        <v>45</v>
      </c>
      <c r="C26" s="20">
        <f>SUM(C17:C25)</f>
        <v>5364903335</v>
      </c>
      <c r="D26" s="15">
        <f>+E26/$C26</f>
        <v>0.15411452440527523</v>
      </c>
      <c r="E26" s="17">
        <f>SUM(E17:E25)</f>
        <v>826809525.95379996</v>
      </c>
      <c r="F26" s="15">
        <f>+G26/$C26</f>
        <v>0.18976199465101826</v>
      </c>
      <c r="G26" s="20">
        <f>SUM(G17:G25)</f>
        <v>1018054757.9595001</v>
      </c>
      <c r="H26" s="15">
        <f>+I26/$C26</f>
        <v>0.54569614588496584</v>
      </c>
      <c r="I26" s="17">
        <f>SUM(I17:I25)</f>
        <v>2927607072.9548998</v>
      </c>
      <c r="J26" s="15">
        <f>+K26/$C26</f>
        <v>8.4634588472506017E-2</v>
      </c>
      <c r="K26" s="17">
        <f>SUM(K17:K25)</f>
        <v>454056385.9525001</v>
      </c>
      <c r="L26" s="15">
        <f>+M26/$C26</f>
        <v>0</v>
      </c>
      <c r="M26" s="17">
        <f>SUM(M17:M25)</f>
        <v>0</v>
      </c>
    </row>
    <row r="27" spans="2:18" x14ac:dyDescent="0.25">
      <c r="C27" s="10"/>
      <c r="D27" s="10"/>
      <c r="E27" s="10"/>
      <c r="F27" s="5"/>
      <c r="G27" s="10"/>
      <c r="H27" s="10"/>
      <c r="I27" s="10"/>
      <c r="J27" s="5"/>
      <c r="K27" s="10"/>
    </row>
    <row r="28" spans="2:18" x14ac:dyDescent="0.25">
      <c r="B28" s="4" t="s">
        <v>38</v>
      </c>
      <c r="C28" s="9" t="s">
        <v>4</v>
      </c>
      <c r="D28" s="113" t="s">
        <v>7</v>
      </c>
      <c r="E28" s="113"/>
      <c r="F28" s="112" t="s">
        <v>8</v>
      </c>
      <c r="G28" s="112"/>
      <c r="H28" s="112" t="s">
        <v>10</v>
      </c>
      <c r="I28" s="112"/>
      <c r="J28" s="112" t="s">
        <v>9</v>
      </c>
      <c r="K28" s="112"/>
      <c r="L28" s="112" t="s">
        <v>40</v>
      </c>
      <c r="M28" s="112"/>
    </row>
    <row r="29" spans="2:18" x14ac:dyDescent="0.25">
      <c r="B29" s="3" t="s">
        <v>39</v>
      </c>
      <c r="C29" s="12">
        <v>247491725</v>
      </c>
      <c r="D29" s="14">
        <v>0.151</v>
      </c>
      <c r="E29" s="12">
        <f>D29*C29</f>
        <v>37371250.475000001</v>
      </c>
      <c r="F29" s="14">
        <v>0.115</v>
      </c>
      <c r="G29" s="12">
        <f>F29*C29</f>
        <v>28461548.375</v>
      </c>
      <c r="H29" s="14">
        <v>0.63200000000000001</v>
      </c>
      <c r="I29" s="12">
        <f>H29*C29</f>
        <v>156414770.19999999</v>
      </c>
      <c r="J29" s="14">
        <v>0.10100000000000001</v>
      </c>
      <c r="K29" s="12">
        <f>J29*C29</f>
        <v>24996664.225000001</v>
      </c>
      <c r="L29" s="14">
        <v>7.8E-2</v>
      </c>
      <c r="M29" s="12">
        <f>L29*C29</f>
        <v>19304354.550000001</v>
      </c>
    </row>
    <row r="30" spans="2:18" x14ac:dyDescent="0.25">
      <c r="B30" s="3" t="s">
        <v>41</v>
      </c>
      <c r="C30" s="12">
        <v>121870000</v>
      </c>
      <c r="D30" s="14">
        <v>0.1149</v>
      </c>
      <c r="E30" s="12">
        <f>D30*C30</f>
        <v>14002863</v>
      </c>
      <c r="F30" s="14"/>
      <c r="G30" s="12">
        <f>F30*C30</f>
        <v>0</v>
      </c>
      <c r="H30" s="14">
        <v>0.62109999999999999</v>
      </c>
      <c r="I30" s="12">
        <f>H30*C30</f>
        <v>75693457</v>
      </c>
      <c r="J30" s="14"/>
      <c r="K30" s="12">
        <f>J30*C30</f>
        <v>0</v>
      </c>
      <c r="L30" s="14">
        <v>8.0299999999999996E-2</v>
      </c>
      <c r="M30" s="12">
        <f>L30*C30</f>
        <v>9786161</v>
      </c>
    </row>
    <row r="31" spans="2:18" x14ac:dyDescent="0.25">
      <c r="B31" s="3" t="s">
        <v>42</v>
      </c>
      <c r="C31" s="12">
        <v>249262354</v>
      </c>
      <c r="D31" s="14">
        <v>7.0000000000000007E-2</v>
      </c>
      <c r="E31" s="12">
        <f>D31*C31</f>
        <v>17448364.780000001</v>
      </c>
      <c r="F31" s="14">
        <v>0.11</v>
      </c>
      <c r="G31" s="12">
        <f>F31*C31</f>
        <v>27418858.940000001</v>
      </c>
      <c r="H31" s="14">
        <v>0.55000000000000004</v>
      </c>
      <c r="I31" s="12">
        <f>H31*C31</f>
        <v>137094294.70000002</v>
      </c>
      <c r="J31" s="14">
        <v>0.03</v>
      </c>
      <c r="K31" s="12">
        <f>J31*C31</f>
        <v>7477870.6200000001</v>
      </c>
      <c r="L31" s="14">
        <v>0.11</v>
      </c>
      <c r="M31" s="12">
        <f>L31*C31</f>
        <v>27418858.940000001</v>
      </c>
    </row>
    <row r="32" spans="2:18" x14ac:dyDescent="0.25">
      <c r="B32" s="3" t="s">
        <v>43</v>
      </c>
      <c r="C32" s="12">
        <v>941388100</v>
      </c>
      <c r="D32" s="14">
        <v>8.1000000000000003E-2</v>
      </c>
      <c r="E32" s="12">
        <f>D32*C32</f>
        <v>76252436.100000009</v>
      </c>
      <c r="F32" s="14">
        <v>0.16400000000000001</v>
      </c>
      <c r="G32" s="12">
        <f>F32*C32</f>
        <v>154387648.40000001</v>
      </c>
      <c r="H32" s="14">
        <v>0.63</v>
      </c>
      <c r="I32" s="12">
        <f>H32*C32</f>
        <v>593074503</v>
      </c>
      <c r="J32" s="14">
        <v>0.12</v>
      </c>
      <c r="K32" s="12">
        <f>J32*C32</f>
        <v>112966572</v>
      </c>
      <c r="L32" s="14"/>
      <c r="M32" s="12">
        <f>L32*C32</f>
        <v>0</v>
      </c>
    </row>
    <row r="33" spans="2:13" x14ac:dyDescent="0.25">
      <c r="B33" s="3" t="s">
        <v>44</v>
      </c>
      <c r="C33" s="12">
        <v>26600000</v>
      </c>
      <c r="D33" s="14">
        <v>0.35</v>
      </c>
      <c r="E33" s="12">
        <f>D33*C33</f>
        <v>9310000</v>
      </c>
      <c r="F33" s="14"/>
      <c r="G33" s="12">
        <f>F33*C33</f>
        <v>0</v>
      </c>
      <c r="H33" s="14">
        <v>0.35</v>
      </c>
      <c r="I33" s="12">
        <f>H33*C33</f>
        <v>9310000</v>
      </c>
      <c r="J33" s="14"/>
      <c r="K33" s="12">
        <f>J33*C33</f>
        <v>0</v>
      </c>
      <c r="L33" s="14">
        <v>0.31</v>
      </c>
      <c r="M33" s="12">
        <f>L33*C33</f>
        <v>8246000</v>
      </c>
    </row>
    <row r="34" spans="2:13" s="8" customFormat="1" x14ac:dyDescent="0.25">
      <c r="B34" s="3" t="s">
        <v>45</v>
      </c>
      <c r="C34" s="17">
        <f>SUM(C29:C33)</f>
        <v>1586612179</v>
      </c>
      <c r="D34" s="15">
        <f>+E34/$C34</f>
        <v>9.7304758149723003E-2</v>
      </c>
      <c r="E34" s="17">
        <f>SUM(E29:E33)</f>
        <v>154384914.35500002</v>
      </c>
      <c r="F34" s="15">
        <f>+G34/$C34</f>
        <v>0.1325264349398392</v>
      </c>
      <c r="G34" s="17">
        <f>SUM(G29:G33)</f>
        <v>210268055.715</v>
      </c>
      <c r="H34" s="15">
        <f>+I34/$C34</f>
        <v>0.61236579282554471</v>
      </c>
      <c r="I34" s="17">
        <f>SUM(I29:I33)</f>
        <v>971587024.89999998</v>
      </c>
      <c r="J34" s="15">
        <f>+K34/$C34</f>
        <v>9.16677110953905E-2</v>
      </c>
      <c r="K34" s="17">
        <f>SUM(K29:K33)</f>
        <v>145441106.845</v>
      </c>
      <c r="L34" s="15">
        <f>+M34/$C34</f>
        <v>4.0813612391916478E-2</v>
      </c>
      <c r="M34" s="17">
        <f>SUM(M29:M33)</f>
        <v>64755374.490000002</v>
      </c>
    </row>
  </sheetData>
  <mergeCells count="15">
    <mergeCell ref="D28:E28"/>
    <mergeCell ref="F28:G28"/>
    <mergeCell ref="H28:I28"/>
    <mergeCell ref="J28:K28"/>
    <mergeCell ref="L28:M28"/>
    <mergeCell ref="L2:M2"/>
    <mergeCell ref="L16:M16"/>
    <mergeCell ref="D2:E2"/>
    <mergeCell ref="F2:G2"/>
    <mergeCell ref="H2:I2"/>
    <mergeCell ref="J2:K2"/>
    <mergeCell ref="D16:E16"/>
    <mergeCell ref="F16:G16"/>
    <mergeCell ref="H16:I16"/>
    <mergeCell ref="J16:K16"/>
  </mergeCells>
  <pageMargins left="0.511811024" right="0.511811024" top="0.78740157499999996" bottom="0.78740157499999996" header="0.31496062000000002" footer="0.31496062000000002"/>
  <pageSetup paperSize="9" orientation="portrait" verticalDpi="0" r:id="rId1"/>
  <ignoredErrors>
    <ignoredError sqref="L26 L34 J26 H26:I26 F26:G26 D26:E26 H14 J14 D14 L1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41</vt:i4>
      </vt:variant>
    </vt:vector>
  </HeadingPairs>
  <TitlesOfParts>
    <vt:vector size="41" baseType="lpstr">
      <vt:lpstr>Dados</vt:lpstr>
      <vt:lpstr>Abr26</vt:lpstr>
      <vt:lpstr>Mar26</vt:lpstr>
      <vt:lpstr>Fev26</vt:lpstr>
      <vt:lpstr>Jan26</vt:lpstr>
      <vt:lpstr>Dez25</vt:lpstr>
      <vt:lpstr>Nov25</vt:lpstr>
      <vt:lpstr>Out25</vt:lpstr>
      <vt:lpstr>Set25</vt:lpstr>
      <vt:lpstr>Ago25</vt:lpstr>
      <vt:lpstr>Jul25</vt:lpstr>
      <vt:lpstr>Jun25</vt:lpstr>
      <vt:lpstr>Mai25</vt:lpstr>
      <vt:lpstr>Abr25</vt:lpstr>
      <vt:lpstr>Mar25</vt:lpstr>
      <vt:lpstr>Fev25</vt:lpstr>
      <vt:lpstr>Jan25</vt:lpstr>
      <vt:lpstr>Dez24</vt:lpstr>
      <vt:lpstr>Nov24</vt:lpstr>
      <vt:lpstr>Out24</vt:lpstr>
      <vt:lpstr>Set24</vt:lpstr>
      <vt:lpstr>Ago24</vt:lpstr>
      <vt:lpstr>Jul24</vt:lpstr>
      <vt:lpstr>Jun24</vt:lpstr>
      <vt:lpstr>Mai24</vt:lpstr>
      <vt:lpstr>Abr24</vt:lpstr>
      <vt:lpstr>Mar24</vt:lpstr>
      <vt:lpstr>Fev24</vt:lpstr>
      <vt:lpstr>Dez23</vt:lpstr>
      <vt:lpstr>Nov23</vt:lpstr>
      <vt:lpstr>Out23</vt:lpstr>
      <vt:lpstr>Set23</vt:lpstr>
      <vt:lpstr>Ago23</vt:lpstr>
      <vt:lpstr>Jul23</vt:lpstr>
      <vt:lpstr>Jun23</vt:lpstr>
      <vt:lpstr>Mai23</vt:lpstr>
      <vt:lpstr>Abr23</vt:lpstr>
      <vt:lpstr>Mar23</vt:lpstr>
      <vt:lpstr>Fev23</vt:lpstr>
      <vt:lpstr>Jan23</vt:lpstr>
      <vt:lpstr>Dez22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Henrique Oliveira Vasconcelos</dc:creator>
  <cp:lastModifiedBy>Lívia Rodrigues de Castilho Jacob</cp:lastModifiedBy>
  <cp:lastPrinted>2024-03-08T21:32:50Z</cp:lastPrinted>
  <dcterms:created xsi:type="dcterms:W3CDTF">2023-01-03T16:39:11Z</dcterms:created>
  <dcterms:modified xsi:type="dcterms:W3CDTF">2026-05-12T22:06:01Z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coUpdateId">
    <vt:lpwstr>1456951584</vt:lpwstr>
  </property>
  <property fmtid="{D5CDD505-2E9C-101B-9397-08002B2CF9AE}" pid="3" name="EcoUpdateMessage">
    <vt:lpwstr>2026/03/02-20:46:24</vt:lpwstr>
  </property>
  <property fmtid="{D5CDD505-2E9C-101B-9397-08002B2CF9AE}" pid="4" name="EcoUpdateStatus">
    <vt:lpwstr>2026-02-27=BRA:St,ME,TP;USA:St;ARG:St,ME,TP;MEX:St,ME,Fd,TP;CHL:Fd;COL:St,ME;PER:St,ME,Fd|2026-03-01=BRA:Fd|2026-03-02=USA:ME;CHL:St,ME;SAU:St|2022-10-17=USA:TP|2026-02-26=ARG:Fd|2021-11-17=CHL:TP|2014-02-26=VEN:St|2002-11-08=JPN:St|2026-02-18=GBR:St,ME;COL:Fd|2016-08-18=NNN:St|2026-02-24=PER:TP|2007-01-31=ESP:St|2003-01-29=CHN:St|2003-01-28=TWN:St|2003-01-30=HKG:St;KOR:St|2023-01-19=OTH:St|2025-06-24=PAN:St|2024-06-24=SAU:ME</vt:lpwstr>
  </property>
</Properties>
</file>